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sheetId="1" r:id="rId5"/>
    <sheet state="hidden" name="Sheet44" sheetId="2" r:id="rId6"/>
    <sheet state="visible" name="outcomes" sheetId="3" r:id="rId7"/>
    <sheet state="hidden" name="Sheet42" sheetId="4" r:id="rId8"/>
    <sheet state="visible" name="covariates" sheetId="5" r:id="rId9"/>
    <sheet state="visible" name="Sheet48" sheetId="6" r:id="rId10"/>
    <sheet state="hidden" name="Sheet45" sheetId="7" r:id="rId11"/>
    <sheet state="visible" name="Sheet47" sheetId="8" r:id="rId12"/>
    <sheet state="visible" name="Combine groups calculator" sheetId="9" r:id="rId13"/>
    <sheet state="hidden" name="Sheet37" sheetId="10" r:id="rId14"/>
    <sheet state="hidden" name="Sheet38" sheetId="11" r:id="rId15"/>
    <sheet state="hidden" name="Sheet35" sheetId="12" r:id="rId16"/>
    <sheet state="hidden" name="Sheet33" sheetId="13" r:id="rId17"/>
    <sheet state="hidden" name="Sheet30" sheetId="14" r:id="rId18"/>
    <sheet state="hidden" name="Sheet32" sheetId="15" r:id="rId19"/>
    <sheet state="hidden" name="pivot_shift" sheetId="16" r:id="rId20"/>
    <sheet state="hidden" name="lachman_data" sheetId="17" r:id="rId21"/>
    <sheet state="hidden" name="lachman_analysis" sheetId="18" r:id="rId22"/>
    <sheet state="visible" name="ordinal" sheetId="19" r:id="rId23"/>
    <sheet state="hidden" name="Sheet27" sheetId="20" r:id="rId24"/>
    <sheet state="hidden" name="continuous" sheetId="21" r:id="rId25"/>
    <sheet state="hidden" name="screening" sheetId="22" r:id="rId26"/>
    <sheet state="hidden" name="Sheet23" sheetId="23" r:id="rId27"/>
    <sheet state="hidden" name="Sheet22" sheetId="24" r:id="rId28"/>
    <sheet state="hidden" name="Sheet21" sheetId="25" r:id="rId29"/>
    <sheet state="hidden" name="Sheet20" sheetId="26" r:id="rId30"/>
    <sheet state="hidden" name="Sheet34" sheetId="27" r:id="rId31"/>
    <sheet state="visible" name="screening 1.0" sheetId="28" r:id="rId32"/>
    <sheet state="visible" name="Sheet49" sheetId="29" r:id="rId33"/>
    <sheet state="visible" name="screening 2.0" sheetId="30" r:id="rId34"/>
    <sheet state="hidden" name="wide-format (do not edit)" sheetId="31" r:id="rId35"/>
    <sheet state="hidden" name="information" sheetId="32" r:id="rId36"/>
    <sheet state="hidden" name="arms" sheetId="33" r:id="rId37"/>
    <sheet state="hidden" name="results" sheetId="34" r:id="rId38"/>
    <sheet state="hidden" name="risk_of_bias" sheetId="35" r:id="rId39"/>
    <sheet state="hidden" name="Sheet6" sheetId="36" r:id="rId40"/>
    <sheet state="hidden" name="Sheet5" sheetId="37" r:id="rId41"/>
    <sheet state="hidden" name="Sheet13" sheetId="38" r:id="rId42"/>
    <sheet state="hidden" name="Sheet11" sheetId="39" r:id="rId43"/>
    <sheet state="hidden" name="Sheet12" sheetId="40" r:id="rId44"/>
  </sheets>
  <definedNames>
    <definedName name="covariates">covariates!$A$1:$H$124</definedName>
    <definedName name="full_text_screening">'screening 1.0'!$E$2:$E$101</definedName>
    <definedName name="study">'screening 1.0'!$D$2:$D$101</definedName>
    <definedName name="subgroups">'screening 1.0'!$C$2:$C$101</definedName>
    <definedName name="outcomes">'screening 1.0'!$F$2:$F$101</definedName>
    <definedName hidden="1" localSheetId="0" name="_xlnm._FilterDatabase">master!$A$1:$M$349</definedName>
    <definedName hidden="1" localSheetId="1" name="_xlnm._FilterDatabase">Sheet44!$A$1:$C$1000</definedName>
    <definedName hidden="1" localSheetId="2" name="_xlnm._FilterDatabase">outcomes!$A$1:$AL$493</definedName>
    <definedName hidden="1" localSheetId="7" name="_xlnm._FilterDatabase">Sheet47!$A$1:$C$1123</definedName>
    <definedName hidden="1" localSheetId="18" name="_xlnm._FilterDatabase">ordinal!$A$1:$W$994</definedName>
    <definedName hidden="1" localSheetId="21" name="_xlnm._FilterDatabase">screening!$A$1:$K$708</definedName>
    <definedName hidden="1" localSheetId="24" name="_xlnm._FilterDatabase">Sheet21!$A$1:$I$357</definedName>
    <definedName hidden="1" localSheetId="29" name="_xlnm._FilterDatabase">'screening 2.0'!$A$1:$U$999</definedName>
    <definedName hidden="1" localSheetId="30" name="_xlnm._FilterDatabase">'wide-format (do not edit)'!$A$1:$D$1001</definedName>
    <definedName name="STUDY_ID">LAMBDA(authors, year, doi, HYPERLINK("https://doi.org/"&amp;doi,SUBSTITUTE(IFS(COUNTUNIQUE(SPLIT(authors,","))=1,LEFT(authors,SEARCH(" ",REGEXREPLACE(authors,"[,;.]",""),1)-1)&amp;" ("&amp;year&amp;")",
COUNTUNIQUE(SPLIT(authors,", "))=2,LEFT(authors,SEARCH(" ",REGEXREPLACE(authors,"[,;.]",""),1)-1)&amp;" and "&amp;MID(authors,SEARCH(" ",REGEXREPLACE(authors,"[,;.]",""),1)+4,SEARCH(" ",REGEXREPLACE(authors,"[,;.]",""),1)-2)&amp;" ("&amp;year&amp;")",
COUNTUNIQUE(SPLIT(authors,", "))&gt;2,LEFT(authors,SEARCH(" ",REGEXREPLACE(authors,"[,;.]",""),1)-1)&amp;" et al. ("&amp;year&amp;")"),"  "," ")))</definedName>
    <definedName name="ID">LAMBDA(id, range, IFERROR(ARRAYFORMULA(IF(range&lt;&gt;"",ROW(ID)-1,"")),""))</definedName>
    <definedName name="P_SD">LAMBDA(n, k, (((k+0.5)/(n+0.5))/((1-(k+0.5)/(n+0.5)))*SQRT(n)))</definedName>
    <definedName name="QUOTES">LAMBDA(string, text, string&amp;text&amp;string)</definedName>
    <definedName name="COMBINE_SD">LAMBDA(n_1, n_2, sd_1, sd_2, m_1, m_2, SQRT((((n_1-1)*(sd_1^2))+((n_2-1)*(sd_2^2))+((n_1*n_2)/(n_1+n_2))*((m_1^2)+(m_2^2)-(2*m_1*m_2)))/((n_1+n_2-1))))</definedName>
    <definedName name="MEDIAN_MEAN">LAMBDA(n, a, m, b, (4/(4+n^0.75))*((a+b)/2)+(n^0.75/(4+n^0.75))*m)</definedName>
    <definedName name="REFERENCE_LINK">LAMBDA(id, doi, HYPERLINK("https://doi.org/"&amp;doi,id))</definedName>
    <definedName name="FUNCTION2">LAMBDA(range1, range2, iferror(ARRAYFORMULA(
  REGEXREPLACE(
    TRANSPOSE(
      SPLIT(
        JOIN("; ",
          FILTER(
            range1 &amp; ", " &amp; SUBSTITUTE(range2, ", ", "; " &amp; range1 &amp; ", "),
            (range1 &lt;&gt; "") * (range2 &lt;&gt; "")
          )
        ),
      "; ", FALSE)
    ),
  "(.*),\s(.*)", "$2")
),""))</definedName>
    <definedName name="FUNCTION4">LAMBDA(range3, range4, range5, BYROW(range5, LAMBDA(sym, TEXTJOIN(", ", TRUE, FILTER(range3, range4 = sym)))))</definedName>
    <definedName name="CI_SD">LAMBDA(n, ci_ul, ci_ll, ((ci_ul-ci_ll)/3.92)*(SQRT(n)))</definedName>
    <definedName name="PLNUSD">LAMBDA(pln, if(pln&lt;&gt;"",GOOGLEFINANCE("PLNUSD")*pln,""))</definedName>
    <definedName name="USDPLN">LAMBDA(usd, if(usd&lt;&gt;"",GOOGLEFINANCE("USDPLN")*usd,""))</definedName>
    <definedName name="MANY_TO_MANY">LAMBDA(range5, range1, range2, IFERROR(BYROW(range5, LAMBDA(sym, TEXTJOIN(", ", TRUE, FILTER(FUNCTION1(range1,range2), FUNCTION2(range1,range2) = sym)))),""))</definedName>
    <definedName name="NORM">LAMBDA(range1, range2, iferror(ARRAYFORMULA(
  REGEXREPLACE(
    TRANSPOSE(
      SPLIT(
        JOIN("; ",
          FILTER(
            range1 &amp; ", " &amp; SUBSTITUTE(range2, ",", "; " &amp; range1 &amp; ", "),
            (range1 &lt;&gt; "") * (range2 &lt;&gt; "")
          )
        ),
      "; ", FALSE)
    ),
  "(.*),\s(.*)", "$1")
),""))</definedName>
    <definedName name="FUNCTION1">LAMBDA(range1, range2, iferror(ARRAYFORMULA(
  REGEXREPLACE(
    TRANSPOSE(
      SPLIT(
        JOIN("; ",
          FILTER(
            range1 &amp; ", " &amp; SUBSTITUTE(range2, ", ", "; " &amp; range1 &amp; ", "),
            (range1 &lt;&gt; "") * (range2 &lt;&gt; "")
          )
        ),
      "; ", FALSE)
    ),
  "(.*),\s(.*)", "$1")
),""))</definedName>
    <definedName name="NUM_AUTHORS">LAMBDA(authors, nondelimiters, delimiter, IFARRAY(counta(split(regexreplace(authors,"["&amp;nondelimiters&amp;"]",""),delimiter&amp;" ",false))))</definedName>
    <definedName name="FUNCTION3">LAMBDA(range4, iferror(unique(range4),""))</definedName>
    <definedName name="IFARRAY">LAMBDA(formula, iferror(arrayformula(formula),""))</definedName>
    <definedName name="RANGE_SD">LAMBDA(n, a, b, round(((b-a)/(2*NORM.S.INV((n-0.375)/(n+0.25)))),3))</definedName>
    <definedName name="BOOLEAN">LAMBDA(quotes, string, field, operator, IFERROR(ARRAYFORMULA(quotes&amp;string&amp;quotes&amp;"["&amp;field&amp;"]"&amp;" "&amp;operator&amp;" "),""))</definedName>
    <definedName name="DENORM">LAMBDA(junction_table, id_column, BYROW(id_column, LAMBDA(column, TEXTJOIN(", ", TRUE, FILTER(junction_table = column)))))</definedName>
    <definedName name="DELIST">LAMBDA(range1, range2, iferror(ARRAYFORMULA(
  REGEXREPLACE(
    TRANSPOSE(
      SPLIT(
        JOIN("; ",
          FILTER(
            range1 &amp; ", " &amp; SUBSTITUTE(range2, ",", "; " &amp; range1 &amp; ", "),
            (range1 &lt;&gt; "") * (range2 &lt;&gt; "")
          )
        ),
      "; ", FALSE)
    ),
  "(.*),\s(.*)", "$2")
),""))</definedName>
  </definedNames>
  <calcPr/>
</workbook>
</file>

<file path=xl/sharedStrings.xml><?xml version="1.0" encoding="utf-8"?>
<sst xmlns="http://schemas.openxmlformats.org/spreadsheetml/2006/main" count="25866" uniqueCount="5409">
  <si>
    <t>id</t>
  </si>
  <si>
    <t>Ageberg et al., 2009</t>
  </si>
  <si>
    <t>10.1007/s00167-008-0645-4</t>
  </si>
  <si>
    <t>study</t>
  </si>
  <si>
    <t>subgroup</t>
  </si>
  <si>
    <t>outcome</t>
  </si>
  <si>
    <t>data_type</t>
  </si>
  <si>
    <t>ni</t>
  </si>
  <si>
    <t>yi</t>
  </si>
  <si>
    <t>n</t>
  </si>
  <si>
    <t>mean</t>
  </si>
  <si>
    <t>Aglietti et al., 2004</t>
  </si>
  <si>
    <t>sdi</t>
  </si>
  <si>
    <t>min</t>
  </si>
  <si>
    <t>q1</t>
  </si>
  <si>
    <t>median</t>
  </si>
  <si>
    <t>Ahldén et al., 2009</t>
  </si>
  <si>
    <t>10.1007/s00167-009-0846-5</t>
  </si>
  <si>
    <t>sd</t>
  </si>
  <si>
    <t>q3</t>
  </si>
  <si>
    <t>max</t>
  </si>
  <si>
    <t>age</t>
  </si>
  <si>
    <t>Anderson et al., 2001</t>
  </si>
  <si>
    <t>TE</t>
  </si>
  <si>
    <t>10.1177/03635465010290030201</t>
  </si>
  <si>
    <t>male</t>
  </si>
  <si>
    <t>Anz et al., 2023</t>
  </si>
  <si>
    <t>10.1177/23259671231210035</t>
  </si>
  <si>
    <t>female</t>
  </si>
  <si>
    <t>follow_up</t>
  </si>
  <si>
    <t>Aune et al., 2001</t>
  </si>
  <si>
    <t>10.1177/03635465010290060901</t>
  </si>
  <si>
    <t>Barenius et al., 2010</t>
  </si>
  <si>
    <t>10.1177/0363546510369549</t>
  </si>
  <si>
    <t>seTE</t>
  </si>
  <si>
    <t>Barié et al., 2020</t>
  </si>
  <si>
    <t>10.1007/s00402-020-03508-1</t>
  </si>
  <si>
    <t>Beynnon et al., 2002</t>
  </si>
  <si>
    <t>10.2106/00004623-200209000-00001</t>
  </si>
  <si>
    <t>Bi et al., 2018</t>
  </si>
  <si>
    <t>10.1055/s-0038-1627466</t>
  </si>
  <si>
    <t>vi</t>
  </si>
  <si>
    <t>BPTB</t>
  </si>
  <si>
    <t>Björnsson et al., 2016</t>
  </si>
  <si>
    <t>10.1177/0363546516646378</t>
  </si>
  <si>
    <t>Bottoni et al., 2015</t>
  </si>
  <si>
    <t>10.1177/0363546515596406</t>
  </si>
  <si>
    <t>Butt et al., 2024</t>
  </si>
  <si>
    <t>10.1007/s00402-024-05639-1</t>
  </si>
  <si>
    <t>screening</t>
  </si>
  <si>
    <t>age_mean</t>
  </si>
  <si>
    <t>age_sd</t>
  </si>
  <si>
    <t>Calvert et al., 2025</t>
  </si>
  <si>
    <t>10.1002/ksa.12583</t>
  </si>
  <si>
    <t>follow-up_mo</t>
  </si>
  <si>
    <t>follow-up_yr</t>
  </si>
  <si>
    <t>Ejerhed et al., 2003</t>
  </si>
  <si>
    <t>10.1177/03635465030310011401</t>
  </si>
  <si>
    <t>Eriksson et al., 2001</t>
  </si>
  <si>
    <t>graft rupture</t>
  </si>
  <si>
    <t>Feller &amp; Webster, 2003</t>
  </si>
  <si>
    <t>10.1177/03635465030310041501</t>
  </si>
  <si>
    <t>Gifstad et al., 2013</t>
  </si>
  <si>
    <t>10.1007/s00167-012-1947-0</t>
  </si>
  <si>
    <t>dichotomous</t>
  </si>
  <si>
    <t>Guglielmetti et al., 2021</t>
  </si>
  <si>
    <t>10.1177/23259671211028168</t>
  </si>
  <si>
    <t>Harilainen et al., 2006</t>
  </si>
  <si>
    <t>10.1007/s00167-006-0059-0</t>
  </si>
  <si>
    <t>Heijne &amp; Werner, 2010</t>
  </si>
  <si>
    <t>10.1007/s00167-009-0961-3</t>
  </si>
  <si>
    <t>Holm et al., 2010</t>
  </si>
  <si>
    <t>10.1177/0363546509350301</t>
  </si>
  <si>
    <t>Horstmann et al., 2022</t>
  </si>
  <si>
    <t>10.1007/s00402-021-03862-8</t>
  </si>
  <si>
    <t>Ibrahim et al., 2005</t>
  </si>
  <si>
    <t>10.1016/j.arthro.2004.12.002</t>
  </si>
  <si>
    <t>Iliopoulos et al., 2017</t>
  </si>
  <si>
    <t>10.1007/s00167-016-4229-4</t>
  </si>
  <si>
    <t>Jansson et al., 2003</t>
  </si>
  <si>
    <t xml:space="preserve"> BPTB</t>
  </si>
  <si>
    <t>10.1177/03635465030310010501</t>
  </si>
  <si>
    <t>Kautzner et al., 2015</t>
  </si>
  <si>
    <t>10.1007/s00264-014-2495-7</t>
  </si>
  <si>
    <t>HT</t>
  </si>
  <si>
    <t>Komzak et al., 2022</t>
  </si>
  <si>
    <t>10.1007/s00402-021-04195-2</t>
  </si>
  <si>
    <t>Ageberg et al., 2009; HT; 20</t>
  </si>
  <si>
    <t>Konrads et al., 2016</t>
  </si>
  <si>
    <t>10.1007/s00402-015-2386-4</t>
  </si>
  <si>
    <t>Laoruengthana et al., 2009</t>
  </si>
  <si>
    <t>Lawhorn et al., 2012</t>
  </si>
  <si>
    <t>10.1016/j.arthro.2012.05.010</t>
  </si>
  <si>
    <t>Laxdal et al., 2005</t>
  </si>
  <si>
    <t>10.1016/j.arthro.2004.09.014</t>
  </si>
  <si>
    <t xml:space="preserve"> HT</t>
  </si>
  <si>
    <t>Li et al., 2015</t>
  </si>
  <si>
    <t>10.1016/j.arthro.2015.02.033</t>
  </si>
  <si>
    <t>Lidén et al., 2007</t>
  </si>
  <si>
    <t>10.1177/0363546506298275</t>
  </si>
  <si>
    <t>Aglietti et al., 2004; BPTB; 60</t>
  </si>
  <si>
    <t/>
  </si>
  <si>
    <t>Lind et al., 2020</t>
  </si>
  <si>
    <t>10.1136/bjsports-2019-101000</t>
  </si>
  <si>
    <t>Lucidi et al., 2025</t>
  </si>
  <si>
    <t>10.1177/23259671241302348</t>
  </si>
  <si>
    <t>Lui et al., 2012</t>
  </si>
  <si>
    <t>10.1016/j.knee.2012.02.005</t>
  </si>
  <si>
    <t>Aglietti et al., 2004; HT; 60</t>
  </si>
  <si>
    <t>Included</t>
  </si>
  <si>
    <t>Lund et al., 2014</t>
  </si>
  <si>
    <t>10.1016/j.arthro.2014.01.012</t>
  </si>
  <si>
    <t>Malik et al., 2026</t>
  </si>
  <si>
    <t>10.13107/jocr.2026.v16.i05.7294</t>
  </si>
  <si>
    <t>Matsumoto et al., 2006</t>
  </si>
  <si>
    <t>10.1177/0363546505279919</t>
  </si>
  <si>
    <t>Mohtadi et al., 2016</t>
  </si>
  <si>
    <t>10.1097/JSM.0000000000000209</t>
  </si>
  <si>
    <t>Ahldén et al., 2009; BPTB; 25</t>
  </si>
  <si>
    <t>Moraiti et al., 2010</t>
  </si>
  <si>
    <t>10.1016/j.gaitpost.2010.04.008</t>
  </si>
  <si>
    <t>Noh et al., 2011</t>
  </si>
  <si>
    <t>10.1007/s00167-010-1388-6</t>
  </si>
  <si>
    <t>Papalia et al., 2015</t>
  </si>
  <si>
    <t>10.1007/s00264-014-2513-9</t>
  </si>
  <si>
    <t>Pinczewski et al., 2007</t>
  </si>
  <si>
    <t>10.1177/0363546506296042</t>
  </si>
  <si>
    <t>Ahldén et al., 2009; HT; 22</t>
  </si>
  <si>
    <t>Popovic et al., 2024</t>
  </si>
  <si>
    <t>10.1177/03635465241271524</t>
  </si>
  <si>
    <t>Sajovic et al., 2018</t>
  </si>
  <si>
    <t>10.1177/0363546518768768</t>
  </si>
  <si>
    <t>Sinding et al., 2020</t>
  </si>
  <si>
    <t>10.1007/s40279-020-01276-x</t>
  </si>
  <si>
    <t>Smith et al., 2020</t>
  </si>
  <si>
    <t>10.1016/j.arthro.2020.01.048</t>
  </si>
  <si>
    <t>Sonnery-cottet et al., 2026</t>
  </si>
  <si>
    <t>10.1016/j.lanepe.2025.101561</t>
  </si>
  <si>
    <t>Anderson et al., 2001; BPTB; 35</t>
  </si>
  <si>
    <t>Tang et al., 2023</t>
  </si>
  <si>
    <t>10.1007/s00590-023-03636-5</t>
  </si>
  <si>
    <t>Taylor et al., 2009</t>
  </si>
  <si>
    <t>10.1177/0363546509339577</t>
  </si>
  <si>
    <t>Vilchez-cavazos et al., 2020</t>
  </si>
  <si>
    <t>10.24875/CIRU.19001001</t>
  </si>
  <si>
    <t>Webster et al., 2001</t>
  </si>
  <si>
    <t>10.1007/s001670100191</t>
  </si>
  <si>
    <t>Wipfler et al., 2011</t>
  </si>
  <si>
    <t>10.1016/j.arthro.2011.01.015</t>
  </si>
  <si>
    <t>Yadav et al., 2025</t>
  </si>
  <si>
    <t>10.1007/s00590-025-04510-2</t>
  </si>
  <si>
    <t>Anderson et al., 2001; HT; 33</t>
  </si>
  <si>
    <t>Yoo et al., 2017</t>
  </si>
  <si>
    <t>10.1007/s00167-015-3955-3</t>
  </si>
  <si>
    <t>Zaffagnini et al., 2011</t>
  </si>
  <si>
    <t>10.1007/s00167-010-1225-y</t>
  </si>
  <si>
    <t>Anz et al., 2023; BPTB; 16</t>
  </si>
  <si>
    <t>Anz et al., 2023; HT; 16</t>
  </si>
  <si>
    <t>Aune et al., 2001; BPTB; 32</t>
  </si>
  <si>
    <t>Aune et al., 2001; HT; 29</t>
  </si>
  <si>
    <t>Barenius et al., 2010; BPTB; 78</t>
  </si>
  <si>
    <t>Barenius et al., 2010; HT; 75</t>
  </si>
  <si>
    <t>Barié et al., 2020; BPTB; 43</t>
  </si>
  <si>
    <t>Barié et al., 2020; QT; 43</t>
  </si>
  <si>
    <t xml:space="preserve"> QT</t>
  </si>
  <si>
    <t>Beynnon et al., 2002; BPTB; 22</t>
  </si>
  <si>
    <t>total</t>
  </si>
  <si>
    <t>Beynnon et al., 2002; HT; 22</t>
  </si>
  <si>
    <t>a</t>
  </si>
  <si>
    <t>m</t>
  </si>
  <si>
    <t>b</t>
  </si>
  <si>
    <t>notes</t>
  </si>
  <si>
    <t>male_%</t>
  </si>
  <si>
    <t>female_%</t>
  </si>
  <si>
    <t>Excluded</t>
  </si>
  <si>
    <t>follow-up_mean</t>
  </si>
  <si>
    <t>follow-up_sd</t>
  </si>
  <si>
    <t>follow-up_min</t>
  </si>
  <si>
    <t>follow-up_q1</t>
  </si>
  <si>
    <t>follow-up_median</t>
  </si>
  <si>
    <t>follow-up_q3</t>
  </si>
  <si>
    <t>follow-up_max</t>
  </si>
  <si>
    <t>Bi et al., 2018; HT; 62</t>
  </si>
  <si>
    <t>at surgery</t>
  </si>
  <si>
    <t>Bi et al., 2018; PLT; 62</t>
  </si>
  <si>
    <t xml:space="preserve"> PLT</t>
  </si>
  <si>
    <t>PLT</t>
  </si>
  <si>
    <t>Björnsson et al., 2016; BPTB; 61</t>
  </si>
  <si>
    <t>Björnsson et al., 2016; HT; 86</t>
  </si>
  <si>
    <t>Bottoni et al., 2015; HT; 44</t>
  </si>
  <si>
    <t>Bottoni et al., 2015; TA; 36</t>
  </si>
  <si>
    <t xml:space="preserve"> TA</t>
  </si>
  <si>
    <t>2-STG + LET</t>
  </si>
  <si>
    <t>Butt et al., 2024; HT; 30</t>
  </si>
  <si>
    <t>Butt et al., 2024; PLT; 30</t>
  </si>
  <si>
    <t>2-STG</t>
  </si>
  <si>
    <t>Calvert et al., 2025; HT; 92</t>
  </si>
  <si>
    <t>Calvert et al., 2025; QT; 89</t>
  </si>
  <si>
    <t>Ejerhed et al., 2003; BPTB; 32</t>
  </si>
  <si>
    <t>Ejerhed et al., 2003; HT; 34</t>
  </si>
  <si>
    <t>QT</t>
  </si>
  <si>
    <t>Eriksson et al., 2001; BPTB; 42</t>
  </si>
  <si>
    <t>at follow-up</t>
  </si>
  <si>
    <t>Mean (SD) age at last follow-up.</t>
  </si>
  <si>
    <t>Eriksson et al., 2001; HT; 47</t>
  </si>
  <si>
    <t>TA</t>
  </si>
  <si>
    <t>Feller &amp; Webster, 2003; BPTB; 27</t>
  </si>
  <si>
    <t>Feller &amp; Webster, 2003; HT; 21</t>
  </si>
  <si>
    <t>Age at follow-up is 44.7 (9.1).</t>
  </si>
  <si>
    <t>Gifstad et al., 2013; BPTB; 41</t>
  </si>
  <si>
    <t>Age at follow-up is 42.3 (7.8).</t>
  </si>
  <si>
    <t>Gifstad et al., 2013; HT; 36</t>
  </si>
  <si>
    <t>Guglielmetti et al., 2021; BPTB; 31</t>
  </si>
  <si>
    <t>Guglielmetti et al., 2021; HT; 31</t>
  </si>
  <si>
    <t>Harilainen et al., 2006; BPTB; 37</t>
  </si>
  <si>
    <t>Mean and SD for age were reported for both subgroups combined.</t>
  </si>
  <si>
    <t>Harilainen et al., 2006; HT; 37</t>
  </si>
  <si>
    <t>Heijne &amp; Werner, 2010; BPTB; 30</t>
  </si>
  <si>
    <t>Heijne &amp; Werner, 2010; HT; 29</t>
  </si>
  <si>
    <t>Holm et al., 2010; BPTB; 28</t>
  </si>
  <si>
    <t>ikdc_subjective</t>
  </si>
  <si>
    <t>Holm et al., 2010; HT; 29</t>
  </si>
  <si>
    <t>continuous</t>
  </si>
  <si>
    <t>Horstmann et al., 2022; HT; 26</t>
  </si>
  <si>
    <t>Horstmann et al., 2022; QT; 23</t>
  </si>
  <si>
    <t>Ibrahim et al., 2005; BPTB; 40</t>
  </si>
  <si>
    <t>Mean and SD for age was not reported.</t>
  </si>
  <si>
    <t>Ibrahim et al., 2005; HT; 46</t>
  </si>
  <si>
    <t>Ibrahim et al., 2005; HT; 45</t>
  </si>
  <si>
    <t>Iliopoulos et al., 2017; BPTB; 45</t>
  </si>
  <si>
    <t>Iliopoulos et al., 2017; HT; 45</t>
  </si>
  <si>
    <t>Jansson et al., 2003; BPTB; 43</t>
  </si>
  <si>
    <t>Jansson et al., 2003; HT; 46</t>
  </si>
  <si>
    <t>The mean and SD for the ST and STG subgroups were estimated using the sample size and range, and combined.</t>
  </si>
  <si>
    <t>Kautzner et al., 2015; BPTB; 74</t>
  </si>
  <si>
    <t>Kautzner et al., 2015; HT; 73</t>
  </si>
  <si>
    <t>Komzak et al., 2022; BPTB; 36</t>
  </si>
  <si>
    <t>Komzak et al., 2022; QT; 36</t>
  </si>
  <si>
    <t>ST</t>
  </si>
  <si>
    <t>2-ST</t>
  </si>
  <si>
    <t>The single-bundle (semitendinosus, ST) and double-bundle (double-stranded semitendinosus, 2-ST) subgroups were combined.</t>
  </si>
  <si>
    <t>Konrads et al., 2016; BPTB; 24</t>
  </si>
  <si>
    <t>Konrads et al., 2016; HT; 23</t>
  </si>
  <si>
    <t>4-STG</t>
  </si>
  <si>
    <t>Laoruengthana et al., 2009; BPTB; 15</t>
  </si>
  <si>
    <t>Laoruengthana et al., 2009; HT; 13</t>
  </si>
  <si>
    <t>AT</t>
  </si>
  <si>
    <t>Lawhorn et al., 2012; HT; 48</t>
  </si>
  <si>
    <t>Lawhorn et al., 2012; TA; 44</t>
  </si>
  <si>
    <t>Laxdal et al., 2005; BPTB; 40</t>
  </si>
  <si>
    <t>Laxdal et al., 2005; HT; 78</t>
  </si>
  <si>
    <t>Li et al., 2015; HT; 32</t>
  </si>
  <si>
    <t>Mean age record at last follow-up.</t>
  </si>
  <si>
    <t>Li et al., 2015; TA; 32</t>
  </si>
  <si>
    <t>Lidén et al., 2007; BPTB; 30</t>
  </si>
  <si>
    <t>Sonnery-Cottet et al., 2026</t>
  </si>
  <si>
    <t>Lidén et al., 2007; HT; 32</t>
  </si>
  <si>
    <t>Lind et al., 2020; HT; 49</t>
  </si>
  <si>
    <t>Lind et al., 2020; QT; 47</t>
  </si>
  <si>
    <t>Lucidi et al., 2025; BPTB; 19</t>
  </si>
  <si>
    <t>Vilchez-Cavazos et al., 2020</t>
  </si>
  <si>
    <t>Lucidi et al., 2025; HT; 20</t>
  </si>
  <si>
    <t>Lui et al., 2012; BPTB; 14</t>
  </si>
  <si>
    <t>Lui et al., 2012; HT; 17</t>
  </si>
  <si>
    <t>Lund et al., 2014; BPTB; 18</t>
  </si>
  <si>
    <t>Lund et al., 2014; QT; 21</t>
  </si>
  <si>
    <t>Malik et al., 2026; HT; 25</t>
  </si>
  <si>
    <t>Malik et al., 2026; PLT; 25</t>
  </si>
  <si>
    <t>Matsumoto et al., 2006; BPTB; 37</t>
  </si>
  <si>
    <t>Matsumoto et al., 2006; HT; 35</t>
  </si>
  <si>
    <t>Mohtadi et al., 2016; BPTB; 110</t>
  </si>
  <si>
    <t>Mohtadi et al., 2016; HT; 110</t>
  </si>
  <si>
    <t>Moraiti et al., 2010; BPTB; 6</t>
  </si>
  <si>
    <t>Moraiti et al., 2010; HT; 6</t>
  </si>
  <si>
    <t>Noh et al., 2011; HT; 33</t>
  </si>
  <si>
    <t>Noh et al., 2011; AT; 32</t>
  </si>
  <si>
    <t xml:space="preserve"> AT</t>
  </si>
  <si>
    <t>Papalia et al., 2015; BPTB; 20</t>
  </si>
  <si>
    <t>Papalia et al., 2015; HT; 20</t>
  </si>
  <si>
    <t>Pinczewski et al., 2007; BPTB; 53</t>
  </si>
  <si>
    <t>Pinczewski et al., 2007; BPTB; 54</t>
  </si>
  <si>
    <t>Pinczewski et al., 2007; BPTB; 90</t>
  </si>
  <si>
    <t>Pinczewski et al., 2007; HT; 58</t>
  </si>
  <si>
    <t>Pinczewski et al., 2007; HT; 90</t>
  </si>
  <si>
    <t>Popovic et al., 2024; BPTB; 38</t>
  </si>
  <si>
    <t>Popovic et al., 2024; HT; 33</t>
  </si>
  <si>
    <t>Sajovic et al., 2018; BPTB; 24</t>
  </si>
  <si>
    <t>Sajovic et al., 2018; HT; 24</t>
  </si>
  <si>
    <t>Sinding et al., 2020; HT; 43</t>
  </si>
  <si>
    <t>Sinding et al., 2020; QT; 42</t>
  </si>
  <si>
    <t>Smith et al., 2020; BPTB; 32</t>
  </si>
  <si>
    <t>Smith et al., 2020; HT; 32</t>
  </si>
  <si>
    <t>Sonnery-cottet et al., 2026; BPTB; 296</t>
  </si>
  <si>
    <t>Sonnery-cottet et al., 2026; BPTB; 273</t>
  </si>
  <si>
    <t>Sonnery-cottet et al., 2026; HT; 297</t>
  </si>
  <si>
    <t>Sonnery-cottet et al., 2026; HT; 283</t>
  </si>
  <si>
    <t>Tang et al., 2023; HT; 16</t>
  </si>
  <si>
    <t>Tang et al., 2023; QT; 17</t>
  </si>
  <si>
    <t>Taylor et al., 2009; BPTB; 20</t>
  </si>
  <si>
    <t>Taylor et al., 2009; BPTB; 21</t>
  </si>
  <si>
    <t>Taylor et al., 2009; BPTB; 32</t>
  </si>
  <si>
    <t>Taylor et al., 2009; HT; 24</t>
  </si>
  <si>
    <t>Taylor et al., 2009; HT; 23</t>
  </si>
  <si>
    <t>Taylor et al., 2009; HT; 32</t>
  </si>
  <si>
    <t>Vilchez-cavazos et al., 2020; BPTB; 14</t>
  </si>
  <si>
    <t>Vilchez-cavazos et al., 2020; QT; 14</t>
  </si>
  <si>
    <t>Webster et al., 2001; BPTB; 23</t>
  </si>
  <si>
    <t>Webster et al., 2001; HT; 31</t>
  </si>
  <si>
    <t>Wipfler et al., 2011; BPTB; 29</t>
  </si>
  <si>
    <t>Wipfler et al., 2011; HT; 25</t>
  </si>
  <si>
    <t>Yadav et al., 2025; HT; 36</t>
  </si>
  <si>
    <t>Yadav et al., 2025; QT; 33</t>
  </si>
  <si>
    <t>Yoo et al., 2017; HT; 68</t>
  </si>
  <si>
    <t>Yoo et al., 2017; TA; 64</t>
  </si>
  <si>
    <t>Zaffagnini et al., 2011; BPTB; 40</t>
  </si>
  <si>
    <t>Zaffagnini et al., 2011; HT; 39</t>
  </si>
  <si>
    <t>ikdc_objective</t>
  </si>
  <si>
    <t>instrumented_laxity</t>
  </si>
  <si>
    <t>outcomes</t>
  </si>
  <si>
    <t>tegner</t>
  </si>
  <si>
    <t>C</t>
  </si>
  <si>
    <t>BPTB, HT</t>
  </si>
  <si>
    <t>lachman, pivot_shift, instrumented_laxity</t>
  </si>
  <si>
    <t>tegner, lysholm, lachman, instrumented_laxity</t>
  </si>
  <si>
    <t>ikdc_subjective, instrumented_laxity, pivot_shift</t>
  </si>
  <si>
    <t>graft_failure</t>
  </si>
  <si>
    <t>ikdc_subjective, lysholm, lachman, pivot_shift, instrumented_laxity</t>
  </si>
  <si>
    <t>ikdc_subjective, lysholm, tegner, instrumented_laxity, graft_failure</t>
  </si>
  <si>
    <t>BPTB, QT</t>
  </si>
  <si>
    <t>ikdc_subjective, tegner, instrumented_laxity, pivot_shift, lachman</t>
  </si>
  <si>
    <t>ikdc_subjective, instrumented_laxity, pivot_shift, graft_failure</t>
  </si>
  <si>
    <t>HT, PLT</t>
  </si>
  <si>
    <t>instrumented_laxity, ikdc_subjective, tegner, lysholm</t>
  </si>
  <si>
    <t>ikdc_subjective, tegner</t>
  </si>
  <si>
    <t>HT, TA</t>
  </si>
  <si>
    <t>lysholm, ikdc_subjective, lachman, pivot_shift</t>
  </si>
  <si>
    <t>ikdc_subjective, instrumented_laxity</t>
  </si>
  <si>
    <t>HT, QT</t>
  </si>
  <si>
    <t>tegner, lysholm, instrumented_laxity, lachman</t>
  </si>
  <si>
    <t>instrumented_laxity, pivot_shift</t>
  </si>
  <si>
    <t>ikdc_subjective, instrumented_laxity, pivot_shift, lachman</t>
  </si>
  <si>
    <t>ikdc_subjective, lysholm, pivot_shift, lachman</t>
  </si>
  <si>
    <t>ikdc_subjective, tegner, lysholm, instrumented_laxity, pivot_shift</t>
  </si>
  <si>
    <t>tegner, instrumented_laxity, pivot_shift</t>
  </si>
  <si>
    <t>instrumented_laxity, tegner</t>
  </si>
  <si>
    <t>ikdc_subjective, lysholm, instrumented_laxity</t>
  </si>
  <si>
    <t>lachman, lysholm, instrumented_laxity, pivot_shift</t>
  </si>
  <si>
    <t>lachman, pivot_shift, instrumented_laxity, lysholm, tegner</t>
  </si>
  <si>
    <t>lysholm, instrumented_laxity</t>
  </si>
  <si>
    <t>ikdc_subjective, lysholm</t>
  </si>
  <si>
    <t>instrumented_laxity, pivot_shift, lachman, ikdc_subjective, tegner, lysholm</t>
  </si>
  <si>
    <t>instrumented_laxity, pivot_shift, ikdc_subjective, lysholm</t>
  </si>
  <si>
    <t>ikdc_subjective, tegner, lysholm, instrumented_laxity</t>
  </si>
  <si>
    <t>ikdc_subjective, tegner, lysholm, instrumented_laxity, lachman</t>
  </si>
  <si>
    <t>ikdc_subjective, tegner, instrumented_laxity, pivot_shift</t>
  </si>
  <si>
    <t>ikdc_subjective, tegner, lysholm, instrumented_laxity, pivot_shift, graft_failure</t>
  </si>
  <si>
    <t>ikdc_subjective, lysholm, instrumented_laxity, lachman</t>
  </si>
  <si>
    <t>instrumented_laxity, ikdc_subjective</t>
  </si>
  <si>
    <t>instrumented_laxity, pivot_shift, lachman, ikdc_subjective, lysholm, tegner</t>
  </si>
  <si>
    <t>instrumented_laxity, lachman, graft_failure</t>
  </si>
  <si>
    <t>ikdc_subjective, tegner, lysholm, instrumented_laxity, lachman, graft_failure</t>
  </si>
  <si>
    <t>lachman, ikdc_subjective, tegner, lysholm, instrumented_laxity, pivot_shift, graft_failure</t>
  </si>
  <si>
    <t>HT, AT</t>
  </si>
  <si>
    <t>`</t>
  </si>
  <si>
    <t>lysholm, tegner, instrumented_laxity, pivot_shift, lachman</t>
  </si>
  <si>
    <t>ikdc_subjective, lysholm, instrumented_laxity, pivot_shift, lachman</t>
  </si>
  <si>
    <t>ikdc_subjective, instrumented_laxity, graft_failure</t>
  </si>
  <si>
    <t>ikdc_subjective, tegner, lysholm, instrumented_laxity, pivot_shift, lachman, graft_failure</t>
  </si>
  <si>
    <t>lysholm, instrumented_laxity, pivot_shift, lachman</t>
  </si>
  <si>
    <t>tegner, lysholm, instrumented_laxity, pivot_shift, lachman</t>
  </si>
  <si>
    <t>lachman</t>
  </si>
  <si>
    <t>lysholm</t>
  </si>
  <si>
    <t>cov1</t>
  </si>
  <si>
    <t>cov2</t>
  </si>
  <si>
    <t>cov3</t>
  </si>
  <si>
    <t>cov4</t>
  </si>
  <si>
    <t>cov5</t>
  </si>
  <si>
    <t>cov6</t>
  </si>
  <si>
    <t>long-term</t>
  </si>
  <si>
    <t>intermediate</t>
  </si>
  <si>
    <t>short-term</t>
  </si>
  <si>
    <t>sample size</t>
  </si>
  <si>
    <t>group 1</t>
  </si>
  <si>
    <t>group 2</t>
  </si>
  <si>
    <t>combined</t>
  </si>
  <si>
    <t>pivot_shift</t>
  </si>
  <si>
    <t>BPTB, BPTB, BPTB, HT, HT, HT</t>
  </si>
  <si>
    <t>Akelman et al., 2016</t>
  </si>
  <si>
    <t>BPTB, BPTB, BPTB, BPTB, HT, HT, HT, HT</t>
  </si>
  <si>
    <t>Breker et al., 2025</t>
  </si>
  <si>
    <t>Cruz et al., 2022</t>
  </si>
  <si>
    <t>Gerber et al., 2007</t>
  </si>
  <si>
    <t>Gobbi &amp; Francisco, 2006</t>
  </si>
  <si>
    <t>BPTB, BPTB, BPTB, BPTB, BPTB, HT, HT, HT, HT, HT</t>
  </si>
  <si>
    <t>BPTB, BPTB, BPTB, BPTB, QT, QT, QT, QT</t>
  </si>
  <si>
    <t>Leitgeb et al., 2014</t>
  </si>
  <si>
    <t>HT, HT, HT, HT, PLT, PLT, PLT, PLT</t>
  </si>
  <si>
    <t>Maletis et al., 2007</t>
  </si>
  <si>
    <t>BPTB, BPTB, BPTB, BPTB, BPTB, BPTB, HT, HT, HT, HT, HT, HT</t>
  </si>
  <si>
    <t>Mohtadi &amp; Chan, 2019</t>
  </si>
  <si>
    <t>HT, HT, TA, TA</t>
  </si>
  <si>
    <t>Oneill et al., 1996</t>
  </si>
  <si>
    <t>HT, HT, QT, QT</t>
  </si>
  <si>
    <t>BPTB, BPTB, HT, HT</t>
  </si>
  <si>
    <t>HT, HT, HT, HT, QT, QT, QT, QT</t>
  </si>
  <si>
    <t>BPTB, BPTB, QT, QT</t>
  </si>
  <si>
    <t>HT, HT, HT, TA, TA, TA</t>
  </si>
  <si>
    <t>HT, HT, HT, HT, HT, HT, TA, TA, TA, TA, TA, TA</t>
  </si>
  <si>
    <t>BPTB, BPTB, BPTB, QT, QT, QT</t>
  </si>
  <si>
    <t>HT, HT, HT, HT, HT, HT, PLT, PLT, PLT, PLT, PLT, PLT</t>
  </si>
  <si>
    <t>HT, HT, HT, HT, HT, HT, HT, AT, AT, AT, AT, AT, AT, AT</t>
  </si>
  <si>
    <t>HT, HT, HT, QT, QT, QT</t>
  </si>
  <si>
    <t>BPTB, BPTB, BPTB, BPTB, BPTB, BPTB, BPTB, HT, HT, HT, HT, HT, HT, HT</t>
  </si>
  <si>
    <t>HT, HT, HT, HT, HT, TA, TA, TA, TA, TA</t>
  </si>
  <si>
    <t>2; Aglietti et al., 2004</t>
  </si>
  <si>
    <t>3; Ahldén et al., 2009</t>
  </si>
  <si>
    <t>5; Anderson et al., 2001</t>
  </si>
  <si>
    <t>6; Anz et al., 2023</t>
  </si>
  <si>
    <t>7; Aune et al., 2001</t>
  </si>
  <si>
    <t>9; Barenius et al., 2010</t>
  </si>
  <si>
    <t>10; Barié et al., 2020</t>
  </si>
  <si>
    <t>11; Beynnon et al., 2002</t>
  </si>
  <si>
    <t>12; Bi et al., 2018</t>
  </si>
  <si>
    <t>13; Björnsson et al., 2016</t>
  </si>
  <si>
    <t>14; Bottoni et al., 2015</t>
  </si>
  <si>
    <t>18; Butt et al., 2024</t>
  </si>
  <si>
    <t>19; Calvert et al., 2025</t>
  </si>
  <si>
    <t>23; Ejerhed et al., 2003</t>
  </si>
  <si>
    <t>25; Eriksson et al., 2001</t>
  </si>
  <si>
    <t>26; Feller &amp; Webster, 2003</t>
  </si>
  <si>
    <t>30; Gifstad et al., 2013</t>
  </si>
  <si>
    <t>32; Guglielmetti et al., 2021</t>
  </si>
  <si>
    <t>33; Harilainen et al., 2006</t>
  </si>
  <si>
    <t>34; Heijne &amp; Werner, 2010</t>
  </si>
  <si>
    <t>35; Holm et al., 2010</t>
  </si>
  <si>
    <t>36; Horstmann et al., 2022</t>
  </si>
  <si>
    <t>37; Ibrahim et al., 2005</t>
  </si>
  <si>
    <t>38; Iliopoulos et al., 2017</t>
  </si>
  <si>
    <t>41; Jansson et al., 2003</t>
  </si>
  <si>
    <t>43; Kautzner et al., 2015</t>
  </si>
  <si>
    <t>44; Komzak et al., 2022</t>
  </si>
  <si>
    <t>45; Konrads et al., 2016</t>
  </si>
  <si>
    <t>46; Laoruengthana et al., 2009</t>
  </si>
  <si>
    <t>47; Lawhorn et al., 2012</t>
  </si>
  <si>
    <t>49; Laxdal et al., 2005</t>
  </si>
  <si>
    <t>51; Li et al., 2015</t>
  </si>
  <si>
    <t>52; Lidén et al., 2007</t>
  </si>
  <si>
    <t>53; Lind et al., 2020</t>
  </si>
  <si>
    <t>54; Lucidi et al., 2025</t>
  </si>
  <si>
    <t>55; Lui et al., 2012</t>
  </si>
  <si>
    <t>56; Lund et al., 2014</t>
  </si>
  <si>
    <t>58; Malik et al., 2026</t>
  </si>
  <si>
    <t>62; Matsumoto et al., 2006</t>
  </si>
  <si>
    <t>66; Mohtadi et al., 2016</t>
  </si>
  <si>
    <t>68; Moraiti et al., 2010</t>
  </si>
  <si>
    <t>70; Noh et al., 2011</t>
  </si>
  <si>
    <t>73; Papalia et al., 2015</t>
  </si>
  <si>
    <t>76; Pinczewski et al., 2007</t>
  </si>
  <si>
    <t>77; Popovic et al., 2024</t>
  </si>
  <si>
    <t>82; Sajovic et al., 2018</t>
  </si>
  <si>
    <t>84; Sinding et al., 2020</t>
  </si>
  <si>
    <t>85; Smith et al., 2020</t>
  </si>
  <si>
    <t>87; Sonnery-cottet et al., 2026</t>
  </si>
  <si>
    <t>89; Tang et al., 2023</t>
  </si>
  <si>
    <t>90; Taylor et al., 2009</t>
  </si>
  <si>
    <t>93; Vilchez-cavazos et al., 2020</t>
  </si>
  <si>
    <t>95; Webster et al., 2001</t>
  </si>
  <si>
    <t>96; Wipfler et al., 2011</t>
  </si>
  <si>
    <t>97; Yadav et al., 2025</t>
  </si>
  <si>
    <t>98; Yoo et al., 2017</t>
  </si>
  <si>
    <t>100; Zaffagnini et al., 2011</t>
  </si>
  <si>
    <t>ikdc</t>
  </si>
  <si>
    <t>1+</t>
  </si>
  <si>
    <t>2+</t>
  </si>
  <si>
    <t>3+</t>
  </si>
  <si>
    <t>50 (83%)</t>
  </si>
  <si>
    <t>10 (17%)</t>
  </si>
  <si>
    <t>0 (0%)</t>
  </si>
  <si>
    <t>49 (82%)</t>
  </si>
  <si>
    <t>11 (18%)</t>
  </si>
  <si>
    <t>17 (49%)</t>
  </si>
  <si>
    <t>3 (9%)</t>
  </si>
  <si>
    <t>8 (23%)</t>
  </si>
  <si>
    <t>7 (20%)</t>
  </si>
  <si>
    <t>34 (49%)</t>
  </si>
  <si>
    <t>9 (13%)</t>
  </si>
  <si>
    <t>16 (23%)</t>
  </si>
  <si>
    <t>11 (16%)</t>
  </si>
  <si>
    <t>19 (86%)</t>
  </si>
  <si>
    <t>3 (14%)</t>
  </si>
  <si>
    <t>13 (59%)</t>
  </si>
  <si>
    <t>6 (27%)</t>
  </si>
  <si>
    <t>58 (94%)</t>
  </si>
  <si>
    <t>3 (5%)</t>
  </si>
  <si>
    <t>1 (2%)</t>
  </si>
  <si>
    <t>57 (92%)</t>
  </si>
  <si>
    <t>5 (8%)</t>
  </si>
  <si>
    <t>34 (57%)</t>
  </si>
  <si>
    <t>14 (23%)</t>
  </si>
  <si>
    <t>12 (20%)</t>
  </si>
  <si>
    <t>58 (67%)</t>
  </si>
  <si>
    <t>15 (17%)</t>
  </si>
  <si>
    <t>12 (14%)</t>
  </si>
  <si>
    <t>1 (1%)</t>
  </si>
  <si>
    <t>36 (86%)</t>
  </si>
  <si>
    <t>6 (14%)</t>
  </si>
  <si>
    <t>28 (60%)</t>
  </si>
  <si>
    <t>19 (40%)</t>
  </si>
  <si>
    <t>40 (95%)</t>
  </si>
  <si>
    <t>2 (5%)</t>
  </si>
  <si>
    <t>38 (81%)</t>
  </si>
  <si>
    <t>9 (19%)</t>
  </si>
  <si>
    <t>24 (77%)</t>
  </si>
  <si>
    <t>5 (16%)</t>
  </si>
  <si>
    <t>2 (6%)</t>
  </si>
  <si>
    <t>20 (65%)</t>
  </si>
  <si>
    <t>8 (26%)</t>
  </si>
  <si>
    <t>1 (3%)</t>
  </si>
  <si>
    <t>33 (89%)</t>
  </si>
  <si>
    <t>4 (11%)</t>
  </si>
  <si>
    <t>3 (8%)</t>
  </si>
  <si>
    <t>17 (57%)</t>
  </si>
  <si>
    <t>10 (33%)</t>
  </si>
  <si>
    <t>3 (10%)</t>
  </si>
  <si>
    <t>8 (28%)</t>
  </si>
  <si>
    <t>13 (45%)</t>
  </si>
  <si>
    <t>7 (24%)</t>
  </si>
  <si>
    <t>26 (100%)</t>
  </si>
  <si>
    <t>23 (100%)</t>
  </si>
  <si>
    <t>35 (88%)</t>
  </si>
  <si>
    <t>5 (13%)</t>
  </si>
  <si>
    <t>37 (82%)</t>
  </si>
  <si>
    <t>8 (18%)</t>
  </si>
  <si>
    <t>40 (93%)</t>
  </si>
  <si>
    <t>3 (7%)</t>
  </si>
  <si>
    <t>43 (93%)</t>
  </si>
  <si>
    <t>13 (87%)</t>
  </si>
  <si>
    <t>2 (13%)</t>
  </si>
  <si>
    <t>11 (85%)</t>
  </si>
  <si>
    <t>2 (15%)</t>
  </si>
  <si>
    <t>48 (89%)</t>
  </si>
  <si>
    <t>5 (9%)</t>
  </si>
  <si>
    <t>44 (92%)</t>
  </si>
  <si>
    <t>4 (8%)</t>
  </si>
  <si>
    <t xml:space="preserve"> (0%)</t>
  </si>
  <si>
    <t>28 (88%)</t>
  </si>
  <si>
    <t>4 (13%)</t>
  </si>
  <si>
    <t>23 (72%)</t>
  </si>
  <si>
    <t>8 (25%)</t>
  </si>
  <si>
    <t>38 (78%)</t>
  </si>
  <si>
    <t>11 (22%)</t>
  </si>
  <si>
    <t>39 (83%)</t>
  </si>
  <si>
    <t>8 (17%)</t>
  </si>
  <si>
    <t>27 (82%)</t>
  </si>
  <si>
    <t>5 (15%)</t>
  </si>
  <si>
    <t>21 (66%)</t>
  </si>
  <si>
    <t>48 (91%)</t>
  </si>
  <si>
    <t>50 (86%)</t>
  </si>
  <si>
    <t>8 (14%)</t>
  </si>
  <si>
    <t>19 (79%)</t>
  </si>
  <si>
    <t>5 (21%)</t>
  </si>
  <si>
    <t>18 (75%)</t>
  </si>
  <si>
    <t>6 (25%)</t>
  </si>
  <si>
    <t>31 (86%)</t>
  </si>
  <si>
    <t>33 (100%)</t>
  </si>
  <si>
    <t>42 (62%)</t>
  </si>
  <si>
    <t>24 (35%)</t>
  </si>
  <si>
    <t>2 (3%)</t>
  </si>
  <si>
    <t>31 (48%)</t>
  </si>
  <si>
    <t>30 (47%)</t>
  </si>
  <si>
    <t>10 (45%)</t>
  </si>
  <si>
    <t>2 (9%)</t>
  </si>
  <si>
    <t>8 (36%)</t>
  </si>
  <si>
    <t>5 (23%)</t>
  </si>
  <si>
    <t>30 (49%)</t>
  </si>
  <si>
    <t>24 (39%)</t>
  </si>
  <si>
    <t>6 (10%)</t>
  </si>
  <si>
    <t>19 (22%)</t>
  </si>
  <si>
    <t>46 (53%)</t>
  </si>
  <si>
    <t>9 (10%)</t>
  </si>
  <si>
    <t>18 (56%)</t>
  </si>
  <si>
    <t>12 (38%)</t>
  </si>
  <si>
    <t>16 (48%)</t>
  </si>
  <si>
    <t>17 (52%)</t>
  </si>
  <si>
    <t>29 (64%)</t>
  </si>
  <si>
    <t>15 (33%)</t>
  </si>
  <si>
    <t>19 (59%)</t>
  </si>
  <si>
    <t>22 (71%)</t>
  </si>
  <si>
    <t>7 (23%)</t>
  </si>
  <si>
    <t>6 (19%)</t>
  </si>
  <si>
    <t>29 (78%)</t>
  </si>
  <si>
    <t>8 (22%)</t>
  </si>
  <si>
    <t>31 (84%)</t>
  </si>
  <si>
    <t>5 (14%)</t>
  </si>
  <si>
    <t>39 (85%)</t>
  </si>
  <si>
    <t>7 (15%)</t>
  </si>
  <si>
    <t>35 (81%)</t>
  </si>
  <si>
    <t>8 (19%)</t>
  </si>
  <si>
    <t>38 (83%)</t>
  </si>
  <si>
    <t>16 (67%)</t>
  </si>
  <si>
    <t>8 (33%)</t>
  </si>
  <si>
    <t>12 (52%)</t>
  </si>
  <si>
    <t>9 (39%)</t>
  </si>
  <si>
    <t>1 (4%)</t>
  </si>
  <si>
    <t>26 (81%)</t>
  </si>
  <si>
    <t>9 (28%)</t>
  </si>
  <si>
    <t>8 (27%)</t>
  </si>
  <si>
    <t>21 (70%)</t>
  </si>
  <si>
    <t>7 (22%)</t>
  </si>
  <si>
    <t>10 (71%)</t>
  </si>
  <si>
    <t>4 (29%)</t>
  </si>
  <si>
    <t>32 (84%)</t>
  </si>
  <si>
    <t>6 (16%)</t>
  </si>
  <si>
    <t>13.68 (76%)</t>
  </si>
  <si>
    <t>2.88 (16%)</t>
  </si>
  <si>
    <t>1.44 (8%)</t>
  </si>
  <si>
    <t>16.17 (77%)</t>
  </si>
  <si>
    <t>3.99 (19%)</t>
  </si>
  <si>
    <t>0.84 (4%)</t>
  </si>
  <si>
    <t>43 (81%)</t>
  </si>
  <si>
    <t>10 (19%)</t>
  </si>
  <si>
    <t>46 (79%)</t>
  </si>
  <si>
    <t>11 (19%)</t>
  </si>
  <si>
    <t>15 (42%)</t>
  </si>
  <si>
    <t>12 (33%)</t>
  </si>
  <si>
    <t>24 (73%)</t>
  </si>
  <si>
    <t>6 (18%)</t>
  </si>
  <si>
    <t>33 (49%)</t>
  </si>
  <si>
    <t>31 (46%)</t>
  </si>
  <si>
    <t>3 (4%)</t>
  </si>
  <si>
    <t>28 (44%)</t>
  </si>
  <si>
    <t>4 (6%)</t>
  </si>
  <si>
    <t>≥ 1+</t>
  </si>
  <si>
    <t>≥ 2+</t>
  </si>
  <si>
    <t>xi</t>
  </si>
  <si>
    <t>p</t>
  </si>
  <si>
    <t>Title</t>
  </si>
  <si>
    <t>Authors</t>
  </si>
  <si>
    <t>Abstract</t>
  </si>
  <si>
    <t>Published Year</t>
  </si>
  <si>
    <t>Published Month</t>
  </si>
  <si>
    <t>Journal</t>
  </si>
  <si>
    <t>DOI</t>
  </si>
  <si>
    <t>Ref</t>
  </si>
  <si>
    <t>Covidence #</t>
  </si>
  <si>
    <t>Study</t>
  </si>
  <si>
    <t>Label</t>
  </si>
  <si>
    <t>The effect of tourniquet type and thigh conicity on the length of hamstring autograft.</t>
  </si>
  <si>
    <t>Ã‡atma MF; Ã–ztÃ¼rk A</t>
  </si>
  <si>
    <t>PURPOSE: We studied the effect of using wide contoured pneumatic tourniquet (PT) versus ultra-narrow sterile exsanguination tourniquet (SET) on the length of hamstring autograft for anterior cruciate ligament (ACL) reconstruction in patients with tubular and conical thighs. METHODS: Fifty-eight patients undergoing ACL reconstruction between 2012 and 2013 were assigned to either SET or PT groups. We measured the tendon graft length and width as well as the patients' height, weight, and thigh circumference of 10 cm proximal to the patella and the distance from the anterior-superior iliac spine to the medial malleolus (ASIS-MM). We defined the ratio between the ASIS-MM and the thigh circumference as the conicity index (CI). All grafts were measured after folding into half, and the found value was recorded as functional graft length (FGL). Tendon graft dimensions were correlated with the individual anthropometric data and with CI in each of the groups. RESULTS: PT was used in 34 patients and SET on 24 patients. FGL was 12.7 Â± 0.84 mean + standard deviation for the SET group versus 11.5 Â± 1.61 for the PT group ( p = 0.0011) with a strong positive correlation between FGL and CI for the PT group ( R(2) = 0.625; p = 2.6 Ã— 10(-8)) but nonsignificant correlation for the SET ( R(2) = 0.222). Graft thickness was correlated with the patient age ( R(2) = 0.450) but not with CI or type of tourniquet used. We found the CI to be a better measure of thigh conicity than thigh circumference, length, height, weight, or body mass index individually. CONCLUSION: We conclude that using the SET which occupies less space on the thigh yielded significantly longer hamstring autologous ACL graft compared to the PT and the FGL became essentially independent from the CI when the SET was used.</t>
  </si>
  <si>
    <t>May-Aug</t>
  </si>
  <si>
    <t>J Orthop Surg (Hong Kong)</t>
  </si>
  <si>
    <t>10.1177/2309499018798184</t>
  </si>
  <si>
    <t>#237</t>
  </si>
  <si>
    <t>Ã‡atma 2018</t>
  </si>
  <si>
    <t>The effectiveness of Pilates for partial anterior cruciate ligament injury.</t>
  </si>
  <si>
    <t>Ã‡elik D; Turkel N</t>
  </si>
  <si>
    <t>PURPOSE: This study explored the effects of Pilates on the muscle strength, function, and instability of patients with partial anterior cruciate ligament (ACL) injuries in situations in which a non-surgical treatment option is preferred. METHODS: Fifty participants 20-45Â years of age who were diagnosed with isolated ACL injuries were included in the study. The participants were randomly assigned to either the Pilates exercise group (nÂ =Â 24) or the control group (nÂ =Â 26). The subjects in the Pilates exercise group performed basic mat exercises that focused on the muscle strength and flexibility of the lower limbs and core muscles during each class session, which met three times per week for 12Â weeks. The control group did not receive any treatment or home exercise programme. All patients were evaluated using the Lysholm Knee Scale, the Cincinnati Knee Rating System, and isokinetic quadriceps and hamstring strength. Patient satisfaction regarding improvement in knee stability was assessed using the Global Rating of Change scale. RESULTS: The Pilates group experienced significant improvement over the control group as measured by the difference in quadriceps strength at 12Â weeks (pÂ =Â 0.03). Both groups showed some clinical change over time, but the Pilates group improved for all outcome measurements at the 12-week follow-up, and the control group only improved for functional outcomes. Patient satisfaction with the level of knee stability based on the Global Rating of Change scale was higher in the Pilates group than in the control group. CONCLUSION: Although both groups exhibited improvements in knee strength and functional outcomes, the results suggest that Pilates is a superior management approach over a control treatment for increasing quadriceps strength in participants with partial ACL injury. Pilates may provide clinicians a novel option when choosing a treatment for a partial ACL injury. Further study is needed to determine whether certain subgroups of individuals might achieve an added benefit with this approach. LEVEL OF EVIDENCE: II.</t>
  </si>
  <si>
    <t>Aug</t>
  </si>
  <si>
    <t>Knee Surg Sports Traumatol Arthrosc</t>
  </si>
  <si>
    <t>10.1007/s00167-015-3718-1</t>
  </si>
  <si>
    <t>#325</t>
  </si>
  <si>
    <t>Ã‡elik 2017</t>
  </si>
  <si>
    <t>Adductor Canal Block Provides Noninferior Analgesia and Superior Quadriceps Strength Compared with Femoral Nerve Block in Anterior Cruciate Ligament Reconstruction.</t>
  </si>
  <si>
    <t>Abdallah FW; Whelan DB; Chan VW; Prasad GA; Endersby RV; Theodoropolous J; Oldfield S; Oh J; Brull R</t>
  </si>
  <si>
    <t>BACKGROUND: By targeting the distal branches of the femoral nerve in the mid-thigh, the adductor canal block (ACB) can preserve quadriceps muscle strength while providing analgesia similar to a conventional femoral nerve block (FNB) for inpatients undergoing major knee surgery. In this randomized, double-blind, noninferiority trial, the authors hypothesized that ACB provides postoperative analgesia that is at least as good as FNB while preserving quadriceps strength after outpatient anterior cruciate ligament reconstruction. METHODS: A total of 100 patients were randomized to receive ACB or FNB with 20 ml ropivacaine 0.5% (with epinephrine). The authors sequentially tested the joint hypothesis that ACB is noninferior to FNB for cumulative oral morphine equivalent consumption and area under the curve for pain scores during the first 24 h postoperatively and also superior to FNB for postblock quadriceps maximal voluntary isometric contraction. RESULTS: The authors analyzed 52 and 48 patients who received ACB and FNB, respectively. Compared with preset noninferiority margins, the ACB-FNB difference (95% CI) in morphine consumption and area under the curve for pain scores were -4.8 mg (-12.3 to 2.7) (P = 0.03) and -71 mm h (-148 to 6) (P &lt; 0.00001), respectively, indicating noninferiority of ACB for both outcomes. The maximal voluntary isometric contraction for ACB and FNB at 45 min were 26.6 pound-force (24.7-28.6) and 10.6 pound-force (8.3-13.0) (P &lt; 0.00001), respectively, indicating superiority of ACB. CONCLUSION: Compared with FNB, the study findings suggest that ACB preserves quadriceps strength and provides noninferior postoperative analgesia for outpatients undergoing anterior cruciate ligament reconstruction.</t>
  </si>
  <si>
    <t>May</t>
  </si>
  <si>
    <t>Anesthesiology</t>
  </si>
  <si>
    <t>10.1097/ALN.0000000000001045</t>
  </si>
  <si>
    <t>#311</t>
  </si>
  <si>
    <t>Abdallah 2016</t>
  </si>
  <si>
    <t>Opioid- and Motor-sparing with Proximal, Mid-, and Distal Locations for Adductor Canal Block in Anterior Cruciate Ligament Reconstruction: A Randomized Clinical Trial.</t>
  </si>
  <si>
    <t>Abdallah FW; Mejia J; Prasad GA; Moga R; Chahal J; Theodoropulos J; Dwyer T; Brull R</t>
  </si>
  <si>
    <t>BACKGROUND: The ideal location for single-injection adductor canal block that maximizes analgesia while minimizing quadriceps weakness after painful knee surgery is unclear. This triple-blind trial compares ultrasound-guided adductor canal block injection locations with the femoral artery positioned medial (proximal adductor canal), inferior (mid-adductor canal), and lateral (distal adductor canal) to the sartorius muscle to determine the location that optimizes postoperative analgesia and motor function. The hypothesis was that distal adductor block has (1) a superior opioid-sparing effect and (2) preserved quadriceps strength, compared with proximal and mid-locations for anterior cruciate ligament reconstruction. METHODS: For the study, 108 patients were randomized to proximal, mid-, or distal adductor canal injection locations for adductor canal block. Cumulative 24-h oral morphine equivalent consumption and percentage quadriceps strength decrease (maximum voluntary isometric contraction) at 30 min postinjection were coprimary outcomes. The time to first analgesic request, pain scores, postoperative nausea/vomiting at least once within the first 24 h, and block-related complications at 2 weeks were also evaluated. RESULTS: All patients completed the study. Contrary to the hypothesis, proximal adductor canal block decreased 24-h morphine consumption to a mean Â± SD of 34.3 Â± 19.1 mg, (P &lt; 0.0001) compared to 64.0 Â± 33.6 and 65.7 Â± 22.9 mg for the mid- and distal locations, respectively, with differences [95% CI] of 29.7 mg [17.2, 42.2] and 31.4 mg [21.5, 41.3], respectively, mostly in the postanesthesia care unit. Quadriceps strength was similar, with 16.7%:13.4%:15.3% decreases for proximal:mid:distal adductor canal blocks. The nausea/vomiting risk was also lower with proximal adductor canal block (10 of 34, 29.4%) compared to distal location (23 of 36, 63.9%; P = 0.005). The time to first analgesic request was longer, and postoperative pain was improved up to 6 h for proximal adductor canal block, compared to mid- and distal locations. CONCLUSIONS: A proximal adductor canal injection location decreases opioid consumption and opioid-related side effects without compromising quadriceps strength compared to mid- and distal locations for adductor canal block in patients undergoing anterior cruciate ligament reconstruction.</t>
  </si>
  <si>
    <t>Sep</t>
  </si>
  <si>
    <t>10.1097/ALN.0000000000002817</t>
  </si>
  <si>
    <t>#219</t>
  </si>
  <si>
    <t>Abdallah 2019</t>
  </si>
  <si>
    <t>Effects of exercise prehabilitation before anterior cruciate ligament reconstruction on functional outcomes during pre- and postoperative rehabilitation - protocol for a single-blinded randomised controlled trial.</t>
  </si>
  <si>
    <t>Abel R; Niederer D; Offerhaus C; Shafizadeh S; Glowa A; FrobÃ¶se I; Wilke C</t>
  </si>
  <si>
    <t>BACKGROUND: Although a benefit of preoperative training prior to anterior cruciate ligament (ACL) reconstruction is likely, there is no consensus on the optimal content (criteria-based programme), supervision (one-on-one guidance or self-administered training) and general setting of preoperative training after ACL injuries. The purpose of this trial is to investigate the efficacy of an individually adaptive, guided, structured and criteria-based preoperative rehabilitation programme in comparison to a non-guided and self-administered home training programme. METHODS: The planned single-blinded randomised controlled trial study was approved by the ethics committee of the German Sport University on June 14, 2022 (ethics application no. 093/2022) and prospectively registered (DRKS-ID: DRKS00030312; date of registration: 26.09.2022). Nâ€‰=â€‰114 participants between 16 and 60Â years of age with a unilateral ACL rupture and scheduled ACL reconstruction with a hamstring or quadriceps tendonÂ autograft will be randomly (block-randomisation, 1:1 allocation) and blinded assigned to one of two groups: intervention group (structured, criteria-based, guided prehabilitation training) and comparator group (non-guided, self-administered home training). After surgical reconstruction, patients of both groups participate in the same standard, functional measurement-guided, postoperative rehabilitation programme. Stepwise increasing the functional requirements of the assessments, all participants participate in testing at the day of anamnesis (t1), 1-7Â days before surgical reconstruction (t2), day of surgical reconstruction (t3) and 30 (t4), 60 (t5), 90 (t6) and 180 (t7) days post-reconstruction. The primary outcome is the overall self-reported knee condition, assessed by the sum score of all sub-scales of the Knee injury and Osteoarthritis Outcome Score (KOOS). Secondary outcomes include functional outcomes (range of motion, knee flexors and extensors and plantar flexors strength/torque, functional postural control, jumping ability), workability and return to sport (RTS) (psychological readiness, RTS success). DISCUSSION: The planned study targets to fill a gap in the evidence regarding effective designs of prehabilitation training before surgical ACL reconstruction. Potential difficulties that could affect the conduct of the study are lack of treatment adherence of the patients and high dropout. TRIAL REGISTRATION: German Register of Clinical Trials DRKS-ID: DRKS00030312 . Registered on 26 September 2022.</t>
  </si>
  <si>
    <t>Nov</t>
  </si>
  <si>
    <t>Trials</t>
  </si>
  <si>
    <t>10.1186/s13063-023-07776-1</t>
  </si>
  <si>
    <t>#90</t>
  </si>
  <si>
    <t>Abel 2023</t>
  </si>
  <si>
    <t>Effectiveness of exercise prehabilitation before anterior cruciate ligament reconstruction on functional outcomes - a single-blinded randomized controlled trial.</t>
  </si>
  <si>
    <t>Abel R; Niederer D; Glowa A; Hansen N; Wilke C; Offerhaus C</t>
  </si>
  <si>
    <t>Objective:Â To compare the effectiveness of an individually tailored, adaptive, guided, structured and criteria-based preoperative rehabilitation program (IG) to a structured, non-guided, self-administered home training program (CG) in individuals after an anterior cruciate ligament (ACL) rupture.Â Methods: We enrolled participants 16 to 60 years with a unilateral ACL rupture, scheduled for reconstruction using a hamstring or quadriceps tendon autograft. They were assessor-blinded 1:1 block-randomized to the IG or the CG. Self-reported knee function, assessed using the Knee injury and Osteoarthritis Outcome Score (KOOS), was the primary outcome. Secondary outcomes included functional measures (range of motion, muscle strength, functional limb asymmetries, and hopping ability) as well as self-reported psychological readiness to return to sport. Parameters were assessed at up to seven time points: anamnesis in the hospital, 1 to 7 days before the surgery, on the day of surgery, 30, 60, 90, and 180 days post-surgery. Intention-to-treat based linear mixed models were calculated using the change scores since anamnesis. Results:Â Of 114 enrolled participants (mean ageâ€‰=â€‰31.03, SDâ€‰=â€‰10.30 years; 53% females), 58 participants discontinued intervention or dropped out. The IG (KOOS score anamnesis: 46.04, 95% confidence interval = [45.07 to 47.02]; pre-reconstruction: 58.52, [57.51 to 59.54]) demonstrated a more pronounced preoperative improvement in the KOOS score compared to the CG (51.01, [50.10 to 51.92]; 59.18, [58.40 to 59.96]). The interaction (group*time) of the KOOS sum score differed for the change score to the surgery day (pâ€‰=â€‰0.039) and to 60 days postoperative (pâ€‰=â€‰0.039). Conclusion:Â The individually tailored preoperative rehabilitation program may improve perceived knee function more than self-guided training. Caution and future research are needed as the effects were small.Trial registration: German Register of Clinical Trials, DRKSID: DRKS00030312, Date of registration in DRKS 26.09.2022.</t>
  </si>
  <si>
    <t>Mar</t>
  </si>
  <si>
    <t>Sci Rep</t>
  </si>
  <si>
    <t>10.1038/s41598-026-41576-2</t>
  </si>
  <si>
    <t>#19</t>
  </si>
  <si>
    <t>Abel 2026</t>
  </si>
  <si>
    <t>No differences in objective knee laxity measurements or patient-reported outcome measures between fixed- and adjustable-loop suspensory fixation in anterior cruciate ligament reconstruction: 1-year results from the GAP study, a prospective, double-blinded</t>
  </si>
  <si>
    <t>Abram SGF; Nelson A; Middleton S; Mandalia V</t>
  </si>
  <si>
    <t>INTRODUCTION: Suspensory fixation is one of the most common graft fixation methods in anterior cruciate ligament (ACL) reconstruction and can be performed using either a fixed-loop device or an adjustable-loop device. There has, however, been a paucity of comparative clinical data and a clear need for an adequately powered, double-blinded, randomized study to determine whether there is any difference in objective knee laxity between these fixation methods. The G-Lok Against ProCinch (GAP) study was designed to address this need. METHODS: In a single-center, two-surgeon series, 164 patients were recruited and randomized to receive a hamstring autograft ACL reconstruction using either a fixed-loop or adjustable-loop femoral fixation (Stryker G-Lock or ProCinch, respectively). Patients and assessors were blinded. Knee laxity was the primary outcome measure, and measurements were taken using the GNRB (Genourob, Laval, France) knee arthrometer set at 150 N and 200 N. Measurements were taken from the operated leg and compared to the contralateral leg. Patient-reported outcome measures (PROMs) were collected at baseline, 6 months, and 12 months, and a linear regression analysis was undertaken. RESULTS: At 1 year, 121 patients (62% male; mean age: 31 years, standard deviation [SD]: 9.8) had complete knee laxity assessments. Of these, 58 received the fixed-loop fixation and 63 the adjustable-loop device. At 150 N, the operated-knee laxity in the fixed-loop group was 5.51 mm (SD: 1.40; 95% confidence interval [CI]: 5.14-5.87) versus 5.61 mm (SD: 1.39; 95% CI: 5.26-5.96) in the adjustable-loop group (P = 0.68). At 200 N, the operated-knee laxity in the fixed-loop group was 6.94 mm (SD: 1.54; 95% CI: 6.53-7.34) versus 7.02 mm (SD: 1.53; 95% CI: 6.63-7.40) in the adjustable-loop group (P = 0.77). There was no statistically significant difference in the between-knee laxity measurements or PROMs (Tegner Activity Scale score, International Knee Documentation Committee [IKDC] Subjective Knee Evaluation Form, Lysholm Knee Scoring Scale score, or any of the Knee injury and Osteoarthritis Outcome Score [KOOS] domains) between the groups. CONCLUSION: The GAP study is the first to compare knee laxity measurements between these two graft fixation devices in a randomized and blinded study. No statistically significant differences were observed in absolute or relative (operated vs. non-operated) knee laxity measurements or PROMs. These important new findings should inform surgeons and patients when considering graft fixation choice in ACL reconstruction. This study also provides new reference data for the operated and non-operated knees of patients following hamstring autograft ACL reconstruction. LEVEL OF EVIDENCE: I, prospective, double-blinded, randomized controlled trial. TRIAL REGISTRATION: NCT03184922 (ClinicalTrials.gov).</t>
  </si>
  <si>
    <t>Jun</t>
  </si>
  <si>
    <t>J ISAKOS</t>
  </si>
  <si>
    <t>10.1016/j.jisako.2026.101123</t>
  </si>
  <si>
    <t>#14</t>
  </si>
  <si>
    <t>AbramSGF 2026</t>
  </si>
  <si>
    <t>[Patellar tendon-bone autograft reconstruction of the anterior cruciate ligament for advanced-stage chronic anterior laxity: is an extra-articular plasty necessary? A prospective randomized study of 100 patients with five year follow-up].</t>
  </si>
  <si>
    <t>Acquitter Y; Hulet C; Locker B; Delbarre JC; Jambou S; Vielpeau C</t>
  </si>
  <si>
    <t>PURPOSE OF THE STUDY: This prospective randomized study was conducted to analyze the anatomic and functional impact of an extra-articular lateral plasty associated with patellar tendon-bone autograft in anterior cruciate ligament reconstruction. MATERIAL AND METHODS: A consecutive series of 100 patients with grade II (Noyes classification) chronic anterior laxity confirmed on stress x-rays were included in the study. All patients had a positive Trillat-Lachman test, a direct anterior drawer at 90 degrees flexion confirmed on the lateral x-ray, and an instrumental differential laxity greater than 5 mm (manual arthrometry, Medmetric KT1000). Mean patient age was 27 years (range 16-29 years) and time from the accident to ligamentoplasty was 29 months (range 3-156 months). In the operating theater, the patients were assigned at random to two groups. Group 1 (50 patients) underwent arthroscopic free patellar tendon-bone autograft reconstruction of the anterior cruciate ligament. In the second group (50 patients) the same reconstruction was further supported by a lateral extra-articular plasty using the quadriceps tendon. All patients were followed prospectively. At 58 months follow-up (none of the patients were lost to follow-up) residual laxity (Medmetric KT1000) was noted and functional outcome was assessed using the IKDC criteria. The Aglietti method was used to assess the position of the drill holes. RESULTS: The two groups were strictly identical at inclusion. At last follow-up, the statistical analysis did not reveal any significant difference between the groups for subjective outcome, joint motion, instrumental residual laxity, meniscal stock, or radiological changes. The overall IKDC score was A or B in 80% of the patients in group 1 and 88% of the patients in group 2. Delay to resumed sports activities (about 12 months) was also equivalent in the two groups with a trend towards lower intensity and sports producing less stress on the knee. A minimally positive pivot test with no effect on stability was observed in 4 patients in group 1 (intra-articular plasty alone) and in 2 patients in group 2 (intra- and extra-articular plasty). 16% of the insufficient results (IKDC C and D) were related to repeated tears (n=8, 6 patients in group 1 and 2 patients in group 2, p=0.268), and failure (n=8, 4 in each group) due to defective motion and pain. Repeated tears were strongly correlated with incorrect drill hole position in the tibia (p=0.01) or femur (p=0.024). Despite the stabilization, radiological remodeling was observed in 31% of the patients in both groups. DISCUSSION: The results in this consecutive series of patients demonstrated the good results obtained with intra-articular ligamentoplasy using the mid third of the patellar tendon. The rate of repeated tears or minimally positive pivot tests was higher in group 1 with intra-articular plasty alone but did not reach statistical significance and was generally related to a technical error in positioning the autograft, making it difficult to draw any conclusion concerning the anatomic superiority of mixed plasty. CONCLUSION: At the current follow-up of 5 years, this study was unable to demonstrate any advantage of systematic conjunction of an extra-articular lateral support for advanced chronic anterior laxity of the knee treated by a free patellar tendon graft.</t>
  </si>
  <si>
    <t>Rev Chir Orthop Reparatrice Appar Mot</t>
  </si>
  <si>
    <t>#590</t>
  </si>
  <si>
    <t>Acquitter 2003</t>
  </si>
  <si>
    <t>Reconstruction of the anterior cruciate ligament. Single- versus double-bundle multistranded hamstring tendons.</t>
  </si>
  <si>
    <t>Adachi N; Ochi M; Uchio Y; Iwasa J; Kuriwaka M; Ito Y</t>
  </si>
  <si>
    <t>A total of 108 patients with unilateral instability of the knee, associated with rupture of the anterior cruciate ligament, was prospectively randomised for arthroscopic single- or double-bundle reconstruction of the ligament using hamstring tendons. The same post-operative rehabilitation protocol was used for all. The patients were followed up for a mean of 32 months (24 to 36). We measured the anterior laxity and joint position sense at different angles of flexion of the knee to determine whether both bundles in the double-bundle reconstruction contributed to the stability of the joint and proprioception. No significant difference was found between the two groups with regard to anterior laxity measured by the KT-2000 arthrometer with the knee at 20 degrees or 70 degrees flexion nor with regard to proprioception. A notchplasty was required less often in the double- compared with the single-bundle reconstruction. We did not find any advantage in a double-bundle as opposed to a single-bundle reconstruction in terms of stability or proprioception.</t>
  </si>
  <si>
    <t>J Bone Joint Surg Br</t>
  </si>
  <si>
    <t>#579</t>
  </si>
  <si>
    <t>Adachi 2004</t>
  </si>
  <si>
    <t>Healing of the patellar tendon after harvesting of its mid-third for anterior cruciate ligament reconstruction and evolution of the unclosed donor site defect.</t>
  </si>
  <si>
    <t>Adriani E; Mariani PP; Maresca G; Santori N</t>
  </si>
  <si>
    <t>The purpose of this study was (a) to evaluate by ultrasonography the healing of the patellar tendon after its mid-third was removed for anterior cruciate ligament (ACL) reconstruction in two randomized groups of patients in whom the tendon donor site was either left open or closed; (b) to compare clinical, radiographic, and isokinetic studies of these two groups to evaluate the incidence of patellofemoral disorders. We performed 61 ACL reconstructions (22 males, 39 females) using the arthroscopically assisted in-out technique. All operations were performed by the same surgeon, and the patients were all subjected to the same postoperative protocol. The tendon defect was left open in 25 subjects (group A) and was closed in 36 subjects (group B). Postoperative patellar tendon behavior was evaluated in these two groups by ultrasonography at 3, 6, 9, and 12 months. The vertical position of the patella was measured in the follow-up lateral view at 45 degrees of flexion and compared to that of the untreated knee. A clinical evaluation was performed throughout the follow-up period, and patellofemoral problems (pain, stiffness, patello-femoral crepitus) were evaluated and recorded using a modified Larsen and Lauridsen rating scale. Isokinetic evaluation was carried out at 6 months, and a quadriceps index of the two groups was recorded. Ultrasonography showed that healing of the patellar tendon initially progressed with a compensatory hypertrophy in width and thickness. The width was greater in group B (P &lt; 0.01). In group A we observed in the cross-sections a characteristic image of two cords separated by a low signal bridge which we defined as a "binocular pattern." Areas of high ultrasound signal intensities persisted after 1 year in the open group; such areas were filled with scar tissue. In the closed group the ultrasound tendon signal returned to normal at 1 year. At 6 months the clinical, radiographic and isokinetic findings did not significantly differ between the open and closed groups. We conclude that defect closure after patellar tendon harvesting does not significantly influence the extensor apparatus.</t>
  </si>
  <si>
    <t>10.1007/BF01565472</t>
  </si>
  <si>
    <t>#682</t>
  </si>
  <si>
    <t>Adriani 1995</t>
  </si>
  <si>
    <t>Knee extension and flexion muscle power after anterior cruciate ligament reconstruction with patellar tendon graft or hamstring tendons graft: a cross-sectional comparison 3 years post surgery.</t>
  </si>
  <si>
    <t>Ageberg E; Roos HP; Silbernagel KG; ThomeÃ© R; Roos EM</t>
  </si>
  <si>
    <t>Hamstring muscles play a major role in knee-joint stabilization after anterior cruciate ligament (ACL) injury. Weakness of the knee extensors after ACL reconstruction with patellar tendon (PT) graft, and in the knee flexors after reconstruction with hamstring tendons (HT) graft has been observed up to 2 years post surgery, but not later. In these studies, isokinetic muscle torque was used. However, muscle power has been suggested to be a more sensitive and sport-specific measures of strength. The aim was to study quadriceps and hamstring muscle power in patients with ACL injury treated with surgical reconstruction with PT or HT grafts at a mean of 3 years after surgery. Twenty subjects with PT and 16 subjects with HT grafts (mean age at follow up 30 years, range 20-39, 25% women), who were all included in a prospective study and followed the same goal-based rehabilitation protocol for at least 4 months, were assessed with reliable, valid, and responsive tests of quadriceps and hamstring muscle power at 3 years (SD 0.9, range 2-5) after surgery. The mean difference between legs (injured minus uninjured), the hamstring to quadriceps (H:Q, hamstring divided by quadriceps) ratio, and the limb symmetry index (LSI, injured leg divided by uninjured and multiplied by 100) value, were used for comparisons between the groups (analysis of variance). The mean difference between the injured and uninjured legs was greater in the HT than in the PT group for knee flexion power (-21.3 vs. 7.7 W, p = 0.001). Patients with HT graft had lower H:Q ratio in the injured leg than the patients with PT graft (0.63 vs. 0.77, p = 0.012). They also had lower LSI for knee flexion power than those in the PT group (88 vs. 106%, p &lt; 0.001). No differences were found between the groups for knee extension power. The lower hamstring muscle power, and the lower hamstring to quadriceps ratio in the HT graft group than in the PT graft group 3 years (range 2-5) after ACL reconstruction, reflect imbalance of knee muscles after reconstruction with HT graft that may have a negative effect on dynamic knee-joint stabilization.</t>
  </si>
  <si>
    <t>Feb</t>
  </si>
  <si>
    <t>#497</t>
  </si>
  <si>
    <t>Ageberg 2009</t>
  </si>
  <si>
    <t>Anterior cruciate ligament reconstruction: bone-patellar tendon-bone compared with double semitendinosus and gracilis tendon grafts. A prospective, randomized clinical trial.</t>
  </si>
  <si>
    <t>Aglietti P; Giron F; Buzzi R; Biddau F; Sasso F</t>
  </si>
  <si>
    <t>BACKGROUND: The choice of graft for anterior cruciate ligament reconstruction is a matter of debate, with patellar and hamstring tendons being the two most popular autologous graft options. The objective of this study was to determine in a prospective, randomized clinical trial whether two grafts (bone-patellar tendon-bone or doubled hamstring tendons) fixed with modern devices affect the two-year minimum clinical and radiographic outcomes of anterior cruciate ligament reconstruction. METHODS: One hundred and twenty patients with a chronic unilateral rupture of the anterior cruciate ligament underwent arthroscopically assisted reconstruction with use of either autologous bone-patellar tendon-bone or doubled hamstring tendon grafts, in a strictly alternating manner. Both groups were comparable with regard to demographic data, preoperative activity level, mechanism of injury, interval between the injury and the operation, and the amount of knee laxity present preoperatively. The same well-proven surgical technique and aggressive controlled rehabilitation was used. An independent observer, who was blinded with regard to the involved leg and the type of graft, performed the outcome assessment with use of a visual analog scale, the new International Knee Documentation Committee form, the Knee Injury and Osteoarthritis Outcome Score, the Functional Knee Score for Anterior Knee Pain, and an arthrometric and an isokinetic dynamometric evaluation. Radiographs were also made. RESULTS: At the two-year follow-up evaluation, no differences were found in terms of the visual analog score, the Knee Injury and Osteoarthritis Outcome Score, the new International Knee Documentation Committee subjective and objective evaluation scores, the KT-1000 side-to-side laxity measurements, the Functional Knee Score for Anterior Knee Pain, muscle strength recovery, or return to sports activities. In the bone-patellar tendon-bone group, we found a higher prevalence of postoperative kneeling discomfort (p &lt; 0.01) and an increased area of decreased skin sensitivity (p &lt; 0.001). In the hamstring tendon group, we recorded a higher prevalence of femoral tunnel widening (p &lt; 0.01). In this group, a correlation was also found between medial meniscectomy and an increased prevalence of pivot-shift glide (p = 0.035). CONCLUSIONS: We believe that, with use of accurate and proven surgical and rehabilitation techniques, both grafts are an equivalent option for anterior cruciate ligament reconstruction.</t>
  </si>
  <si>
    <t>Oct</t>
  </si>
  <si>
    <t>J Bone Joint Surg Am</t>
  </si>
  <si>
    <t>#577</t>
  </si>
  <si>
    <t>Aglietti 2004</t>
  </si>
  <si>
    <t>Comparison between single-and double-bundle anterior cruciate ligament reconstruction: a prospective, randomized, single-blinded clinical trial.</t>
  </si>
  <si>
    <t>Aglietti P; Giron F; Losco M; Cuomo P; Ciardullo A; Mondanelli N</t>
  </si>
  <si>
    <t>BACKGROUND: Double-bundle ACL reconstruction popularity is increasing with the aim to reproduce native ACL anatomy and improve ACL reconstruction outcome. However, to date, only a few randomized clinical studies have been published. PURPOSE: The aim of this study was to prospectively compare the clinical results of single- and double-bundle ACL reconstruction. STUDY DESIGN: Randomized controlled clinical trial; Level of evidence, 1. METHODS: Seventy patients with a chronic unilateral ACL rupture who underwent arthroscopically assisted ACL reconstruction using a hamstring graft were randomized to receive a single- (SB) or double-bundle (DB) reconstruction. Both groups were comparable with regard to preoperative data. A double-incision surgical technique was adopted in both groups. The graft was fixed by looping the hamstring tendons around a bony (DB) or a metallic (SB) bridge on the tibial side and with interference screws reinforced with a staple on the femur. The same rehabilitation protocol was adopted. Outcome assessment was performed by a blinded, independent observer using the visual analog scale (VAS) score, the new International Knee Documentation Committee (IKDC) form, the Knee Injury and Osteoarthritis Outcome Score (KOOS), and KT-1000 arthrometer evaluation. RESULTS: All the patients reached a minimum follow-up of 2 years. No differences between the 2 groups were observed in terms of KOOS and IKDC subjective score. A statistically significant difference in favor of the DB group was found with the VAS (P &lt; .03). The objective IKDC final scores showed statistically significantly more "normal knees" in the DB group than in the SB group (P = .03). There was 1 stability failure in the DB group and 3 in the SB group. The KT-1000 arthrometer data showed a statistically significant decrease in the average anterior tibial translation in the DB group (1.2 mm DB vs 2.1 mm SB; P &lt; .03). The incidence of a residual pivot-shift glide was 14% in DB and 26% in SB (P = .08). CONCLUSION: In the 2-year minimum follow-up, DB ACL reconstructions showed better VAS, anterior knee laxity, and final objective IKDC scores than SB. However, longer follow-up and accurate instrumented in vivo rotational stability assessment are needed.</t>
  </si>
  <si>
    <t>Jan</t>
  </si>
  <si>
    <t>Am J Sports Med</t>
  </si>
  <si>
    <t>10.1177/0363546509347096</t>
  </si>
  <si>
    <t>#468</t>
  </si>
  <si>
    <t>Aglietti 2010</t>
  </si>
  <si>
    <t>Knee laxity measurements after anterior cruciate ligament reconstruction, using either bone-patellar-tendon-bone or hamstring tendon autografts, with special emphasis on comparison over time.</t>
  </si>
  <si>
    <t>AhldÃ©n M; Kartus J; Ejerhed L; Karlsson J; Sernert N</t>
  </si>
  <si>
    <t>The aims of the study were to analyse the change in knee laxity over time after anterior cruciate ligament (ACL) reconstruction, using either bone-patellar-tendon-bone (BPTB) or hamstring (HS) tendon autografts, and to compare the knee laxity measurements between the study groups both pre-operatively and on multiple follow-up occasions. Another aim was to compare the radiographic findings in terms of degenerative changes between the study groups. A randomised series of 71 patients, who underwent ACL reconstruction using BPTB or HS tendon autografts and interference screw fixation, were included in the study. Of these patients, 47/71 (66%) attended a clinical examination, including laxity measurements using the KT-1000 arthrometer, pre-operatively and on four post-operative occasions; 6 months, 1 year, 2 years and 7 years after the reconstruction. The BPTB group consisted of 22 patients, while there were 25 patients in the HS group. There were no significant differences in the mean side-to-side knee laxity between the BPTB and the HS group pre-operatively or at the follow-up examinations. There was a tendency towards a reduction in side-to-side knee laxity over time in both groups, measured with the KT-1000 arthrometer. The decrease was significant when analysing the injured and uninjured knee separately (injured side p &lt; 0.001 (BPTB) and p = 0.005 (HS), uninjured side p = 0.008 and p = 0.042, respectively). Forty-four patients (BPTB 21, ST 23) underwent a radiographic assessment at the 7-year follow-up, which revealed no significant differences between the study groups in terms of osteoarthritic findings classified according to the Fairbank and AhlbÃ¤ck rating systems. In overall terms, osteoarthritis was identified in 16% (BPTB 19%; ST 13%; n.s.) according to the AhlbÃ¤ck rating system and 68% (BPTB 67%; ST 70%; n.s.) according to the Fairbank rating system. There were no significant differences in knee laxity measurements between the two study groups pre-operatively or at 7 years. A decrease in knee laxity over time was seen in both groups. There were no significant differences between the BPTB and ST groups in terms of osteoarthritic findings at 7 years.</t>
  </si>
  <si>
    <t>#471</t>
  </si>
  <si>
    <t>Ahlden 2009</t>
  </si>
  <si>
    <t>A prospective randomized study comparing double- and single-bundle techniques for anterior cruciate ligament reconstruction.</t>
  </si>
  <si>
    <t>AhldÃ©n M; Sernert N; Karlsson J; Kartus J</t>
  </si>
  <si>
    <t>BACKGROUND: The aim of the study was to compare the results after arthroscopic anterior cruciate ligament (ACL) reconstruction using either the double-bundle or single-bundle technique with hamstring tendon autografts in an unselected group of patients. HYPOTHESIS: Double-bundle ACL reconstruction will render a better outcome on the pivot-shift test. STUDY DESIGN: Randomized controlled trial; Level of evidence, 1. METHODS: A randomized series of 103 patients (33 women, 70 men; median age, 27 years; range, 18-52 years) with a unilateral ACL rupture underwent anatomic ACL reconstruction. The double-bundle technique was used in 53 patients, and the single-bundle technique was used in 50 patients. The ACL footprint was visualized, and the femoral tunnel was drilled through the anteromedial portal; interference screw fixation was used at both ends. The patients were examined preoperatively and at a median of 26 months (range, 22-42 months) after the reconstruction by a blinded observer. The primary variable was the pivot-shift test. RESULTS: At 2-year follow-up, 98 patients (93%) were examined. Clinical assessments at follow-up revealed no significant differences between the double-bundle and single-bundle groups in terms of the pivot-shift test, KT-1000 arthrometer laxity measurements, manual Lachman test, range of motion, Lysholm knee scoring scale, Tegner activity scale, Knee Injury and Osteoarthritis and Outcome Score (KOOS), 1-legged hop test, and square hop test. A significant improvement was seen in both groups compared with the preoperative values in terms of most clinical assessments. CONCLUSION: In this prospective randomized study, the primary variable, the pivot-shift test, and other subjective and objective outcome variables revealed no significant differences between the double-bundle and single-bundle techniques at 2 years after ACL reconstruction in an unselected group of patients.</t>
  </si>
  <si>
    <t>10.1177/0363546513497926</t>
  </si>
  <si>
    <t>#373</t>
  </si>
  <si>
    <t>AhldÃ©n 2013</t>
  </si>
  <si>
    <t>Effects of a 4-week plyometric training on activity patterns during different phases of one-leg drop jump with focus on jump height.</t>
  </si>
  <si>
    <t>Ahmadabadi S; Rjabi H; Gharakhanlou R; Talebian S; Basereh A</t>
  </si>
  <si>
    <t>Athletic women have shown a higher risk of ACL injury during jump landing compared to men. Plyometric training can be an alternative way to minimize the risk of knee injuries via the changed muscle activity patterns. Hence, the aim of this study was to determine the effects of a 4-week plyometric training program on the muscle activity pattern in different phases of one-leg drop jump in active girls. Active girls were randomly allocated into 2 groups (Plyometric trainingâ€‰=â€‰10, Control groupâ€‰=â€‰10) where the plyometric training group (PTG) performed 60Â min exercises, 2 sessions/1Â week for 4Â weeks while the control group (CG) had their daily activity. In the pre to post test, the sEMG was recorded from the Rectus Femoris (RF), Biceps Femoris (BF), Medial Gastrocnemius (GaM), and Tibialis Anterior (TA) muscles of the dominant leg during the Preparatory phase (PP), Contact Phase (CP), Flight Phase (FP) of one-leg drop jump. Electromyography variables (Signal amplitude, Maximum activity, Time to peak (TTP), Onset and activity time and Order muscle activity) and Ergo jump variables (Time of preparatory phase (TPP), Time of contact phase (TCP), Time of flight (jump height) phase (TFP), and Explosive power were analyzed. The Univariate ANCOVA test showed a significant difference between the two groups in Activity Time, whilst adjusting for pre-test as a Covariate, only in TA muscle (F((1,17))â€‰=â€‰5.09, pâ€‰=â€‰0.038, Î·(2)â€‰=â€‰0.230). In PTG. TA (-â€‰15%), GaM (-â€‰19%), and BF muscles (-â€‰9%) started their activity earlier while there was no significant difference between the two groups at the Onset time. TTP of RF was significantly different between the 2 groups only in the PR phase (0.216â€‰Â±â€‰0.07 vs 0.153â€‰Â±â€‰0.09Â s) (pâ€‰=â€‰0.049, 95% CIâ€‰=â€‰0.001, 0.127). Results of the present study suggest that a 4-week plyometric training can improve the stability of leg joints via earlier recruitment of muscles and change activity patterns in lower limb muscles. It also recommends that the preparatory phase before landing be considered an important stage in preventing sports injuries in a training program.</t>
  </si>
  <si>
    <t>10.1038/s41598-023-36461-1</t>
  </si>
  <si>
    <t>#99</t>
  </si>
  <si>
    <t>Ahmadabadi 2023</t>
  </si>
  <si>
    <t>Effect of Matching or Overconstraining Knee Laxity During Anterior Cruciate Ligament Reconstruction on Knee Osteoarthritis and Clinical Outcomes: A Randomized Controlled Trial With 84-Month Follow-up.</t>
  </si>
  <si>
    <t>Akelman MR; Fadale PD; Hulstyn MJ; Shalvoy RM; Garcia A; Chin KE; Duryea J; Badger GJ; Tung GA; Fleming BC</t>
  </si>
  <si>
    <t>BACKGROUND: The "initial graft tension" applied at the time of graft fixation during anterior cruciate ligament (ACL) reconstruction surgery modulates joint contact mechanics, which in turn may promote posttraumatic osteoarthritis (OA). PURPOSE/HYPOTHESES: The study objectives were to compare clinical, functional, patient-reported, and OA imaging outcomes between 2 different initial laxity-based graft tension cohorts and a matched uninjured control group as well as to evaluate the effects of laxity-based graft tension on OA development at 84-month follow-up. The 2 laxity-based tension protocols were (1) to restore normal anteroposterior (AP) laxity at the time of surgery relative to the contralateral uninjured knee (low-tension group) or (2) to overconstrain AP laxity by 2 mm relative to the contralateral uninjured knee (high-tension group). The hypotheses were that (1) the high-tension group would have improved outcomes and decreased OA compared with the low-tension group after 84 months, and (2) the outcomes for the high-tension group would be equivalent to those for an age-, sex-, race-, and activity-matched group of control participants with uninjured knees. STUDY DESIGN: Randomized controlled trial; Level of evidence, 1. METHODS: Patients had their ACLs reconstructed with either a bone-patellar tendon-bone or 4-stranded hamstring autograft, and outcomes were compared with a matched control group. Outcomes were evaluated preoperatively and at 60 and 84 months postoperatively and included clinical (KT-1000 arthrometer AP laxity measurement and International Knee Documentation Committee [IKDC] examination score), functional (1-legged hop for distance and knee extensor torque), patient-reported (Knee injury and Osteoarthritis Outcome Score [KOOS], Short Form-36 [SF-36], and patient satisfaction survey), and OA imaging (measurement of joint space width [JSW], Osteoarthritis Research Society International [OARSI] radiographic score, and Whole-Organ Magnetic Resonance Imaging Score [WORMS]) components. Repeated-measures analyses of variance were used to evaluate differences in outcomes between the treatment groups and the control group. RESULTS: There were significant differences between the 2 tension groups in 1 of 5 KOOS subscales (sports and recreation; P = .04) and 2 of 8 SF-36 subscales (vitality, mental health; P &lt; .04) at 84 and 60 months, respectively. Both tension groups scored significantly worse than the control group in the IKDC examination (P &lt; .001), 1-legged hop (P â‰¤ .017), KOOS quality of life and symptoms subscales (P &lt; .03), and OARSI radiographic score (P â‰¤ .02) at 84 months. The low-tension group performed significantly worse than the control group on the KOOS pain subscale (P = .03), SF-36 general health and social functioning (P &lt; .04), OARSI radiographic score (P &lt; .001), and WORMS (P = .001), while the high-tension group had statistically different results than the control group in AP knee laxity (P &lt; .001), radiographic JSW (P = .003), and OARSI radiographic score (P = .02) as well as significantly more subsequent knee injuries (P = .02) at 84 months. CONCLUSION: The results do not support the hypotheses that the high-tension group would have improved outcomes when compared with the low-tension group after 84 months of healing or that the outcomes for the high-tension group would be equivalent to those for the matched control group. While there were minor differences in patient-reported outcomes between the 2 laxity-based tension groups, all other outcomes were similar. REGISTRATION: NCT00434837.</t>
  </si>
  <si>
    <t>Jul</t>
  </si>
  <si>
    <t>10.1177/0363546516638387</t>
  </si>
  <si>
    <t>#304</t>
  </si>
  <si>
    <t>Akelman 2016</t>
  </si>
  <si>
    <t>Author Reply to "Regarding 'Tranexamic Acid Has No Effect on Postoperative Hemarthrosis or Pain Control After Anterior Cruciate Ligament Reconstruction Using Bone-Patellar Tendon-Bone Autograft: A Double-Blind, Randomized, Controlled Trial'".</t>
  </si>
  <si>
    <t>Alaia MJ; Fried JW; Bloom DA; Hurley ET; Popovic J; Baron SL; Campbell KA; Strauss EJ; Jazrawi LM</t>
  </si>
  <si>
    <t>Arthroscopy</t>
  </si>
  <si>
    <t>10.1016/j.arthro.2021.02.040</t>
  </si>
  <si>
    <t>#154</t>
  </si>
  <si>
    <t>Alaia 2021</t>
  </si>
  <si>
    <t>Epidural administration of ropivacaine and midazolam is superior to intra-articular administration as postoperative analgesia after isolated arthroscopic anterior cruciate ligament reconstruction with hamstrings autograft: a randomized controlled clinical</t>
  </si>
  <si>
    <t>Aldape-Rivas DE; Padilla-Medina JR; Espinosa-Galindo AM; de la Garza-Castro S; Palacios-RÃ­os D; PeÃ±a-MartÃ­nez VM; Morales-Avalos R</t>
  </si>
  <si>
    <t>OBJECTIVE: Reconstructive surgery of the anterior cruciate ligament (ACL) is quite common, previous studies have documented that adequate pain control in the early phases of the postoperative period translates into early mobility and a rapid start of rehabilitation. Therefore, the search for new strategies for postoperative pain control is justified. The aim of this study was to compare intra-articular to the epidural administration of ropivacaine and midazolam as postoperative analgesia after arthroscopic ACL reconstruction with hamstring autograft (HA). MATERIAL AND METHODS: Double-blinded, prospective randomized clinical trial included 108 consecutive patients aged from 18 to 50 years that had undergone arthroscopic ACL reconstruction with HA. The patients were randomly assigned to 2 groups. The first group received intraarticular ropivacaine and midazolam. The second group received epidural ropivacaine and midazolam. The need for rescue analgesia, the postoperative pain experienced, side effects and complications of the analgesic drugs were evaluated. RESULTS: The intra-articular group received statistically significantly higher mean doses of rescue analgesia on the first two days (2.8Â â€‹Â±Â â€‹1.0 vs. 1.3Â â€‹Â±Â â€‹0.6 in the epidural group; pÂ â€‹=Â â€‹0.001). Visual Analogue Scale scores at flexion were statistically significantly higher in the intra-articular group over the entire study period. The intra-articular group also reported a statistically significantly lower range-of-motion 87Â â€‹Â±Â â€‹15 vs. 102Â â€‹Â±Â â€‹11 in the epidural group (pÂ â€‹=Â â€‹0.001). CONCLUSIONS: Epidural administration of ropivacaine combined with midazolam in patients undergoing primary ACL reconstruction with HA was clinically and significantly better relative to rescue analgesia and the intensity of pain in the first 48 postoperative hours when compared to intraarticular administration. There was no difference in terms of adverse effects and complications.</t>
  </si>
  <si>
    <t>10.1016/j.jisako.2024.03.002</t>
  </si>
  <si>
    <t>#84</t>
  </si>
  <si>
    <t>Aldape-Rivas 2024</t>
  </si>
  <si>
    <t>Evaluation of postoperative bupivacaine infusion for pain management after anterior cruciate ligament reconstruction.</t>
  </si>
  <si>
    <t>Alford JW; Fadale PD</t>
  </si>
  <si>
    <t>PURPOSE: Postoperative pain control has received increasing attention by health care providers in the new millennium. In fact, pain was called the "sixth vital sign" by the Joint Commission on Accreditation of Healthcare Organizations (JCAHO) in 2001. The continued challenge of effective, safe analgesia in the outpatient setting has promoted the use of various devices designed to deliver local anesthetic directly to the surgical site. We endeavored to evaluate the efficacy of one such device currently in use. TYPE OF STUDY: Prospective, randomized, placebo-controlled, double-blinded study. METHODS: In this study, 49 consecutive patients were prospectively enrolled and randomly assigned to 1 of 3 groups after anterior cruciate ligament (ACL) reconstruction. Patients and investigators were blinded to group assignment. Group 1 (control group) received no catheter. Group 2 (placebo group) received an infusion catheter filled with saline. Group 3 (experimental group) received the same catheter filled with 0.25% bupivacaine solution. All patients received an ipsilateral femoral nerve block with 30 mL 0.25% bupivacaine and 20 mL 0.25% bupivacaine intra-articular injection. Patients recorded narcotic consumption and pain levels on visual analogue scales twice a day for 4 days after surgery. The catheters were removed on day 4 and physical therapy performance was recorded. The patients were then asked to continue to record pain ratings and medication consumption for an additional 4 days after catheter removal. All patients underwent bone-patellar tendon-bone ACL reconstruction by the senior author (P.D.F.). Seven patients were excluded from the study for ineffective femoral nerve block or catheter disconnection or occlusion. Narcotic consumption and the maximum, minimum, and median pain ratings were analyzed by analysis of variance. RESULTS: Median pain ratings show lower pain levels (P &lt;.03) for both catheter groups versus the control group. No significant differences were found between the catheter groups for the median pain ratings, but lower maximum pain ratings were seen in the bupivacaine group compared with both placebo and no-catheter control subjects. Postoperative narcotic consumption was also lower in both catheter groups versus control subjects (P &lt;.03). Physical therapy data revealed no difference in range of motion on postoperative day 4. More patients were able to perform straight leg raises during the first therapy session in both the saline placebo catheter group (70%) and bupivacaine group (72%) compared with the control group (50%). CONCLUSIONS: The data suggest some element of placebo benefit at median pain ratings but a protective effect of the bupivacaine at maximum pain levels.</t>
  </si>
  <si>
    <t>10.1016/s0749-8063(03)00734-5</t>
  </si>
  <si>
    <t>#587</t>
  </si>
  <si>
    <t>Alford 2003</t>
  </si>
  <si>
    <t>Large-sized grafts versus standard-sized grafts combined with anterolateral ligament reconstruction in ACL-deficient knees: a randomized controlled trial.</t>
  </si>
  <si>
    <t>Ali M; Abdelkarim O; Soroor Y; Salama W; Elsayed M; El-Azab H</t>
  </si>
  <si>
    <t>BACKGROUND: Anterior cruciate ligament (ACL) injuries are highly prevalent among athletes and continue to pose challenges owing to persistent instability and variable return-to-sport outcomes following reconstruction. Anterolateral ligament (ALL) reconstruction and has been introduced to improve outcomes. Increasing graft diameter was described to enhance biomechanical properties. This study hypothesis was, that ACL reconstruction (ACL-R) combined with ALL reconstruction is superior to a large-sized graft ACL-R. PURPOSE: To compare outcomes of large-sized (six-strand) hamstring grafts with those of standard-sized (four-strand) grafts combined with anterolateral ligament (ALL) reconstruction in ACL-deficient knees. METHODS: A total of 82 patients (18-45 years) undergoing ACL reconstruction were randomized to either a large (six-strand) hamstring graft group (group A, nâ€‰=â€‰41) or a standard-sized (four-strand) graft plus ALL reconstruction group (group B, nâ€‰=â€‰41). Primary outcomes were knee stability (pivot-shift and Lachman tests) and functional scores [Lysholm and International Knee Documentation Committee (IKDC) scores]. Secondary measures included pain scores, return to sport, and complication rates, with follow-up at 24 months. RESULTS: The mean diameter of the large-sized graft was 9.5â€‰Â±â€‰2.5Â mm, while the mean diameter of the standard-sized graft was 8.0â€‰Â±â€‰2.0Â mm. Both groups demonstrated significant gains in stability and function. Lysholm scores improved from 51 to 94 in group A and from 56 to 98 in group B with no significant difference between both groups (pâ€‰=â€‰0.418), while IKDC scores rose from 37 to 88 and from 37 to 91, respectively and it was significantly higher in group B (pâ€‰=â€‰0.036). Negative pivot-shift was observed in 87.8% of group A and 90.2% of group B with no significant intergroup difference (pâ€‰=â€‰0.841). Return-to-sport at 12 months was 93.5% and 96.1%, respectively with no significant difference (pâ€‰=â€‰1.00). Graft rupture occurred in 4.8% of group A and 2.4% of group B. Overall complications were low and statistically comparable (pâ€‰=â€‰1.00). CONCLUSIONS: Both large hamstring grafts and standard grafts augmented with ALL reconstruction provided significant functional and stability improvements, with no major differences between techniques.</t>
  </si>
  <si>
    <t>Knee Surg Relat Res</t>
  </si>
  <si>
    <t>10.1186/s43019-026-00321-9</t>
  </si>
  <si>
    <t>#11</t>
  </si>
  <si>
    <t>Ali 2026</t>
  </si>
  <si>
    <t>Evaluation of the walking pattern in two types of patients with anterior cruciate ligament deficiency: copers and non-copers.</t>
  </si>
  <si>
    <t>Alkjaer T; Simonsen EB; JÃ¸rgensen U; Dyhre-Poulsen P</t>
  </si>
  <si>
    <t>The purpose of the present study was to investigate whether different walking patterns in healthy subjects and in coper and non-coper subjects with deficient anterior cruciate ligaments could be quantified. An inverse dynamics approach was used to calculate joint kinematics and kinetics for flexion and extension. EMG signals of the hamstrings and quadriceps muscles were recorded. The results showed that the peak knee flexion angle was greater in the copers than in the controls. There was a positive correlation between the peak knee extensor moment and peak knee flexion angle. Furthermore, at a given peak knee flexion angle, the peak knee extensor moment was significantly larger in the controls than in the non-copers. The hip extensor moment in the copers was significantly larger than that of the non-copers and the controls. In conclusion, the three groups walked according to different patterns. It is suggested that the copers stabilized their knee joint by co-contraction of the hamstrings and quadriceps muscles, while the non-copers lacked this ability. Instead, the non-copers reduced the knee extensor moment in order to decrease anterior displacement of the tibia. The walking pattern differences observed between the copers and non-copers may explain their different post-injury activity levels.</t>
  </si>
  <si>
    <t>Eur J Appl Physiol</t>
  </si>
  <si>
    <t>10.1007/s00421-002-0787-x</t>
  </si>
  <si>
    <t>#599</t>
  </si>
  <si>
    <t>Alkjaer 2003</t>
  </si>
  <si>
    <t>Effects of Kinesiology Tape on Quadriceps Muscle Strength in Female Futsal Players: A Longitudinal Pilot Randomized Controlled Trial.</t>
  </si>
  <si>
    <t>Alshehri NA; Alshehri SA; Abdelsalam AM; Gouda NMIM; Alshehri AM; Alrasheed AA; Almutairi JS; Almunif DS; Alsadhan KF</t>
  </si>
  <si>
    <t>Background/Objective: Kinesiology tape (KT) is commonly used in sports medicine and rehabilitation, but its impact on muscle strength over time remains unclear. Female futsal athletes experience high quadriceps demands and are at risk of anterior cruciate ligament injury; however, this population remains understudied. The purpose of this study was to investigate the longitudinal effect of repeated kinesiology taping applications on quadriceps muscle strength and lower limb function in female futsal players. Method: A longitudinal pilot randomized controlled trial was conducted during the Saudi Universities Sports Federation Futsal Championship. Twelve female athletes (aged 19-25 years) were randomly allocated to a KT (n = 6) or control group (n = 6). The KT protocol followed the standardized quadriceps facilitation guidelines and was applied repeatedly over 30 days. We measured isometric strength (hand-held dynamometer), eccentric/concentric torque and power (Biodex System), and functional performance (single-leg hop). Nonparametric tests (Wilcoxon signed-rank and Mann-Whitney U) and mixed ANOVA were used for analysis. Result: Post-intervention, the KT group demonstrated significant improvements in isometric strength (p = 0.03, r = 0.90), eccentric/concentric strength (p = 0.03, r = 0.90), and lower limb function (p = 0.03, r = 0.90). The between-group comparisons showed significant advantages for the KT group in isometric (p = 0.01, r = 0.83) and eccentric/concentric strength (p &lt; 0.05, r = 0.67-0.74), but not in lower limb function (p = 0.20, r = 0.37). Conclusions: Repeated kinesiology taping over a 30-day period led to statistically greater longitudinal improvements in quadriceps muscle strength but did not affect functional performance. Kinesiology taping represents a non-invasive, low-cost treatment option for quadriceps strength measures in sports characterized by higher demands on the quadriceps, especially for female athletes with contributing injury risks. Further trials with more participants and a longer follow-up should be conducted.</t>
  </si>
  <si>
    <t>Healthcare (Basel)</t>
  </si>
  <si>
    <t>10.3390/healthcare13233035</t>
  </si>
  <si>
    <t>#32</t>
  </si>
  <si>
    <t>Alshehri 2025</t>
  </si>
  <si>
    <t>Compartment pressure monitoring during anterior cruciate ligament reconstruction.</t>
  </si>
  <si>
    <t>Amendola A; Faber K; Willits K; Miniaci A; Labib S; Fowler P</t>
  </si>
  <si>
    <t>A prospective double blind randomized study was carried out using 20 healthy males with anterior cruciate ligament (ACL) insufficiency undergoing bone-patellar tendon-bone ACL reconstruction. The subjects were randomized into either water or saline irrigation and then underwent identical reconstructive procedures using an arthroscopic pump. Continuous preoperative, intraoperative, and postoperative pressures were monitored using the slit catheter technique. Blood pressure and compartment pressure measurements were continuously recorded and noted at all stages of the procedure. Mean preoperative anterior and posterior compartment pressures were similar in both groups. No significant differences were noted between the anterior and posterior compartments of each group. No difference between water and saline irrigation was identified throughout the procedure. In both groups, postoperative pressures were slightly lower in the anterior and posterior compartments compared with preoperative pressures, but not significantly.</t>
  </si>
  <si>
    <t>10.1053/ar.1999.v15.015060</t>
  </si>
  <si>
    <t>#647</t>
  </si>
  <si>
    <t>Amendola 1999</t>
  </si>
  <si>
    <t>Anterior cruciate ligament reconstruction. A prospective randomized study of three surgical methods.</t>
  </si>
  <si>
    <t>Anderson AF; Snyder RB; Lipscomb AB Jr</t>
  </si>
  <si>
    <t>A prospective randomized study was performed to determine the differences in results between three methods of anterior cruciate ligament reconstruction: autogenous bone-patellar tendon-bone graft (group 1), semitendinosus and gracilis tendon graft reconstruction combined with an extraarticular procedure (group 2), and semitendinosus and gracilis tendon graft reconstruction alone (group 3). Preoperatively, there were no significant differences between groups. At a mean of 35.4 +/- 11.6 months postoperatively, 102 patients returned for evaluation. International Knee Documentation Committee knee evaluation revealed no significant differences in symptoms, function, return to pre-injury activity, harvest site abnormalities, or limitation of motion between groups 1 and 3. Patients in group 2 had a higher incidence of patellofemoral crepitation and loss of motion than did patients in group 3. The mean manual maximum KT-1000 arthrometer side-to-side difference was 2.1 +/- 2.0 mm in group 1, which was statistically significantly better than the difference in group 3 (3.1 +/- 2.3 mm). Final knee rating showed that 34 of 35 patients in group 1, 23 of 34 patients in group 2, and 26 of 33 patients in group 3 had a normal or nearly normal overall knee rating. Anterior cruciate ligament reconstruction with a semitendinosus and gracilis or a patellar tendon autograft may yield similar subjective results; however, the patellar tendon autograft may provide better objective stability in the long term. In addition, there appears to be no benefit to combining an intraarticular anterior cruciate ligament reconstruction with an extraarticular procedure.</t>
  </si>
  <si>
    <t>May-Jun</t>
  </si>
  <si>
    <t>#627</t>
  </si>
  <si>
    <t>Anderson 2001</t>
  </si>
  <si>
    <t>Knee function after surgical or nonsurgical treatment of acute rupture of the anterior cruciate ligament: a randomized study with a long-term follow-up period.</t>
  </si>
  <si>
    <t>Andersson C; Odensten M; Gillquist J</t>
  </si>
  <si>
    <t>One hundred fifty-six patients with a total rupture of the anterior cruciate ligament (ACL) were reexamined 41 to 80 months after injury. They were randomized to three treatment groups: (1) repair and augmentation of the ACL with an iliotibial strip, (2) repair without augmentation, and (3) nonsurgical ACL treatment. Associated injuries of menisci and other ligaments were treated in the same way for the three groups. Two-thirds of the patients in the nonsurgically treated group complained of instability and 17% had had a subsequent reconstruction of the ACL at the follow-up examination. The group treated with an augmented repair had a less abnormal laxity measured by a laxity-testing device. Sixty-three percent returned to competitive sports, as compared with 27% in the nonsurgical group and 32% in the only repair group. Relative strength of the quadriceps and hamstrings muscles were similar for all groups. The augmented-repair group had better hop tests, reflecting a superior stability, whereas running was not affected by treatment but was correlated with the activity level.</t>
  </si>
  <si>
    <t>Clin Orthop Relat Res</t>
  </si>
  <si>
    <t>#696</t>
  </si>
  <si>
    <t>Andersson 1991</t>
  </si>
  <si>
    <t>Augmentation of ACL Autograft Reconstruction With an Amnion Collagen Matrix Wrap and Bone Marrow Aspirate Concentrate: A Pilot Randomized Controlled Trial With 2-Year Follow-up.</t>
  </si>
  <si>
    <t>Anz AW; Jordan SE; Ostrander RV 3rd; Branch EA; Denney TS; Cohen A; Andrews JR</t>
  </si>
  <si>
    <t>BACKGROUND: It is theorized that the lack of a synovial lining after anterior cruciate ligament (ACL) injury and ACL reconstruction (ACLR) contributes to slow ligamentization and possible graft failure. Whether graft maturation and incorporation can be improved with the use of a scaffold requires investigation. PURPOSE: To evaluate the safety and efficacy of wrapping an ACL autograft with an amnion collagen matrix and injecting bone marrow aspirate concentrate (BMAC), quantify the cellular content of the BMAC samples, and assess 2-year postoperative patient-reported outcomes. STUDY DESIGN: Randomized controlled trial; Level of evidence, 2. METHODS: A total of 40 patients aged 18 to 35 years who were scheduled to undergo ACLR were enrolled in a prospective single-blinded randomized controlled trial with 2 arms based on graft type: bone-patellar tendon-bone (BTB; n = 20) or hamstring (HS; n = 20). Participants in each arm were randomized into a control group who underwent standard ACLR or an intervention group who had their grafts wrapped with an amnion collagen matrix during graft preparation, after which BMAC was injected under the wrap layers after implantation. Postoperative magnetic resonance imaging (MRI) mapping/processing yielded mean T2* relaxation time and graft volume values at 3, 6, 9, and 12 months. Participants completed the Single Assessment Numeric Evaluation Score, Knee injury and Osteoarthritis Outcome Score, and pain visual analog scale. Statistical linear mixed-effects models were used to quantify the effects over time and the differences between the control and intervention groups. Adverse events were also recorded. RESULTS: No significant differences were found at any time point between the intervention and control groups for BTB T2* (95% CI, -1.89 to 0.63; P = .31), BTB graft volume (95% CI, -606 to 876.1; P = .71), HS T2* (95% CI, -2.17 to 0.39; P = .162), or HS graft volume (95% CI, -11,141.1 to 351.5; P = .28). No significant differences were observed between the intervention and control groups of either graft type on any patient-reported outcome measure. No adverse events were reported after a 2-year follow-up. CONCLUSION: In this pilot study, wrapping a graft with an amnion collagen matrix and injecting BMAC appeared safe. MRI T2* values and graft volume of the augmented ACL graft were not significantly different from that of controls, suggesting that the intervention did not result in improved graft maturation. REGISTRATION: NCT03294759 (ClinicalTrials.gov identifier).</t>
  </si>
  <si>
    <t>Orthop J Sports Med</t>
  </si>
  <si>
    <t>#89</t>
  </si>
  <si>
    <t>Anz 2023</t>
  </si>
  <si>
    <t>Bioabsorbable Versus Titanium Screws in Anterior Cruciate Ligament Reconstruction Using Hamstring Autograft: A Prospective, Blinded, Randomized Controlled Trial With 5-Year Follow-up.</t>
  </si>
  <si>
    <t>Arama Y; Salmon LJ; Sri-Ram K; Linklater J; Roe JP; Pinczewski LA</t>
  </si>
  <si>
    <t>BACKGROUND: Longer-term results of bioabsorbable screws for anterior cruciate ligament reconstruction (ACLR) have been reported, but results are specific to the exact screw material and design. Titanium and poly-L-lactic acid with hydroxyapatite (PLLA-HA) screw outcomes have been compared only to 2 years. PURPOSE/HYPOTHESIS: The purpose of this study was to compare the clinical and radiologic outcomes of the PLLA-HA screw versus titanium screw for hamstring tendon ACLR over a 5-year follow-up period. The hypothesis was that there are no differences in clinical scores or tunnel widening between the PLLA-HA and the titanium screws and that the PLLA-HA screw as seen on magnetic resonance imaging (MRI) should show high-grade resorption and ossification response over 5 years. STUDY DESIGN: Randomized controlled trial; Level of evidence, 1. METHODS: A total of 40 patients undergoing ACLR were randomized to receive either a PLLA-HA screw (PLLA-HA group) or a titanium screw (titanium group) for ACL fixation. Blinded evaluation was performed at 2 and 5 years with the International Knee Documentation Committee and Lysholm knee score, KT-1000 arthrometer, single-legged hop test, and MRI to evaluate tunnel and screw volumes, periscrew ossification, graft integration, and cyst formation. RESULTS: There was no difference in any clinical outcome measure at 2- or 5-year follow-up between the 2 groups. At 2 years, the femoral tunnel in the PLLA-HA group was smaller than that in the titanium group (P = .02); at 5 years, there was no difference. At 2 years, the femoral PLLA-HA screw was a mean 76% of its original volume, and by 5 years, it was 36%. At 2 years, the tibial PLLA-HA screw mean volume was 68% of its original volume, and by 5 years, it was 46%. At 5 years in the PLLA-HA group, 88% of femoral tunnels and 56% of tibial tunnels demonstrated a significant ossification response. There was no increase in cyst formation in the PLLA-HA group and no screw breakages. CONCLUSION: There were equivalent clinical results between the PLLA-HA and titanium groups at 2- and 5-year follow-ups. The PLLA-HA screw was not associated with increased tunnel widening or cyst formation when compared with the titanium screw. The PLLA-HA screw demonstrated progressive screw resorption and gradual but incomplete ossification over 5 years.</t>
  </si>
  <si>
    <t>10.1177/0363546515588926</t>
  </si>
  <si>
    <t>#327</t>
  </si>
  <si>
    <t>Arama 2015</t>
  </si>
  <si>
    <t>The effect of tourniquet use in anterior cruciate ligament reconstruction. A prospective, randomized study.</t>
  </si>
  <si>
    <t>Arciero RA; Scoville CR; Hayda RA; Snyder RJ</t>
  </si>
  <si>
    <t>To evaluate the effect of tourniquet use during anterior cruciate ligament reconstruction, 40 consecutive patients were randomized into two groups: Group I (tourniquet) and Group II (no tourniquet). Preoperative evaluation included electromyography, measurement of thigh and calf girth, and determination of serum creatinine phosphokinase levels. Initial postoperative evaluations included serial creatinine phosphokinase determinations. At 1 and 6 months postoperatively, the electromyographic examination was repeated and thigh and calf girth measurements were obtained. At 6 months and 1 year after surgery, the following evaluations were made: thigh and calf girth, KT-1000 arthrometric testing, isokinetic testing of quadriceps and hamstring muscles, single-legged hop test for time, single-legged hop test for distance, and the Lysholm knee score. In Group I, the tourniquet was inflated for an average of 87 minutes, with an average pressure of 269 mm Hg. At 1 month postoperatively, 6 of 20 patients in Group I had positive electromyographic recordings (compared with 2 of 20 in Group II, P = 0.08). At 1 month, thigh girths measured 10 cm proximal to the medial joint line suggested more atrophy in the tourniquet group (P = 0.07). At 6 months, all electromyographic recordings had returned to normal. At 6 months and 1 year postoperatively, girth measurements, isokinetic strength testing, functional testing, KT-1000 arthrometer evaluation, and the Lysholm knee scores were similar for both groups.</t>
  </si>
  <si>
    <t>Nov-Dec</t>
  </si>
  <si>
    <t>10.1177/036354659602400610</t>
  </si>
  <si>
    <t>#667</t>
  </si>
  <si>
    <t>Arciero 1996</t>
  </si>
  <si>
    <t>Augmentation of femoral fixation in hamstring anterior cruciate ligament reconstruction with a bioabsorbable bead: a prospective single-blind randomized clinical trial.</t>
  </si>
  <si>
    <t>Arneja S; Froese W; MacDonald P</t>
  </si>
  <si>
    <t>BACKGROUND: The EndoPearl is an adjunct to bioabsorbable interference screw fixation in the femoral tunnel in anterior cruciate ligament (ACL) reconstruction. The purpose of the study was to assess the clinical effectiveness of the EndoPearl using the KT-1000 Knee Arthrometer and the Mohtadi ACL Quality of Life (ACL-QOL) Questionnaire. HYPOTHESIS: The application of the EndoPearl in hamstring ACL reconstruction has no significant benefit when compared to conventional treatment in KT-1000 and ACL-QOL Questionnaire outcomes. STUDY DESIGN: Prospective single-blind randomized clinical trial. METHODS: ACL reconstruction with autogenous semitendinosus and gracilis tendons was performed on 35 patients. Preoperatively, 3 months, 6 months, and 18 months postoperatively, patients' knees were evaluated using the KT-1000 Knee Arthrometer and the ACL-QOL Questionnaire. RESULTS: Statistically significant differences were achieved in terms of KT-1000 side-to-side differences between the study group and the control group at 6 months and 18 months postoperatively; the mean side-to-side differences are significantly less in the study group when compared to the control group. Statistically significant differences were not detected when comparing the ACL-QOL Questionnaire between the two groups at all time intervals. CONCLUSION: The application of the EndoPearl in conjunction with a bioscrew in the femoral tunnel in autogenous ACL reconstruction using semitendinosus and gracilis tendon grafts provides a significantly decreased laxity up to 18 months postoperatively in terms of KT-1000 side-to-side differences.</t>
  </si>
  <si>
    <t>Jan-Feb</t>
  </si>
  <si>
    <t>10.1177/0095399703258675</t>
  </si>
  <si>
    <t>#586</t>
  </si>
  <si>
    <t>Arneja 2004</t>
  </si>
  <si>
    <t>[Comparison of adductor canal block for analgesia in arthroscopic surgery with ropivacaine alone and ropivacaine and clonidine].</t>
  </si>
  <si>
    <t>Arora S; Sadashivappa C; Sen I; Sahni N; Gandhi K; Batra YK; Dhillon MS</t>
  </si>
  <si>
    <t>BACKGROUND AND OBJECTIVES: Inadequate pain relief after anterior cruciate ligament reconstruction affects mobility leading to development of adhesions, weakened ligament insertion and muscle atrophy. Adductor canal block for postoperative analgesia preserves quadriceps strength. The present study was conducted to compare pain free period in patients undergoing arthroscopic anterior cruciate ligament reconstruction, receiving ultrasound-guided adductor canal block with ropivacaine alone and ropivacaine with clonidine. METHODS: A prospective randomized double blinded study was conducted including sixty-three adult, ASA class I, II patients undergoing anterior cruciate ligament reconstruction. They were randomized into three groups: Group S â€“ control group received adductor canal block with 30Â mL saline, Group R â€“ ropivacaine group received adductor canal block with 30Â mL of 0.375% ropivacaine and Group RC â€“ clonidine group received adductor canal block with 30Â mL of 0.375% ropivacaine with clonidine 1Â Î¼g.kg(âˆ’1). The primary aim was to compare the pain free period in patients receiving adductor canal block with ropivacaine alone or ropivacine with clonidine. The secondary outcomes were pain score at rest and movement, total analgesic requirement, sedation score and postoperative nausea and vomiting. RESULTS: The mean pain free periods were 20Â min, 384.76Â min and 558.09Â min for Group S, Group R and Group RC, respectively and this difference was statistically significant (p &lt; 0.001). There was no significant difference between Group R and Group RC in terms of pain scores at rest and movement and total analgesic requirement. CONCLUSION: Addition of clonidine to ropivacaine in USG guided adductor canal block led to significant prolongation of pain free period though pain score at rest and movement, and rescue analgesic requirement, did not differ.</t>
  </si>
  <si>
    <t>Braz J Anesthesiol</t>
  </si>
  <si>
    <t>10.1016/j.bjan.2018.12.004</t>
  </si>
  <si>
    <t>#225</t>
  </si>
  <si>
    <t>Arora 2019</t>
  </si>
  <si>
    <t>Report of the Clinical and Functional Primary Outcomes in Men of the ACL-SPORTS Trial: Similar Outcomes in Men Receiving Secondary Prevention With and Without Perturbation Training 1 and 2 Years After ACL Reconstruction.</t>
  </si>
  <si>
    <t>Arundale AJH; Cummer K; Capin JJ; Zarzycki R; Snyder-Mackler L</t>
  </si>
  <si>
    <t>BACKGROUND: Athletes often are cleared to return to activities 6 months after anterior cruciate ligament (ACL) reconstruction; however, knee function measures continue to improve up to 2 years after surgery. Interventions beyond standard care may facilitate successful return to preinjury activities and improve functional outcomes. Perturbation training has been used in nonoperative ACL injury and preoperative ACL reconstruction rehabilitation, but has not been examined in postoperative ACL reconstruction rehabilitation, specifically return to sport rehabilitation. QUESTIONS/PURPOSES: The purpose of this study was to determine whether there were differences at 1 and 2 years after ACL reconstruction between the male SAP (strengthening, agility, and secondary prevention) and SAP+PERT (SAP protocol with the addition of perturbation training) groups with respect to (1) quadriceps strength and single-legged hop limb symmetry; (2) patient-reported knee outcome scores; (3) the proportion who achieve self-reported normal knee function; and (4) the time from surgery to passing return to sport criteria. METHODS: Forty men who had completed ACL reconstruction rehabilitation and met enrollment criteria (3-9 months after ACL reconstruction, &gt; 80% quadriceps strength limb symmetry, no pain, full ROM, minimal effusion) were randomized into the SAP or SAP+PERT groups of the Anterior Cruciate Ligament-Specialised Post-Operative Return to Sports trial (ACL-SPORTS), a single-blind randomized clinical study of secondary prevention and return to sport. Quadriceps strength, single-legged hopping, the International Knee Documentation Committee (IKDC) 2000 subjective knee form, Knee Injury and Osteoarthritis Outcome Score (KOOS)-sports and recreation, and KOOS-quality-of-life subscales were collected 1 and 2 years after surgery by investigators blind to group. Athletes were categorized as having normal or abnormal knee function at each time point based on IKDC score, and the time until athletes passed strict return-to-sport criteria was also recorded. T-tests, chi square tests, and analyses of variance were used to identify differences between the treatment groups over time. RESULTS: There were no differences between groups for quadriceps symmetry (1 year: SAP = 101% Â± 14%, SAP+PERT = 101% Â± 14%; 2 years: SAP = 103% Â± 11%, SAP+PERT = 98% Â± 14%; mean differences between groups at 1 year: 0.4 [-9.0 to 9.8], 2 years = 4.5 [-4.3 to 13.1]; mean difference between 1 and 2 years: SAP = -1.0 [-8.6 to 6.6], SAP+PERT = 3.0 [-4.3 to 10.3], p = 0.45) or single-legged hop test limb symmetry. There were no clinically meaningful differences for any patient-reported outcome measures. There was no difference in the proportion of athletes in each group who achieved normal knee function at 1 year (SAP 14 of 19, SAP+PERT 18 of 20, odds ratio 0.31 [0.5-19.0]; p = 0.18); however, the SAP+PERT group had fewer athletes with normal knee function at 2 years (SAP 17 of 17, SAP+PERT 14 of 19, p = 0.03). There were no differences between groups in the time to pass return to sport criteria (SAP = 325 Â± 199 days, SAP+PERT = 233 Â± 77 days; mean difference 92 [-9 to 192], p = 0.09). CONCLUSIONS: This randomized trial found few differences between an ACL rehabilitation program consisting of strengthening, agility, and secondary prevention and one consisting of those elements as well as perturbation training. In the absence of clinically meaningful differences between groups in knee function and self-reported outcomes measures, the results indicate that perturbation training may not contribute additional benefit to the strengthening, agility, and secondary prevention base of the ACL-SPORTS training program. LEVEL OF EVIDENCE: Level II, therapeutic study.</t>
  </si>
  <si>
    <t>10.1007/s11999-017-5280-2</t>
  </si>
  <si>
    <t>#278</t>
  </si>
  <si>
    <t>ArundaleAJH 2017</t>
  </si>
  <si>
    <t>Functional and Patient-Reported Outcomes Improve Over the Course of Rehabilitation: A Secondary Analysis of the ACL-SPORTS Trial.</t>
  </si>
  <si>
    <t>Arundale AJH; Capin JJ; Zarzycki R; Smith A; Snyder-Mackler L</t>
  </si>
  <si>
    <t>BACKGROUND: The Anterior Cruciate Ligament-Specialized Post-Operative Return to Sports (ACL-SPORTS) randomized controlled trial was designed to address deficits in functional and patient-reported outcomes. The trial examined the effects of a secondary ACL prevention program that included progressive strengthening, agility training, plyometrics (SAP), and other components of current primary prevention protocols, with perturbation training (SAP + PERT group) and without PERT (SAP group). A secondary purpose of this study was to examine whether study outcomes differed between men and women. HYPOTHESES: (1) Athletes in both the SAP and SAP + PERT groups will have improved knee function and patient-reported outcome measures from pre- to posttraining, (2) the SAP + PERT group would have higher outcome scores than the SAP group, and (3) outcomes will differ by sex. STUDY DESIGN: Randomized controlled trial (NCT01773317). LEVEL OF EVIDENCE: Level 2. METHODS: A total of 79 athletes (39 women) were randomized into the SAP and SAP + PERT groups. All athletes had undergone primary ACL reconstruction and achieved 80% quadriceps strength limb symmetry (QI), full range of motion, had minimal effusion, and had no pain. Additionally, all had begun running again. Prior to and after the training program, athletes' QI, hopping, and patient-reported outcomes were assessed. Repeated-measures analyses of variance were used to determine whether there were differences between groups. Subsequently, the SAP and SAP + PERT groups were collapsed to analyze differences between sexes. RESULTS: There were significant increases for all variables, with the exception of QI. There were no differences between the SAP and SAP + PERT groups. Both men and women made significant improvements in all knee function and patient-reported outcome measures except QI. Men made significant improvements in QI, whereas women did not. CONCLUSION: The common elements of the training program that all athletes received (10 sessions of progressive strengthening, agility training, plyometrics, and secondary prevention) may be a beneficial addition to the return-to-sport phase of ACL reconstruction rehabilitation. The results suggest that women may require further quadriceps strengthening to maintain and improve QI, an important focus given the relationship between QI and risk for reinjury. CLINICAL RELEVANCE: During the return-to-sport phase of ACL reconstruction rehabilitation, clinicians tend to shift their focus away from strengthening toward more advanced sports-related tasks. These results indicate that women in particular need continued focus on quadriceps strengthening.</t>
  </si>
  <si>
    <t>Sep/Oct</t>
  </si>
  <si>
    <t>Sports Health</t>
  </si>
  <si>
    <t>10.1177/1941738118779023</t>
  </si>
  <si>
    <t>#243</t>
  </si>
  <si>
    <t>ArundaleAJH 2018</t>
  </si>
  <si>
    <t>Prevention of quadriceps wasting after immobilization: an evaluation of the effect of electrical stimulation.</t>
  </si>
  <si>
    <t>Arvidsson I; Arvidsson H; Eriksson E; Jansson E</t>
  </si>
  <si>
    <t>Eighteen male and 20 female patients who underwent reconstruction of their anterior cruciate ligament (ACL) with a flap from the patellar tendon were randomly assigned into either closed cast, isometric muscle training and electric stimulation (ES group), or closed cast and isometric training alone (control group). The degree of quadriceps wasting was determined from computerized tomographic scans (CT) before and 6 weeks after surgery. Electrical stimulation was given with a battery operated stimulator that produced a rectangular asymmetric balanced biphasic pulse shape. The pulse rate was 40 Hz and the pulse width 300 microseconds. Patients received 30 min of stimulation three times daily during 5.5 weeks. Female control patients showed a larger decrease in quadriceps area on CT than male control patients (P less than .001). No significant difference was found between male electrically stimulated patients and control patients. In female patients, there was on the contrary, a highly significant difference in favor of electrical stimulation (P less than .001) When the different parts of the quadriceps were studied, a significantly lower degree of atrophy of the vastus medialis was found after electrical stimulation. Vastus lateralis did not show any difference. Measurements of CT attenuation, pre- and post-operatively, showed a decrease in attenuation of 17% for the vastus medialis and lateralis of the operated leg after immobilization, indicating an increase in fat content. In the rectus femoris, however, there was an increase in attenuation of 14.6%. Percutaneous muscle biopsies from the vastus lateralis obtained before, one week after, and 6 weeks after surgery revealed that the cross-sectional area of the individual muscle fibers decreased less in the electrically stimulated than in controls, but the difference was not significant. There were no differences between the two groups in the activity of an oxidative enzyme, citrate synthase, or a glycolytic enzyme, phosphofructokinase (PFK). We conclude that females reacted more favorably than males to electrical stimulation of quadriceps during an immobilization period after knee surgery.</t>
  </si>
  <si>
    <t>Orthopedics</t>
  </si>
  <si>
    <t>10.3928/0147-7447-19861101-08</t>
  </si>
  <si>
    <t>#704</t>
  </si>
  <si>
    <t>Arvidsson 1986</t>
  </si>
  <si>
    <t>Conventional versus 'all-inside' anterior cruciate ligament reconstruction: a randomized controlled trial comparing hamstring strength and functional outcome.</t>
  </si>
  <si>
    <t>Ashraf Y; Senevirathna SR; Ashraf T</t>
  </si>
  <si>
    <t>Cite this article: Bone Joint Open 2020;1-11:706-708.</t>
  </si>
  <si>
    <t>Bone Jt Open</t>
  </si>
  <si>
    <t>10.1302/2633-1462.111.BJO-2020-0012.R1</t>
  </si>
  <si>
    <t>#173</t>
  </si>
  <si>
    <t>Ashraf 2020</t>
  </si>
  <si>
    <t>A prospective double blinded randomized study of anterior cruciate ligament reconstruction with hamstrings tendon and spinal anesthesia with or without femoral nerve block.</t>
  </si>
  <si>
    <t>Astur DC; Aleluia V; Veronese C; Astur N; Oliveira SG; Arliani GG; Badra R; Kaleka CC; Amaro JT; Cohen M</t>
  </si>
  <si>
    <t>BACKGROUND: Current literature supports the thought that anesthesia and analgesia administered perioperatively for an anterior cruciate ligament (ACL) reconstruction have a great influence on time to effective rehabilitation during the first week after hospital discharge. PURPOSE: The aim of this study is to answer the research question is there a difference in clinical outcomes between the use of a femoral nerve block with spinal anesthesia versus spinal analgesia alone for people undergoing ACL reconstruction? METHODS: ACL reconstruction with spinal anesthesia and patient sedation (Group one); and spinal anesthesia with patient sedation and an additional femoral nerve block (Group two). Patients were re-evaluated for pain, range of motion (ROM), active contraction of the quadriceps, and a Functional Independence Measure (FIM) scoring scale. RESULTS: Spinal anesthesia with a femoral nerve block demonstrates pain relief 6h after surgery (VAS 0.37; p=0.007). From the third (VAS=4.56; p=0.028) to the seventh (VAS=2.87; p=0.05) days after surgery, this same nerve blockage delivered higher pain scores. Patients had a similar progressive improvement on knee joint range of motion with or without femoral nerve block (p&lt;0.002). Group one and two had 23.75 and 24.29Â° 6h after surgery and 87.81 and 85.36Â° of knee flexion after 48h post op. CONCLUSION: Spinal anesthesia associated with a femoral nerve block had no additional benefits on pain control after the third postoperative day. There were no differences between groups concerning ability for knee flexion and to complete daily activities during postoperative period. LEVEL OF EVIDENCE: Randomized Clinical Trial Level I.</t>
  </si>
  <si>
    <t>Knee</t>
  </si>
  <si>
    <t>10.1016/j.knee.2014.06.003</t>
  </si>
  <si>
    <t>#350</t>
  </si>
  <si>
    <t>Astur 2014</t>
  </si>
  <si>
    <t>Four-strand hamstring tendon autograft compared with patellar tendon-bone autograft for anterior cruciate ligament reconstruction. A randomized study with two-year follow-up.</t>
  </si>
  <si>
    <t>Aune AK; Holm I; Risberg MA; Jensen HK; Steen H</t>
  </si>
  <si>
    <t>Seventy-two patients with subacute or chronic rupture of the anterior cruciate ligament were randomly assigned to autograft reconstruction with four-strand gracilis and semitendinosus tendon (N = 37) or with patellar tendon-bone (N = 35) from the ipsilateral side. The groups were similar in terms of age, sex, level of activity, degree of laxity, meniscal lesions found surgically, and rehabilitation program. The follow-up was performed at another hospital by independent observers after 6, 12, and 24 months. Sixty-one patients (32 with hamstring tendon grafts and 29 with patellar tendon grafts) complied with the follow-up routine for the full 24 months. No differences were found between the groups with respect to Cincinnati functional score, KT-1000 arthrometer measurements, or stairs hopple test results. The subjective result and the single-legged hop test result were better for the hamstring tendon group after 6 and 12 months, but no differences were found after 24 months. The hamstring tendon group showed better isokinetic knee extension strength than did the patellar tendon group after 6 months, but not after 12 and 24 months. There was a significant weakness in isokinetic knee flexion strength among the hamstring tendon group. Anterior knee pain was not significantly different between the groups, but kneeling pain was significantly less common in the hamstring tendon group after 24 months.</t>
  </si>
  <si>
    <t>#618</t>
  </si>
  <si>
    <t>Aune 2001</t>
  </si>
  <si>
    <t>Soft-tissue quadriceps tendon autograft during primary anterior cruciate ligament reconstruction in Skeletally-immature patients vs. Hamstrings: A protocol for a multi-centre randomized controlled trial.</t>
  </si>
  <si>
    <t>Ayeni OR</t>
  </si>
  <si>
    <t>BACKGROUND: ACL tears in skeletally-immature patients are often treated surgically using soft-tissue autografts to offset increased risks of cartilage, meniscus and physeal injuries. Despite technological innovation, there remains a high failure rate among active young patients. We present a randomized controlled trial (RCT) to evaluate the soft-tissue quadriceps autograft compared to the standard hamstring autograft to treat primary ACL tears in the pediatric population. METHODS: This international RCT will evaluate 352 skeletally-immature patients between the ages of 10-18 years undergoing primary ACL reconstruction to compare the effect of hamstring versus soft-tissue quadriceps autografts on ACL failure rate as a primary outcome, and return to sport, knee function, knee pain, health-related quality of life and health utility, range of motion and stability, and other adverse events at 24 months as secondary outcomes. Follow-up will occur at 6 weeks and 6, 12, 18, and 24 months postoperatively. DISCUSSION: This trial will inform the optimal primary surgical management for ACL injuries as it pertains to all soft-tissue graft selection, to not only reduce the relatively high failure rates, but also improve the function and return-to-sports in this young, active population. TRIAL REGISTRATION: This trial was registered on ClinicalTrials.gov (NCT03896464) on March 27th, 2019.</t>
  </si>
  <si>
    <t>Dec</t>
  </si>
  <si>
    <t>J Orthop Surg Res</t>
  </si>
  <si>
    <t>10.1186/s13018-025-06534-0</t>
  </si>
  <si>
    <t>#33</t>
  </si>
  <si>
    <t>Ayeni 2025</t>
  </si>
  <si>
    <t>Using memory for pain in analgesic research.</t>
  </si>
  <si>
    <t>Babul N; Darke AC; Johnson DH; Charron-Vincent K</t>
  </si>
  <si>
    <t>OBJECTIVE: To determine the validity of pain intensity recall at 24 and 48 hours as a substitute for hourly pain assessments in repeated-dose analgesic studies. SETTING: Orthopedic unit of an acute care teaching hospital. PARTICIPANTS: Eighty-four patients undergoing arthroscopic reconstruction of the anterior cruciate ligament, using the patellar tendon, who were participating in a randomized, double-blind, parallel-group analgesic study. INTERVENTIONS: Patients rated their pain intensity every hour (while awake) for 48 hours and their recall of worst, least, and usual pain intensity at 24 and 48 hours using a visual analog scale (VAS). MAIN OUTCOME MEASURES: This study examined the relationship between recall of worst, least, and usual pain intensity at 24 and 48 hours and the experienced maximum, minimum, and mean pain intensity VAS scores obtained from hourly assessments over the 0-24- and 0-48-hour periods, respectively. The significance of differences between recalled and experienced pain intensity variables was assessed. RESULTS: Worst, least, and usual pain recall at 24 and 48 hours were highly correlated with experienced maximum, minimum, and mean pain from hourly reports, respectively, over the 0-24- and 0-48-hour periods (Pearson correlation coefficients, r = 0.80-0.89, p &lt; 0.0001). Among the three pain recall variables, usual pain showed the highest correlation with hourly measurements. There were no significant differences between recalled pain and the corresponding measures of pain from the hourly VAS scores, except in the case of 48-hour recall of worst pain (Student's t-test, p = 0.001). CONCLUSIONS: The close agreement between actual pain experience and recall of pain provides support for the use of pain recall in assessing analgesic efficacy in clinical trials.</t>
  </si>
  <si>
    <t>Ann Pharmacother</t>
  </si>
  <si>
    <t>10.1177/106002809302700101</t>
  </si>
  <si>
    <t>#692</t>
  </si>
  <si>
    <t>Babul 1993</t>
  </si>
  <si>
    <t>Single versus double hamstring tendon graft in anterior cruciate ligament reconstruction in the paediatric patient: a single-blind randomised controlled trial study protocol.</t>
  </si>
  <si>
    <t>Bade D; Malayko G; Johnson L; Bradford K; Reddan T; Stockton C; Frawley K; Phillips T; Saxby D; Ware RS; Byrnes J; Carty CP</t>
  </si>
  <si>
    <t>INTRODUCTION: There is currently no clear indication in the literature regarding a single or double hamstring tendon (single bundle) autograft for anterior cruciate ligament (ACL) reconstruction in the paediatric patient. The primary aim of this single blind randomised controlled trial is to determine whether a single or double hamstring tendon graft ACLR leads to superior clinical outcomes postsurgery in paediatric patients with ACL injury. METHODS AND ANALYSIS: Single site, prospective, single blind, randomised controlled trial with two parallel treatment arms. 100 patients aged 10-18 years who present with an isolated ACL tearÂ±meniscal injury, verified on MRI, will be randomly allocated to one of the two surgical groups. The primary outcomes will be side-to-side difference in anterior tibial translation and graft failure incidence 12 months postsurgery. Primary and secondary outcomes will also be assessed at 2-year and 5-year postsurgery. ETHICS AND DISSEMINATION: Results will be presented in peer-reviewed journals and at international conferences and disseminated to participants and healthcare professionals via newsletters and hospital presentations. This study is approved by the Children's Health Queensland Hospital and Health Service Human Research Ethics committee. TRIAL REGISTRATION NUMBER: ACTRN12620001170910p; Australian New Zealand Clinical Trials Registry.</t>
  </si>
  <si>
    <t>BMJ Open</t>
  </si>
  <si>
    <t>10.1136/bmjopen-2021-057465</t>
  </si>
  <si>
    <t>#123</t>
  </si>
  <si>
    <t>Bade 2022</t>
  </si>
  <si>
    <t>Adductor Canal Nerve Versus Femoral Nerve Blockade for Pain Control and Quadriceps Function Following Anterior Cruciate Ligament Reconstruction With Patellar Tendon Autograft: AÂ Prospective Randomized Trial.</t>
  </si>
  <si>
    <t>Bailey L; Griffin J; Elliott M; Wu J; Papavasiliou T; Harner C; Lowe W</t>
  </si>
  <si>
    <t>PURPOSE: To compare femoral nerve blockade (FNB) versus adductor canal nerve blockade (ACB) for postoperative pain control and quadriceps muscle function in patients undergoing anterior cruciate ligament (ACL) reconstruction with patellar tendon autograft. METHODS: A randomized therapeutic trial of 90 patients undergoing ACL reconstruction with patellar tendon autograft was conducted comparing ACB versus FNB at 24Â hours, 2 and 4 weeks, and 6Â months postsurgery. Early outcome measures included average pain score and morphine equivalent units (milligrams) consumed, quadriceps surface electromyography, straight leg raise, and ability to ambulate without assistive devices. The 6-month outcome measures included knee range of motion (ROM), isokinetic knee extension peak torque, single-leg squat, and single-leg hop performance. Complications were recorded throughout the study for the development of anterior knee pain, knee extension ROM loss, deep vein thrombosis, and graft failure. Mixed-model analysis of variance and Mann-Whitney U tests were performed using an alpha of .05. RESULTS: Quadriceps surface electromyography deficits were higher for FNB at 24Â hours (P &lt; .001) and 2Â weeks (P &lt; .001) when compared with the ACB group. There were no between-groups difference for subjective pain (PÂ = .793) or morphine consumption (PÂ = .358) within the first 24Â hours of surgery. A higher percentage of patients in the ACB group met the full ambulation criteria at 4Â weeks compared with the FNB group (100% vs 84.2%, P &lt; .001). No between-group differences were observed at 6Â months; however, the rate of knee extension ROM loss was higher for the FNB group versus the ACB group (21.1% vs 5.0%, PÂ = .026), respectively. CONCLUSIONS: ACB was as effective as FNB at providing pain control while eliciting fewer quadriceps muscle activation deficits and fewer postoperative complications. Based on previous evidence and the results of this study, we recommend the use of ACB over FNB for theÂ analgesic management of patients undergoing ACL reconstruction with patellar tendon autograft. LEVEL OF EVIDENCE: Level I, prospective randomized controlled trial.</t>
  </si>
  <si>
    <t>10.1016/j.arthro.2018.10.149</t>
  </si>
  <si>
    <t>#230</t>
  </si>
  <si>
    <t>Bailey 2019</t>
  </si>
  <si>
    <t>Kinesio taping as a treatment method in the acute phase of ACL reconstruction: A double-blind, placebo-controlled study.</t>
  </si>
  <si>
    <t>Balki S; GÃ¶ktaÅŸ HE; Ã–ztemur Z</t>
  </si>
  <si>
    <t>OBJECTIVE: In this study, we aimed on investigating the effects of Kinesio taping (KT) in acute postoperative rehabilitation phase of anterior cruciate ligament (ACL) reconstruction. METHODS: Thirty male patients (mean age: 28.1 years) with ACL reconstruction were randomly assigned to two groups: (1) an experimental group to receive a KT treatment through the muscle and lymphatic correction techniques; or (2) a control group for sham KT. Both interventions were applied twice during a 10-day period from the fourth postoperative day. All patients received the same rehabilitation program for three months. The groups were compared according to range of motion (ROM), pain, swelling and muscle strength before treatment and on the fifth and tenth treatment days. Subjective evaluations were made with the Lysholm, modified Cincinnati and Tegner scores on the first and third postoperative months. RESULTS: Intragroup comparisons showed significant improvements in both groups on the fifth and tenth day and first and third month evaluations (pÂ &lt;Â 0.05). In comparison to the control group, the experimental group showed significant improvements in swelling around the patella, all pain measurements and hamstring muscle strength on the fifth KT day and knee flexion range of motion (ROM), night pain, all swelling measurements and hamstring muscle strength on the tenth KT day (pÂ &lt;Â 0.05). CONCLUSION: Our results revealed that KT techniques applied in addition to the acute rehabilitation program of ACL reconstruction are beneficial in treatment of pain, swelling, knee flexion ROM, and hamstring muscle strength. LEVEL OF EVIDENCE: Level I, Therapeutic study.</t>
  </si>
  <si>
    <t>Acta Orthop Traumatol Turc</t>
  </si>
  <si>
    <t>10.1016/j.aott.2016.03.005</t>
  </si>
  <si>
    <t>#285</t>
  </si>
  <si>
    <t>Balki 2016</t>
  </si>
  <si>
    <t>Short-Term Effects of the Kinesio TapingÂ® on Early Postoperative Hip Muscle Weakness in Male Patients With Hamstring Autograft or Allograft Anterior Cruciate Ligament Reconstruction.</t>
  </si>
  <si>
    <t>Balki S; GÃ¶ktas HE</t>
  </si>
  <si>
    <t>Objective: Kinesio tapingÂ® (KT) is a widely used treatment method in musculoskeletal rehabilitation. Little is known about the KT treatment and hip strength in patients with anterior cruciate ligament reconstruction (ACLR). The purpose of this study was to investigate the effectiveness of the KT treatment on hip muscle weakness in early rehabilitation of ACLR and the possible determinants of the ACLR-hip strength deficit (HSD). Design: Double-blind sham-controlled study. Setting: Rehabilitation department. Patients: A total of 26 male patients who underwent unilateral ACLR using hamstring autograft or allograft 4 days before. Interventions: The patients were randomized to receive the knee KT treatment (nâ€‰=â€‰13) with lymphatic correction plus muscle (biceps/rectus femoris) facilitation or sham KT (nâ€‰=â€‰13) for 10 days. In addition, the same ACLR rehabilitation program was applied to all the patients. Main Outcome Measures: The baseline data included demographic and clinical characteristics, postoperative swelling, knee motion loss and knee pain, and bilateral strength of the knee and hip muscle groups, except for rotator. Then, percentage values of hip HSD and knee strength limb symmetry index were calculated. The hip strength measurements in ACLR-operated leg were repeated on the 5th to 10th days of KT. Results: Changes in all hip strength values over time were significant in both groups (Pâ€‰&lt;â€‰.01). In intergroup analysis of 5th and 10th days, improvements in the flexor (only 10th day), extensor, and adductor hip strength on operated leg were in favor of KT group (Pâ€‰&lt;â€‰.05). In addition, the postoperative thigh swelling and knee strength limb symmetry index values were correlated with the HSD outcomes in baseline data (Pâ€‰&lt;â€‰.05). Conclusions: ACLR-HSD can be caused by postoperative increased swelling and reduced knee strength. The KT treatment with lymphatic correction and muscle facilitation can be used in the treatment of postoperative hip muscle weakness after ACLR.</t>
  </si>
  <si>
    <t>J Sport Rehabil</t>
  </si>
  <si>
    <t>10.1123/jsr.2017-0219</t>
  </si>
  <si>
    <t>#260</t>
  </si>
  <si>
    <t>Balki 2019</t>
  </si>
  <si>
    <t>Comparison between Nintendo Wii Fit and conventional rehabilitation on functional performance outcomes after hamstring anterior cruciate ligament reconstruction: prospective, randomized, controlled, double-blind clinical trial.</t>
  </si>
  <si>
    <t>Baltaci G; Harput G; Haksever B; Ulusoy B; Ozer H</t>
  </si>
  <si>
    <t>PURPOSE: The aim of this prospective, randomized, controlled, double-blind clinical trial was to compare the outcomes, including knee strength, balance, coordination, proprioception and response time, of Nintendo Wii Fit with those of conventional rehabilitation on the subjects with anterior cruciate ligament reconstruction. METHODS: Thirty volunteer subjects were enrolled in either Wii Fit (n = 15; mean age, 29 Â± 7 years) or conventional rehabilitation (n = 15; mean age, 29 Â± 6 years) programmes from the first week up to 12th weeks of the operation. Endoscopic reconstruction of a completely ruptured ACL was performed by using graft harvested from hamstrings. Each subject underwent an individual therapeutic programme. Functional examinations included the measurements of the balance using modified star excursion balance test, coordination, proprioception and response time using functional squat system and strength of flexor and extensor muscles of the involved and uninvolved leg using an isokinetic machine. RESULTS: There was no significant difference between Wii Fit and conventional group in terms of isokinetic knee strength at 12th week, and dynamic balance, and functional squat tests including coordination, proprioception and response time at first, 8th and 12th weeks of the rehabilitation. CONCLUSION: Two different 12-week-physiotherapy programmes following ACL reconstruction have the same affect on muscle strength, dynamic balance and functional performance values in both groups. We considered that the practice of Wii Fit activities like conventional rehabilitation could also address physical therapy goals, which included improving visual-perceptual processing, coordination, proprioception and functional mobility.</t>
  </si>
  <si>
    <t>Apr</t>
  </si>
  <si>
    <t>10.1007/s00167-012-2034-2</t>
  </si>
  <si>
    <t>#415</t>
  </si>
  <si>
    <t>Baltaci 2013</t>
  </si>
  <si>
    <t>Preliminary results of an absorbable interference screw.</t>
  </si>
  <si>
    <t>Barber FA; Elrod BF; McGuire DA; Paulos LE</t>
  </si>
  <si>
    <t>A randomized, prospective multicenter comparison was done of a bioabsorbable interference screw (Bioscrew; Linvatec Corp, Largo, FL) made from poly L-lactic acid and a metal interference screw produced by the same company. Assignment was randomized by sealed envelopes. A total of 110 patients underwent arthroscopic patellar tendon autografts. A minimum 12 months follow-up is available on 85 patients (mean 19 months, range 12 to 33) including 42 with Bioscrews and 43 with metal screws. There were 56 male and 29 female patients. The average age was 29 years (16 to 50 years). Tourniquet times and associated surgical findings were similar for the two groups. Postoperative Tegner and Lysholm scores were not statistically different between the two groups. KT tests at 1 year showed an average 20-lb laxity of 1.8 mm for the Bioscrew and 1.2 mm for the metal screw groups. The average 1-year KT maximum manual side-to-side difference was 1.6 mm for Bioscrews and 1.6 mm for metal screws. A pivot_shift was absent in 83% of Bioscrews and 90% of metal screws at follow-up. Six of 85 Bioscrews inserted (7%) broke on insertion (all were 7-mm diameter screws at the femoral site). No additional fixation was required in four cases. In two, the broken screw was replaced. No lytic bone changes or tunnel widening were found with any Bioscrew. One metal screw had tibial tunnel widening. No statistical difference was found between the Bioscrew and the metal screw groups. Short-term data support the conclusion that the Bioscrew is a reasonable alternative to metal interference screws.</t>
  </si>
  <si>
    <t>10.1016/0749-8063(95)90129-9</t>
  </si>
  <si>
    <t>#676</t>
  </si>
  <si>
    <t>Barber 1995</t>
  </si>
  <si>
    <t>Comparison of oral ketorolac and hydrocodone for pain relief after anterior cruciate ligament reconstruction.</t>
  </si>
  <si>
    <t>Barber FA; Gladu DE</t>
  </si>
  <si>
    <t>The analgesic effectiveness of ketorolac tromethamine was compared with hydrocodone and acetaminophen for pain from an arthroscopically assisted patellar-tendon autograft anterior cruciate ligament reconstruction. There were 125 patients evaluated in a double-blind, randomized, multicenter, and multidose study. A loading dose of parental ketorolac tromethamine was administered and subjects were later given two staged doses of the same "unknown" drug with pain evaluations conducted after each dose. For group 1, dose 1 consisted of ketorolac tromethamine 20 mg orally and dose 2 was ketorolac tromethamine 10 mg. For group 2, both dose 1 and dose 2 consisted of hydrocodone 10 mg plus acetaminophen 1,000 mg orally. Efficacy was evaluated by standard analgesic measures. Subjects treated as outpatients showed lower categorical pain intensity for ketorolac tromethamine than hydrocodone and acetaminophen at 1 hour (P=.03), 2 hours (P=.006), and 3 hours (P=.02); lower summed intensity differences for ketorolac tromethamine than hydrocodone and acetaminophen at 3 hours (P=.014) and 4 hours (P=.019); and better total pain relief for ketorolac tromethamine than hydrocodone and acetaminophen at 3 hours (P=.014) and 4 hours (P=.013). With an effective loading dose administered before the subsequent oral dosage, there was statistically better pain reduction with ketorolac tromethamine than with hydrocodone and acetaminophen. Moreover, ketorolac tromethamine was no more likely to cause digestive complaints than hydrocodone and acetaminophen. No bleeding problems were observed in either group. In the outpatient setting, ketorolac tromethamine controls postoperative pain better than hydrocodone and acetaminophen in the immediate postsurgery period.</t>
  </si>
  <si>
    <t>10.1016/s0749-8063(98)70057-x</t>
  </si>
  <si>
    <t>#654</t>
  </si>
  <si>
    <t>Barber 1998</t>
  </si>
  <si>
    <t>The effect of knee extensor open kinetic chain resistance training in the ACL-injured knee.</t>
  </si>
  <si>
    <t>Barcellona MG; Morrissey MC; Milligan P; Clinton M; Amis AA</t>
  </si>
  <si>
    <t>PURPOSE: To investigate the effect of different loads of knee extensor open kinetic chain resistance training on anterior knee laxity and function in the ACL-injured (ACLI) knee. METHODS: Fifty-eight ACLI subjects were randomised to one of three (12-week duration) training groups. The STAND group trained according to a standardised rehabilitation protocol. Subjects in the LOW and HIGH group trained as did the STAND group but with the addition of seated knee extensor open kinetic chain resistance training at loads of 2 sets of 20 repetition maximum (RM) and 20 sets of 2RM, respectively. Anterior knee laxity and measurements of physical and subjective function were performed at baseline, 6 and 12 weeks. Thirty-six subjects were tested at both baseline and 12 weeks (STAND n = 13, LOW n = 11, HIGH n = 12). RESULTS: The LOW group demonstrated a reduction in 133 N anterior knee laxity between baseline and 12 weeks testing when compared to the HIGH and the STAND groups (p = 0.009). Specifically, the trained-untrained knee laxity decreased an average of approximately 5 mm in the LOW group while remaining the same in the other two groups. CONCLUSION: Twelve weeks of knee extensor open kinetic chain resistance training at loads of 2 sets of 20RM led to a reduction in anterior knee laxity in the ACLI knee. This reduction in laxity does not appear to offer any significant short-term functional advantages when compared to a standard rehabilitation protocol. These results indicate that knee laxity can be decreased with resistance training of the thigh muscles. LEVEL OF EVIDENCE: Randomised controlled trial, Level II.</t>
  </si>
  <si>
    <t>10.1007/s00167-014-3110-6</t>
  </si>
  <si>
    <t>#351</t>
  </si>
  <si>
    <t>Barcellona 2015</t>
  </si>
  <si>
    <t>Superior perioperative analgesia with combined femoral-obturator-sciatic nerve block in comparison with posterior lumbar plexus and sciatic nerve block for ACL reconstructive surgery.</t>
  </si>
  <si>
    <t>Bareka M; Hantes M; Arnaoutoglou E; Vretzakis G</t>
  </si>
  <si>
    <t>PURPOSE: The purpose of this randomized controlled study is to compare and evaluate the intraoperative and post-operative outcome of PLPS nerve block and that of femoral, obturator and sciatic (FOS) nerve block as a method of anaesthesia, in performing ACL reconstruction. METHODS: Patients referred for elective arthroscopic ACL reconstruction using hamstring autograft were divided in two groups. The first group received combined femoral-obturator-sciatic nerve block (FOS Group) under dual guidance, whereas the second group received posterior lumbar plexus block under neurostimulation and sciatic nerve block (PLPS Group) under dual guidance. RESULTS: The two groups were comparable in terms of age, sex, BMI and athletic activity. The time needed to perform the nerve blocks was significantly shorter for the FOS group (pÂ &lt;Â 0.005). Similarly, VAS scores during tourniquet inflation and autograft harvesting were significantly higher (pÂ &lt;Â 0.005) in the PLPS group and this is also reflected in the intraoperative fentanyl consumption and conversion to general anaesthesia. Finally, patients in this group also reported higher post-operative VAS scores and consumed more morphine. CONCLUSIONS: Peripheral nerve blockade of FOS nerve block under dual guidance for arthroscopic ACL reconstructive surgery is a safe and tempting anaesthetic choice. The success rate of this technique is higher in comparison with PLPS and results in less peri- and post-operative pain with less opioid consumption. This study provides support for the use of peripheral nerve blocks as an exclusive method for ACL reconstructive surgery in an ambulatory setting with almost no complications. LEVEL OF EVIDENCE: I.</t>
  </si>
  <si>
    <t>10.1007/s00167-017-4525-7</t>
  </si>
  <si>
    <t>#274</t>
  </si>
  <si>
    <t>Bareka 2018</t>
  </si>
  <si>
    <t>Quality of life and clinical outcome after anterior cruciate ligament reconstruction using patellar tendon graft or quadrupled semitendinosus graft: an 8-year follow-up of a randomized controlled trial.</t>
  </si>
  <si>
    <t>Barenius B; Nordlander M; Ponzer S; Tidermark J; Eriksson K</t>
  </si>
  <si>
    <t>BACKGROUND: Randomized controlled trials after anterior cruciate ligament reconstructions with long-term follow-up including assessment of health-related quality of life are rare. PURPOSE: To compare clinical outcome and health-related quality of life 8 years after anterior cruciate ligament reconstruction using 2 types of graft. STUDY DESIGN: Randomized controlled trial; Level of evidence, 1. METHODS: Long-term follow-up of 164 patients with anterior cruciate ligament injury randomized to arthroscopic reconstruction with a quadrupled semitendinosus graft or a bone-patellar tendon-bone graft was undertaken. After a mean 8 years, 153 patients were available for follow-up, including instrumented laxity, 1-legged hop test, a knee-walking test, and assessment with International Knee Documentation Committee, Lysholm, Tegner, and patellofemoral pain score. Health-related quality of life was assessed with Knee Osteoarthritis Outcome Score and Short Form-36. RESULTS: Patients in both graft groups retained the same stability, knee function, and health-related quality of life. The patellofemoral pain score was similar for both groups; the bone-patellar tendon-bone group had more donor site morbidity from kneeling and knee walking. In the bone-patellar tendon-bone group, 19 patients had no kneeling problems, 23 slight problems, 31 moderate problems, and 5 unable to kneel. Corresponding figures for the semitendinosus group were 25, 32, 16, and 2 (P &lt; .001). Patients with early reconstructions (&lt;5 months) had a lower risk for meniscal injuries (37%) than did later reconstructed (62%, P = .008). Health-related quality of life regarding physical functioning in Short Form-36 was better for the early-reconstructed patients than for the later reconstructed (92 vs 85; P = .014). Patients without medial meniscal surgery had higher Knee Osteoarthritis Outcome Scores for all subscales than did patients with medial meniscal surgery, with most significant difference for sport and recreation (63 vs 75, P = .008). CONCLUSION: In the long term, the semitendinosus graft provided similar stability, knee function, and health-related quality of life but with less kneeling morbidity than did the bone-patellar tendon-bone graft.</t>
  </si>
  <si>
    <t>#449</t>
  </si>
  <si>
    <t>Barenius 2010</t>
  </si>
  <si>
    <t>Increased risk of osteoarthritis after anterior cruciate ligament reconstruction: a 14-year follow-up study of a randomized controlled trial.</t>
  </si>
  <si>
    <t>Barenius B; Ponzer S; Shalabi A; Bujak R; NorlÃ©n L; Eriksson K</t>
  </si>
  <si>
    <t>BACKGROUND: The reported prevalence of radiological osteoarthritis (OA) after anterior cruciate ligament (ACL) reconstruction varies from 10% to 90%. Purpose/ HYPOTHESIS: To report the prevalence of OA after ACL reconstruction and to compare the OA prevalence between quadrupled semitendinosus tendon (ST) and bone-patellar tendon-bone (BPTB) grafts. The hypothesis was that there would be no difference in OA prevalence between the graft types. The secondary aim was to study whether patient characteristics and additional injuries were associated with long-term outcomes. STUDY DESIGN: Randomized controlled trial; Level of evidence, 1. METHODS: Radiological examination results, Tegner activity levels, and Knee injury and Osteoarthritis Outcome Score (KOOS) values were determined in 135 (82%) of 164 patients at a mean of 14 years after ACL reconstruction randomized to an ST or a BPTB graft. Osteoarthritis was defined according to a consensus by at least 2 of 3 radiologists of Kellgren-Lawrence grade â‰¥2. Using regression analysis, graft type, sex, age, overweight, time between injury and reconstruction, additional meniscus injury, and a number of other variables were assessed as risk factors for OA 14 years after ACL reconstruction. RESULTS: Osteoarthritis of the medial compartment was most frequent, with 57% of OA cases in the ACL-reconstructed knee and 18% of OA cases in the contralateral knee (P &lt; .001). There was no difference between the graft types: 49% of OA of the medial compartment for BPTB grafts and 65% for ST grafts (P = .073). The KOOS results were lower for patients with OA in all subscales, indicating that OA was symptomatic. No difference in the KOOS between the graft types was found. Meniscus resection was a strong risk factor for OA of the medial compartment (odds ratio, 3.6; 95% CI, 1.4-9.3) in the multivariable logistic regression analysis. CONCLUSION: A 3-fold increased prevalence of OA was found after an ACL injury treated with reconstruction compared with the contralateral healthy knee. No differences in the prevalence of OA between the BPTB and quadrupled ST reconstructions were found. An initial meniscus resection was a strong risk factor for OA; the time between injury and reconstruction was not.</t>
  </si>
  <si>
    <t>10.1177/0363546514526139</t>
  </si>
  <si>
    <t>#357</t>
  </si>
  <si>
    <t>Barenius 2014</t>
  </si>
  <si>
    <t>Quadriceps tendon vs. patellar tendon autograft for ACL reconstruction using a hardware-free press-fit fixation technique: comparable stability, function and return-to-sport level but less donor site morbidity in athletes after 10Â years.</t>
  </si>
  <si>
    <t>BariÃ© A; Sprinckstub T; Huber J; Jaber A</t>
  </si>
  <si>
    <t>INTRODUCTION: The use of quadriceps tendon-patellar bone (QTB) autograft for anterior cruciate ligament (ACL) reconstruction is gaining momentum. Yet, long-term results that compare this procedure with established methods are lacking. The aim of this study was to report and compare long-term results of ACL reconstruction using QTB autografts versus bone-patellar tendon-bone (BPTB) autografts, both anchored using a hardware-free press-fit fixation technique. MATERIALS AND METHODS: 60 athletes (Tegner score â‰¥6) with primary ACL rupture were prospectively randomized into two groups. 56 patients were evaluated after a mean duration of 12.2â€‰Â±â€‰1.9Â months (range 10-14) and 43 patients after 10.3â€‰Â±â€‰0.2Â years (range 10-11). RESULTS: On final follow-up, 90% of patients scored very good and good results in the functional Lysholm score (mean 99â€‰Â±â€‰7.1, range 74-100 points). Normal or almost normal IKDC score was reported by 84% of the patients (mean 97â€‰Â±â€‰9.5, range 60-100 points). The activity level decreased in the Tegner score from median of 7 before injury to 6 after 10Â years. The KT-1000 arthrometer showed a difference in the anterior translation of less than 3Â mm (mean 1.0â€‰Â±â€‰1.2, range -â€‰1 to 5Â mm) in 91% of the patients. Significant degeneration was radiologically detected in one patient per group. No tunnel widening was seen in any patient. Up to 97% of all patients were satisfied with the operative procedure. No significant differences were found in the mentioned parameters between the two groups and also in comparison with the 1-year results. The only significant difference was in the donor site morbidity. Significantly more patients in the BPTB group had complaints during kneeling both at 1 (pâ€‰&lt;â€‰0.001) and 10Â years (pâ€‰=â€‰0.019). Squatting was also subjectively more problematic in the BPTB group than in the QTB group both after 1 (pâ€‰=â€‰0.003) and 10Â years (pâ€‰=â€‰0.046). CONCLUSIONS: This study shows equally good functional, clinical and radiological long-term results for both hardware-free methods of ACL reconstruction. These results clinically confirm the safety of press-fit anchoring after 10Â years. The failure rate in this study was very low, with only one re-rupture in 10Â years. The increased donor site morbidity when using the BPTB autograft compared to the QTB autograft supports already reported data. It was also seen in this study for the implant-free press-fit techniques. STUDY DESIGN: Prospective and randomized, level of evidence 2.</t>
  </si>
  <si>
    <t>Arch Orthop Trauma Surg</t>
  </si>
  <si>
    <t>#188</t>
  </si>
  <si>
    <t>Barie 2020</t>
  </si>
  <si>
    <t>Females Have Earlier Muscle Strength and Functional Recovery After Bridge-Enhanced Anterior Cruciate Ligament Repair.</t>
  </si>
  <si>
    <t>Barnett S; Badger GJ; Kiapour A; Yen YM; Henderson R; Freiberger C; Proffen B; Sant N; Trainor B; Fleming BC; Micheli LJ; Murray MM; Kramer DE</t>
  </si>
  <si>
    <t>Background: While a sex effect on outcomes following anterior cruciate ligament (ACL) reconstruction surgery has been previously documented, less is known following bridge-enhanced ACL repair (BEAR). We hypothesized that female sex would have significantly worse early functional outcomes and higher retear rates following primary repair of the ACL enhanced with a tissue-engineered scaffold. Methods: Sixty-five patients (28 males and 37 females), age 14-35 with a complete ACL tear underwent primary repair of the ACL enhanced with a tissue-engineered scaffold (bridge-enhanced ACL repair) within 45 days of injury. International Knee Documentation Committee (IKDC) and Knee Injury and Osteoarthritis Outcome (KOOS) scores, as well as instrumented anteroposterior (AP) laxity through KT-1000 testing and functional outcome measures were obtained at time points up to 2 years postoperatively and compared between males and females using mixed model repeated measures analyses and chi square tests. Results: There was no significant sex difference on the postoperative IKDC Subjective Score at 3, 6, 12, or 24 months or any of the five KOOS scores at 12 and 24 months. Instrumented AP laxity testing demonstrated mean (standard deviation) side-to-side differences that were similar in the two sexes at 2 years; 1.7 (2.7) mm and 1.5 (3.7) mm in females and males, respectively, pâ€‰=â€‰0.72. At 6 months postoperatively, males had a larger deficit in hamstring strength on the operated leg (14.0% vs. 1.7%; pâ€‰=â€‰0.03) and a larger deficit in quadriceps strength on the operated leg (11.3% vs. 2.0%; pâ€‰=â€‰0.004); however, no sex difference was noted at 12 or 24 months. Females demonstrated superior single leg hop testing at 6 and 12 months ([91.3% vs. 78.1%, pâ€‰=â€‰0.001], [96.9% vs. 87.0%, pâ€‰=â€‰0.01] respectively). There were no significant sex differences on ipsilateral (males; 14.3% vs. females; 13.9%, pâ€‰=â€‰1.00) or contralateral (males; 3.6% vs. females; 2.8%, pâ€‰=â€‰1.00) ACL reinjury rates. Conclusions: Female subjects had better hamstring and quadriceps strength indices at 6 months than males as well as better hop test results at the 6 and 12-month time period. Despite this, there was no significant sex difference on patient-reported outcomes and objective AP laxity testing at time points up to 2 years postoperatively. Impact statement This is the first study comparing sex specific outcomes following the bridge-enhanced ACL repair technique (BEAR). The results of this study suggest that females have earlier recovery of both muscle strength and functional outcomes compared to their male counterparts. This is an important finding when considering future modifications to postoperative care and rehabilitation in females and males following this tissue-engineered BEAR technique.</t>
  </si>
  <si>
    <t>Tissue Eng Part A</t>
  </si>
  <si>
    <t>10.1089/ten.tea.2020.0057</t>
  </si>
  <si>
    <t>#186</t>
  </si>
  <si>
    <t>Barnett 2020</t>
  </si>
  <si>
    <t>Earlier Resolution of Symptoms and Return of Function After Bridge-Enhanced Anterior Cruciate Ligament Repair As Compared With Anterior Cruciate Ligament Reconstruction.</t>
  </si>
  <si>
    <t>Barnett SC; Murray MM; Badger GJ; Yen YM; Kramer DE; Sanborn R; Kiapour A; Proffen B; Sant N; Fleming BC; Micheli LJ</t>
  </si>
  <si>
    <t>BACKGROUND: Bridge-enhanced anterior cruciate ligament repair (BEAR) has noninferior patient-reported outcomes when compared with autograft anterior cruciate ligament reconstruction (ACLR) at 2 years. However, the comparison of BEAR and autograft ACLR at earlier time points-including important outcomes such as resolution of knee pain and symptoms, recovery of strength, and return to sport-has not yet been reported. HYPOTHESIS: It was hypothesized that the BEAR group would have higher outcomes on the International Knee Documentation Committee and Knee injury and Osteoarthritis Outcome Score, as well as improved muscle strength, in the early postoperative period. STUDY DESIGN: Randomized controlled trial; Level of evidence, 1. METHODS: A total of 100 patients aged 13 to 35 years with complete midsubstance anterior cruciate ligament injuries were randomized to receive a suture repair augmented with an extracellular matrix implant (n = 65) or an autograft ACLR (n = 35). Outcomes were assessed at time points up to 2 years postoperatively. Mixed-model repeated-measures analyses were used to compare BEAR and ACLR outcomes. Patients were unblinded after their 2-year visit. RESULTS: Repeated-measures testing revealed a significant effect of group on the International Knee Documentation Committee Subjective Score (P = .015), most pronounced at 6 months after surgery (BEAR = 86 points vs ACLR = 78 points; P = .001). There was a significant effect of group on the Knee injury and Osteoarthritis Outcome Score-Symptoms subscale scores (P = .010), largely attributed to the higher BEAR scores at the 1-year postoperative time point (88 vs 82; P = .009). The effect of group on hamstring strength was significant in the repeated-measures analysis (P &lt; .001), as well as at all postoperative time points (P &lt; .001 for all comparisons). At 1 year after surgery, approximately 88% of the patients in the BEAR group and 76% of the ACLR group had been cleared for return to sport (P = .261). CONCLUSION: Patients undergoing the BEAR procedure had earlier resolution of symptoms and increased satisfaction about their knee function, as well as improved resolution of hamstring muscle strength throughout the 2-year follow-up period. REGISTRATION: NCT02664545 (ClinicalTrials.gov identifier).</t>
  </si>
  <si>
    <t>10.1177/23259671211052530</t>
  </si>
  <si>
    <t>#148</t>
  </si>
  <si>
    <t>Barnett 2021</t>
  </si>
  <si>
    <t>Effect of blood flow restriction training in early postoperative rehabilitation after ACL reconstruction: a randomised controlled trial.</t>
  </si>
  <si>
    <t>Barzyk P; Fiedler C; Schlag M; Heitner A; Bender J; Paul J</t>
  </si>
  <si>
    <t>INTRODUCTION: Anterior cruciate ligament (ACL) injuries represent the most prevalent type of knee injury, with surgical reconstruction being the prevailing treatment modality. However, postoperative pain and muscle weakness are common occurrences. Blood flow restriction (BFR) training has demonstrated potential in enhancing muscle adaptation and reducing pain; nevertheless, its efficacy in the early postoperative period following ACL reconstruction remains to be determined. The present study investigates whether the incorporation of BFR into low-load strength training confers additional clinical benefits in comparison to low-load exercise alone. METHODS: A total of 30 patients (24 male, 6 female) with a mean age of 32.3 (Â± 12.4) years were included in the study. All patients had undergone primary ACL reconstruction with a semitendinosus graft and standardized fixation techniques. They were randomised to receive either low-load strength training with (LL-BFR) or without BFR (LL). The interventions consisted of four sets of leg press exercises (30 repetitions for the first set, 15 for subsequent sets) performed twice a week for four weeks, starting four weeks postoperatively, as an adjunct to standard rehabilitation protocols. The primary outcome measure was pain perception, which was assessed by pressure pain thresholds (PPT) and a visual analogue scale (VAS) for knee pain at rest and during a functional stair-climbing test. We further included strength and functional measurements. RESULTS: Mixed linear models were employed for the statistical analysis. No statistically significant differences between groups were observed for the primary or secondary outcome measures. Only, significant time effects were found for both groups for subjective pain (rest pâ€‰&lt;â€‰0.001, stairs pâ€‰=â€‰0.003); maximum strength (pâ€‰=â€‰0.002); active (ext. pâ€‰=â€‰0.035, flex. pâ€‰&lt;â€‰0.001) and passive range of motion (ROM) (ext. pâ€‰=â€‰0.029, flex. pâ€‰&lt;â€‰0.001) on the affected side and International Knee Documentation Committee (IDKC) scores (pâ€‰&lt;â€‰0.001). DISCUSSION: The present study shows that a combination of BFR and low-load strength training does not provide additional clinical benefits to low-load training alone in the early postoperative phase, following ACL reconstruction in our study group. Further research is required to explore the potential efficacy of BFR in specific patient subpopulations, with different training loads or at later stages of rehabilitation.</t>
  </si>
  <si>
    <t>Front Sports Act Living</t>
  </si>
  <si>
    <t>10.3389/fspor.2025.1689257</t>
  </si>
  <si>
    <t>#25</t>
  </si>
  <si>
    <t>Barzyk 2025</t>
  </si>
  <si>
    <t>Proprioception enhancement for anterior cruciate ligament deficiency. A prospective randomised trial of two physiotherapy regimes.</t>
  </si>
  <si>
    <t>Beard DJ; Dodd CA; Trundle HR; Simpson AH</t>
  </si>
  <si>
    <t>We performed a prospective, double-blind, randomised, clinical trial to investigate the efficacy of two regimes of rehabilitation for knees with anterior cruciate ligament deficiency (ACLD). Fifty ACLD patients were randomly allocated to one of two treatment groups: a programme of muscle strengthening (T) or a programme designed to enhance proprioception and improve hamstring contraction reflexes (P). An indirect measure of proprioception, the reflex hamstring contraction latency (RHCL), and a functional scoring system were used to record the status of the knee before and after the 12-week course of physiotherapy. Sagittal knee laxity was also measured. There was improvement in mean RHCL and in the mean functional score in both groups after treatment. The improvement in group P was significantly greater than that in group T. There was no significant change in joint laxity after treatment in either group. In both groups there was a positive correlation between improvement in RHCL and functional gain.</t>
  </si>
  <si>
    <t>#687</t>
  </si>
  <si>
    <t>Beard 1994</t>
  </si>
  <si>
    <t>Hamstrings vs. patella tendon for anterior cruciate ligament reconstruction: a randomised controlled trial.</t>
  </si>
  <si>
    <t>Beard DJ; Anderson JL; Davies S; Price AJ; Dodd CA</t>
  </si>
  <si>
    <t>A randomised controlled trial was performed to evaluate early outcome for two types of anterior cruciate ligament reconstruction. Sixty patients undergoing cruciate reconstruction were randomized into two groups. Group PT underwent reconstruction using a patella tendon autograft, whereas Group (SG) had a semitendinosus/gracilis autograft (SG). IKDC, Lysholm, and Tegner scores, KT1000 values and muscle strength were recorded pre-operatively, at 6 months and 1 year follow up. The functional scores, activity level, muscle strength and anterior tibial translation improved in both groups. No significant difference between groups was found for any measurement at 6 months and 1 year despite adequate study power. The study indicates that the 1 year results for either technique are equally favourable.</t>
  </si>
  <si>
    <t>10.1016/s0968-0160(01)00062-x</t>
  </si>
  <si>
    <t>#634</t>
  </si>
  <si>
    <t>Beard 2001</t>
  </si>
  <si>
    <t>No differences found in long-term outcomes of a randomized controlled trial comparing ipsilateral versus contralateral hamstring graft in ACL reconstruction.</t>
  </si>
  <si>
    <t>Beaudoin A; Ogborn D; McRae S; Larose G; Brown H; McCormack R; MacDonald P</t>
  </si>
  <si>
    <t>PURPOSE: Contralateral graft harvest in primary ACL reconstruction is relatively uncommon and the long-term comparative of this approach relative to ipsilateral harvest has not been described. The purpose of this study was to evaluate ACL graft and contralateral rupture following ipsilateral or contralateral semitendinosus and gracilis (STG) graft harvest at follow-up of a minimum 10Â years post-reconstruction in the treatment of a complete ACL tear. METHODS: Patients from a previous randomized trial were evaluated. The primary outcome measures were ipsilateral and contralateral reinjury as well as the International Knee Documentation Committee (IKDC) knee assessment form, the ACL Quality of Life questionnaire (ACL-QoL) and the Tegner activity scale. Participants completed four different single-leg hop tests and concentric knee flexion and extension strength were assessed on an isokinetic dynamometer. RESULTS: Of the original 100 patients, 50 patients (41.3â€‰Â±â€‰9.5Â years of age, 31 males, 19 females) reported on re-injury at 12.6â€‰Â±â€‰1.4Â years post-operative. Thirty-eight patients returned for full assessment and 12 responded by mail or phone survey. There were no differences between groups for graft rupture, contralateral injury, ACL-QoL score, IKDC categorization, or anterior tibial translation, though both groups experienced a reduction in the Tegner Activity Scale from their preinjury scores. There was no difference in knee flexor and extensor isokinetic concentric strength, or single leg hop test performance. Knee flexor strength limb symmetry index was reduced when measured in the supine relative to the seated position in both groups, indicating persistent deficits in knee flexor strength when measured in the supine position. CONCLUSION: Contralateral hamstring harvest does not put patients at an increased risk of a contralateral ACL tear and long-term outcomes of ACL reconstruction do not differ based on the side of graft harvest. Contralateral STG harvest may provide a safe alternative surgical option for select patients. LEVEL OF EVIDENCE: Level II.</t>
  </si>
  <si>
    <t>10.1007/s00167-022-06980-x</t>
  </si>
  <si>
    <t>#131</t>
  </si>
  <si>
    <t>Beaudoin 2022</t>
  </si>
  <si>
    <t>Effects of biophysical stimulation in patients undergoing arthroscopic reconstruction of anterior cruciate ligament: prospective, randomized and double blind study.</t>
  </si>
  <si>
    <t>Benazzo F; Zanon G; Pederzini L; Modonesi F; Cardile C; Falez F; Ciolli L; La Cava F; Giannini S; Buda R; Setti S; Caruso G; Massari L</t>
  </si>
  <si>
    <t>Pre-clinical studies have shown that treatment by pulsed electromagnetic fields (PEMFs) can limit the catabolic effects of pro-inflammatory cytokines on articular cartilage and favour the anabolic activity of the chondrocytes. Anterior cruciate ligament (ACL) reconstruction is usually performed by arthroscopic procedure that, even if minimally invasive, may elicit an inflammatory joint reaction detrimental to articular cartilage. In this study the effect of I-ONE PEMFs treatment in patients undergoing ACL reconstruction was investigated. The study end-points were (1) evaluation of patients' functional recovery by International Knee Documentation Committee (IKDC) Form; (2) use of non-steroidal anti-inflammatory drugs (NSAIDs), necessary to control joint pain and inflammation. The study design was prospective, randomized and double blind. Sixty-nine patients were included in the study at baseline. Follow-up visits were scheduled at 30, 60 and 180 days, followed by 2-year follow-up interview. Patients were evaluated by IKDC Form and were asked to report on the use of NSAIDs. Patients were randomized to active or placebo treatments; active device generated a magnetic field of 1.5 mT at 75 Hz. Patients were instructed to use the stimulator (I-ONE) for 4 h per day for 60 days. All patients underwent ACL reconstruction with use of quadruple hamstrings semitendinosus and gracilis technique. At baseline there were no differences in the IKDC scores between the two groups. At follow-up visits the SF-36 Health Survey score showed a statistically significant faster recovery in the group of patients treated with I-ONE stimulator (P &lt; 0.05). NSAIDs use was less frequent among active patients than controls (P &lt; 0.05). Joint swelling resolution and return to normal range of motion occurred faster in the active treated group (P &lt; 0.05) too. The 2-year follow-up did not shown statistically significant difference between the two groups. Furthermore for longitudinal analysis the generalized linear mixed effects model was applied to calculate the group x time interaction coefficient; this interaction showed a significant difference (P &lt; 0.0001) between the active and placebo groups for all investigated variables: SF-36 Health Survey, IKDC Subjective Knee Evaluation and VAS. Twenty-nine patients (15 in the active group; 14 in the placebo group) underwent both ACL reconstruction and meniscectomy; when they were analysed separately the differences in SF-36 Health Survey scores between the two groups were larger then what observed in the whole study group (P &lt; 0.05). The results of this study show that patient's functional recovery occurs earlier in the active group. No side effects were observed and the treatment was well tolerated. The use of I-ONE should always be considered after ACL reconstruction, particularly in professional athletes, to shorten the recovery time, to limit joint inflammatory reaction and its catabolic effects on articular cartilage and ultimately for joint preservation.</t>
  </si>
  <si>
    <t>10.1007/s00167-008-0519-9</t>
  </si>
  <si>
    <t>Beynnon 2002</t>
  </si>
  <si>
    <t>#506</t>
  </si>
  <si>
    <t>Bi 2018</t>
  </si>
  <si>
    <t>Benazzo 2008</t>
  </si>
  <si>
    <t>BjÃ¶rnsson 2016</t>
  </si>
  <si>
    <t>Bottoni 2015</t>
  </si>
  <si>
    <t>Comparison of tunnel expansion and isometric muscle strength after ACL reconstruction with single- or dual-bundle hamstring allograft: a prospective, randomized study.</t>
  </si>
  <si>
    <t>Breker 2025</t>
  </si>
  <si>
    <t>Beyaz S; Ã–zkoÃ§ G; AkpÄ±nar S; Demir Åž; Adam M; Tuncay IC</t>
  </si>
  <si>
    <t>Butt 2024</t>
  </si>
  <si>
    <t>Calvert 2025</t>
  </si>
  <si>
    <t>Cruz 2022</t>
  </si>
  <si>
    <t>OBJECTIVE: The aim of this study was to compare tunnel expansion and isokinetic muscle strength after single- and dual-bundle reconstruction of the anterior cruciate ligament (ACL). METHODS: This study included 34 patients who underwent ACL reconstruction in our clinic between November 2007 and March 2008. Eighteen patients (average age: 27.3 years; range: 19 to 35 years) underwent single-bundle ACL reconstruction and sixteen patients (average age: 30.1 years; range: 20 to 40 years) underwent dual-bundle ACL reconstruction. Method selection was determined by draw. Isokinetic hamstring and quadriceps muscle strength was tested preoperatively using Biodex 3. Three-dimensional computed tomography of the knee joint was taken in the 2nd and 3rd postoperative month. The three-dimensional computed tomography and isokinetic muscle strength tests were repeated at the 6th month follow-up. Each tunnel was divided into six equal parts, and the tunnel width in the sagittal and coronal planes was measured and the same points in the axial plane were measured in the tunnel area. RESULTS: No significant difference was found between the single- and dual-bundle reconstructions in isokinetic muscle strength values. No statistically significant difference was detected between the tunnel expansions in 2nd, 3rd and 6th month tomographies following single- and dual-bundle ACL reconstruction. CONCLUSION: Single- and dual-bundle ACL reconstructions seem to provide similar results in terms of early tunnel enlargement and isokinetic muscle strength.</t>
  </si>
  <si>
    <t>Ejerhed 2003</t>
  </si>
  <si>
    <t>10.3944/aott.2012.2749</t>
  </si>
  <si>
    <t>Eriksson 2001</t>
  </si>
  <si>
    <t>#396</t>
  </si>
  <si>
    <t>Feller 2003</t>
  </si>
  <si>
    <t>Beyaz 2012</t>
  </si>
  <si>
    <t>Gerber 2007</t>
  </si>
  <si>
    <t>Tunnel widening after single- versus double-bundle anterior cruciate ligament reconstruction: a randomized 8-year follow-up study.</t>
  </si>
  <si>
    <t>Gifstad 2013</t>
  </si>
  <si>
    <t>Gobbi 2006</t>
  </si>
  <si>
    <t>Beyaz S; GÃ¼ler ÃœÃ–; Demir Åž; YÃ¼ksel S; Ã‡Ä±nar BM; Ã–zkoÃ§ G; AkpÄ±nar S</t>
  </si>
  <si>
    <t>GuglielmettiLGB 2021</t>
  </si>
  <si>
    <t>Harilainen 2006</t>
  </si>
  <si>
    <t>Heijne 2010</t>
  </si>
  <si>
    <t>Holm 2010</t>
  </si>
  <si>
    <t>Horstmann 2022</t>
  </si>
  <si>
    <t>OBJECTIVE: The purpose of this study was to compare the single-bundle (SB) and double-bundle (DB) surgical techniques for anterior cruciate ligament (ACL) reconstruction with regard to tunnel widening, isokinetic muscle strength, and clinical outcomes over an 8-year follow-up period. METHODS: This study included 31 patients with ACL injury who underwent ACL reconstruction via the SB (nÂ =Â 16) or the DB (nÂ =Â 15) technique. Isokinetic and concentric strength measurements of the quadriceps and hamstring muscles were conducted at postoperative 6Â months and postoperative 8Â years, and 3D-CT scans of the knee joints were performed on the 2nd, 3rd and 6th month, and the 8th year postoperatively. Clinical evaluations were performed at 8Â years postoperatively with the International Knee Documentation Committee (IKDC), Tegner, and Lysholm knee scoring systems. RESULTS: There was marked widening of the parts of the femoral tunnel close to the knee joint in both the SD and the DB groups. There was no difference between the two groups in terms of clinical results and isometric muscle strength at postoperative 8Â years; however, there was a significant difference between the preoperative and 6Â months postoperative clinical and strength results in both group (PÂ &lt;Â 0.05). There was no difference between the groups in IKDC score, Lysholm score, Tegner activity scale, and anterior drawer test at postoperative 8Â years. On evaluation of the anteromedial bundles alone, the DB group had greater widening than the SB group. CONCLUSION: In this study, we have found that the tunnels continue to enlarge after 6Â months. However, that has no impact in patients comfort and that did not made any change in our daily routine. On the other hand, we found that the reconstruction of the double-band ligament technique is useless for non-professional athletes.</t>
  </si>
  <si>
    <t>Ibrahim 2005</t>
  </si>
  <si>
    <t>Iliopoulos 2017</t>
  </si>
  <si>
    <t>Jansson 2003</t>
  </si>
  <si>
    <t>Kautzner 2015</t>
  </si>
  <si>
    <t>10.1007/s00402-017-2774-z</t>
  </si>
  <si>
    <t>Komzak 2022</t>
  </si>
  <si>
    <t>Konrads 2016</t>
  </si>
  <si>
    <t>#267</t>
  </si>
  <si>
    <t>Laoruengthana 2009</t>
  </si>
  <si>
    <t>Beyaz 2017</t>
  </si>
  <si>
    <t>Lawhorn 2012</t>
  </si>
  <si>
    <t>Anterior cruciate ligament replacement: comparison of bone-patellar tendon-bone grafts with two-strand hamstring grafts. A prospective, randomized study.</t>
  </si>
  <si>
    <t>Laxdal 2005</t>
  </si>
  <si>
    <t>Leitgeb 2014</t>
  </si>
  <si>
    <t>Li 2015</t>
  </si>
  <si>
    <t>LidÃ©n 2007</t>
  </si>
  <si>
    <t>Beynnon BD; Johnson RJ; Fleming BC; Kannus P; Kaplan M; Samani J; RenstrÃ¶m P</t>
  </si>
  <si>
    <t>Lind 2020</t>
  </si>
  <si>
    <t>Lucidi 2025</t>
  </si>
  <si>
    <t>Lui 2012</t>
  </si>
  <si>
    <t>Lund 2014</t>
  </si>
  <si>
    <t>Maletis 2007</t>
  </si>
  <si>
    <t>Malik 2026</t>
  </si>
  <si>
    <t>BACKGROUND: The purpose of this investigation was to evaluate replacement of a torn anterior cruciate ligament with either a bone-patellar tendon-bone autograft or a two-strand semitendinosus-gracilis autograft to compare the results of clinical testing, patient satisfaction, activity level, functional status, and muscle strength. METHODS: Fifty-six patients with a torn anterior cruciate ligament were enrolled in a prospective, randomized, controlled study. Twenty-eight underwent reconstruction with a bone-patellar tendon-bone autograft, and twenty-eight were treated with a two-strand semitendinosus-gracilis autograft. Patients were followed for an average of thirty-nine months (range, thirty-six to fifty-seven months). At the time of final follow-up, twenty-two patients in each group were evaluated in terms of clinical test findings, patient satisfaction, activity level, functional status, and isokinetic muscle strength. RESULTS: The objective outcome of replacement of the torn anterior cruciate ligament with a bone-patellar tendon-bone graft was superior to that obtained with a two-strand semitendinosus-gracilis graft. At the three-year follow-up interval, the patients in whom a hamstring graft had been used had an average of 4.4 mm of increased anterior knee laxity compared with the laxity of the contralateral, normal knee, whereas the patients in whom a bone-patellar tendon-bone graft had been used had an average of 1.1 mm of increased knee laxity. Fourteen percent (three) of the twenty-two patients with a hamstring graft had a mild pivot_shift, and 27% (six) had a moderate pivot_shift. Only 14% (three) of the twenty-two patients with a bone-patellar tendon-bone graft had a mild pivot_shift, and none had a moderate pivot_shift. At the same follow-up interval, the patients in whom a hamstring graft had been used had significantly lower peak knee-flexion strength than those who had a bone-patellar tendon-bone graft (p = 0.039). In contrast, the two treatments produced similar outcomes in terms of patient satisfaction, activity level, and knee function (ability to perform a one-legged hop, bear weight, squat, climb stairs, run in place, and duckwalk). CONCLUSIONS: After three years of follow-up, the objective results of anterior cruciate ligament replacement with a bone-patellar tendon-bone autograft were superior to those of replacement with a two-strand semitendinosus-gracilis graft with regard to knee laxity, pivot-shift grade, and strength of the knee flexor muscles. However, the two groups had comparable results in terms of patient satisfaction, activity level, and knee function.</t>
  </si>
  <si>
    <t>Matsumoto 2006</t>
  </si>
  <si>
    <t>Mohtadi 2016</t>
  </si>
  <si>
    <t>Mohtadi 2019</t>
  </si>
  <si>
    <t>#610</t>
  </si>
  <si>
    <t>Moraiti 2010</t>
  </si>
  <si>
    <t>Noh 2011</t>
  </si>
  <si>
    <t>O'Neill 1996</t>
  </si>
  <si>
    <t>Rehabilitation after anterior cruciate ligament reconstruction: a prospective, randomized, double-blind comparison of programs administered over 2 different time intervals.</t>
  </si>
  <si>
    <t>Papalia 2015</t>
  </si>
  <si>
    <t>Pigozzi 2004</t>
  </si>
  <si>
    <t>Beynnon BD; Uh BS; Johnson RJ; Abate JA; Nichols CE; Fleming BC; Poole AR; Roos H</t>
  </si>
  <si>
    <t>Pinczewski 2007</t>
  </si>
  <si>
    <t>Popovic 2024</t>
  </si>
  <si>
    <t>BACKGROUND: There are adverse effects associated with immobilization of the knee after anterior cruciate ligament reconstruction, yet very little is known about how much activity will promote adequate rehabilitation without permanently elongating the graft, producing graft failure, or creating damage to articular cartilage. HYPOTHESIS: Rehabilitation with either an accelerated or nonaccelerated program produces no difference in anterior-posterior knee laxity, clinical assessment, patient satisfaction, functional performance, and the synovial fluid biomarkers of articular cartilage metabolism. STUDY DESIGN: Randomized controlled clinical trial; Level of evidence, 1. METHODS: Twenty-five patients who tore their anterior cruciate ligament were enrolled and underwent anterior cruciate ligament reconstruction. Patients were randomized to accelerated rehabilitation or nonaccelerated rehabilitation. At the time of surgery and 3, 6, 12, and 24 months later, measurements of anterior-posterior knee laxity, clinical assessment, patient satisfaction, functional performance, and cartilage metabolism were completed. RESULTS: At the 2-year follow-up, there was no difference in the increase of anterior knee laxity relative to the baseline values that were obtained immediately after surgery between the 2 groups (2.2-mm vs 1.8-mm increase relative to the normal knee). The groups were similar in terms of clinical assessment, patient satisfaction, activity level, function, and response of the bio-markers. After 1 year of healing, synthesis of collagen and turnover of aggrecan remained elevated in both groups. CONCLUSION: Anterior cruciate ligament reconstruction with a bone-patellar tendon-bone graft followed by either accelerated or nonaccelerated rehabilitation produces the same increase of anterior knee laxity. Both programs had the same effect in terms of clinical assessment, patient satisfaction, functional performance, and the biomarkers of articular cartilage metabolism. There is concern that the cartilage biomarkers remained elevated for an extended period.</t>
  </si>
  <si>
    <t>Sajovic 2018</t>
  </si>
  <si>
    <t>Sinding 2020</t>
  </si>
  <si>
    <t>10.1177/0363546504268406</t>
  </si>
  <si>
    <t>Smith 2020</t>
  </si>
  <si>
    <t>#571</t>
  </si>
  <si>
    <t>Sonnery-Cottet 2020</t>
  </si>
  <si>
    <t>Beynnon 2005</t>
  </si>
  <si>
    <t>Sonnery-Cottet 2026</t>
  </si>
  <si>
    <t>Tang 2024</t>
  </si>
  <si>
    <t>Taylor 2009</t>
  </si>
  <si>
    <t>Vilchez-Cavazos 2020</t>
  </si>
  <si>
    <t>Webster 2001</t>
  </si>
  <si>
    <t>Wipfler 2011</t>
  </si>
  <si>
    <t>Accelerated versus nonaccelerated rehabilitation after anterior cruciate ligament reconstruction: a prospective, randomized, double-blind investigation evaluating knee joint laxity using roentgen stereophotogrammetric analysis.</t>
  </si>
  <si>
    <t>Yadav 2025</t>
  </si>
  <si>
    <t>Beynnon BD; Johnson RJ; Naud S; Fleming BC; Abate JA; Brattbakk B; Nichols CE</t>
  </si>
  <si>
    <t>Yoo 2017</t>
  </si>
  <si>
    <t>Zaffagnini 2011</t>
  </si>
  <si>
    <t>BACKGROUND: The relationship between the biomechanical dose of rehabilitation exercises administered after anterior cruciate ligament (ACL) reconstruction and the healing response of the graft and knee is not well understood. HYPOTHESIS: After ACL reconstruction, rehabilitation administered with either accelerated or nonaccelerated programs produces the same change in the knees' 6 degrees of freedom, or envelope, laxity values. STUDY DESIGN: Randomized controlled trial; Level of evidence, 1. METHODS: Patients who underwent ACL reconstruction with a bone-patellar tendon-bone autograft were randomized to rehabilitation with either accelerated (19 week) or nonaccelerated (32 week) programs. At the time of surgery, and then 3, 6, 12, and 24 months later, the 6 degrees of freedom knee laxity values were measured using roentgen stereophotogrammetric analysis and clinical, functional, and patient-oriented outcome measures. RESULTS: Eighty-five percent of those enrolled were followed through 2 years. Laxity of the reconstructed knee was restored to within the limits of the contralateral, normal side at the time of surgery (baseline) in all participants. Patients in both programs underwent a similar increase in the envelope of knee laxity over the 2-year follow-up interval (anterior-posterior translation 3.2 vs 4.5 mm, and coupled internal-external rotations 2.6Â° vs 1.9Â° for participants in the accelerated and nonaccelerated programs, respectively). Those who underwent accelerated rehabilitation experienced a significant improvement in thigh muscle strength at the 3-month follow-up (P &lt; .05) compared with those who participated in nonaccelerated rehabilitation, but no differences between the programs were seen after this time interval. At the 2-year follow-up, the groups were similar in terms of clinical assessment, patient satisfaction, function, proprioception, and isokinetic thigh muscle strength. CONCLUSION: Rehabilitation with the accelerated and nonaccelerated programs administered in this study produced the same increase in the envelope of knee laxity. A majority of the increase in the envelope of knee laxity occurred during healing when exercises were advanced and activity level increased. Patients in both programs had the same clinical assessment, functional performance, proprioception, and thigh muscle strength, which returned to normal levels after healing was complete. For participants in both treatment programs, the Knee Injury and Osteoarthritis Outcome Score (KOOS) assessment of quality of life did not return to preinjury levels.</t>
  </si>
  <si>
    <t>10.1177/0363546511422349</t>
  </si>
  <si>
    <t>#425</t>
  </si>
  <si>
    <t>Beynnon 2011</t>
  </si>
  <si>
    <t>[Prospective comparative study of arthroscopic anterior cruciate ligament construction with autograft and allograft].</t>
  </si>
  <si>
    <t>Bi HY; Sun XJ; Mu HJ; Zhang GD; Yang Y</t>
  </si>
  <si>
    <t>OBJECTIVE: To study the clinical effect of arthroscopic anterior cruciate ligament (ACL) construction with different transplants. METHODS: From March 2006 to April 2009, 86 patients including 60 male and 26 female undergoing arthroscopic ACL reconstruction were prospectively randomized consecutively into autograft group (44 patients, using autogeneic hamstring tendons) and allograft group (42 patients, using allogenic lower extremity tendons). The age of those patients were 22 - 56 years, averaging (32 Â± 7) years. The operations were made by the same doctor with the standard technology. The postoperative effects were assessed by the range of motion and tibia forward distance, Lachman test, pivot_shift test, Daniel test, IKDC scores systems, Lysholm-Tegner scores. RESULTS: Seventy-nine patients were followed up, 41 patients in autograft groups averaged 39.6 months and 38 patients in allograft group averaged 37.4 months. The operation time of autograft group was (87 Â± 11) minutes, that of allograft group was (55 Â± 10) minutes (t = 15.732, P &lt; 0.05). The time of postoperative fever of autograft group was (3.2 Â± 1.4) days, that of allograft groups was (7.6 Â± 5.3) days (t = 5.740, P &lt; 0.05). The Lysholm scores of autograft group was 42 Â± 7 before operation, and 89 Â± 8 at final follow-up. The Lysholm scores of allograft group was 44 Â± 6 before operation, and 87 Â± 9 at final follow-up. There was statistic difference in both groups between before operation and final follow-up (t = 13.534 and 17.768, P &lt; 0.05).But no statistic difference existed between the two groups (P &gt; 0.05). The Tegner scores of autograft group was 2.9 Â± 2.1 before operation, and 7.7 Â± 1.2 at final follow-up. The Tegner scores of allograft group was 2.7 Â± 1.4 before operation, and 7.1 Â± 1.6 at final follow-up. There was statistic difference in both groups between before operation and final follow-up (t = 16.004 and 12.338, P &lt; 0.05).No statistic difference existed between the two groups (P &gt; 0.05). The KT2000 results showed that the anterior displacement of autograft groups was (10.7 Â± 3.5) mm before operation and (5.0 Â± 2.7) mm at final follow-up, the anterior displacement of allograft groups was (10.9 Â± 2.9) mm before operation and (6.5 Â± 2.4) mm at final follow-up, there was statistic difference between before and after operation in anterior displacement in two groups (t = 16.354 and 13.296 P &lt; 0.05). There was no difference between two groups before operation and at final follow-up. Compared to before operation, the IKDC scores were improved greatly after operation (P &lt; 0.05). CONCLUSION: The clinical effect of arthroscopic ACL construction with allograft transplants is near to autograft.</t>
  </si>
  <si>
    <t>Zhonghua Wai Ke Za Zhi</t>
  </si>
  <si>
    <t>#382</t>
  </si>
  <si>
    <t>Bi 2013</t>
  </si>
  <si>
    <t>All-Inside Single-Bundle Reconstruction of the Anterior Cruciate Ligament with the Anterior Half of the Peroneus Longus Tendon Compared to the Semitendinosus Tendon: A Two-Year Follow-Up Study.</t>
  </si>
  <si>
    <t>Bi M; Zhao C; Zhang S; Yao B; Hong Z; Bi Q</t>
  </si>
  <si>
    <t>The anterior half of the peroneus longus tendon (AHPLT) has been reported to be acceptable for ligament reconstruction with respect to strength and safety. However, there is little information regarding the clinical outcomes after using the AHPLT compared with other autograft tendons. A prospective randomized controlled study was performed to compare the results of 62 cases of all-inside anatomical single-bundle anterior cruciate ligament (ACL) reconstruction using the AHPLT and 62 cases using semitendinosus graft with an average of 30.0â€‰Â±â€‰3.6 months' follow-up. Tunnel placements of enrolled cases were measured on three-dimensional (3D) computed tomography (CT) and X-ray imaging. Knee stability was assessed using the anterior drawer test, pivot_shift test, and KT-1000. The International Knee Documentation Committee (IKDC) 2000 subjective score was used to evaluate functional outcomes. The American Orthopedic Foot and Ankle Score (AOFAS) and the assessment of eversion muscle strength were performed to evaluate the function of the ankle donor site. Tunnel positions, which were confirmed with 3D CT, were in the anatomical positions. At the final follow-up, there were no significant differences between the semitendinosus group and the AHPLT group in the IKDC score (90.4â€‰Â±â€‰7.1 vs. 89.3.â€‰Â±â€‰8.4), KT 1000 measurements (1.71â€‰Â±â€‰0.57 vs. 1.85â€‰Â±â€‰0.77), pivot_shift test, and Visual Analogue Scale (VAS) (0.15â€‰Â±â€‰0.36 vs. 0.10â€‰Â±â€‰0.30). No obvious ankle site complications were found at 24 months. The average AOFAS score of the AHPLT group was comparable to that of the semitendinosus tendon group (99.1â€‰Â±â€‰1.40 vs. 99.5â€‰Â±â€‰1.21). There was no significant difference in clinical outcomes or knee stability between the semitendinosus group and the AHPLT group at the 2-year follow-up. An AHPLT autograft may be a good alternative for all-inside ACL reconstruction with respect to its strength, safety, and donor site morbidity.</t>
  </si>
  <si>
    <t>J Knee Surg</t>
  </si>
  <si>
    <t>#256</t>
  </si>
  <si>
    <t>A randomized controlled trial comparing the effectiveness of functional knee brace and neoprene sleeve use after anterior cruciate ligament reconstruction.</t>
  </si>
  <si>
    <t>Birmingham TB; Bryant DM; Giffin JR; Litchfield RB; Kramer JF; Donner A; Fowler PJ</t>
  </si>
  <si>
    <t>BACKGROUND: Despite a lack of evidence for their effectiveness, functional knee braces are commonly prescribed to patients after anterior cruciate ligament (ACL) reconstruction. PURPOSE: This trial was conducted to compare postoperative outcomes in patients using an ACL functional knee brace and patients using a neoprene knee sleeve. HYPOTHESIS: Patients using a brace will have superior outcomes than those using a sleeve. STUDY DESIGN: Randomized controlled clinical trial; Level of evidence, 1. METHODS: One hundred fifty patients were randomized to receive a brace (n = 76) or neoprene sleeve (n = 74) at their 6-week postoperative visit after primary ACL reconstruction with hamstring autograft. Patients were assessed preoperatively, then 6 weeks and 6, 12, and 24 months postoperatively. Outcome measures included disease-specific quality of life (Anterior Cruciate Ligament-Quality of Life [ACL-QOL] Questionnaire), anterior tibial translation (KT-1000 arthrometer side-to-side difference), the single-limb forward hop test (limb symmetry index), and Tegner Activity Scale. Outcomes at 1 and 2 years were compared after adjusting for baseline scores. Subjective ratings of how patients felt while using the brace/sleeve were also collected for descriptive purposes using a questionnaire. Four a priori directional subgroup hypotheses were evaluated using tests for interactions. RESULTS: There were no significant differences between brace (n = 62) and sleeve (n = 65) groups for any of the outcomes at 1- and 2-year follow-ups. Adjusted mean differences at 2 years were as follows: -0.94 (95% confidence interval [CI], -7.52 to 5.64) for the ACL-QOL Questionnaire, -0.10 mm (95% CI, -0.99 to 0.81) for KT-1000 arthrometer side-to-side difference, -0.87% (95% CI, -8.89 to 7.12) for hop limb symmetry index, and -0.05 (95% CI, -0.72 to 0.62) for the Tegner Activity Scale. Subjective ratings of confidence in the knee provided by the brace/sleeve were higher for the brace group than the sleeve group. Subgroup findings were minimal. Adverse events were few and similar between groups. CONCLUSIONS: A functional knee brace does not result in superior outcomes compared with a neoprene sleeve after ACL reconstruction. Current evidence does not support the recommendation of using an ACL functional knee brace after ACL reconstruction.</t>
  </si>
  <si>
    <t>10.1177/0363546507311601</t>
  </si>
  <si>
    <t>#516</t>
  </si>
  <si>
    <t>Birmingham 2008</t>
  </si>
  <si>
    <t>Correlation of tunnel widening and tunnel positioning with short-term functional outcomes in single-bundle anterior cruciate ligament reconstruction using patellar tendon versus hamstring graft: a prospective study.</t>
  </si>
  <si>
    <t>Biswal UK; Balaji G; Nema S; Poduval M; Menon J; Patro DK</t>
  </si>
  <si>
    <t>OBJECTIVE: To study the correlation between tunnel widening and tunnel position with short-term functional outcomes post-ACL reconstruction with patellar tendon and hamstring autografts in young adults. MATERIALS AND METHODS: A total of 33 patients who underwent ACL reconstruction between October 2013 and February 2015 were included and followed up for 6Â months. A standardized surgical technique was used for each graft type. Intra-op arthroscopy findings and drilled tunnel diameters were noted. They were followed up for 3 and 6Â months. Radiological assessment was done at 3 and 6Â months with clinical score assessment at 6Â months. RESULTS: At 6Â months, clinical scores were comparable in both groups. Tunnel widening in both femoral and tibial tunnel at 3 and 6Â months were significantly higher in STG group (p values &lt;0.05). The rate of widening was higher in 0-3Â months and reduced in 3-6Â months. There was statistically significant negative correlation between femoral tunnel widening by CT and IKDC score at 6Â months (p value 0.049). We found a positive correlation between posterior positioning of femoral tunnel and Lysholm and IKDC scores. The correlation with Lysholm scores was statistically significant (p value 0.046). CONCLUSION: To conclude, tunnel widening is more with hamstrings graft. Femoral tunnel widening has significant negative correlation with that of IKDC scores at 6Â months. Posterior femoral tunnel positioning and Lysholm scores at 6Â months had significant correlation.</t>
  </si>
  <si>
    <t>Eur J Orthop Surg Traumatol</t>
  </si>
  <si>
    <t>10.1007/s00590-016-1809-4</t>
  </si>
  <si>
    <t>#296</t>
  </si>
  <si>
    <t>Biswal 2016</t>
  </si>
  <si>
    <t>A Randomized Controlled Trial With Mean 16-Year Follow-up Comparing Hamstring and Patellar Tendon Autografts in Anterior Cruciate Ligament Reconstruction.</t>
  </si>
  <si>
    <t>BjÃ¶rnsson H; Samuelsson K; Sundemo D; Desai N; Sernert N; RostgÃ¥rd-Christensen L; Karlsson J; Kartus J</t>
  </si>
  <si>
    <t>BACKGROUND: There is no consensus in the current literature on which surgical options render the best long-term results after anterior cruciate ligament (ACL) reconstruction in terms of clinical outcomes and the development of radiographic osteoarthritis (OA). PURPOSE: To investigate the long-term clinical and radiographic results after ACL reconstruction using either a patellar tendon (PT) autograft or a hamstring tendon (HT) autograft. STUDY DESIGN: Randomized controlled trial; Level of evidence, 2. METHODS: This multicenter study was based on 2 previous randomized cohorts consisting of 193 patients who underwent unilateral primary ACL reconstruction using either a PT autograft or an HT autograft. The index surgical procedure was performed between September 1995 and January 2000. Clinical assessments, including knee laxity measurements, functional outcomes, patient-reported outcomes, and bilateral standing radiographs, were performed at the final follow-up examination. RESULTS: At the long-term follow-up, 147 (76%) patients were examined: 61 in the PT group and 86 in the HT group. The mean (Â±SD) follow-up time was 191.9 Â±15.1 months for the HT group and 202.6 Â± 10.4 months for the PT group. Knee laxity measurements revealed significantly more patients with a normal pivot-shift test finding in the HT group compared with the PT group (71% vs 51%, respectively; P = .048); however, no significant differences were found in terms of the manual Lachman test or the KT-1000 arthrometer manual maximum test. The patients in the PT group had significantly more difficulty knee walking (P = .049). There were no significant differences between the study groups in terms of patient-reported outcomes or range of motion in the reconstructed knee. In both groups, significantly more signs of radiographic OA were found in the reconstructed knee than in the contralateral healthy knee. However, there were no significant differences between the groups in terms of radiographic OA. CONCLUSION: Only minor and mostly insignificant differences were found between the PT and HT autograft groups in this long-term randomized controlled trial. In both groups, significantly more signs of radiographic OA were found in the reconstructed knee than in the contralateral knee.</t>
  </si>
  <si>
    <t>#303</t>
  </si>
  <si>
    <t>Whole body and local muscle vibration reduce artificially induced quadriceps arthrogenic inhibition.</t>
  </si>
  <si>
    <t>Blackburn JT; Pamukoff DN; Sakr M; Vaughan AJ; Berkoff DJ</t>
  </si>
  <si>
    <t>OBJECTIVE: To evaluate the effects of whole body vibration (WBV) and local muscle vibration (LMV) on quadriceps function after experimental knee effusion (ie, simulated pathology). DESIGN: Randomized controlled trial. SETTING: Research laboratory. PARTICIPANTS: Healthy volunteers (N=43) were randomized to WBV (n=14), LMV (n=16), or control (n=13) groups. INTERVENTIONS: Saline was injected into the knee to induce quadriceps arthrogenic muscle inhibition (AMI). All groups then performed isometric squats while being exposed to WBV, LMV, or no vibration (control). MAIN OUTCOME MEASURES: Quadriceps function was assessed at baseline, immediately after effusion, and immediately and 5 minutes after each intervention (WBV, LMV, control) via voluntary peak torque (VPT) and the central activation ratio (CAR) during maximal isometric knee extension on a multifunction dynamometer. RESULTS: The CAR improved in the WBV (11.4%, P=.021) and LMV (7.3%, P&lt;.001) groups immediately postintervention, but they did not improve in the control group. Similarly, VPT increased by 16.5% (P=.021) in the WBV group and 23% (P=.078) in the LMV group immediately postintervention, but it did not increase in the control group. The magnitudes of improvements in the CAR and VPT did not differ between the WBV and LMV groups. CONCLUSIONS: Quadriceps AMI is a common complication following knee pathology that produces quadriceps dysfunction and increases the risk of posttraumatic osteoarthritis. Quadriceps strengthening after knee pathology is often ineffective because of AMI. WBV and LMV improve quadriceps function equivocally after simulated knee pathology, effectively minimizing quadriceps AMI. Therefore, these stimuli may be used to enhance quadriceps strengthening, therefore improving the efficacy of rehabilitation and reducing the risk of osteoarthritis.</t>
  </si>
  <si>
    <t>Arch Phys Med Rehabil</t>
  </si>
  <si>
    <t>10.1016/j.apmr.2014.07.393</t>
  </si>
  <si>
    <t>#349</t>
  </si>
  <si>
    <t>Blackburn 2014</t>
  </si>
  <si>
    <t>The effects of isometric and isotonic training on hamstring stiffness and anterior cruciate ligament loading mechanisms.</t>
  </si>
  <si>
    <t>Blackburn JT; Norcross MF</t>
  </si>
  <si>
    <t>Greater hamstring musculotendinous stiffness is associated with lesser ACL loading mechanisms. Stiffness is enhanced via training, but previous investigations evaluated tendon rather than musculotendinous stiffness, and none involved the hamstrings. We evaluated the effects of isometric and isotonic training on hamstring stiffness and ACL loading mechanisms. Thirty-six healthy volunteers were randomly assigned to isometric, isotonic, and control groups. Isometric and isotonic groups completed 6 weeks of training designed to enhance hamstring stiffness. Stiffness, anterior tibial translation, and landing biomechanics were measured prior to and following the interventions. Hamstring stiffness increased significantly with isometric training (15.7%; p=0.006), but not in the isotonic (13.5%; p=0.089) or control (0.4%; p=0.942) groups. ACL loading mechanisms changed in manners consistent with lesser loading, but these changes were not statistically significant. These findings suggest that isometric training may be an important addition to ACL injury prevention programs. The lack of significant changes in ACL loading mechanisms and effects of isotonic training were likely due to the small sample sizes per group and limited intervention duration. Future research using larger sample sizes and longer interventions is necessary to determine the effects of enhancing hamstring stiffness on ACL loading and injury risk.</t>
  </si>
  <si>
    <t>J Electromyogr Kinesiol</t>
  </si>
  <si>
    <t>10.1016/j.jelekin.2013.10.010</t>
  </si>
  <si>
    <t>#366</t>
  </si>
  <si>
    <t>Effectiveness of Transcutaneous and Percutaneous Electrical Nerve Stimulation as Adjunct Therapies in Patients After Anterior Cruciate Ligament Reconstruction: Study Protocol for a Randomized Controlled Trial.</t>
  </si>
  <si>
    <t>Blanco-LÃ³pez L; NÃ¡cher-MoltÃ² I; SÃ¡nchez-GonzÃ¡lez JL; Casado-GÃ³mez D; Cases-SebastiÃ  A; Reina-AbellÃ¡n J</t>
  </si>
  <si>
    <t>Background/Objectives: Quadriceps arthrogenic muscle inhibition (AMI) represents a key impairment following anterior cruciate ligament reconstruction (ACLR), contributing to quadriceps weakness. Although transcutaneous electrical nerve stimulation (TENS) and percutaneous electrical nerve stimulation (PENS) have been primarily investigated for analgesia, their effects on quadriceps strength in the early postoperative period remain underexplored. Methods: This study describes a single-blinded, parallel-group randomized controlled trial investigating the short-term effects of a single high-frequency TENS session and a novel long-term potentiation (LTP) PENS protocol on quadriceps strength and related clinical outcomes after ACLR. Fifty-four participants will be randomly allocated using block randomization in a 1:1:1 ratio to one of three groups: a control group (conventional post-ACLR rehabilitation only), a TENS group (conventional rehabilitation plus a single high-frequency TENS session), or a PENS group (conventional rehabilitation plus a single LTP PENS session). Participants will receive neuromodulatory intervention during the sixth postoperative week. The LTP PENS protocol consists of five 5 s stimulation bursts at 100 Hz and 250 Î¼s pulse width and has only been investigated once in patients with upper limb pathology, underscoring its novelty in a postoperative setting. Results: The primary outcome is quadriceps maximal voluntary isometric contraction, selected as a clinically relevant surrogate of quadriceps activation deficits associated with AMI. Secondary outcomes include pain intensity, pressure pain threshold, knee range of motion, thigh muscle perimeter, knee effusion and swelling, and self-reported function and knee-related quality of life. Outcomes will be assessed at baseline, immediately post-treatment, and 1 and 7 days post-intervention by a blinded assessor.</t>
  </si>
  <si>
    <t>J Clin Med</t>
  </si>
  <si>
    <t>10.3390/jcm15030989</t>
  </si>
  <si>
    <t>#24</t>
  </si>
  <si>
    <t>Blanco-LÃ³pez 2026</t>
  </si>
  <si>
    <t>Visuomotor therapy modulates corticospinal excitability in patients following anterior cruciate ligament reconstruction: A randomized crossover trial.</t>
  </si>
  <si>
    <t>Bodkin SG; Bruce AS; Hertel J; Diduch DR; Saliba SA; Novicoff WM; Hart JM</t>
  </si>
  <si>
    <t>BACKGROUND: Corticospinal adaptations have been observed following anterior cruciate ligament reconstruction around the time of returning to activity. These measures have been related to quadriceps strength deficits. Visuomotor therapy, combining motor control tasks with visual biofeedback, has been shown to increase corticospinal excitability. The purpose of this study was to assess the immediate changes of corticospinal excitability following a single session of visuomotor therapy in patients following anterior cruciate ligament reconstruction. METHODS: This was a single blinded, sham-controlled crossover study. Ten patients following ACLR (8 Female, 26.1(6.2) years) completed assessments of quadriceps strength at approximately 4- and 6-months following anterior cruciate ligament reconstruction. At 6-months, quadriceps motor evoked potentials were assessed at 80%, 90%, 100%, 110%, 120%, 130%, 140%, and 150% of the patient's active motor threshold. Patients were randomized to receive a single session of visuomotor therapy(active) or passive motion(sham). Quadriceps motor evoked potentials were reassessed for treatment effect. Following a one-week washout period, all patients received the crossover intervention. FINDINGS: Moderate to large increases in motor response following visuomotor therapy 90%(PÂ =Â .008, rÂ =Â 0.60), 110%(PÂ =Â .038, rÂ =Â 0.46), 120%(PÂ =Â .021, rÂ =Â 0.52), 130%(PÂ =Â .021, rÂ =Â 0.52), 140%(PÂ =Â .008, rÂ =Â 0.60) and 150%(PÂ =Â .021, rÂ =Â 0.52) of the active motor threshold were found. Moderate increases in motor response was observed following the passive motion at 80% of the active motor threshold(PÂ =Â .028, rÂ =Â 0.49). INTERPRETATION: A single session of visuomotor therapy was found to increase quadriceps corticospinal motor response greater than the response to sham therapy. Visuomotor therapy is a potential supplement to quadriceps rehabilitation programs when upregulation of corticospinal excitability is indicated.</t>
  </si>
  <si>
    <t>Clin Biomech (Bristol)</t>
  </si>
  <si>
    <t>10.1016/j.clinbiomech.2020.105238</t>
  </si>
  <si>
    <t>#174</t>
  </si>
  <si>
    <t>Bodkin 2021</t>
  </si>
  <si>
    <t>Self-reported functional recovery after reconstruction versus repair in acute anterior cruciate ligament rupture (ROTOR): a randomized controlled clinical trial.</t>
  </si>
  <si>
    <t>Boer BC; Hoogeslag RAG; Brouwer RW; Demmer A; Huis In 't Veld RMHA</t>
  </si>
  <si>
    <t>BACKGROUND: Anterior cruciate ligament (ACL) reconstruction is today's surgical gold standard for ACL rupture. Although it provides satisfactory results, not all patients return to their previous activity level and moreover, early posttraumatic osteoarthritis is not prevented. As such, a renewed interest has emerged in ACL suture repair combined with dynamic augmentation. Compared to ACL reconstruction, the hypothesized advantages of ACL suture repair are earlier return to sports, reduction of early posttraumatic osteoarthritis and preservation of the patient's native ACL tissue and proprioceptive envelope of the knee. In recent literature, ACL suture repair combined with dynamic augmentation tends to be at least equally effective compared to ACL reconstruction, but no randomized comparative study has yet been conducted. METHODS/DESIGN: This study is a prospective, stratified, block randomized controlled trial. Forty-eight patients with an ACL rupture will be assigned to either a suture repair group with dynamic augmentation and microfracture of the femoral notch, or an ACL reconstruction group with autologous semitendinosis graft and all-inside technique. The primary objective is to investigate the hypothesis that suture repair of a ruptured ACL results in at least equal effectiveness compared with an ACL reconstruction in terms of patient self-reported outcomes (IKDC 2000 subjective scale) 1 year postoperatively. Secondary objectives are to evaluate patient self-reported outcomes (IKDC 2000, KOOS, Tegner, VAS), re-rupture rate, rehabilitation time required for return to daily and sports activities, achieved levels of sports activity, clinimetrics (Rolimeter, LSI, Isoforce) and development of osteoarthritis, at short term (6Â weeks, 3, 6 and 9Â months and 1Â year), midterm (2 and 5Â years) and long term (10Â years) postoperatively. DISCUSSION: A renewed interest has emerged in ACL suture repair combined with dynamic augmentation in the treatment of ACL rupture. Recent cohort studies show good short- and midterm results for this technique. This randomized controlled trial has been designed to compare the outcome of suture repair of a ruptured ACL, combined with DIS as well as microfracture of the femoral notch, with ACL reconstruction using autologous semitendinosus. TRIAL REGISTRATION: Clinical Trials Register NCT02310854 (retrospectively registered on December 1st, 2014).</t>
  </si>
  <si>
    <t>BMC Musculoskelet Disord</t>
  </si>
  <si>
    <t>10.1186/s12891-018-2028-4</t>
  </si>
  <si>
    <t>#252</t>
  </si>
  <si>
    <t>Boer 2018</t>
  </si>
  <si>
    <t>Postoperative range of motion following anterior cruciate ligament reconstruction using autograft hamstrings: a prospective, randomized clinical trial of early versus delayed reconstructions.</t>
  </si>
  <si>
    <t>Bottoni CR; Liddell TR; Trainor TJ; Freccero DM; Lindell KK</t>
  </si>
  <si>
    <t>BACKGROUND: There is a common belief that surgical reconstruction of an acutely torn anterior cruciate ligament (ACL) should be delayed for at least 3 weeks because of the increased incidence of postoperative motion loss (arthrofibrosis) and suboptimal clinical results. HYPOTHESIS: There is no difference in postoperative range of motion or stability after ACL reconstructions performed either acutely or delayed. STUDY DESIGN: Randomized controlled trial; Level of evidence, 1. METHODS: Patients with an acute ACL tear were prospectively randomized to either early (within 21 days) or delayed (beyond 6 weeks) reconstruction using autograft hamstring tendon. Previous knee surgery on the index extremity and a multiligamentous injury were exclusionary criteria. Surgical technique and postoperative rehabilitation were identical for all patients. Postoperative assessments included range of motion and KT-1000 arthrometer measurements compared with the contralateral knee. Standardized outcome measures were used including single assessment numeric evaluation (SANE), Lysholm, and Tegner Activity Score. RESULTS: Seventy consecutive patients were enrolled, and 1 patient was dropped after a postoperative infection. Sixty-nine patients (34 acute, 35 delayed) with an average age of 27 years composed the study cohort. The mean time from injury to surgery was 9 days (range, 2-17 days) for patients in the early group and 85 days (range, 42-192) for those in the delayed group. The average follow-up from surgery was 366 days (range, 185-869). Articular cartilage and meniscal injuries were comparable between the 2 groups. There were no significant differences between the 2 treatment groups in degrees of extension or flexion lost relative to the nonoperative side, operative time, KT-1000 arthrometer differences, or subjective knee evaluations. CONCLUSION: Excellent clinical results can be achieved after ACL reconstructions performed soon after injury using autograft hamstrings. Although the authors do not advocate that all reconstructions should be performed acutely, they found that early ACL reconstructions do not result in loss of motion or suboptimal clinical results as long as a rehabilitation protocol emphasizing extension and early range of motion is employed.</t>
  </si>
  <si>
    <t>10.1177/0363546507312164</t>
  </si>
  <si>
    <t>#512</t>
  </si>
  <si>
    <t>Bottoni 2008</t>
  </si>
  <si>
    <t>Autograft Versus Allograft Anterior Cruciate Ligament Reconstruction: A Prospective, Randomized Clinical Study With a Minimum 10-Year Follow-up.</t>
  </si>
  <si>
    <t>Bottoni CR; Smith EL; Shaha J; Shaha SS; Raybin SG; Tokish JM; Rowles DJ</t>
  </si>
  <si>
    <t>BACKGROUND: The use of allografts for anterior cruciate ligament (ACL) reconstruction in young athletes is controversial. No long-term results have been published comparing tibialis posterior allografts to hamstring autografts. PURPOSE: To evaluate the long-term results of primary ACL reconstruction using either an allograft or autograft. STUDY DESIGN: Randomized controlled trial; Level of evidence, 1. METHODS: From June 2002 to August 2003, patients with a symptomatic ACL-deficient knee were randomized to receive either a hamstring autograft or tibialis posterior allograft. All allografts were from a single tissue bank, aseptically processed, and fresh-frozen without terminal irradiation. Graft fixation was identical in all knees. All patients followed the same postoperative rehabilitation protocol, which was blinded to the therapists. Preoperative and postoperative assessments were performed via examination and/or telephone and Internet-based questionnaire to ascertain the functional and subjective status using established knee metrics. The primary outcome measures were graft integrity, subjective knee stability, and functional status. RESULTS: There were 99 patients (100 knees); 86 were men, and 95% were active-duty military. Both groups were similar in demographics and preoperative activity level. The mean and median ages of both groups were identical at 29 and 26 years, respectively. Concomitant meniscal and chondral pathologic abnormalities, microfracture, and meniscal repair performed at the time of reconstruction were similar in both groups. At a minimum of 10 years (range, 120-132 months) from surgery, 96 patients (97 knees) were contacted (2 patients were deceased, and 1 was unable to be located). There were 4 (8.3%) autograft and 13 (26.5%) allograft failures that required revision reconstruction. In the remaining patients whose graft was intact, there was no difference in the mean Single Assessment Numeric Evaluation, Tegner, or International Knee Documentation Committee scores. CONCLUSION: At a minimum of 10 years after ACL reconstruction in a young athletic population, over 80% of all grafts were intact and had maintained stability. However, those patients who had an allograft failed at a rate over 3 times higher than those with an autograft.</t>
  </si>
  <si>
    <t>#324</t>
  </si>
  <si>
    <t>Effects of Nordic Hamstring Exercise Set Configuration on Eccentric Hamstring Strength Changes in Youth Female Athletes.</t>
  </si>
  <si>
    <t>Bounias T; Henry G; Goswami R; Moran J; Behm DG; Drury B</t>
  </si>
  <si>
    <t>Bounias, T, Henry, G, Goswami, R, Moran, J, Behm, DG, and Drury, B. Effects of Nordic hamstring exercise set configuration on eccentric hamstring strength changes in youth female athletes. J Strength Cond Res 39(8): 829-836, 2025-Anterior cruciate ligament injury poses a significant risk in youth female athletes. The Nordic hamstring exercise (NHE) can improve eccentric hamstring strength (EHS), a key factor related to anterior cruciate ligament injury risk, yet limited research exists in this population. This study compared 2 NHE set configurations-traditional sets (TS) and rest redistribution (RR)-on EHS in youth female athletes. Subjects (age: 13.93 Â± 1.58 years; body mass: 48.95 kg Â± 11.15 kg; percentage of predicted adult height: 96.50% Â± 4.30%) were randomly assigned to TS ( n = 17) or RR ( n = 18) groups. Both groups performed a 6-week NHE program, increasing weekly volume from 6 to 18 repetitions. Pretests and post-tests assessed EHS changes using the NordBord and isokinetic testing at 60Â°Â·s -1 and 180Â°Â·s -1 , assessing peak torque (PT), angle of peak torque (Â°PT), and torque at 20Â°, 40Â°, 60Â°, and 80Â° of knee flexion. Both TS and RR significantly increased NordBord EHS ( g = 0.34-0.98). Isokinetic data at 60Â°Â·s -1 and 180Â°Â·s -1 revealed significant small increases in PT and torque at 40Â°, 60Â°, and 80Â° ( g = 0.22-0.46). Yet, no changes were observed in torque at 20Â° ( g = 0.01-0.23) and the Â°PT increased ( g = 0.33-0.83). No between-group differences were observed for any measure. These findings suggest that TS or RR set configurations can effectively enhance EHS in youth female athletes. However, to target EHS at longer muscle lengths, practitioners should include additional exercises beyond the NHE.</t>
  </si>
  <si>
    <t>J Strength Cond Res</t>
  </si>
  <si>
    <t>10.1519/JSC.0000000000005139</t>
  </si>
  <si>
    <t>#44</t>
  </si>
  <si>
    <t>Bounias 2025</t>
  </si>
  <si>
    <t>Randomized controlled trial of osteoconductive fixation screws for anterior cruciate ligament reconstruction: a comparison of the Calaxo and Milagro screws.</t>
  </si>
  <si>
    <t>Wrong study design</t>
  </si>
  <si>
    <t>Bourke HE; Salmon LJ; Waller A; Winalski CS; Williams HA; Linklater JM; Vasanji A; Roe JP; Pinczewski LA</t>
  </si>
  <si>
    <t>PURPOSE: To compare the outcome of 2 bioabsorbable screws for tibial interference fixation in anterior cruciate ligament reconstruction with reference to rate of absorption, osteoconductive properties, and clinical outcome. METHODS: Patients undergoing primary anterior cruciate ligament reconstruction with hamstring autograft in a single unit were invited to participate in this study. Patients were randomized to receive either the Calaxo screw (Smith &amp; Nephew, Andover, MA) or Milagro screw (DePuy Mitek, Raynham, MA) for tibial fixation. Patients were reviewed with subjective and objective evaluation by use of the International Knee Documentation Committee form, Lysholm score, KT-1000 arthrometry (MEDmetric, San Diego, CA), and clinical examination. Magnetic resonance imaging was performed at 1 year and computed tomography scanning at 1 week and at 6, 12, and 24 months. RESULTS: Sixty patients agreed to participate in the study, with 32 patients randomized to the Calaxo screw and 28 to the Milagro screw for tibial fixation. There was no significant difference in subjective or objective clinical outcome between the 2 groups. At 24 months, 88% of Calaxo screws showed complete screw resorption compared with 0% of Milagro screws (P &lt; .001). Tibial cysts were present in 88% of the Calaxo group and 7% of the Milagro group (P = .001). At 24 months, the mean volume of new bone formation for the Calaxo group was 21% of original screw volume. Ossification of the Milagro screw was unable to be accurately assessed as a result of incomplete screw resorption. CONCLUSIONS: Both screws showed similar favorable objective and subjective outcomes at 2 years. The Calaxo screw resorbed completely over a period of 6 months and was associated with a high incidence of intra-tunnel cyst formation. The Milagro screw increased in volume over a period of 6 months, followed by a gradual resorption, which was still ongoing at 2 years. Both screws were associated with tunnel widening, and neither showed evidence of significant tunnel ossification. We conclude that, despite satisfactory clinical outcomes, the addition of "osteoconductive" materials to bioabsorbable screws is not associated with bone formation at the screw site at 2 years. LEVEL OF EVIDENCE: Level I, randomized controlled trial.</t>
  </si>
  <si>
    <t>10.1016/j.arthro.2012.10.021</t>
  </si>
  <si>
    <t>#393</t>
  </si>
  <si>
    <t>Bourke 2013</t>
  </si>
  <si>
    <t>Biomechanical comparison of quadriceps tendon fixation with patellar tendon bone plug interference fixation in cruciate ligament reconstruction.</t>
  </si>
  <si>
    <t>Brand J Jr; Hamilton D; Selby J; Pienkowski D; Caborn DN; Johnson DL</t>
  </si>
  <si>
    <t>PURPOSE: The purpose of this study was to use current fixation techniques and compare the stiffness and ultimate tensile failure of the tendinous end of the quadriceps tendon (QT) with the bone plug end of the bone-patellar tendon-bone (BPTB) graft using current techniques of fixation. TYPE OF STUDY: Randomized trial of elderly cadaver knees. MATERIALS AND METHODS: Tibial and femoral biodegradable interference fixation and femoral EndoButton (Smith &amp; Nephew, Acufex, Mansfield, MA) fixation in bone tunnels with the QT and the BPTB graft were compared by using 10 pairs of elderly cadavers and biomechanical testing. Two groups, fixation at time zero (simulating fixation in the operating room) and testing after 1, 000 loading cycles (simulating patient rehabilitation exercises), were used. RESULTS: At time zero fixation, stiffness of the soft tissue QT tibial tunnel interference fixation was 59% less stiff than the stiffness of the interference fixation of a BPTB plug in a femoral tunnel (P =.11). The EndoButton femoral fixation resulted in a decrease in stiffness at time zero compared with femoral tunnel interference fixation of the soft tissue QT (P =.03). All groups improved stiffness with cycling the construct to 1,000 cycles. CONCLUSIONS: Placement of the QT tendinous end of the graft in the femoral bone tunnel when using a interference fixation will approximate the stiffness of a bone plug in the tibial bone tunnel with interference fixation. The EndoButton fixation is not as stiff as either of the femoral interference fixation options. The addition of more than 20 loading cycles could remove laxity from the graft fixation-graft cruciate ligament complex and improve its stiffness.</t>
  </si>
  <si>
    <t>10.1053/jars.2000.18240</t>
  </si>
  <si>
    <t>#639</t>
  </si>
  <si>
    <t>BrandJJr 2000</t>
  </si>
  <si>
    <t>Closing patellar tendon defects after anterior cruciate ligament reconstruction: absence of any benefit.</t>
  </si>
  <si>
    <t>Brandsson S; FaxÃ©n E; Eriksson BI; KÃ¤lebo P; SwÃ¤rd L; Lundin O; Karlsson J</t>
  </si>
  <si>
    <t>The most common graft in anterior cruciate ligament (ACL) surgery involves using the central one-third of the patellar tendon. Knowledge concerning the postoperative disability after harvesting the patellar tendon is, however, limited. The aim of this study was to evaluate the impact patellar tendon suture and bone grafting of the patellar bone defect might have in terms of functional outcome and patellofemoral pain after harvesting the bone-tendon-bone graft, compared with leaving the harvested site non-sutured and non-grafted. Sixty patients, scheduled for arthroscopically assisted ACL reconstruction, were randomly allocated to two groups. In group I, suture of the patellar tendon and bone grafting of the patellar defect were performed. In group II, the tendon gap and the patellar defect were left open. Preoperatively, there was no significant difference between the groups when comparing objective knee stability, as measured with a KT-1000 laxity meter, Lysholm score, Tegner activity level, IKDC score, or patello-femoral pain score. Both groups had a significantly improved Lysholm score at the 2-year follow-up, without any difference between them. Tegner's activity level was significantly lower at follow-up, compared with the pre-injury level in both groups. The patellofemoral pain score improved significantly after the reconstruction, without any difference between the groups. Ultrasonography did not reveal any difference between the groups in terms of healing of the tendon gap. This study revealed no differences in donor site morbidity, functional outcome, patellofemoral pain score or knee joint stability between the two treatment groups. The conclusion is that suture of the patellar tendon and bone grafting of the patellar defect do not improve the functional results or reduce donor site morbidity after arthroscopically assisted ACL.</t>
  </si>
  <si>
    <t>10.1007/s001670050077</t>
  </si>
  <si>
    <t>#657</t>
  </si>
  <si>
    <t>Brandsson 1998</t>
  </si>
  <si>
    <t>Is a knee brace advantageous after anterior cruciate ligament surgery? A prospective, randomised study with a two-year follow-up.</t>
  </si>
  <si>
    <t>Brandsson S; FaxÃ©n E; Kartus J; Eriksson BI; Karlsson J</t>
  </si>
  <si>
    <t>The aim of this study was to evaluate the use of a knee brace after arthroscopic anterior cruciate ligament reconstruction using central third patellar tendon autografts. Fifty patients were randomly allocated to two groups. The patients in Group A wore a brace for three weeks postoperatively, while the patients in Group B were rehabilitated without the use of a brace. Pre-operatively, the groups were comparable in terms of age, sex, activity level, knee laxity and muscle strength. The follow-up examination was performed by one independent observer. All the patients were followed up for a minimum of two years. At the follow-up, there were no significant differences between the study groups in terms of the Tegner activity level, Lysholm score, IKDC evaluation system, one-leg-hop quotient, KT-1000 measurements and isokinetic torque. Using the visual analogue scale, the patients in Group A evaluated their pain during the first two post-operative weeks as 1.0 (0-7), compared with 2.3 (0-9) in Group B (P= 0.04). Furthermore, the patients in Group A had a tendency towards fewer problems with swelling, haemathrosis and wound leakage during the early post-operative period (P=0.08). We conclude that the patients who were rehabilitated with the use of a brace had less pain and a tendency towards fewer complications during the early post-operative period than the patients who were rehabilitated without the use of a brace. However, there were no differences in terms of function or knee laxity at the two-year follow-up.</t>
  </si>
  <si>
    <t>Scand J Med Sci Sports</t>
  </si>
  <si>
    <t>10.1034/j.1600-0838.2001.011002110.x</t>
  </si>
  <si>
    <t>#633</t>
  </si>
  <si>
    <t>Brandsson 2001</t>
  </si>
  <si>
    <t>The effect of targeted exercise on knee-muscle function in patients with persistent hamstring deficiency following ACL reconstruction - study protocol for a randomized controlled trial.</t>
  </si>
  <si>
    <t>Bregenhof B; JÃ¸rgensen U; Aagaard P; Nissen N; Creaby MW; Thorlund JB; Jensen C; Torfing T; Holsgaard-Larsen A</t>
  </si>
  <si>
    <t>BACKGROUND: Anterior cruciate ligament (ACL) reconstruction, using hamstring auto-graft is a common surgical procedure, which often leads to persistent hamstring muscle-strength deficiency and reduced function. The purpose of this randomized controlled trial (RCT) is to investigate the effect of a combined, progressive, strength and neuromuscular exercise intervention on knee muscle strength, functional capacity and hamstring muscle-tendon morphology in ACL-reconstructed patients with persistent hamstring muscle-strength deficiency compared with controls. METHODS/DESIGN: The study is designed as a multicenter, parallel-group RCT with balanced randomization (1:1) and blinded outcome assessments (level of evidence: II) and will be reported in accordance with the CONSORT Statement. Fifty ACL-reconstructed patients (hamstring auto-graft) with persistent limb-to-limb knee-flexor muscle-strength asymmetry at 12-24 months' post surgery, will be recruited through outpatient clinics and advertisements. Patients will be randomized to a 12-week progressive, strength and neuromuscular exercise group (SNG) with supervised training twice weekly or a control intervention (CON) consisting of a home-based, low-intensity exercise program. Outcome measures include between-group change in maximal isometric knee-flexor strength (primary outcome) and knee-extensor muscle strength, hamstring-to-quadriceps strength ratios of the leg that has been operated on and Knee injury and Osteoarthritis Outcome Score (KOOS) (secondary outcomes). In addition, several explorative outcomes will be investigated: The International Knee Documentation Committee Subjective Knee Form (IKDC), the Tegner Activity Score, rate of force development (RFD) for the knee flexors and extensors, tendon regeneration and potential muscle hypertrophy at graft harvest site evaluated by magnetic resonance imaging (MRI), postural control, kinetic/kinematic gait characteristics and knee-related functional capacity. DISCUSSION: This RCT is designed to investigate the effect of combined, progressive-resistance and neuromuscular exercises on knee-flexor/extensor strength, in the late rehabilitation phase following ACL reconstruction. Reduced hamstring strength represents a potential risk factor for secondary ACL rupture and accelerated progression of osteoarthritis. If deemed effective, the intervention paradigm introduced in this study may help to improve current treatment strategies in ACL-reconstructed patients. TRIAL REGISTRATION: ClinicalTrials.gov, ID: NCT02939677 (recruiting). Registered on 20 October 2016.</t>
  </si>
  <si>
    <t>10.1186/s13063-018-2448-3</t>
  </si>
  <si>
    <t>#259</t>
  </si>
  <si>
    <t>Bregenhof 2018</t>
  </si>
  <si>
    <t>The Effect of Progressive Resistance Exercise on Knee Muscle Strength and Function in Participants with Persistent Hamstring Deficit Following ACL Reconstruction: A Randomized Controlled Trial.</t>
  </si>
  <si>
    <t>Bregenhof B; Aagaard P; Nissen N; Creaby MW; Thorlund JB; Jensen C; Torfing T; Holsgaard-Larsen A</t>
  </si>
  <si>
    <t>OBJECTIVE: To investigate the effect of progressive resistance exercise compared with low-intensity home-based exercises on knee-muscle strength and joint function in people with anterior cruciate ligament (ACL) reconstruction and persistent hamstring strength deficits at 12-24 months after surgery. DESIGN: Randomized controlled superiority trial with parallel groups, balanced randomization (1:1), and blinded outcome assessment. METHODS: People with ACL reconstruction (hamstring autograft) and persistent hamstring muscle strength asymmetry were recruited 1 to 2 years postsurgery and randomized to either 12 weeks of supervised progressive strength training (SNG), or 12 weeks of home-based, low-intensity exercises (CON). The primary outcome was between-group difference in change in maximal isometric knee flexor muscle strength at 12-week follow-up. RESULTS: Fifty-one participants (45% women, 27 Â± 6 years) were randomized to SNG (n = 25) or CON (n = 26), with 88% follow-up rate at 12 weeks. People in the SNG group improved their knee flexor muscle strength (0.18 NÂ·m/kg, 95% confidence interval [CI]: 0.07, 0.29; P = .002) more than the CON group, from baseline to 12 weeks. The SNG group also had superior Knee Injury and Osteoarthritis Outcome Scores for Pain (4.6, 95% CI: 0.4, 8.7; P = .031) and daily living function (4.7, 95% CI: 1.2, 8.2; P = .010) compared to the CON group. CONCLUSION: In people with persistent hamstring muscle strength deficits after ACL reconstruction, 12 weeks of supervised progressive strength training was superior to low-intensity home-based exercises for improving maximal knee flexor muscle strength and some patient-reported outcomes. J Orthop Sports Phys Ther 2023;53(1):40-48. Epub: 17 October 2022. doi:10.2519/jospt.2022.11360.</t>
  </si>
  <si>
    <t>J Orthop Sports Phys Ther</t>
  </si>
  <si>
    <t>10.2519/jospt.2022.11360</t>
  </si>
  <si>
    <t>#114</t>
  </si>
  <si>
    <t>Bregenhof 2023</t>
  </si>
  <si>
    <t>Effect of Initial Graft Tension on Knee Osteoarthritis Outcomes After ACL Reconstruction: A Randomized Controlled Clinical Trial With 15-Year Follow-up.</t>
  </si>
  <si>
    <t>Breker AN; Badger GJ; Kiapour AM; Costa MQ; Fleming EN; Ferrara SL; Chrostek CA; Fadale PD; Hulstyn MJ; Shalvoy RM; Gil HC; Fleming BC</t>
  </si>
  <si>
    <t>BACKGROUND: The graft tension applied during anterior cruciate ligament (ACL) graft fixation (subsequently referred to as initial graft tension) could potentiate posttraumatic osteoarthritis (PTOA) and influence other outcomes. PURPOSE/HYPOTHESIS: The purpose of this study was to analyze the effects of initial graft tension on imaging and patient-reported outcomes related to PTOA 15 years postreconstruction surgery. Clinical and functional outcomes were also assessed. It was hypothesized that (1) the high-tension group would have improved imaging findings and outcomes compared with the low-tension group at 15-year follow-up and (2) the imaging findings and outcomes for the high-tension group would be equivalent to the sex-, race-, age-, and activity level matched control group. STUDY DESIGN: Randomized controlled trial; Level of evidence, 1. METHODS: Consented patients underwent ACL reconstruction (ACLR) with bone-patellar tendon-bone or a 4-strand hamstring tendon autograft. A matched uninjured control group was assembled for comparison. Two laxity-based tensioning procedures were randomized: (1) tension set to restore normal anteroposterior (AP) laxity at time of surgery relative to the contralateral uninjured knee (low-tension group) or (2) tension set to overconstrain AP laxity at time of surgery relative to the contralateral knee (high-tension group). Baseline outcome measures, radiographs, and magnetic resonance imaging (MRI) scans were collected prior to surgery and at 15 years postoperatively. RESULTS: For medial joint space width, the differences between limbs across the 3 groups were not significant. Within the tension groups, the Whole Organ MRI Score was significantly higher in the surgical knee relative to the contralateral knee in both groups, while the Osteoarthritis Research Society International radiographic scores were higher in the surgical knee in the low-tension group only. A total of 43% of patients in both tension groups met the Knee injury and Osteoarthritis Outcome Score composite criteria for a symptomatic knee compared with controls (10%; P = .01). Most other outcomes, including AP laxity, International Knee Documentation Committee knee examination score, and single-leg hop test were not significantly different between the 3 groups. CONCLUSION: The results do not support the hypotheses that patients in the high-tension group would have better chondroprotection compared with the low-tension group and have equivalent outcomes with the matched controls. Overall, the results show that patients undergoing ACLR are more likely to develop PTOA and display inferior outcomes compared with the uninjured matched control group, regardless of graft tension.</t>
  </si>
  <si>
    <t>10.1177/23259671251320972</t>
  </si>
  <si>
    <t>#54</t>
  </si>
  <si>
    <t>Functional and Analgesic Effects of iPACK Blocks Added to Continuous Adductor Canal Blocks for ACL Reconstruction With Quadriceps Tendon Autograft: A Randomized Controlled Trial.</t>
  </si>
  <si>
    <t>Brewbaker CL; Moran TE; Wolla CD; Pullen WM; Wolf BJ; Pillow CF; Slone HS</t>
  </si>
  <si>
    <t>BACKGROUND: An adjunctive infiltration between popliteal artery and capsule of the posterior knee (iPACK) block-an infiltration between the popliteal artery and posterior knee capsule-has been used in knee surgery to address posterior knee pain, complementing the anterior and medial sensory coverage of an adductor canal block (ACB). Its benefit in all-inside anterior cruciate ligament reconstruction (ACL-R) using quadriceps tendon (QT) autograft remains uncertain. PURPOSE: To compare acute postoperative pain, opioid consumption, and 6-week knee range of motion between patients receiving continuous ACB alone and continuous ACB plus a single-shot iPACK block. STUDY DESIGN: Randomized controlled trial; Level of evidence, 2. METHODS: Patients undergoing primary all-inside ACL-R with QT autograft were randomized to either continuous ACB with placebo skin wheal (ACB group) or continuous ACB with iPACK (ACB-iPACK group). Demographic and surgical data were collected prospectively. The primary outcome was visual analog scale (VAS) pain scores during the first 72 postoperative hours. Secondary outcomes included opioid use (morphine milligram equivalents), achievement of full knee extension, and difference in maximal flexion between the surgical and nonsurgical limb at 6 weeks. RESULTS: A total of 71 patients were analyzed (ACB, n = 33; ACB-iPACK, n = 38), with no significant group differences in baseline characteristics. Median VAS scores at discharge were significantly lower in the ACB-iPACK group (20 mm) versus the ACB group (32.5 mm) (P = .049). No further differences occurred between 12 and 72 hours postoperatively. Perioperative and postoperative opioid consumption did not differ between groups (perioperative, P = .52; postoperative, P = .47 to â‰¥.99). Rates of achieving full extension were similar. At 6 weeks, the difference in knee flexion between limbs was significantly smaller in the ACB-iPACK group (37.7Â°) compared with the ACB group (47.6Â°) (mean difference, 9.9Â°; P = .02). No perioperative regional anesthesia complications occurred. CONCLUSION: Adding an iPACK block to continuous ACB for all-inside ACL-R with QT autograft provided a slight reduction in pain at discharge (VAS difference, 12.5 mm) and improved knee flexion at 6 weeks. However, pain scores and opioid use beyond the immediate postoperative period were not significantly different between groups. These findings may help guide patient counseling regarding the expected benefits of incorporating an iPACK block in this surgical setting. REGISTRATION: NCT05498870 (ClinicalTrials.gov identifier).</t>
  </si>
  <si>
    <t>10.1177/23259671261445908</t>
  </si>
  <si>
    <t>#1</t>
  </si>
  <si>
    <t>Brewbaker 2026</t>
  </si>
  <si>
    <t>Associations between lower limb muscle activation strategies and resultant multi-planar knee kinetics during single leg landings.</t>
  </si>
  <si>
    <t>Brown TN; McLean SG; Palmieri-Smith RM</t>
  </si>
  <si>
    <t>OBJECTIVES: Anterior cruciate ligament injury prevention programs purportedly improve knee joint loading through beneficial modification of lower limb neuromuscular control strategies and joint biomechanics, but little is known about how these factors relate during single-legged landings. Thus, we examined the relationship between explicit lower limb muscular pre-activity patterns and knee joint biomechanics elicited during such landings. DESIGN: Randomized controlled trial. METHODS: Thirty-five female athletes had 3D knee joint biomechanics and lower limb EMG data recorded during a series of single-leg landings. Regression analysis assessed the relationship between pre-activity of vastus lateralis, lateral hamstring and rectus femoris with peak knee flexion angle and moment, and external anterior tibial shear force. Vastus lateralis, lateral hamstring and vastus lateralis:lateral hasmtring co-contraction assessed the relationship with knee abduction angle and moment. RESULTS: Greater pre-activity of rectus femoris predicted increased peak anterior tibial shear force (R(2)=0.235, b=2.41 and P=0.003) and reduced knee flexion moment (R(2)=0.131, b=-0.591, and P=0.032), while greater lateral hamstring predicted decreased peak knee flexion angle (R(2)=0.113, b=8.96 and P=0.048). No EMG pre-activity parameters were predictors (P&gt;0.05) for knee abduction angle and moment. CONCLUSIONS: Current outcomes suggest reducing reliance on quadriceps activation may be beneficial during single-legged landings. It also, however, may be required for adequate joint stability during such maneuvers. Further research is needed to determine if inadequate hamstring activation, rather than elevated quadriceps activation, leads to hazardous loading during single-legged landings.</t>
  </si>
  <si>
    <t>J Sci Med Sport</t>
  </si>
  <si>
    <t>10.1016/j.jsams.2013.05.010</t>
  </si>
  <si>
    <t>#375</t>
  </si>
  <si>
    <t>Brown 2014</t>
  </si>
  <si>
    <t>Improvement of posture stability by vibratory stimulation following anterior cruciate ligament reconstruction.</t>
  </si>
  <si>
    <t>Brunetti O; Filippi GM; Lorenzini M; Liti A; Panichi R; Roscini M; Pettorossi VE; Cerulli G</t>
  </si>
  <si>
    <t>Surgical reconstruction of the anterior cruciate ligament (ACL) may reduce, but it does not always eliminate, knee and body instability because of a persisting proprioceptive deficit. In order to enhance body stability, a new protocol of treatment has been proposed consisting of mechanical vibration (100 Hz frequency and &lt; 20 microm amplitude) of the quadriceps muscle in the leg that has undergone ACL reconstruction. In our trials, stimulation was performed when the quadriceps muscle was kept isometrically contracted. Treatment was started one month after surgery. Vibration was applied for short periods over three consecutive days. Nine months after treatment, postural stability was re-evaluated with the subjects standing on one leg with open and with closed eyes. The postural stability of the subjects having undergone vibration treatment, standing on the operated leg was significantly improved one day after treatment when evaluated as mean of speed and elliptic area of the center of pressure. The improvement persisted and increased during the following weeks. Peak torques of the operated leg extensor muscles also increased and reached values close to that of the leg, which had not been operated. Conversely, the balance of the untreated subjects standing on the operated leg did not improve and the restoration of the extensor muscle peak torque was poor. It is concluded that short lasting proprioceptive activation by vibration may lead to a faster and more complete equilibrium recovery probably by permanently changing the network controlling knee posture.</t>
  </si>
  <si>
    <t>10.1007/s00167-006-0101-2</t>
  </si>
  <si>
    <t>#546</t>
  </si>
  <si>
    <t>Brunetti 2006</t>
  </si>
  <si>
    <t>Pain level after ACL reconstruction: A comparative study between free quadriceps tendon and hamstring tendons autografts.</t>
  </si>
  <si>
    <t>Buescu CT; Onutu AH; Lucaciu DO; Todor A</t>
  </si>
  <si>
    <t>OBJECTIVE: The objective of this study was to compare the pain levels and analgesic consumption after single bundle ACL reconstruction with free quadriceps tendon autograft versus hamstring tendon autograft. PATIENTS AND METHODS: A total of 48 patients scheduled for anatomic single-bundle ACL reconstruction were randomized into two groups: the free quadriceps tendon autograft group (24 patients) and the hamstring tendons autograft group (24 patients). A basic multimodal analgesic postoperative program was used for all patients and rescue analgesia was provided with tramadol, at pain scores over 30 on the Visual Analog Scale. The time to the first rescue analgesic, the number of doses of tramadol and pain scores were recorded. The results within the same group were compared with the Wilcoxon signed test. RESULTS: Supplementary analgesic drug administration proved significantly higher in the group of subjects with hamstring grafts, with a median (interquartile range) of 1 (1.3) dose, compared to the group of subjects treated with a quadriceps graft, medianÂ =Â 0.5 (0.1.25)Â (pÂ =Â 0.009). A significantly higher number of subjects with a quadriceps graft did not require any supplementary analgesic drug (50%) as compared with subjects with hamstring graft (13%; Z-statisticsÂ =Â 3.01, pÂ =Â 0.002). The percentage of subjects who required a supplementary analgesic drug was 38% higher in the HT group compared with the FQT group. CONCLUSION: The use of the free quadriceps tendon autograft for ACL reconstruction leads to less pain and analgesic consumption in the immediate postoperative period compared with the use of hamstrings autograft. LEVEL OF EVIDENCE: Level I Therapeutic study.</t>
  </si>
  <si>
    <t>10.1016/j.aott.2017.02.011</t>
  </si>
  <si>
    <t>#276</t>
  </si>
  <si>
    <t>Buescu 2017</t>
  </si>
  <si>
    <t>Hamstring donor-site block: evaluation of pain control after anterior cruciate ligament reconstruction.</t>
  </si>
  <si>
    <t>Bushnell BD; Sakryd G; Noonan TJ</t>
  </si>
  <si>
    <t>PURPOSE: The purpose of this study was to evaluate the effectiveness of using a hamstring donor-site block in controlling postoperative pain levels after anterior cruciate ligament (ACL) reconstruction with autogenous hamstring graft. METHODS: Over a 5-month period, 27 patients underwent ACL reconstruction with hamstring autograft. All patients received a preoperative femoral nerve block. Intraoperatively, these patients were randomly assigned to groups with and without a hamstring donor-site block. The block group received a 20-mL injection of 0.25% bupivacaine into the hamstring donor site through an arthroscopic shaver sleeve. Both groups received standard postoperative pain medications as needed. Postoperative pain scores were taken by use of a visual analog scale (VAS) and recorded immediately on arrival to the recovery room, at 1 hour after arrival, and at 2 hours after arrival. RESULTS: There were 15 patients in the hamstring donor-site block group and 12 patients in the standard treatment group. For the block group, mean VAS scores were 3.20 +/- 2.54 on arrival, 2.80 +/- 1.61 at 1 hour, and 2.87 +/- 1.41 at 2 hours. For the standard treatment group, mean VAS scores were 5.50 +/- 1.62 on arrival, 6.08 +/- 1.56 at 1 hour, and 5.33 +/- 2.02 at 2 hours. The hamstring block group had statistically significantly lower mean VAS scores on arrival (P = .0118), at 1 hour (P = .0001), and at 2 hours (P = .0010). There were no complications in either group. CONCLUSIONS: Injection of the hamstring donor site with local anesthetic through an arthroscopic shaver sleeve showed a statistically significant improvement in postoperative pain levels in patients undergoing autogenous hamstring ACL reconstruction. LEVEL OF EVIDENCE: Level III, retrospective comparative study.</t>
  </si>
  <si>
    <t>10.1016/j.arthro.2009.11.022</t>
  </si>
  <si>
    <t>#445</t>
  </si>
  <si>
    <t>Bushnell 2010</t>
  </si>
  <si>
    <t>5-years outcomes following arthroscopic anterior cruciate ligament reconstruction comparing quadruple hamstring and peroneus longus tendon autografts: a randomized control trial.</t>
  </si>
  <si>
    <t>Butt U; Vuletic F; Shaikh MAA; Amanullah; Rehman GU; Shah IA; StÃ¥lman A; Khan ZA</t>
  </si>
  <si>
    <t>AIMS: This study presents clinical outcomes, functional results, and return to sports after anterior cruciate ligament (ACL) reconstruction using quadruple hamstring tendon autograft or peroneus longus tendon autograft in a randomized controlled trial. PATIENTS AND METHODS: Between February 2018 and July 2019, patients who underwent ACL reconstruction were randomly assigned to two groups: hamstring and peroneus longus. Patient related outcome measurements and pain intensity were evaluated using IKDC, Lysholm, and visual analog scores at 3 and 6Â months, 1, 2, and 5Â years after the surgery. At the 5Â year follow-up, anterior stability was tested using the 3D printable Knee Arthrometer. In addition, in the peroneus longus group, ankle functional assessment was performed using the American foot and ankle score. Additionally, data on the return to sports/activities was collected for both groups at the last follow-up. RESULTS: Sixty patients, with 30 in the hamstring group and 30 in the peroneus group, were included in the study. Patients were predominately male and with low activity demands. After five years of follow-up, there was no significant difference in functional assessment scores (IKDC and Lysholm) between the two groups (P n.s). The median graft diameter was 7.9â€‰Â±â€‰0.4Â mm in the hamstring tendon group and 8.9â€‰Â±â€‰0.2Â mm in the PL group (Pâ€‰&lt;â€‰0.001). The improvement in Arthrometer testing measurements (AMT) for the operated knees in the hamstring and peroneus longus groups were similar. In the peroneus longus group, the mean postoperative foot and ankle score was 98.6â€‰Â±â€‰3.9 (rangeâ€‰=â€‰85-100). CONCLUSION: Using Peroneus longus tendon autograft for arthroscopic ACL reconstruction is a feasible alternative as studied in this cohort of predominately male patients with low activity demands. The graft diameter in this study was sufficient, and the results regarding laxity and patient related outcome measurements were similar to those achieved with hamstring tendon autografts. LEVEL OF EVIDENCE: Level I TRIAL REGISTRATION: ChiCTR2000036989.</t>
  </si>
  <si>
    <t>#64</t>
  </si>
  <si>
    <t>The effect of hamstring donor-site block for functional outcomes and rehabilitation after anterior cruciate ligament reconstruction.</t>
  </si>
  <si>
    <t>Cai Z; Yang Y; Liu D; Lu W; Pan L; He M; Xie W; Yu D; Li H; Jin H; Li Y; Xiao W</t>
  </si>
  <si>
    <t>PURPOSE: To determine the effect of local infiltration anesthesia (LIA) at the donor site combined with a femoral nerve block (FNB) on short-term postoperative pain, functional outcomes, and rehabilitation after arthroscopic hamstring tendon autograft anterior cruciate ligament reconstruction (ACLR). METHODS: This study was a single center, randomized controlled trial. Seventy-three subjects with ACL rupture were enrolled. Participants were randomly allocated to two groups, 47 in the experimental group (Group A) and 26 in the control group (Group B). All operations were performed under FNB. In Group A, 10â€…ml of 1% ropivacaine was injected precisely at the hamstring donor site. Patients in Group B were treated with the same amount of saline. Preoperatively and postoperatively, pain scores based on the numerical rating scale (NRS) and consumption of opioids were recorded. In addition, knee functions were assessed by the International Knee Documentation Committee Subjective Knee Form (IKDC), the Lysholm score, and the Knee injury and Osteoarthritis Outcome Score (KOOS) preoperatively and postoperatively at 1 and 3 months. In addition, we applied the KNEELAX3 arthrometer to evaluate the stability of the knee preoperatively and postoperatively so that subjective and objective knee conditions were obtained to help us assess knee recovery in a comprehensive manner. RESULTS: The hamstring donor-site block reduced pain within the first 12 postoperative hours. There were no significant differences between two groups in pain intensity preoperatively and equal to or greater than 24 hours postoperatively. Furthermore, there were no differences between the groups concerning knee functions preoperatively or in the short-term follow-up at 1 and 3 months. CONCLUSION: LIA at the donor site can effectively improve the early postoperative pain of patients after ACLR and reduce the use of opioids without affecting the functional outcomes of the surgery.</t>
  </si>
  <si>
    <t>Front Surg</t>
  </si>
  <si>
    <t>10.3389/fsurg.2023.1003022</t>
  </si>
  <si>
    <t>#107</t>
  </si>
  <si>
    <t>Cai 2023</t>
  </si>
  <si>
    <t>Kneeling tolerance when using quadriceps tendon autograft for anterior cruciate ligament reconstruction is superior to hamstring tendon autograft.</t>
  </si>
  <si>
    <t>Calvert ND; Ebert JR; Radic R</t>
  </si>
  <si>
    <t>PURPOSE: To investigate kneeling tolerance in patients undergoing hamstring (HT) versus quadriceps (QT) anterior cruciate ligament reconstruction (ACLR) and investigate correlation with patient-reported outcome measures (PROMs). METHODS: After recruitment and randomisation, 112 patients (HTâ€‰=â€‰55; QTâ€‰=â€‰57) underwent ACLR. Patients were assessed at 6, 12 and 24 months using the Kneeling Tolerance Test, which evaluates patient-reported pain in a position of both 90 (KT90) and 110 (KT110) degrees of knee flexion. PROMs collected included the International Knee Documentation Committee (IKDC) questionnaire and the ACL Return to Sport after Injury (ACL-RSI) questionnaire. RESULTS: Kneeling tolerance at KT90 and KT110 improved (pâ€‰&lt;â€‰0.05) for both graft types across all time points. There was no difference in KT90 scores between groups at 6 or 12 months. At 24 months, kneeling tolerance was superior in the QT group (mean HT 93â€‰Â±â€‰9 vs. QT 98â€‰Â±â€‰5; pâ€‰=â€‰0.003). For KT110 scores, a statistically significant difference was noted at 6 (mean HT 80â€‰Â±â€‰25 vs. QT 89â€‰Â±â€‰12; pâ€‰=â€‰0.027), 12 (mean HT 90â€‰Â±â€‰13 vs. QT 95â€‰Â±â€‰10; pâ€‰=â€‰0.040) and 24 months (mean HT 92â€‰Â±â€‰10 vs. QT 97â€‰Â±â€‰5; pâ€‰=â€‰0.003). The ACL-RSI was significantly correlated with KT90 and KT110 at 24 months (râ€‰=â€‰0.40, pâ€‰&lt;â€‰0.001; râ€‰=â€‰0.40, pâ€‰&lt;â€‰0.001). Other PROMs demonstrated significant weak-to-moderate correlations with kneeling tolerance. CONCLUSION: Patients undergoing ACLR with a QT versus HT autograft report superior kneeling tolerance up to 2 years postsurgery, more prominent in deeper (110Â°) knee flexion. A strong correlation with ACL-RSI was demonstrated at 2 years. REGISTRATION: ACTRN12618001520224p (Australian New Zealand Clinical Trials Registry). LEVEL OF EVIDENCE: Level 1.</t>
  </si>
  <si>
    <t>#62</t>
  </si>
  <si>
    <t>A prospective, randomized comparison of open vs arthroscopically assisted ACL reconstruction.</t>
  </si>
  <si>
    <t>Cameron SE; Wilson W; St Pierre P</t>
  </si>
  <si>
    <t>A prospective, randomized study comparing arthroscopic and open anterior cruciate ligament (ACL) reconstructions was undertaken. Neither the patients nor the physical therapists were made aware of which technique was used. The central one third of the patellar tendon with proximal and distal bone plugs was utilized as the graft material to reconstruct the ACL in all cases. Rehabilitation was identical for each group. The following variables were compared: postoperative pain score, operating time, estimated blood loss (EBL), quantity of analgesics used, complications, range of motion at 1, 3, and 6 months, a 6-month evaluation consisting of Lachman's, anterior drawer, and pivot_shift tests, amount of thigh atrophy, and Cybex II tests. Statistical significance was achieved (P &lt; .05) in only three parameters. The 1-month postoperative range of motion, the 6-month postoperative thigh atrophy, and the Cybex II test (knee extension at 60 degrees/sec) were statistically different favoring the arthroscopic method.</t>
  </si>
  <si>
    <t>10.3928/0147-7447-19950301-06</t>
  </si>
  <si>
    <t>#680</t>
  </si>
  <si>
    <t>Cameron 1995</t>
  </si>
  <si>
    <t>Evaluation of the Application of BOth Sides Up Ball Training Combined With Resistance Training in Joint Stability Improvement Following Anterior Cruciate Ligament Reconstruction Surgery in Teenage Athletes.</t>
  </si>
  <si>
    <t>Cao X; Liu J; Zhao J; Feng S; Zhao Z</t>
  </si>
  <si>
    <t>Adolescent athletes participating in sports involving sudden directional changes, pivoting, and jumping frequently sustain anterior cruciate ligament (ACL) ruptures. ACL reconstruction (ACLR) surgery is often required, followed by a lengthy rehabilitation period. This study aims to evaluate the effectiveness of combining BOth Sides Up (BOSU) ball exercises with conventional resistance training in the recovery of joint stability and function after ACLR in adolescent athletes. Thirty adolescent athletes (ages 14-18) who underwent ACLR were randomly allocated to either the control group receiving traditional postoperative rehabilitation (n = 15)Â or the intervention group combining BOSU ball training with resistance exercises (n = 15). Joint stability, proprioception, strength, and functional outcomes were assessed before the procedure, as well as 3, 6, and 12Â months after the operation using the KT-1000 arthrometer, Y-balance test, isokinetic dynamometry, and the ACL-Return to Sport after InjuryÂ ACL-Return to Sport after Injury (ACL-RSI) scale. The intervention group demonstrated notably better anterior-posterior knee joint stability (P &lt; .05) than the control group at the 6-month and 12-month follow-ups after the surgery, greater reach distances in the Star Excursion Balance Test (P &lt; .05), higher quadriceps and hamstring strength ratios (P &lt; .05), and superior ACL-RSI scores (P &lt; .01). Incorporating BOSU ball training with resistance exercises appears to be more effective than traditional rehabilitation alone in enhancing joint stability and neuromuscular control after ACLR in adolescent athletes. These results provide evidence supporting the incorporation of unstable surfaces into a comprehensive rehabilitation program to optimize recoveryÂ and safe return to sports.</t>
  </si>
  <si>
    <t>10.1123/jsr.2024-0160</t>
  </si>
  <si>
    <t>#58</t>
  </si>
  <si>
    <t>Cao 2025</t>
  </si>
  <si>
    <t>Report of the Primary Outcomes for Gait Mechanics in Men of the ACL-SPORTS Trial: Secondary Prevention With and Without Perturbation Training Does Not Restore Gait Symmetry in Men 1 or 2 Years After ACL Reconstruction.</t>
  </si>
  <si>
    <t>Capin JJ; Zarzycki R; Arundale A; Cummer K; Snyder-Mackler L</t>
  </si>
  <si>
    <t>BACKGROUND: Movement asymmetries during walking are common after anterior cruciate ligament (ACL) injury and reconstruction and may influence the early development of posttraumatic osteoarthritis. Preoperative neuromuscular training (like perturbation training, which is neuromuscular training requiring selective muscle activation in response to surface perturbations) improves gait asymmetries and functional outcomes among people who are ACL-deficient, but the effect of postoperative perturbation training on gait mechanics after ACL reconstruction is unknown. QUESTIONS/PURPOSES: Among men undergoing ACL reconstruction, we sought to compare strength, agility, and secondary prevention (SAP) treatment with SAP plus perturbation training (SAP+PERT) with respect to (1) gait mechanics; and (2) elimination of gait asymmetries 1 and 2 years after ACL reconstruction. METHODS: Forty men were randomized into a SAP group or a SAP+PERT group after ACL reconstruction and before returning to preinjury activities. Participants were required to achieve â‰¥ 80% quadriceps muscle strength symmetry, minimal knee effusion, full ROM, no reports of pain, andÂ completion of a running progression (all between 3 and 9 months postoperatively) before enrollment. Of 94 potentially eligible athletic male patients evaluated &lt; 9 months after ACL reconstruction, 54 were excluded for prespecified reasons. Participants underwent motion analysis during overground walking at 1 and 2 years postoperatively. Variables of interest included (1) sagittal and frontal plane hip and knee angles and moments at peak knee flexion angle; (2) sagittal plane hip and knee angles and moments at peak knee extension angle; (3) sagittal plane hip and knee excursion during weight acceptance; and (4) sagittal plane hip and knee excursion during midstance. We also calculated the proportion of athletes in each group who walked with clinically meaningful interlimb asymmetry in sagittal plane hip and knee variables and compared these proportions using odds ratios. There was no differential loss to followup between groups. RESULTS: There were no differences between the SAP or SAP+PERT groups for the biomechanical gait variables. The involved limb's knee excursion during midstance for the SAP (mean Â± SD: 1 year: 15Â° Â± 5Â°; 2 years: 16Â° Â± 5Â°) and SAP+PERT (1 year: 16Â° Â± 5Â°; 2 years: 15Â° Â± 4Â°) athletes was not different between groups at 1 year (mean difference: -1Â°; 95% confidence interval [CI], -5Â° to 2Â°; p = 0.49) or 2 years (mean difference: 1Â°; 95% CI, -2Â° to 4Â°; p = 0.54). There were no differences between SAP and SAP+PERT athletes regarding the elimination of gait asymmetries, and gait asymmetries persisted to a large degree in both groups 1 and 2 years postoperatively. At 1 year, 11 of 18 SAP and 11 of 20 SAP+PERT athletes walked with truncated knee excursions during weight acceptance (odds ratio: 0.8, p = 0.70) and midstance (SAP 12 of 18, SAP+PERT 12 of 20; odds ratio: 0.8, p = 0.67), whereas at 2 years postoperatively, truncated knee excursions during weight acceptance (SAP seven of 17, SAP+PERT eight of 19; odds ratio: 1.0, p = 0.96) and midstance (SAP five of 17, SAP+PERT 11 of 19; odds ratio: 3.3, p = 0.09) remained prevalent. CONCLUSIONS: We found that a comprehensive, progressive return-to-sport training program with or without perturbation was not effective at restoring interlimb symmetry among men 1 or 2 years after ACL reconstruction. Although gait asymmetries improved from 1 to 2 years postoperatively, meaningful asymmetries persisted in both groups. To restore gait symmetry after ACL reconstruction, additional interventions likely are necessary. LEVEL OF EVIDENCE: Level II, therapeutic study.</t>
  </si>
  <si>
    <t>10.1007/s11999-017-5279-8</t>
  </si>
  <si>
    <t>#279</t>
  </si>
  <si>
    <t>Capin 2017</t>
  </si>
  <si>
    <t>Superior 2-Year Functional Outcomes Among Young Female Athletes After ACL Reconstruction in 10 Return-to-Sport Training Sessions: Comparison of ACL-SPORTS Randomized Controlled Trial With Delaware-Oslo and MOON Cohorts.</t>
  </si>
  <si>
    <t>Capin JJ; Failla M; Zarzycki R; Dix C; Johnson JL; Smith AH; Risberg MA; Huston LJ; Spindler KP; Snyder-Mackler L</t>
  </si>
  <si>
    <t>BACKGROUND: Outcomes after anterior cruciate ligament reconstruction (ACLR) are not uniformly good and are worse among young female athletes. Developing better rehabilitation and return-to-sport training programs and evaluating their outcomes are essential. PURPOSE: (1) Test the effect of strength, agility, plyometric, and secondary prevention (SAPP) exercises with and without perturbation training (SAPP + PERT) on strength, hops, function, activity levels, and return-to-sport rates in young female athletes 1 and 2 years after ACLR and (2) compare 2-year functional outcomes and activity levels among young female athletes in the Anterior Cruciate Ligament Specialized Post-Operative Return-to-Sports (ACL-SPORTS) trial to homogeneous cohorts who completed criterion-based postoperative rehabilitation alone (Multicenter Orthopaedic Outcomes Network [MOON]) and in combination with extended preoperative rehabilitation (Delaware-Oslo). STUDY DESIGN: Randomized controlled trial, Level of evidence, 1; and cohort study, Level of evidence, 3. METHODS: A total of 40 level 1 and level 2 female athletes were enrolled after postoperative impairment resolution 3 to 9 months after primary ACLR. Participants were randomized to 10 SAPP or SAPP + PERT sessions and were tested 1 and 2 years after ACLR on quadriceps strength, hop tests, functional outcomes, and return-to-sport rates. Participants were then compared with homogeneous cohorts of young (&lt;25 years) female athletes who completed criterion-based postoperative rehabilitation alone (MOON) and in combination with extended preoperative rehabilitation (Delaware-Oslo) on 2-year functional outcomes. RESULTS: No significant or meaningful differences were found between SAPP and SAPP + PERT, so groups were collapsed for comparison with the other cohorts. At 2-year follow-up, ACL-SPORTS had the highest scores (P &lt; .01) on the Marx activity rating scale (ACL-SPORTS, 13.5 Â± 3.3; Delaware-Oslo, 12.5 Â± 2.7; MOON, 10.6 Â± 5.1); International Knee Documentation Committee Subjective Knee Evaluation Form (96 Â± 7, 92 Â± 9, and 84 Â± 14, respectively); and Knee injury and Osteoarthritis Outcome Score (KOOS) subscales for Pain (98 Â± 4, 94 Â± 9, and 90 Â± 10, respectively), Symptoms (94 Â± 6, 90 Â± 9, and 83 Â± 14, respectively), Activities of Daily Living (100 Â± 1, 99 Â± 4, and 96 Â± 7, respectively), Sports and Recreation (94 Â± 8, 86 Â± 15, and 82 Â± 17, respectively), and Quality of Life (89 Â± 14, 78 Â± 18, and 76 Â± 19, respectively). The Patient Acceptable Symptom State threshold on the KOOS-Sports and Recreation was achieved by 100% of the ACL-SPORTS cohort compared with 90% of Delaware-Oslo and 78% of MOON (P = .011). CONCLUSION: Although perturbation training provided no added benefit, 10 sessions of return-to-sport training, compared with criterion-based postoperative rehabilitation alone, yielded statistically significant and clinically meaningfully higher 2-year functional outcomes among young, high-level female athletes after ACLR. REGISTRATION: NCT01773317 (ClinicalTrials.gov identifier).</t>
  </si>
  <si>
    <t>10.1177/2325967119861311</t>
  </si>
  <si>
    <t>#213</t>
  </si>
  <si>
    <t>Capin 2019</t>
  </si>
  <si>
    <t>Neurocognitive rehabilitative approach effectiveness after anterior cruciate ligament reconstruction with patellar tendon. A randomized controlled trial.</t>
  </si>
  <si>
    <t>Cappellino F; Paolucci T; Zangrando F; Iosa M; Adriani E; Mancini P; Bellelli A; Saraceni VM</t>
  </si>
  <si>
    <t>BACKGROUND: A proper knee rehabilitation after a surgical reconstruction of the anterior cruciate ligament (ACL) should start immediately after the injury and it should be focused on recovery of symmetry, proprioception, swelling reduction, gait training, hyperextension exercises, and even mental preparation. AIM: Aim of this study was to test a neurocognitive rehabilitative approach based on proprioceptive exercises and proper motor strategy choices, compared with conventional rehabilitation, assessing baropodometric, gait and clinical changes. DESIGN: Randomized controlled trial. SETTING: Ambulatory University Centre. POPULATION: Fourteen subjects (27.9Â±5.2 years) underwent to a surgical reconstruction of ACL were divided into the two groups. METHODS: The subjects were randomly assigned into a group who received a specific neurocognitive and perceptive rehabilitation treatment (TG), and into a control group who received the common physical therapy (CG). The following outcome measures were assessed pre-intervention, one, three and six months later: static and dynamic baropodometry, Visual Analog Scale for pain, Short Form SF-36, Range of Motion, trophism of thigh region, edema, Manual Muscle Test, magneto-resonance imaging assessment. RESULTS: Lower impairment was observed in TG in respect of CG in terms of load asymmetry during static baropodometry (from 7% to 3% vs. from 10% to 7%, interaction time per treatment: P=0.037), less wide steps during gait (effect size=1.05 vs. 0.38 for CG), swelling (treatment effect: P=0.012). A significantly higher improvement (from 35% to 100%) in terms of SF-36 was recorded only in TG for physical activity (P=0.027). CG showed a quite higher walking speed (treatment effect: P=0.049). CONCLUSION: Even if further studies are needed on larger samples, the obtained results showed that a neurocognitive rehabilitative approach could be an effective treatment after ACL-reconstruction: in TG we observed a more rapid load symmetrization, the reduction of step width and a more rapid resolution of edema. CLINICAL REHABILITATION IMPACT: Posture, gait, clinical features and quality of life could benefit from a neurocognitive rehabilitation after ACL surgical reconstruction.</t>
  </si>
  <si>
    <t>Eur J Phys Rehabil Med</t>
  </si>
  <si>
    <t>#414</t>
  </si>
  <si>
    <t>Cappellino 2012</t>
  </si>
  <si>
    <t>No difference in clinical results between femoral transfixation and bio-interference screw fixation in hamstring tendon ACL reconstruction. A preliminary study.</t>
  </si>
  <si>
    <t>Capuano L; Hardy P; Longo UG; Denaro V; Maffulli N</t>
  </si>
  <si>
    <t>Hamstring tendon autograft has become a popular graft choice for anterior cruciate ligament (ACL) reconstruction, but there is no consensus on the ideal technique of fixation. We performed a pilot randomized controlled study to compare the clinical and mechanical outcome of two femoral fixation techniques for anterior cruciate ligament (ACL) reconstruction using hamstrings graft. We recruited 30 patients with a chronic unilateral tear of the anterior cruciate ligament. In all patients, quadrupled hamstring graft was used for ACL reconstruction. In 15 patients, femoral graft fixation was performed using Bio-interference Screws fixation (Arthrex, Inc. Naples USA) (Group 1). In the other 15 patients, femoral graft fixation was performed using BioTransFix femur extra cortical transverse fixation (Arthrex, Inc. Naples USA) (Group 2). In both groups, tibial fixation was achieved with a Delta bio-absorbable interference screw (Arthrex). Both groups were comparable with regard to demographic data, pre-operative activity level, mechanism of injury, interval between the injury and the operation, and pre-operative knee laxity measurements. An independent observer, who was blinded with regard to the involved leg and the type of graft, performed the outcome assessment with the use of a Rolimeter arthrometer (Aircast), and the International Knee Documentation Committee. At 13 months follow up, all patients except one had functionally normal or nearly normal IKDC objective scores. The mean IKDC subjective score was 83.38+/-9.4 in Group 1 and 79.92+/-11.01 in Group 2 (P&gt;.05). The side to side laxity as measured with the Rolimeter arthrometer was 1.5 mm+/-1 (range 0-3) for Group 1, and 2 mm+/-1 (range 0-3) for Group 2 (P&gt;.05). Femoral Biotransfix fixation and Bio-interference Screws fixation provide comparable mechanical stability and clinical outcome at 13 months follow up. BiotransFix fixation is an effective alternative to other devices. Our preliminary study shows that there is no evidence to prefer femoral transfixation to the more traditional, technically less demanding, and more economical interference screw fixation. A full study requires 368 participants.</t>
  </si>
  <si>
    <t>10.1016/j.knee.2008.02.003</t>
  </si>
  <si>
    <t>#509</t>
  </si>
  <si>
    <t>Capuano 2008</t>
  </si>
  <si>
    <t>Isokinetic evaluation of anterior cruciate ligament reconstruction: hamstring versus patellar tendon.</t>
  </si>
  <si>
    <t>Carter TR; Edinger S</t>
  </si>
  <si>
    <t>The purpose of the study was to compare the hamstring and quadriceps isokinetic results 6 months postoperatively in patients having patellar tendon or hamstring anterior cruciate ligament (ACL) reconstruction. The study group was comprised of 106 randomly selected patients who had ACL reconstruction with either autogenous patellar tendon (PT), semitendinosus (ST), or semitendinosus and gracilis (ST/G). Hamstring and quadriceps isokinetic strength were assessed at 180 degrees/sec and 300 degrees/sec with the results of the operatively treated leg expressed as a percent compared with the nonoperative leg. The mean results for knee extension at 180 degrees/sec were 68.3%, 74.3%, and 78.1%; and at 300 degrees/sec were 70.7%, 76.7%, and 81.7% for PT, ST, and ST/G, respectively. The mean results for knee flexion at 180 degrees/sec were 86.1%, 80.6%, and 81.7%; and at 300 degrees/sec were 77.6%, 79.1%, and 75.6% for PT, ST, and ST/G, respectively. No statistically significant differences were found in regard to knee extension or flexion strength when evaluating the different tissue sources. The results show that selection of autogenous hamstring or PT used for ACL reconstruction should not be based solely on the assumption of the tissue source altering the recovery of quadriceps and/or hamstring strength. In addition, a majority of the patients had not achieved adequate strength to safely partake in unlimited activities at 6 months postoperatively.</t>
  </si>
  <si>
    <t>10.1053/ar.1999.v15.0150161</t>
  </si>
  <si>
    <t>#650</t>
  </si>
  <si>
    <t>Carter 1999</t>
  </si>
  <si>
    <t>Resorbable screw and sheath versus resorbable interference screw and staples for ACL reconstruction: a comparison of two tibial fixation methods.</t>
  </si>
  <si>
    <t>Carulli C; Matassi F; Soderi S; Sirleo L; Munz G; Innocenti M</t>
  </si>
  <si>
    <t>PURPOSE: The anterior cruciate ligament (ACL) reconstruction is one of the most performed and successful orthopaedic procedures. The results are considered independent by the choice of the graft and the fixation devices. A growing interest on resorbable non-metallic fixation devices versus standard metallic fixation devices has been noted over recent years with few clinical experiences reported in the literature. The aim of this study is to compare the clinical and radiological outcomes of patients undergoing ACL reconstruction using autologous hamstring tendons with tibial fixation by a centrally placed resorbable screw and sheath to a combination of an eccentrically placed resorbable interference screw and supplementary staple fixation. METHODS: Ninety patients undergoing an isolated, single-bundle, primary ACL reconstruction with autologous hamstring tendons, using the same femoral fixation, were randomized to a tibial fixation with a centrally placed resorbable screw and sheath, BioIntrafix (group A), or an eccentrically placed resorbable interference screw, BioRCI, and two non-resorbable staples (group B). The latter has represented for many years our standard fixation method. Clinical evaluations (KOOS, IKDC, KT-2000â„¢ side-to-side difference) and radiological analyses were conducted in both groups with a minimum follow-up of 2Â years. RESULTS: We assisted in a satisfactory pain relief and functional improvements, without significant clinical and radiological differences in both groups. No further surgery was needed in patients with the screw/sheath tibial fixation. Seven patients with the screw/staples tibial fixation needed the surgical removal of the fixation devices due to pes anserinus irritation or local infection years after the index operation. Other parameters such as the tunnel enlargement were not statistically different in the two groups. CONCLUSIONS: Good clinical and radiological outcomes of ACL reconstruction by a screw/sheath tibial fixation have been reported showing comparable results with respect to screw/staples fixation. There were no failures associated with loss of fixation with either of tibial fixation methods. A fewer number of surgical removals of tibial devices were also recorded in patients treated by the screw/sheath fixation system, related to the absence of local intolerance or infection compared to subjects with a standard tibial fixation.</t>
  </si>
  <si>
    <t>10.1007/s00167-016-4135-9</t>
  </si>
  <si>
    <t>#308</t>
  </si>
  <si>
    <t>Carulli 2017</t>
  </si>
  <si>
    <t>Semitendinosus vs quadriceps tendon autograft in anterior cruciate ligament reconstruction (SEQUAR): protocol for a prospective randomized controlled trial.</t>
  </si>
  <si>
    <t>Castellanos Dolk D; Sarakatsianos V; WÃ¶rner T; Ã–stin M; Cristiani R; Kvist J; StÃ¥lman A</t>
  </si>
  <si>
    <t>BACKGROUND: Anterior cruciate ligament (ACL) rupture is a devastating injury for most individuals, especially in athletes with the desire to go back to pivoting sports. In ACL reconstruction (ACL-R), multiple autograft options are available, each with distinct advantages and limitations. The quadriceps tendon (QT) autograft has gained increasing attention due to its favorable biomechanical properties and lower donor site morbidity, yet studies comparing only athletic populations remains limited. This study protocol describes a randomized controlled trial (RCT) aiming to compare QT autograft with bone-block (QT-B) with semitendinosus tendon (ST) autograft in athletes undergoing primary ACL-R. METHODS: This is a single center RCT. Two Hundred ACL-R patients aged 16-40 years with a Tegner Activity Scale (TAS) ofâ€‰â‰¥â€‰7 prior to the ACL injury will be randomized to receive either a ST graft or a QT-B graft at the time of ACL-R. All participants will receive standard postoperative care and rehabilitation, followed by comprehensive follow-up. The primary outcome was the side-to-side (STS) difference in anterior tibial translation (ATT) at 6 months. Secondary outcomes include patient-reported outcome measures (PROMs), isokinetic strength testing, imaging-based graft evaluation, surgical and clinical events, and 10-year radiographic evidence of joint degeneration. Detailed definitions and timepoints are provided in the full manuscript (Table 1). DISCUSSION: This protocol is the first RCT comparing the ST autograft to the QT-B autograft exclusively in athletes with TASâ€‰â‰¥â€‰7 undergoing ACL-R. In addition, this trial has the ambition of including 200 patients, thereby making it the largest trial to compare these two grafts to date. The successful completion of the trial has the potential to change current practice and contribute to the existing knowledge regarding graft choice in athletes undergoing ACL-R. TRIAL REGISTRATION: The trial is registered at ClinicalTrials.gov: NCT04295148. Registered date: 4 Mar 2020 (retrospectively registered).</t>
  </si>
  <si>
    <t>10.1186/s12891-025-09183-w</t>
  </si>
  <si>
    <t>#34</t>
  </si>
  <si>
    <t>CastellanosDolk 2025</t>
  </si>
  <si>
    <t>A Randomized Controlled Trial of Bone-Patellar Tendon-Bone Anterior Cruciate Ligament Reconstruction With and Without Lateral Extra-articular Tenodesis: 19-Year Clinical and Radiological Follow-up.</t>
  </si>
  <si>
    <t>Castoldi M; Magnussen RA; Gunst S; Batailler C; Neyret P; Lustig S; Servien E</t>
  </si>
  <si>
    <t>BACKGROUND: Arthroscopic anterior cruciate ligament (ACL) reconstruction (ACLR) with a bone-patellar tendon-bone graft (BTB) is a reliable surgical option for the control of anterior knee laxity after ACL injury. The addition of a lateral extra-articular tenodesis (LET) may improve control of rotation knee laxity and improve short-term graft survival in high-risk patients. PURPOSE: The aims of this study were to compare long-term patient-reported outcomes, graft survival, and risk of osteoarthritis between ACLR with and without LET. STUDY DESIGN: Randomized controlled trial; Level of evidence, 2. METHODS: This study included 121 consecutive knees (120 patients) presenting to a single center with an ACL rupture between 1998 and 1999. In total, 61 knees were randomized to an isolated BTB ACLR, and 60 knees were randomized to a BTB ACLR with an extra-articular lateral tenodesis with gracilis tendon (modified Lemaire). RESULTS: Eighty knees in 79 patients (66%) were available for follow-up at a postoperative mean of 19.4 years (range, 19-20.2). Of those patients, 43 had a clinical examination and completed patient-reported outcome questionnaires, and the other 37 patients were evaluated through the questionnaires alone. Standard radiographs were available for 45 patients and laximetry (TELOS) for 42 patients. Mean subjective International Knee Documentation Committee score at last follow-up was 81.8, and no differences were noted between the BTB and BTB-LET groups (P = .7). Two-thirds of patients were still participating in pivoting sports. A total of 17 knees (21%) experienced a graft failure, 5 of which (6%) underwent revision ACLR. There was no significant difference in graft failure risk between the BTB group (29%) and the BTB-LET group (13%; P = .1). Lateral tibiofemoral osteoarthritis was significantly more frequent in the BTB-LET group (59%) as compared with the BTB group (22%; P = .02). Lateral compartment osteoarthritis was correlated with partial lateral meniscectomy. CONCLUSION: There were no significant differences in long-term patient-reported outcomes after ACLR with or without an LET. LET may increase the risk of lateral compartment osteoarthritis at long-term follow-up. There was a trend toward decreased graft failure risk with the addition of LET but this study was underpowered to assess this outcome.</t>
  </si>
  <si>
    <t>10.1177/0363546520914936</t>
  </si>
  <si>
    <t>#192</t>
  </si>
  <si>
    <t>Castoldi 2020</t>
  </si>
  <si>
    <t>Hamstring Graft Incorporation According to the Length of the Graft Inside Tunnels.</t>
  </si>
  <si>
    <t>Cavaignac E; Marot V; Faruch M; Reina N; Murgier J; Accadbled F; Berard E; Chiron P</t>
  </si>
  <si>
    <t>BACKGROUND: Anterior cruciate ligament (ACL) reconstruction with a quadrupled semitendinosus (ST4) graft is an evolution of the standard technique with 2 hamstring tendons (semitendinosus + gracilis [STG]). However, there is no published comparison of how well these 2 types of hamstring grafts are incorporated into the bone tunnels. Because the ST4 graft is shorter, there is less graft material inside the tunnels. PURPOSE: To use magnetic resonance imaging (MRI) to compare graft incorporation in the tibial bone tunnels 1 year after ACL reconstruction with either an STG graft or ST4 graft. STUDY DESIGN: Cohort study; Level of evidence, 2. METHODS: Sixty-two patients who underwent ACL reconstruction were enrolled prospectively: 31 with an ST4 graft and 31 with an STG graft. The same surgical technique, fixation method, and postoperative protocol were used in both groups. Graft incorporation and ligamentization were evaluated with MRI after 1 year of follow-up. The following parameters were evaluated: signal-to-noise quotient (SNQ), tibial tunnel enlargement, signal intensity at the bone-graft interface, and graft signal according to the Howell scale. The number of participants needed to show that the mean SNQ did not differ between the 2 techniques was 31 in each group (with a 1-sided alpha of 2.5% and a 1-sided beta of 10.0%). The Student t test was used to compare the distribution of continuous secondary endpoints. RESULTS: The mean SNQ was 5.2 Â± 4.5 for the STG group and 5.9 Â± 3.7 for the ST4 group ( P = .5100). The mean tibial tunnel widening was 93.7% Â± 51.7% for the STG group versus 80.0% Â± 42.9% for the ST4 group ( P = .2605). The groups did not differ in signal intensity at the bone-graft interface ( P = .7502) or in graft signal according to the Howell scale ( P = .4544). CONCLUSION: At the 1-year postoperative follow-up, incorporation and ligamentization of the STG and ST4 grafts were the same based on MRI analysis. The results were at least as good with the ST4 technique as with the standard STG technique in terms of incorporation and ligamentization.</t>
  </si>
  <si>
    <t>10.1177/0363546517733472</t>
  </si>
  <si>
    <t>#261</t>
  </si>
  <si>
    <t>Cavaignac 2018</t>
  </si>
  <si>
    <t>Anterior cruciate ligament patellar tendon reconstruction: it is probably better to leave the tendon defect open!</t>
  </si>
  <si>
    <t>Cerullo G; Puddu G; GiannÃ­ E; Damiani A; Pigozzi F</t>
  </si>
  <si>
    <t>The purpose of our prospective study was to establish whether or not in anterior cruciate ligament (ACL) patellar tendon reconstruction the tendon defect has to be closed. In 50 consecutive ACL patellar tendon reconstructions, the tendon defect was randomly closed (group I) or left open (group II). The following data were recorded from all patients on the 4th and 14th days post operation: range of motion (ROM), pain at rest, pain and validity at isometric contraction, ability of bent leg raising (at 4th day) and straight leg raising (at 14th day). All the patients underwent ultrasonographic examination after 3 months and X-ray scanning at 6 months post operation. Forty patients underwent a CT-scan examination at 6 months. Thirty patients underwent isokinetic testing between 10 and 12 months post operation. Evaluating the immediate post operation data, no statistically significant differences emerged between the two groups. Ultrasonography showed in 68% of the knees of group I (defect closed) a thickened patellar tendon (PT), while in 60% of group II it was of normal thickness. No patients of either group developed patella infera by X-ray evaluation 6 months post operation. CT scans at 6 months showed that 100% of the knees of group I had a thickened PT in toto (nearly twice as thick as normal). Scar tissue was present not only in its central third but also in more than half of the cases in the medial and lateral third. In group II 75% of the patients had a normal thickness PT and 25% presented with only a minimal thickening. Scar tissue was distinguished only at its central third.(ABSTRACT TRUNCATED AT 250 WORDS)</t>
  </si>
  <si>
    <t>10.1007/BF01553519</t>
  </si>
  <si>
    <t>#684</t>
  </si>
  <si>
    <t>Cerullo 1995</t>
  </si>
  <si>
    <t>Autologous platelet-rich plasma gel to reduce donor-site morbidity after patellar tendon graft harvesting for anterior cruciate ligament reconstruction: a randomized, controlled clinical study.</t>
  </si>
  <si>
    <t>Cervellin M; de Girolamo L; Bait C; Denti M; Volpi P</t>
  </si>
  <si>
    <t>PURPOSE: Bone-patellar tendon-bone technique (BPTB) for anterior cruciate ligament injuries is associated with a higher risk of donor-site morbidity. To evaluate whether platelet-rich plasma (PRP), due to its anti-inflammatory properties and capacity to stimulate tissue regeneration, was able to reduce the anterior knee pain, the kneeling pain, and donor-site morbidity, as evidenced by evaluation of VISA and VAS scoring scales and MRI analysis of the tendon and bone defect, we performed a clinical randomized controlled study where PRP gel was applied to donor site after ACL reconstruction with BPTB. METHODS: Forty young athletes with the indication of ACL reconstruction with patellar tendon grafts were randomly assigned to group A (nÂ =Â 20 patients, control group) or group B (nÂ =Â 20 patients, PRP group). The autologous PRP gel was applied to both the patellar and tendon bone plug harvest site and stabilized by the peritenon suture. At 12-month follow-up, all patients underwent clinical examination and VAS and VISA questionnaires, respectively, evaluating the average daily pain of the knee and the pain during particular activities involving the knee, were filled. MRI at the same time point was also performed. RESULTS: VISA scores were significantly higher in the patients treated with PRP (84.5Â Â±Â 11.8 and 97.8Â Â±Â 2.5 for group A and for group B; PÂ =Â 0.041), whereas no significant difference in postoperative VAS scores between the two groups was observed (1Â Â±Â 1.4 and 0.6Â Â±Â 0.9 for group A and group B, n.s.). In 85% of PRP group patients, the tibial and patellar bone defect was satisfactorily filled by new bony tissue (&gt;70% of bone gap filled), whereas this percentage was just of 60% in control group patients, but this difference was not statistically significant. CONCLUSIONS: The study shows the usefulness of PRP in reducing subjective pain at the donor-site level after ACL reconstruction with BPTB. However, this approach deserves further investigations to confirm PRP efficacy and to elucidate its mechanism of action. LEVEL OF EVIDENCE: Prospective randomized controlled study, Level I.</t>
  </si>
  <si>
    <t>10.1007/s00167-011-1570-5</t>
  </si>
  <si>
    <t>#430</t>
  </si>
  <si>
    <t>Cervellin 2012</t>
  </si>
  <si>
    <t>Anterior Cruciate Ligament Patellar Tendon Autograft Fixation at 0Â° Versus 30Â° Results in Improved Activity Scores and a Greater Proportion of Patients Achieving the Minimal Clinical Important Difference For Knee Injury and Osteoarthritis Outcome Score Pa</t>
  </si>
  <si>
    <t>Chahal J; Whelan DB; Hoit G; Theodoropoulos J; Ajrawat P; Betsch M; Docter S; Dwyer T</t>
  </si>
  <si>
    <t>PURPOSE: The aim of the current study was to determine the effect of the knee flexion angle (KFA) during tibial anterior cruciate ligament (ACL) graft fixation on patient-reported outcomes, graft stability, extension loss, and reoperation after anatomic single-bundle ACL reconstruction. METHODS: All 169 included patients (mean age 28.5 years, 65% male) were treated with anatomic single-bundle ACL reconstruction using patellar tendon autograft and were randomized to tibial fixation of the ACL graft at either 0Â° (nÂ = 85) or 30Â° (nÂ = 84). The primary outcome was the Knee Injury and Osteoarthritis Outcome Score (KOOS) 2 years after surgery. Secondary outcomes were the Marx Activity Scale (MAS), the rate of reoperation, and physical examination findings at 1 year, including KT-1000 and side-to-side differences in knee extension. RESULTS: The follow-up rate was 82% (nÂ = 139) for the primary outcome. Graft failure rate at 2 years was 1% (nÂ = 2, 1 per group). ACL tibial graft fixation at 0Â° or 30Â° did not have a significant effect on KOOS scores at 2 years after ACLR. Patients whose graft was fixed at a knee flexion angle of 0Â° had greater scores on the MAS (mean 9.6 95% confidence interval [CI] 8.5 to 10.6, versus 8.0, 95% CI 6.9 to 9.1; PÂ = .04), and a greater proportion achieved the minimal clinical important difference (MCID) for the KOOS pain subdomain (94% versus 81%; PÂ = .04). There was no significant difference in knee extension loss, KT-1000 measurements, or reoperation between the 2 groups. CONCLUSION: In the setting of anatomic single-bundle ACLR using patellar tendon autograft and anteromedial portal femoral drilling, there was no difference in KOOS scores between patients fixed at 0Â° and 30Â°. Patient fixed in full extension did demonstrate higher activity scores at 2 years after surgery and a greater likelihood of achieving the MCID for KOOS pain. LEVEL OF EVIDENCE: II, prospective randomized trial.</t>
  </si>
  <si>
    <t>10.1016/j.arthro.2021.12.018</t>
  </si>
  <si>
    <t>#144</t>
  </si>
  <si>
    <t>Chahal 2022</t>
  </si>
  <si>
    <t>A comparison of acute and chronic anterior cruciate ligament reconstruction using LARS artificial ligaments: a randomized prospective study with a 5-year follow-up.</t>
  </si>
  <si>
    <t>Chen J; Gu A; Jiang H; Zhang W; Yu X</t>
  </si>
  <si>
    <t>PURPOSE: This prospective randomized study compared acute and chronic anterior cruciate ligament (ACL) reconstruction using ligament advanced reinforcement system (LARS) artificial ligament in young active adults with a 5-year follow-up. METHODS: Fifty-five patients were enrolled in this study and divided into two groups based on the elapsed time between the injury and reconstruction: the acute group (3-7 weeks) and the chronic group (6-11 months). The clinical outcomes were evaluated using the Lysholm knee scoring scale, the Tegner activity rating, a KT-1000 Arthrometer, and the International Knee Documentation Committee (IKDC) scoring system. Isokinetic strength of the quadriceps and hamstring was assessed using the Biodex System 3 isokinetic dynamometer. RESULTS: Anterior laxity was decreased and quadriceps/hamstring muscle strength was increased in the acute group compared to the chronic group (p &gt; 0.05). There were no statistically significant differences in Lysholm scores, Tegner activity scores, and the IKDC evaluation form between the two groups. CONCLUSIONS: These results suggest that earlier ACL reconstruction using a LARS artificial ligament may provide an advantage in the treatment and rehabilitation of ACL rupture.</t>
  </si>
  <si>
    <t>10.1007/s00402-014-2108-3</t>
  </si>
  <si>
    <t>#340</t>
  </si>
  <si>
    <t>Chen 2015</t>
  </si>
  <si>
    <t>Intra-articular Injection of Tranexamic Acid Reduced Postoperative Hemarthrosis in Arthroscopic Anterior Cruciate Ligament Reconstruction: A Prospective Randomized Study.</t>
  </si>
  <si>
    <t>Chiang ER; Chen KH; Wang ST; Ma HL; Chang MC; Liu CL; Chen TH</t>
  </si>
  <si>
    <t>PURPOSE: To evaluate the effect of intra-articular injection of tranexamic acid (TXA) in patients receiving arthroscopic anterior cruciate ligament reconstruction (ACLR). METHODS: A total of 304 patients were included in this study, which was performed between August 2017 and April 2018. Single-bundle reconstructions using autologous hamstring tendon grafts were performed in all patients. Patients were randomized into 2 groups: Group 1 patients (TXA group) received the index procedure with a 10-mL intra-articular injection of TXA (100Â mg/mL). Group 2 patients (control group) received the index procedure without TXA injections. An intra-articular suction drain was placed in the joint and clamped for 2Â hours after the procedure. The volume of drainage was recorded 24Â hours after surgery. Clinical evaluations using the International Knee Documentation Committee functional score, range of motion, and a visual analog scale pain score were performed on day 3 and at week 4 postoperatively. RESULTS: Twenty-four hours after surgery, a significant decrease in the amount of drainage was observed in patients receiving intra-articular injections (TXA group, 56.1 Â± 34.1Â mL; control group, 80.1 Â± 48Â mL; P &lt; .05). On day 3 and at week 4, significantly reduced pain scores were reported in the TXA group. However, at week 4, clinical function scores did not show significant differences between the 2 groups. CONCLUSIONS: Intra-articular injection of TXA could significantly reduce postoperative intra-articular bleeding in the first 24Â hours in patients receiving arthroscopic ACLR. TXA injection may also decrease pain and the grade of hemarthrosis in the early postoperative period. No systemic side effects or need for aspiration was noted during the follow-up period. Therefore, intra-articular injection of TXA could be considered an effective and relatively safe solution to reduce postoperative bleeding and pain in ACLR patients. LEVEL OF EVIDENCE: Level II, prospective comparative study.</t>
  </si>
  <si>
    <t>10.1016/j.arthro.2019.02.018</t>
  </si>
  <si>
    <t>#220</t>
  </si>
  <si>
    <t>Chiang 2019</t>
  </si>
  <si>
    <t>Low- Versus High-Intensity Plyometric Exercise During Rehabilitation After Anterior Cruciate Ligament Reconstruction.</t>
  </si>
  <si>
    <t>Chmielewski TL; George SZ; Tillman SM; Moser MW; Lentz TA; Indelicato PA; Trumble TN; Shuster JJ; Cicuttini FM; Leeuwenburgh C</t>
  </si>
  <si>
    <t>BACKGROUND: Plyometric exercise is used during rehabilitation after anterior cruciate ligament (ACL) reconstruction to facilitate the return to sports participation. However, clinical outcomes have not been examined, and high loads on the lower extremity could be detrimental to knee articular cartilage. PURPOSE: To compare the immediate effect of low- and high-intensity plyometric exercise during rehabilitation after ACL reconstruction on knee function, articular cartilage metabolism, and other clinically relevant measures. STUDY DESIGN: Randomized controlled trial; Level of evidence, 2. METHODS: Twenty-four patients who underwent unilateral ACL reconstruction (mean, 14.3 weeks after surgery; range, 12.1-17.7 weeks) were assigned to 8 weeks (16 visits) of low- or high-intensity plyometric exercise consisting of running, jumping, and agility activities. Groups were distinguished by the expected magnitude of vertical ground-reaction forces. Testing was conducted before and after the intervention. Primary outcomes were self-reported knee function (International Knee Documentation Committee [IKDC] subjective knee form) and a biomarker of articular cartilage degradation (urine concentrations of crosslinked C-telopeptide fragments of type II collagen [uCTX-II]). Secondary outcomes included additional biomarkers of articular cartilage metabolism (urinary concentrations of the neoepitope of type II collagen cleavage at the C-terminal three-quarter-length fragment [uC2C], serum concentrations of the C-terminal propeptide of newly formed type II collagen [sCPII]) and inflammation (tumor necrosis factor-Î±), functional performance (maximal vertical jump and single-legged hop), knee impairments (anterior knee laxity, average knee pain intensity, normalized quadriceps strength, quadriceps symmetry index), and psychosocial status (kinesiophobia, knee activity self-efficacy, pain catastrophizing). The change in each measure was compared between groups. Values before and after the intervention were compared with the groups combined. RESULTS: The groups did not significantly differ in the change of any primary or secondary outcome measure. Of interest, sCPII concentrations tended to change in opposite directions (mean Â± SD: low-intensity group, 28.7 Â± 185.5 ng/mL; high-intensity group, -200.6 Â± 255.0 ng/mL; P = .097; Cohen d = 1.03). Across groups, significant changes after the intervention were increased the IKDC score, vertical jump height, normalized quadriceps strength, quadriceps symmetry index, and knee activity self-efficacy and decreased average knee pain intensity. CONCLUSION: No significant differences were detected between the low- and high-intensity plyometric exercise groups. Across both groups, plyometric exercise induced positive changes in knee function, knee impairments, and psychosocial status that would support the return to sports participation after ACL reconstruction. The effect of plyometric exercise intensity on articular cartilage requires further evaluation. REGISTRATION NUMBER: Clinicaltrials.gov NCT01851655.</t>
  </si>
  <si>
    <t>10.1177/0363546515620583</t>
  </si>
  <si>
    <t>#316</t>
  </si>
  <si>
    <t>Chmielewski 2016</t>
  </si>
  <si>
    <t>Effectiveness of reconstruction of the anterior cruciate ligament with quadrupled hamstrings and bone-patellar tendon-bone autografts: an in vivo study comparing tibial internal-external rotation.</t>
  </si>
  <si>
    <t>Chouliaras V; Ristanis S; Moraiti C; Stergiou N; Georgoulis AD</t>
  </si>
  <si>
    <t>BACKGROUND: The 2 most frequently used autografts for anterior cruciate ligament reconstruction are the bone-patellar tendon-bone and the quadrupled hamstrings tendon. HYPOTHESIS: Hamstring tendon graft is superior to patellar tendon graft in restoring tibial rotation during highly demanding activities because of its superiority in strength and linear stiffness and because it is closer morphologically to the anatomy of the natural anterior cruciate ligament. STUDY DESIGN: Case control study; Level of evidence, 3. METHODS: Eleven patients with patellar tendon graft anterior cruciate ligament reconstruction, 11 patients with hamstring tendon graft anterior cruciate ligament reconstruction, and 11 controls were assessed. Kinematic data were collected (50 Hz) with a 6-camera optoelectronic system while the subjects descended stairs and, immediately after, pivoted on their landing leg. The dependent variable examined was the tibial internal-external rotation during pivoting. All patients in both groups were also assessed clinically and with the use of a KT-1000 arthrometer to evaluate anterior tibial translation. RESULTS: The results demonstrated that reconstructions with either graft successfully restored anterior tibial translation. However, both anterior cruciate ligament reconstruction groups had significantly increased tibial rotation when compared with the controls, whereas no differences were found between the 2 reconstructed groups. CONCLUSION: The 2 most frequently used autografts for anterior cruciate ligament reconstruction cannot restore tibial rotation to normal levels. CLINICAL RELEVANCE: New surgical techniques are needed that can better approximate the actual anatomy and function of the anterior cruciate ligament.</t>
  </si>
  <si>
    <t>10.1177/0363546506296040</t>
  </si>
  <si>
    <t>#532</t>
  </si>
  <si>
    <t>Chouliaras 2007</t>
  </si>
  <si>
    <t>The influence of electromyographic biofeedback therapy on knee extension following anterior cruciate ligament reconstruction: a randomized controlled trial.</t>
  </si>
  <si>
    <t>Christanell F; Hoser C; Huber R; Fink C; Luomajoki H</t>
  </si>
  <si>
    <t>BACKGROUND: Loss of knee extension and a deficit in quadriceps strength are frequently found following anterior cruciate ligament (ACL) reconstruction. The aim of this study was to investigate whether the addition of Eletromyographic Biofeedback (EMG BFB) therapy for the vastus medialis muscle to the in the early phase of the standard rehabilitation programme could improve the range of knee extension and strength after ACL reconstruction more than a standard rehabilitation programme. The correlation between EMG measurement and passive knee extension was also investigated. METHOD: Sixteen patients, all of whom underwent endoscopic ACL reconstruction using patellar tendon autograft, were randomly assigned to two groups:â€¢ Control group (8 patients): standard rehabilitation protocol; with full weight-bearing postoperative, knee brace (0Â° extension, 90Â° flexion), electrical stimulation, aquatics and proprioceptive training.â€¢ The EMG BFB group (8 patients): EMG BFB was added to the standard rehabilitation protocol within the first postoperative week and during each session for the next 6 weeks.Each patent attended a total of 16 outpatient physiotherapy sessions following surgery. High-Heel-Distance (HHD) Test, range of motion (ROM) and integrated EMG (iEMG) for vastus medialis were measured preoperatively, and at the 1, 2, 4 and 6-week follow ups. Additionally, knee function, swelling and pain were evaluated using standardized scoring scales. RESULTS: At 6 weeks, passive knee extension (pâ€‰&lt;â€‰0.002) and the HHD Test were significantly (pâ€‰&lt;â€‰0.01) better in the EMG BFB group compared to controls. Integrated EMG (vastus medialis) of the EMG BFB group also showed a significant increase after 2 (pâ€‰&lt;â€‰0.01) and 6 (pâ€‰&lt;â€‰0.01) weeks. At the 6-week follow up, no significant (pâ€‰&gt;â€‰0.01) differences were found between the two groups for the assessment of knee function, swelling and pain. CONCLUSION: The results indicate that EMG BFB therapy, in the early phase of rehabilitation after ACL reconstruction, is useful in enhancing knee extension. Improved innervation of the vastus medialis can play a key role in the development of postoperative knee extension. EMG BFB therapy is a simple, inexpensive and valuable adjunct to conventional therapeutic modalities.</t>
  </si>
  <si>
    <t>Sports Med Arthrosc Rehabil Ther Technol</t>
  </si>
  <si>
    <t>10.1186/1758-2555-4-41</t>
  </si>
  <si>
    <t>#402</t>
  </si>
  <si>
    <t>Christanell 2012</t>
  </si>
  <si>
    <t>The effects of early aggressive rehabilitation on outcomes after anterior cruciate ligament reconstruction using autologous hamstring tendon: a randomized clinical trial.</t>
  </si>
  <si>
    <t>Christensen JC; Goldfine LR; West HS</t>
  </si>
  <si>
    <t>STUDY DESIGN: Prospective randomized clinical trial. METHODS AND MEASURES: Thirty-six patients who had a primary anterior cruciate ligament reconstruction (ACL-R) with a semitendinosus-gracilis (STG) autograft from a single orthopedic surgeon were prospectively randomized into 2 groups. Nineteen patients were randomized to the aggressive group (53% male, mean age 30.1 + 10.5 y) and 17 to the nonaggressive group (88% male, mean age 33.1 + 10.9 y). Impairment measures of anteroposterior (A-P) knee laxity, range of motion (ROM), and peak isometric force (PIF) values were obtained 12 wk postoperatively. Subjective response to the International Knee Documentation Committee knee form (IKDC) was collected 1, 12, and 24 wk postoperatively. One-way ANOVA was used to analyze differences between groups at 12 wk for A-P knee laxity, ROM, and PIF. Differences between the groups for the IKDC scores were determined using 1-way ANOVA with repeated measures 1, 12, and 24 wk postoperatively. Bonferroni adjustment was used for multiple comparisons. RESULTS: There were no differences between the groups for the baseline characteristics (P &gt; .05). There was no difference found between the groups in respect to A-P knee laxity, ROM, or PIF at 12 wk (P &gt; .05). Further analysis also showed no significant differences in the IKDC scores between groups at 12 or 24 wk (P &gt; .05). CONCLUSIONS: No differences were found between early aggressive and nonaggressive rehabilitation after an isolated ACL-R using STG autografts for the primary outcomes of A-P knee laxity and subjective IKDC score. In addition, no differences were observed for secondary outcomes between groups for differences in ROM and PIF values.</t>
  </si>
  <si>
    <t>10.1123/jsr.22.3.191</t>
  </si>
  <si>
    <t>#381</t>
  </si>
  <si>
    <t>Christensen 2013</t>
  </si>
  <si>
    <t>Prospective randomised controlled trial comparing PLLA and PLDLA/HA/Î²-TCP interference screws in anterior cruciate ligament reconstruction: CT scans, MRI and clinical outcomes.</t>
  </si>
  <si>
    <t>Coppola C; Mayr R; El Attal R; Smekal V; Degenhart G; Kranewitter C; Fritz J; Koidl C</t>
  </si>
  <si>
    <t>PURPOSE: Modifying interference screw composition may ensure better osteoconductive properties in order to reduce tunnel enlargement after anterior cruciate ligament (ACL) reconstruction. The primary and secondary purposes were to evaluate tunnel and screw volume changes in poly-L-lactide acid (PLLA) and poly-D-lactic acidâ€‰+â€‰hydroxyapatiteâ€‰+â€‰Î²-tricalcium phosphate (PLDLA+) screws. The tertiary purpose was to compare patient reported- and functional outcomes between PLLA and PLDLA+ group. It was hypothesised that PLLA group would show more tunnel enlargement and a lower rate of resorption than PLDLA+ group with similar clinical results. METHODS: Patients were treated with ACL reconstruction using hamstring autograft with femoral and tibial interference screw fixation (PLLA or PLDLA+). Tunnel volume changes were assessed after 0, 24 and 36 months on computed tomography (CT) scans. Screw volume changes were analysed after 0, 3, 6, 12, 24 and 36 months on magnetic resonance imaging (MRI). Patient reported outcome scores (PROMS) and knee laxity were analysed after 12 and 36 months. Data were evaluated using analysis of variance (ANOVA) with Bonferroni correction. Significance was set atâ€‰&lt;0.05. RESULTS: Femoral/tibial tunnel volume enlarged 10.7â€‰Â±â€‰46.6%/3.8â€‰Â±â€‰14.4% (PLLA, nâ€‰=â€‰9) and 2.6â€‰Â±â€‰30.8%/19.0â€‰Â±â€‰20.5% (PLDLAâ€‰+, nâ€‰=â€‰13) after 36 months on CT scans (pâ€‰=â€‰0.063/pâ€‰=â€‰0.070). Using MRI scans, femoral/tibial screw volume decreased -53.8â€‰Â±â€‰6.9%/-48.8â€‰Â±â€‰9% (PLLA) and -88.2â€‰Â±â€‰8.9%/-80.6â€‰Â±â€‰3.4% (PLDLA+) (pâ€‰â‰¤â€‰0.001/pâ€‰â‰¤â€‰0.001). No difference was found between the two groups (PLLA, nâ€‰=â€‰17; PLDLA+, nâ€‰=â€‰19) in PROMS and knee laxity (n.s. and/or minimal clinically important difference (MCID) not reached). CONCLUSIONS: Tunnel volumes remained slightly enlarged, screw degradation was significantly higher in the PLDLA+ group while clinical outcomes led to good short-term results. Comparable tunnel enlargement for both screws can be expected in revision ACL reconstruction. LEVEL OF EVIDENCE: Level I randomised controlled trial.</t>
  </si>
  <si>
    <t>10.1002/ksa.70024</t>
  </si>
  <si>
    <t>#37</t>
  </si>
  <si>
    <t>Coppola 2026</t>
  </si>
  <si>
    <t>Local vibration training improves the recovery of quadriceps strength in early rehabilitation after anterior cruciate ligament reconstruction: A feasibility randomised controlled trial.</t>
  </si>
  <si>
    <t>Coulondre C; Souron R; Rambaud A; Dalmais Ã‰; Espeit L; Neri T; Pinaroli A; Estour G; Millet GY; Rupp T; Feasson L; Edouard P; Lapole T</t>
  </si>
  <si>
    <t>BACKGROUND: After anterior cruciate ligament reconstruction (ACLR), quadriceps strength must be maximised as early as possible. OBJECTIVES: We tested whether local vibration training (LVT) during the early post-ACLR period (i.e., âˆ¼10 weeks) could improve strength recovery. METHODS: This was a multicentric, open, parallel-group, randomised controlled trial. Thirty individuals attending ACLR were randomised by use of a dedicated Web application to 2 groups: vibration (standardised rehabilitation plus LVT, n=16) or control (standardised rehabilitation alone, n=14). Experimenters, physiotherapists and participants were not blinded. Both groups received 24 sessions of standardised rehabilitation over âˆ¼10 weeks. In addition, the vibration group received 1 hour of vibration applied to the relaxed quadriceps of the injured leg at the end of each rehabilitation session. The primary outcome - maximal isometric strength of both injured and non-injured legs (i.e., allowing for limb asymmetry measurement) - was evaluated before ACLR (PRE) and after the 10-week rehabilitation (POST). RESULTS: Seven participants were lost to follow-up, so data for 23 participants were used in the complete-case analysis. For the injured leg, the mean (SD) decrease in maximal strength from PRE to POST was significantly lower for the vibration than control group (n=11, -16% [10] vs. n=12, -30% [11]; P=0.0045, Cohen's d effect size=1.33). Mean PRE-POST change in limb symmetry was lower for the vibration than control group (-19% [11] vs. -29% [13]) but not significantly (P=0.051, Cohen's d effect size=0.85). CONCLUSION: LVT improved strength recovery after ACLR. This feasibility study suggests that LVT applied to relaxed muscles is a promising modality of vibration therapy that could be implemented early in ACLR. TRIAL REGISTRATION: ClinicalTrials.gov: NCT02929004.</t>
  </si>
  <si>
    <t>Ann Phys Rehabil Med</t>
  </si>
  <si>
    <t>10.1016/j.rehab.2020.08.005</t>
  </si>
  <si>
    <t>#176</t>
  </si>
  <si>
    <t>Coulondre 2022</t>
  </si>
  <si>
    <t>Contrast-Enhanced MRI Evaluation of Bone-Patellar Tendon-Bone and Hamstring ACL Autograft Healing in Humans: A Prospective Randomized Study.</t>
  </si>
  <si>
    <t>Covey DC; Sandoval KE; Riffenburgh RH</t>
  </si>
  <si>
    <t>BACKGROUND: Gadopentetate dimeglumine-enhanced magnetic resonance imaging (MRI), or gadolinium-enhanced MRI, was used to prospectively study the postoperative course of bone-patellar tendon-bone (BPTB) and combined semitendinosus and gracilis (STG) tendon autografts following arthroscopically assisted reconstruction of the anterior cruciate ligament (ACL) in humans. Gadopentetate dimeglumine is a contrast agent that has been shown to enhance the signal of vascularized tissue when examined by MRI. PURPOSE: To prospectively determine and compare the pattern and timing of autograft revascularization following arthroscopically assisted ACL reconstruction by BPTB or STG autografts. STUDY DESIGN: Randomized controlled trial; Level of evidence, 1. METHODS: A total of 73 patients (63 males, 10 females) with ACL tears who were scheduled to undergo reconstruction consented to participate in this study. The patients were randomized to receive arthroscopically assisted reconstruction of the ACL employing either BPTB or STG autografts. Gadolinium-enhanced MRI scans were scheduled at 3-month intervals during the first postoperative year to assess the integrity, timing, and pattern of enhancement of the ACL graft. The temporal sequence and morphologic characteristics of imaged signals were compared for both types of ACL reconstructions. RESULTS: Based on all knees with 1 exception, there were no statistically significant differences in gadopentetate dimeglumine-mediated graft enhancement grade observed between BPTB and STG autografts. CONCLUSION: The results suggest that autograft revascularization probably varies in intensity and location during the time course of graft healing. The interval signal changes observed 3 to 9 months, but especially 6 to 9 months, postoperatively are due to increased contrast uptake as a reflection of ongoing neovascularization during the process of ligamentization.</t>
  </si>
  <si>
    <t>10.1177/2325967118800298</t>
  </si>
  <si>
    <t>#234</t>
  </si>
  <si>
    <t>Covey 2018</t>
  </si>
  <si>
    <t>Autograft type affects muscle strength and hop performance after ACL reconstruction. A randomised controlled trial comparing patellar tendon and hamstring tendon autografts with standard or accelerated rehabilitation.</t>
  </si>
  <si>
    <t>Cristiani R; Mikkelsen C; Wange P; Olsson D; StÃ¥lman A; EngstrÃ¶m B</t>
  </si>
  <si>
    <t>PURPOSE: To evaluate and compare changes in quadriceps and hamstring strength and single-leg-hop (SLH) test performance over the first 24 postoperative months in patients who underwent anterior cruciate ligament reconstruction (ACLR) with bone-patellar tendon-bone (BPTB) or hamstring tendon (HT) autografts and followed either a standard or an accelerated rehabilitation protocol. METHODS: A total of 160 patients undergoing ACLR were randomised in four groups depending on the graft that was used and the rehabilitation protocol (40 BPTB/standard rehab, 40 BPTB/accelerated rehab, 40 HT/standard rehab, 40 HT/accelerated rehab). Isokinetic concentric quadriceps and hamstring strength at 90Â°/s and the SLH test performance were assessed preoperatively and 4,6,8,12 and 24Â months postoperatively. The results were reported as the limb symmetry index (LSI) at the same time point. Linear mixed models were used to compare the groups at the different time points. RESULTS: An average quadriceps strength LSI of 78.4% was found preoperatively. After ACLR, the LSI first decreased at 4Â months and then increased from 6 to 24Â months, reaching an overall value of 92.7% at the latest follow-up. The BPTB group showed a significantly decreased LSI at 4, 6, 8 and 12Â months compared with the HT group. No significant differences between the graft groups were found at 24Â months. An average hamstring strength LSI of 84.6% was found preoperatively. After ACLR, the LSI increased from 4 to 24Â months in the BTPB group. In the HT group, the LSI first decreased at 4Â months and then increased from 6 to 24Â months. An LSI of 97.1% and 89.1% was found at the latest follow-up for the BPTB and the HT group, respectively. The HT group showed a significantly decreased LSI at all follow-ups compared with the BPTB group. An average SLH test LSI of 81% was found preoperatively. After ACLR, the LSI increased from 4 to 24Â months, reaching 97.6% overall at the latest follow-up. The BPTB group showed a significantly decreased LSI only at 4Â months postoperatively compared with the HT group. No significant differences in any of the three tests were found between the standard and accelerated rehabilitation groups for either of the graft groups at any time point. CONCLUSION: Muscle strength and SLH test performance recovered progressively after ACLR overall, but they did not all fully recover, as the injured leg performed on average less than 100% compared with the uninjured leg even 24Â months postoperatively. After ACLR, inferior quadriceps strength and a poorer SLH test performance were found at 4, 6, 8 and 12Â months and at 4Â months, respectively, for the BTPB group compared with the HT group. Persistent, inferior hamstring strength was found at all postoperative follow-ups in the HT group. Rehabilitation, standard or accelerated, had no significant impact on the recovery of muscle strength and SLH test performance after ACLR in any of the graft groups. LEVEL OF EVIDENCE: Level I.</t>
  </si>
  <si>
    <t>10.1007/s00167-020-06334-5</t>
  </si>
  <si>
    <t>#175</t>
  </si>
  <si>
    <t>Cristiani 2021</t>
  </si>
  <si>
    <t>Increased posterior tibial slope is an independent risk factor of anterior cruciate ligament reconstruction graft rupture irrespective of graft choice.</t>
  </si>
  <si>
    <t>Cruz CA; Mannino BJ; Pike A; Thoma D; Lindell K; Kerbel YE; McCadden A; Lopez AJ; Bottoni CR</t>
  </si>
  <si>
    <t>INTRODUCTION: Anterior cruciate ligament (ACL) reconstruction failure remains a commonly seen complication despite advances in technique and graft options. Recently, several studies have shown that the inclination of the tibial plateau in the sagittal plane affects the stability of the knee joint. The purpose of this study was to determine if an increased posterior slope of the tibia is associated with failure of ACL reconstruction irrespective of the graft used. METHODS: From June 2002 to August 2003, a total of 100 patients with a symptomatic ACL-deficient knee were randomised to receive either a hamstring autograft or posterior tibialis allograft. All allografts were from a single tissue bank, aseptically processed, and fresh-frozen without terminal irradiation. ACL graft failures requiring reoperation with a minimum of 10-year follow-up were identified via telephone survey. Lateral radiographs of the knee of all patients were reviewed, and the slope of the tibia was measured using a standardised technique. Two fellowship-trained orthopaedic sports medicine specialists, one board-certified general orthopaedic surgeon, and two fellowship-trained musculoskeletal radiologists measured the tibial slope in all patients. RESULTS: At a minimum of 10-year follow-up, there were four (8.3%) autograft and 13 (26.5%) allograft failures that required revision reconstruction. The overall average tibial slope of the nonfailure cohort was 9.4Â°. The overall average tibial slope of the failure cohort was 11.9Â° (PÂ â€‹=Â â€‹0.0002). The average slope of the allograft failures was 11.5Â°compared with an average slope of 9.6Â° in the nonfailures (PÂ â€‹=Â â€‹0.01). The average slope of the autograft failures was 13.1Â° compared with 9.3Â° in the nonfailures (PÂ â€‹=Â â€‹0.011). The mean difference in tibial slope measurements was 0.665 (95% confidence interval: 0.569-0.750). The interrater reliability, as measured by the intraclass correlation coefficient, for tibial slope was 0.898 (95% confidence interval: 0.859-0.928). The Cronbach Î± was 0.904. CONCLUSION: In a prospective, randomised trial of ACL reconstructions using either autograft or allograft, failures were associated with a significantly increased slope of the tibia compared with the nonfailures at 10-year follow-up.</t>
  </si>
  <si>
    <t>10.1016/j.jisako.2022.04.002</t>
  </si>
  <si>
    <t>#94</t>
  </si>
  <si>
    <t>Blood Flow Restriction Training Applied With High-Intensity Exercise Does Not Improve Quadriceps Muscle Function After Anterior Cruciate Ligament Reconstruction: A Randomized Controlled Trial.</t>
  </si>
  <si>
    <t>Curran MT; Bedi A; Mendias CL; Wojtys EM; Kujawa MV; Palmieri-Smith RM</t>
  </si>
  <si>
    <t>BACKGROUND: A major goal of rehabilitation after anterior cruciate ligament reconstruction (ACLR) is restoring quadriceps muscle strength. Unfortunately, current rehabilitation paradigms fall short of this goal, such that substantial quadriceps muscle strength deficits can limit return to play and increase the risk of recurrent injuries. Blood flow restriction training (BFRT) involves the obstruction of venous return to working muscles during exercise and may lead to better recovery of quadriceps muscle strength after ACLR. PURPOSE: To examine the efficacy of BFRT with high-intensity exercise on the recovery of quadriceps muscle function in patients undergoing ACLR. STUDY DESIGN: Randomized controlled trial; Level of evidence, 2. METHODS: A total of 34 patients (19 female, 15 male; mean age, 16.5 Â± 2.7 years; mean height, 169.0 Â± 19.7 cm; mean weight, 73.2 Â± 17.7 kg) scheduled to undergo ACLR were randomly assigned to 1 of 4 groups: concentric (n = 8), eccentric (n = 8), concentric with BFRT (n = 9), and eccentric with BFRT (n = 9). The exercise component of the intervention consisted of patients performing a single-leg isokinetic leg press, at an intensity of 70% of the patients' 1-repetition maximum during either the concentric or eccentric action, for 4 sets of 10 repetitions 2 times per week for 8 weeks beginning at 10 weeks postoperatively. Patients randomized to the BFRT groups performed the leg-press exercise with a cuff applied to the thigh, set to a limb occlusion pressure of 80%. Isometric and isokinetic (60 deg/s) quadriceps peak torque, quadriceps muscle activation, and rectus femoris muscle volume were assessed before ACLR, after BFRT, and at the time that patients returned to activity and were converted to the change in values from baseline for analysis. Also, 1-way analyses of covariance were used to compare the change in values for each dependent variable between groups after BFRT and at return to activity (P â‰¤ .05). RESULTS: No significant differences were found between groups for any outcome measures at either time point (P &gt; .05). CONCLUSION: An 8-week BFRT plus high-intensity exercise intervention did not significantly improve quadriceps muscle strength, activation, or volume. On the basis of our findings, the use of BFRT in conjunction with high-intensity resistance exercise in patients undergoing ACLR to improve quadriceps muscle function may not be warranted. REGISTRATION: NCT03141801 ( ClinicalTrials.gov identifier).</t>
  </si>
  <si>
    <t>10.1177/0363546520904008</t>
  </si>
  <si>
    <t>#197</t>
  </si>
  <si>
    <t>Curran 2020</t>
  </si>
  <si>
    <t>Different timing in allograft and autograft maturation after primary anterior cruciate ligament reconstruction does not influence the clinical outcome at mid-long-term follow-up.</t>
  </si>
  <si>
    <t>Cusumano A; Capitani P; Messina C; de Girolamo L; ViganÃ² M; Ravasio G; Facchini F; Sconfienza LM; Zerbi A; Schoenhuber H; Pozzoni R; ThiÃ©bat G</t>
  </si>
  <si>
    <t>PURPOSE: The use of allografts in primary anterior cruciate ligament reconstruction (ACLR) is increasingÂ although they are still supposed to be associated to greater risk of re-rupture due to a slower and less efficient graft maturation. The aim of this prospective randomized controlled study was to compare the graft maturation after ACLR with allograft and autograft by MRI at 6- and 12-month follow-up and integrate these data with the functional and clinical results observed at 6-, 12- and 60-month follow-up. METHODS: Fifty patients with indication to primary ACLR were randomly and equally divided into hamstring autograft or allograft tendon groups. The graft maturation was measured at 6- and 12-month follow-up by the SNQ score and other radiological parameters on MRI scans. Clinical and functional recovery was evaluated by Lysholm score, Visual Analogues Scale, Tegner activity scale and modified Cincinnati knee rating system at 6, 12 and 60Â months after surgery to estimate the predictive value of the radiological parameters for clinical outcomes. Return-to-sport (ACL-RSI) was measured 60Â months after surgery. RESULTS: Three patients had retear of the neo-ligament (two from Auto group and one from Allo group). All the clinical/functional parameters significantly improved over time, with no statistically significant difference between the groups. At 6Â months, the SNQ value was significantly higher in the Auto than in the Allo group (12.9 vs 7.9, pâ€‰=â€‰0.038), but at 12Â months they were comparable (9.8 vs 10.4). The 6-month SNQ values did not correlate with the clinical scores, whereas the 12-month SNQ values significantly correlated with the Cincinnati score, Lysholm score and Tegner activity scale collected at 60-month follow-up. CONCLUSION: No clinical or functional differences have been found between the two treatment groups, supporting the suitability of using allograft in primary ACLR, when available. The results at MRI scans showed a different graft maturation trend in the two groups, with allografts being more reactive in the first 6Â months. MRI together with the subjective evaluation allows to evaluate objectively the status of the neo-ligamentization process and therefore helps the surgeon to dictate the individual time for return-to-sport. LEVEL OF EVIDENCE: Level I.</t>
  </si>
  <si>
    <t>10.1007/s00167-021-06785-4</t>
  </si>
  <si>
    <t>#147</t>
  </si>
  <si>
    <t>Cusumano 2022</t>
  </si>
  <si>
    <t>Whole-Body Vibration on Performance of Quadriceps After ACL Reconstruction: A Blinded Randomized Controlled Trial.</t>
  </si>
  <si>
    <t>da Costa KSA; Borges DT; de Brito Macedo L; de Almeida Lins CA; Brasileiro JS</t>
  </si>
  <si>
    <t>CONTEXT: Whole-body vibration (WBV) has been widely used in clinical and sport practice. These devices produce constant vibrations, originating symmetrical waves that move along the vertical axis. It is suggested that mechanical stimuli produced by high vibration can be an alternative to improve neuromuscular performance and balance in different populations. However, there is still a lack of consensus in the literature regarding neurophysiological responses in the skeletal muscle immediately after the use of WBV, specifically in individuals subjected to anterior cruciate ligament reconstruction. OBJECTIVE: To investigate the immediate effects of WBV on neuromuscular performance of the quadriceps femoris and postural oscillation of individuals subjected to anterior cruciate ligament reconstruction. DESIGN: This is a blinded randomized controlled trial. SETTING: University laboratory. PARTICIPANTS: Forty-four men. INTERVENTION: Participants were randomized into 2 groups: control group (nâ€‰=â€‰22, exercise protocol on the vibrating platform turned off) and WBV group (nâ€‰=â€‰22, exercises on the vibrating platform turned on, at a frequency of 50Â Hz and amplitude of 4Â mm). MAIN OUTCOME MEASURES: The volunteers underwent a dynamometric evaluation of the quadriceps femoris and electromyographic activity of vastus lateralis and vastus medialis muscles, in addition to oscillation of the center of pressure at 2 different moments: before and immediately after the intervention protocol. RESULTS: The intragroup comparison evidenced differences between preassessments and postassessments for the variables of laterolateral amplitude, peak torque, and total work. However, no significant difference was observed in the intergroup comparison after WBV protocol. CONCLUSION: The use of WBV did not immediately alter the performance of the quadriceps femoris and the electromyographic activity of vastus lateralis and vastus medialis muscles. In addition, it also did not interfere with pressure center oscillation of individuals subjected to anterior cruciate ligament reconstruction.</t>
  </si>
  <si>
    <t>10.1123/jsr.2017-0063</t>
  </si>
  <si>
    <t>#266</t>
  </si>
  <si>
    <t>daCostaKSA 2019</t>
  </si>
  <si>
    <t>Arthroscopic single-bundle anterior cruciate ligament reconstruction with six-strand hamstring tendon allograft versus bone-patellar tendon-bone allograft.</t>
  </si>
  <si>
    <t>Dai C; Wang F; Wang X; Wang R; Wang S; Tang S</t>
  </si>
  <si>
    <t>PURPOSE: The aim of this study was to compare the clinical outcomes of arthroscopic single-bundle anterior cruciate ligament (ACL) reconstruction with six-strand hamstring tendon (HT) allograft versus bone-patellar tendon-bone (BPTB) allograft. METHODS: The prospective randomized controlled trial was included 129 patients. Sixty-nine patients received reconstruction with six-strand HT allografts (HT group), whereas 60 patients with BPTB allografts (BPTB group). Outcome assessment included re-rupture findings, International Knee Documentation Committee (IKDC) scores, Lysholm scores, KT-1000 arthrometer, Lachman test, pivot-shift test, range of motion (ROM) and single-leg hop test. RESULTS: At a mean follow-up of 52Â months, 113 patients (HT group, 61 patients; BPTB group, 52 patients) completed a minimum 4-year follow-up. Four patients in HT group and six in BPTB group experienced ACL re-rupture (6.2 vs. 10.3Â %) and received revision surgery. Significant between-group differences were observed in KT-1000 outcomes and pivot-shift test 1 (1.2Â Â±Â 1.5 vs. 1.8Â Â±Â 1.3, pÂ =Â 0.025; positive rate 6.5 vs. 18.9Â %, pÂ =Â 0.036), 2 (1.1Â Â±Â 1.4 vs. 1.6Â Â±Â 1.2, pÂ =Â 0.044; 8.1 vs. 20.7Â %, pÂ =Â 0.039), 4 (1.1Â Â±Â 1.5 vs. 1.7Â Â±Â 1.4, pÂ =Â 0.031; 9.7 vs. 25Â %, pÂ =Â 0.012) years postoperatively. The outcomes between the two groups were comparable in terms of IKDC scores, Lysholm scores, Lachman test, ROM and single-leg hop test. CONCLUSIONS: Six-strand HT allograft achieved superior anteroposterior and rotational stability after single-bundle ACL reconstruction. It is a reasonable graft substitute for ACL reconstruction. LEVEL OF EVIDENCE: II.</t>
  </si>
  <si>
    <t>10.1007/s00167-015-3569-9</t>
  </si>
  <si>
    <t>#333</t>
  </si>
  <si>
    <t>Dai 2016</t>
  </si>
  <si>
    <t>Hamstring pain and muscle strains following anterior cruciate ligament reconstruction: a prospective, randomized trial comparing hamstring graft harvest techniques.</t>
  </si>
  <si>
    <t>D'Alessandro P; Wake G; Annear P</t>
  </si>
  <si>
    <t>There is limited information in the literature regarding hamstring pain and muscle strains in patients following anterior cruciate ligament (ACL) reconstruction using hamstring autograft. We sought to investigate whether dividing hamstring tendons distal to the musculotendinous junction rather than forcefully stripping tendons away from the muscle belly during graft harvest resulted in a lower incidence of hamstring pain, muscle strains, and leg flexion strength deficit following commencement of sport-specific training postoperatively. Patients were randomized to either the "Cut" or "Push" groups of hamstring tendon harvesting. All other operative techniques were uniform. A total of 34 (cut = 20, push = 14) patients had a mean follow-up of 30 months, and assessments were conducted by a blinded single practitioner. A customized hamstring strain questionnaire and visual analogue pain score provided information for the study's primary focus: evaluation of postoperative hamstring pain and muscle strains. Leg flexion strength was also measured and a full knee assessment was conducted. The Cincinnati sports activity rating scale (SARS) was used to account for varying degrees of sporting participation and intensity since reconstruction. The "Cut" group's mean visual analogue score was 10.05 mm, significantly lower than the "Push" group (24.66 mm, p = 0.0398). The Cut group also recorded a significant reduction in the incidence of hamstring strains following ACL reconstruction (5/20 patients 25%) compared with the Push group (7/14 patients 50%, p = 0.045). There was no difference in leg flexion strength between the groups. Of the patients who reported hamstring strains, there was no significant difference in the mean Cincinnati SARS between the groups, nor any difference in overall knee function. The incidence of hamstring pain and muscle strains was significantly reduced in patients receiving the "cut" technique of harvesting hamstring tendons in ACL reconstruction surgery, a difference that was not attributable to a lower level of sporting activity.</t>
  </si>
  <si>
    <t>10.1055/s-0032-1324811</t>
  </si>
  <si>
    <t>#391</t>
  </si>
  <si>
    <t>D'Alessandro 2013</t>
  </si>
  <si>
    <t>Continuous femoral nerve block provides superior analgesia compared with continuous intra-articular and wound infusion after anterior cruciate ligament reconstruction.</t>
  </si>
  <si>
    <t>Dauri M; Fabbi E; Mariani P; Faria S; Carpenedo R; Sidiropoulou T; Coniglione F; Silvi MB; Sabato AF</t>
  </si>
  <si>
    <t>BACKGROUND AND OBJECTIVES: This prospective, randomized, clinical trial compared pain intensity and analgesic drug consumption after anterior cruciate ligament (ACL) reconstruction with patellar tendon under femoral-sciatic nerve block anesthesia in patients who received either a continuous femoral nerve block (CFNB) or continuous local anesthetic wound and intra-articular infusions. METHODS: Fifty patients were randomized to CFNB (n = 25) or an ON-Q device (I-Flow Corp, Lake Forest, Calif) (n = 25). All patients received sciatic nerve block (25 mL of ropivacaine 7.5 mg/mL and clonidine 30 microg). The first group received a CFNB (2 mg/mL of ropivacaine at 7 mL/hr), and the second group received a single-shot femoral nerve block (both using 25 mL of ropivacaine 7.5 mg/mL and clonidine 30 microg). At the end of the intervention, an ON-Q device was positioned on the ON-Q patients to continuously infuse the patellar tendon wound and intra-articular cavity with ropivacaine 2 mg/mL at 2 mL/hr for each catheter. Data regarding demographic, hemodynamic, pain scores, adverse effects, and need for supplemental analgesia were registered in a 36-hr follow-up period. RESULTS: The CFNB group reported lower visual analog scale values than the ON-Q group: at rest at 12 hrs (2.4 [SD, 2.2] vs 5.4 [SD, 3.1]; P &lt; 0.001) and on movement at 12 (3.1 [SD, 2.5] vs 6.3 [SD, 2.9]; P &lt; 0.001) and 24 hrs (2.7 [SD, 1.9] vs 4.6 [SD, 2.6]; P = 0.01) after surgery. The number of morphine and ketorolac boluses was lower in the CNFB group (morphine: 3.2 [SD, 2.2] vs 6.2 [SD, 2.5]; P &lt; 0.001; ketorolac: 1.1 [SD, 1.0] vs 2.4 [SD, 0.9]; P &lt; 0.001). CONCLUSION: Continuous femoral nerve block provides better analgesia than the continuous patellar tendon wound and intra-articular infusions after anterior cruciate ligament reconstruction with patellar tendon.</t>
  </si>
  <si>
    <t>Mar-Apr</t>
  </si>
  <si>
    <t>Reg Anesth Pain Med</t>
  </si>
  <si>
    <t>10.1097/AAP.0b013e31819baf98</t>
  </si>
  <si>
    <t>#485</t>
  </si>
  <si>
    <t>Dauri 2009</t>
  </si>
  <si>
    <t>[Retraining between months 4 and 6 after anterior cruciate ligament reconstruction with hamstring graft: comparison between cycling and running with an untrained operated subject group].</t>
  </si>
  <si>
    <t>Dauty M; Huguet D; Tortellier L; Potiron-Josse M; Dubois C</t>
  </si>
  <si>
    <t>OBJECTIVE: To study the effect of cycling or running retraining between 4 and 6 months after patients underwent anterior cruciate ligament reconstruction with hamstring grafting (Semitendinosus-Gracilis) compared with that in patients who had the same surgery but were untrained. METHOD: Patients who had undergone surgery for an anterior cruciate ligament reconstruction by the same surgeon who used hamstring grafting were included if they were free of knee pain 4 months after the surgery. After giving consent, patients were randomized to receive controlled retraining (cycling or running 3 times a week) or not. The effect of retraining was measured by the evolution of the knee isokinetic peak torque at 60 degrees/s and 180 degrees/s 6 months after surgery. RESULTS: Fifteen patients were retrained with cycling (GI), 17 with running (GII) and 15 patients did not retrain (GIII). Before retraining, the 3 groups had the same peak torque deficit, measured at an angular speed of 60 degrees/s and 180 degrees/s, for knee extensors (GI: 33+/-11% and 27+/-8%; GII: 30+/-13% and 24+/-10%; GIII: 31+/-15% and 24+/-13%, respectively) and knee flexors (GI: 26+/-11% and 20+/-13%; GII: 20+/-14% and 17+/-13%; GIII: 19+/-15% and 14+/-15%, respectively). After retraining, progress measured at 60 degrees /s of knee extensors and flexors on the operated knees was 18+/-9% and 16+/-10% for GI, 16+/-9% and 11+/-11% for GII and 12+/-15% and 8+/-12 for GIII, respectively. Progress measured at 180 degrees /s followed the same evolution. After comparison of the 3 groups, any significant difference was put in relief according to the type of retraining. CONCLUSION: Retraining after anterior cruciate ligament reconstruction is necessary for patients to practice their previous sport. In our study, aerobic cycling or running between 4 and 6 months after surgery did not improve peak torque in the operated knee extensors and flexors. However, these 2 types of retraining are well-tolerated.</t>
  </si>
  <si>
    <t>Ann Readapt Med Phys</t>
  </si>
  <si>
    <t>10.1016/j.annrmp.2006.03.006</t>
  </si>
  <si>
    <t>#548</t>
  </si>
  <si>
    <t>Dauty 2006</t>
  </si>
  <si>
    <t>A single-tendon semitendinosus autograft results in lower magnetic resonance imaging graft signal compared with a dual tendon autograft: Outcomes from a subgroup of patients undergoing anterior cruciate ligament reconstruction in the DOSTAR randomized con</t>
  </si>
  <si>
    <t>Davies PS; O'Brien S; Greensmith TS; Ebert JR; Edwards PK; Lawless AM; Malik SS; D'Alessandro PA</t>
  </si>
  <si>
    <t>INTRODUCTION: Magnetic resonance imaging has been used to evaluate graft integration following anterior cruciate ligament reconstruction (ACLR). The DOSTAR study is a prospective randomized controlled trial (RCT) investigating semitendinosus (ST) versus a dual tendon semitendinosus and gracilis (STG) hamstring autograft. The purpose of the present study is to determine whether magnetic resonance imaging (MRI) analysis identifies differences in graft signal between the two autograft options, and whether signal changes between 6- and 12- months. METHODS: Patients from the DOSTAR trial were invited to take part in this MRI study. Patients underwent anterior cruciate ligament (ACL) reconstruction using either semitendinosus or STG autograft. MRI scans were completed at 6- and 12-months post operatively. The MRI scans were assessed to measure signal intensity ratio (SIR) at several regions of interest. Linear mixed models were used to assess the changes over time for MRI variables. Patient reported outcome measures (PROMS) including the International Knee Documentation Committee (IKDC), Lysholm and Cincinnati scores were documented at 6 and 12 months postoperatively. KT-1000 arthrometer measurements were recorded at 6 and 12 months postoperatively. RESULTS: A total of 49 patients were recruited into this MRI study, with 38 undergoing MRI at both 6 and 12 months. At 12-months, statistically significant differences were seen on T1 sequences in SIR between the two groups; within the tibial tunnel (3.10 vs 2.07, p &lt; 0.001), adjacent to the tibial tunnel (2.63 vs 1.88, p = 0.002), in the mid portion of the graft (3.16 vs 2.45, p = 0.009), and within a freehand region encompassing the intra-articular portion of the graft (3.03 vs 2.46, p = 0.018). Differences were not statistically significant adjacent to the femoral tunnel (2.41 vs 2.08, p &gt; 0.05) and within the femoral tunnel (3.09 vs 2.89, p &gt; 0.05). There were no statistically significant differences in any PROMS or in KT-1000 measurements between the ST and STG groups at 6 or 12 months. CONCLUSIONS: Lower SIR was seen in the semitendinosus group. This was observed in T1 and T2 sequences at 6 and 12 months. Graft SIR did not change significantly between 6 and 12 months (p &gt; 0.05). LEVEL OF EVIDENCE: Level 2, Subgroup analysis of prospective, single-blinded, RCT.</t>
  </si>
  <si>
    <t>10.1016/j.jisako.2026.101089</t>
  </si>
  <si>
    <t>#22</t>
  </si>
  <si>
    <t>Davies 2026</t>
  </si>
  <si>
    <t>Patellar tendon healing with platelet-rich plasma: a prospective randomized controlled trial.</t>
  </si>
  <si>
    <t>de Almeida AM; Demange MK; Sobrado MF; Rodrigues MB; Pedrinelli A; Hernandez AJ</t>
  </si>
  <si>
    <t>BACKGROUND: The patellar tendon has limited ability to heal after harvesting its central third. Platelet-rich plasma (PRP) could improve patellar tendon healing. HYPOTHESIS: Adding PRP to the patellar tendon harvest site would improve donor site healing and improve clinical outcome at 6 months after anterior cruciate ligament (ACL) reconstruction with a patellar tendon graft. STUDY DESIGN: Randomized controlled trial; Level of evidence, 1. METHODS: Twenty-seven patients were randomly divided to receive (n = 12) or not receive (n = 15) PRP in the patellar tendon harvest site during ACL reconstruction. The primary outcome was magnetic resonance imaging (MRI) assessment of patellar tendon healing (gap area) after 6 months. Secondary outcomes were questionnaires and isokinetic testing of ACL reconstruction with a patellar tendon graft comparing both groups. RESULTS: Patellar tendon gap area was significantly smaller in the PRP group (4.9 Â± 5.3 mm(2); 95% confidence interval [CI], 1.1-8.8) than in the control group (9.4 Â± 4.4 mm(2); 95% CI, 6.6-12.2; P = .046). Visual analog scale score for pain was lower in the PRP group immediately postoperatively (3.8 Â± 1.0; 95% CI, 3.18-4.49) than in the control group (5.1 Â± 1.4; 95% CI, 4.24-5.90; P = .02). There were no differences after 6 months in questionnaire and isokinetic testing results comparing both groups. CONCLUSION: We showed that PRP had a positive effect on patellar tendon harvest site healing on MRI after 6 months and also reduced pain in the immediate postoperative period. Questionnaire and isokinetic testing results were not different between the groups at 6 months.</t>
  </si>
  <si>
    <t>10.1177/0363546512441344</t>
  </si>
  <si>
    <t>#416</t>
  </si>
  <si>
    <t>deAlmeida 2012</t>
  </si>
  <si>
    <t>Gait retraining after anterior cruciate ligament reconstruction.</t>
  </si>
  <si>
    <t>Decker MJ; Torry MR; Noonan TJ; Sterett WI; Steadman JR</t>
  </si>
  <si>
    <t>OBJECTIVES: To examine the effects of 2 gait retraining protocols on the gait patterns of patients with bone-patellar tendon-bone anterior cruciate ligament (ACL) reconstruction. DESIGN: Randomized control, repeated-measures design. SETTING: Private orthopedic center and research facility. PARTICIPANTS: Sixteen patients with bone-patellar tendon-bone ACL reconstruction, randomly subdivided into 2 groups (group 1, n=8; group 2, n=8), and a healthy control group of 8 subjects. INTERVENTION: The 16 subjects with ACL reconstruction were randomly assigned to 2 different gait retraining protocols over a 6-week training interval: (1). a protocol using a predicted stride frequency calculated from the resonant frequency of a force-driven harmonic oscillator (FDHO) model or (2). a protocol using the preferred stride frequency (PSF). MAIN OUTCOME MEASURES: Gait analyses examining the lower-extremity kinematic, kinetic, and energetic gait patterns of each group. RESULTS: Gait retraining with the FDHO model showed improvements in lower-extremity positions, hip and knee extensor angular impulse, and work parameters. Gait retraining with the PSF demonstrated no statistical improvements. The FDHO training protocol facilitated a greater midstance knee range of motion (ROM) and greater rates of improvement for midstance ROM, hip extensor angular impulse, and concentric hip extensor work. CONCLUSIONS: Gait retraining with the resonant frequency of an FDHO model facilitated a greater recovery of gait function compared with training with the PSF.</t>
  </si>
  <si>
    <t>10.1016/j.apmr.2003.07.014</t>
  </si>
  <si>
    <t>#580</t>
  </si>
  <si>
    <t>Decker 2004</t>
  </si>
  <si>
    <t>Periarticular injection and hamstring block versus placebo for pain control in anterior cruciate ligament reconstruction: A randomized controlled trial.</t>
  </si>
  <si>
    <t>De Lamo-Rovira J; LÃ³pez-Caba F; GimÃ©nez-GimÃ©nez J; Szczepan W; Quijada-Rodriguez JL; Solera-MartÃ­nez M</t>
  </si>
  <si>
    <t>PURPOSE: To study the effectiveness of periarticular infiltration (PI), including the proximal donor site vs. placebo in anterior cruciate ligament (ACL) reconstruction. METHOD: A total of 44 patients were randomized in two groups assigned to receive PI or placebo. The perioperative protocol was the same for both groups. The principal outcome was pain measured at 8 and 24Â h by a visual analog scale (VAS). The pain was registered in the knee and the proximal donor site. Pain scores were also assessed to determine whether the VAS improvement would reach the threshold values reported for the minimal clinically significant difference. The secondary outcome was the need for opioid rescue medication. RESULTS: Patients receiving PI exhibited lower pain values in the knee at 8Â h (mean PI 35.00â€‰Â±â€‰5.76 vs. placebo 60.23â€‰Â±â€‰4.52 pâ€‰=â€‰0.01) and at 24Â h (mean PI 37.23â€‰Â±â€‰5.62 vs. placebo 55.55â€‰Â±â€‰3.41 pâ€‰=â€‰0.008). These results were above the threshold for clinical significance. No improvements were found in proximal donor site pain and consumption of opioid rescue medication. Complications were comparable between the two groups. CONCLUSION: PI significantly reduced pain in the knee vs. placebo after ACL reconstruction with hamstring autograft at 8 and 24Â h after surgery. The instillation of part of the mixture in the proximal hamstring stump did not result in any improvement LEVEL OF EVIDENCE I: Level I, randomized controlled trial.</t>
  </si>
  <si>
    <t>10.1007/s00590-022-03357-1</t>
  </si>
  <si>
    <t>#124</t>
  </si>
  <si>
    <t>DeLamo-Rovira 2023</t>
  </si>
  <si>
    <t>Electrical stimulation versus voluntary exercise in strengthening thigh musculature after anterior cruciate ligament surgery.</t>
  </si>
  <si>
    <t>Delitto A; Rose SJ; McKowen JM; Lehman RC; Thomas JA; Shively RA</t>
  </si>
  <si>
    <t>Twenty patients who had undergone anterior cruciate ligament reconstructive surgery were placed randomly and independently in an Electrical Stimulation Group (n = 10) or Voluntary Exercise Group (n = 10) to compare the effectiveness of these two muscle-strengthening protocols. Patients in both groups used simultaneous contraction of quadriceps femoris and hamstring muscles during a training regimen that consisted of either voluntary exercise or electrical stimulation trials five days a week for a three-week period within the first six postoperative weeks. After patients completed the training regimen, bilateral maximal isometric measurements of gravity-corrected knee extension and flexion torque were obtained for both groups and percentages were calculated. Results showed that patients in the Electrical Stimulation Group finished the three-week training regimen with higher percentages of both extension and flexion torque when compared with patients in the Voluntary Exercise Group (extension: t = 4.35, p less than .05; flexion; t = 6.64, p less than .05). These results indicate that patients in an electrical stimulation regimen can achieve higher individual thigh musculature strength gains than patients in a voluntary exercise regimen when simultaneous contraction of thigh muscles is prescribed during an early phase of postoperative rehabilitation.</t>
  </si>
  <si>
    <t>Phys Ther</t>
  </si>
  <si>
    <t>10.1093/ptj/68.5.660</t>
  </si>
  <si>
    <t>#701</t>
  </si>
  <si>
    <t>Delitto 1988</t>
  </si>
  <si>
    <t>A comparison of clinical outcome of augmentation and standard reconstruction techniques for partial anterior cruciate ligament tears.</t>
  </si>
  <si>
    <t>DemiraÄŸ B; Ermutlu C; Aydemir F; Durak K</t>
  </si>
  <si>
    <t>OBJECTIVES: This study aims to compare the clinical outcome and possible complications of augmentation technique and standard reconstruction for the treatment of partial anterior cruciate ligament (ACL) tears. PATIENTS AND METHODS: Forty patients (36 males, 4 females; mean age 30 years; range 19 to 40 years) who underwent surgery due to ACL tear were included in this prospective randomized study. The patients were randomly divided into two groups, including 20 patients in each group. The patients in the group 1 underwent standard single bundle ACL reconstruction with hamstring tendon autografts, while those in the group 2 underwent augmentation where the remaining remnant ACL was not sacrificed, but instead augmented with hamstring tendon autograft as in the standard reconstruction technique. The mean follow-up was 24.3 months (range; 21-28 months). Clinical outcomes were evaluated using International Knee Documentation Committee (IKDC), Lysholm scores, physical instability tests and patient satisfaction questionnaires. The complication rates of both groups were compared. Tibial and femoral tunnel widening were assessed using lateral and anteroposterior radiographs. RESULTS: No significant differences were found between the groups in terms of IKDC, Lysholm scores, physical instability tests, patient satisfaction questionnaires and incidences of Cyclops lesions and arthrofibrosis. Tibial and femoral tunnel widening was less in the augmentation group. This difference was more significant on the tibial side. CONCLUSION: In the repair of partial ACL tears, augmentation technique is as effective as the standard technique, leading to, less tunnel widening evidently in the tibial tunnel, particularly.</t>
  </si>
  <si>
    <t>Eklem Hastalik Cerrahisi</t>
  </si>
  <si>
    <t>#401</t>
  </si>
  <si>
    <t>DemiraÄŸ 2012</t>
  </si>
  <si>
    <t>Whole Body Vibration Acutely Decreases Medial Tibiofemoral Contact Force During Walking Following Anterior Cruciate Ligament Reconstruction.</t>
  </si>
  <si>
    <t>Dennis JD; Edison AE; Birchmeier TB; Pietrosimone BG; Blackburn JT</t>
  </si>
  <si>
    <t>Investigating the loading environment of the tibiofemoral joint is critical following anterior cruciate ligament reconstruction (ACLR), given these individuals incur a high risk of post-traumatic osteoarthritis (PTOA). Whole-body vibration (WBV) and local muscle (LMV) vibration acutely improve isometric quadriceps function and gait biomechanics linked to PTOA development, but it is unclear how vibration affects tibiofemoral contact and quadriceps forces during walking. Participants with unilateral, primary ACLR were randomized to control (nâ€‰=â€‰21, time since ACLRâ€‰=â€‰23â€‰Â±â€‰15), WBV (nâ€‰=â€‰25, time since ACLRâ€‰=â€‰27â€‰Â±â€‰15), or LMV (nâ€‰=â€‰23, time since ACLRâ€‰=â€‰31â€‰Â±â€‰16) groups, and walking biomechanics were assessed before and immediately following the respective interventions. Peak medial, lateral, and total tibiofemoral contact forces, as well as rectus femoris, vastus medialis, vastus intermedius, and vastus lateralis forces, were compared between groups and across time with 2â€‰Ã—â€‰3 repeated measure ANCOVAs while controlling for gait speed and time since ACLR. Medial contact force decreased following WBV (mean differenceâ€‰=â€‰-0.219, pâ€‰=â€‰0.001, dâ€‰=â€‰-0.643) but was unaltered by LMV. Peak lateral contact, total contact, and quadriceps forces were unaltered by WBV or LMV (pâ€‰&gt;â€‰0.05). Greater medial contact forces during gait have been implicated in the development of idiopathic osteoarthritis, and individuals with ACLR often exhibit signs of limb overloading in the later stages of recovery (e.g., &gt;â€‰2 years post-ACLR). WBV may offer a targeted strategy to reduce PTOA risk in those who overload the ACLR limb by decreasing medial knee compartment loading.</t>
  </si>
  <si>
    <t>J Orthop Res</t>
  </si>
  <si>
    <t>10.1002/jor.70166</t>
  </si>
  <si>
    <t>#21</t>
  </si>
  <si>
    <t>Dennis 2026</t>
  </si>
  <si>
    <t>Is contralateral autogenous patellar tendon graft a better choice than ipsilateral for anterior cruciate ligament reconstruction in young sportsmen? A randomized controlled trial.</t>
  </si>
  <si>
    <t>de Souza Borges JH; Oliveira M; Junior PL; de Souza Machado R; Lima R; Ramos LA; Cohen M</t>
  </si>
  <si>
    <t>AIM: The aim of this study was to compare the peak extensor torque (primary outcome), sensory-motor capacity and Lysholm questionnaire score up to the fourth postoperative month post-primary anterior cruciate ligament reconstruction (ACLR) with bone-patellar-tendon-bone (BPTB) graft using either ipsilateral or contralateral technique in young sportsmen. METHODS: We performed a randomized controlled trial from 2018 to 2019. The same preoperative protocol, surgical technique and postoperative protocol were used in both groups. Eighty-eight young adult male patients were randomized, and 44 of each group completed the trial. RESULTS: After the follow up analysis, the contralateral receptor and donor limb demonstrated a statistically significant increase in peak extension torque compared with the ipsilateral operated limb (effect size (ES)Â =Â 0.99, powerÂ =Â 0.99, PÂ &lt;Â 0.0001; ESÂ =Â 0.46, powerÂ =Â 0.56, PÂ &lt;Â 0.04). The symmetry between limbs was compared between groups. In the contralateral group, there was a significant decrease in the recipient limb (after surgery), compared with the donor limb (before surgery) (ESÂ =Â 0.87, powerÂ =Â 0.99, PÂ &lt;Â 0.0001). In the ipsilateral group, the operated limb demonstrated a significant decrease in peak extension torque compared with the non-operated limb after surgery (ESÂ =Â 1.88, powerÂ =Â 0.99, PÂ &lt;Â 0.0001). The comparison between groups in sensory-motor capacity and Lysholm score demonstrated a non-significant group effect postoperatively. CONCLUSION: The use of contralateral BPTB is more effective in increasing peak extension torque when compared with ipsilateral technique in young sportsmen. Furthermore, patients achieved greater symmetry (side to side) in quadriceps muscle performance after the 4-month follow up with a contralateral graft.</t>
  </si>
  <si>
    <t>10.1016/j.knee.2022.03.015</t>
  </si>
  <si>
    <t>#133</t>
  </si>
  <si>
    <t>deSouzaBorges 2022</t>
  </si>
  <si>
    <t>Tibial fixation in anterior cruciate ligament reconstruction: a prospective randomized study comparing metal interference screw and staples with a centrally placed polyethylene screw and sheath.</t>
  </si>
  <si>
    <t>De Wall M; Scholes CJ; Patel S; Coolican MR; Parker DA</t>
  </si>
  <si>
    <t>BACKGROUND: The use of hamstring tendons for anterior cruciate ligament reconstruction has increased in popularity over recent years. However, concerns with the stability of graft fixation on the tibial side remain. Centrally placed interference screw/sheath implants have demonstrated promising results in biomechanical studies. HYPOTHESIS: Centrally placed, polyethylene screw and sheath implants will provide clinically equivalent fixation to the standard metal interference screw and supplemental staple fixation. STUDY DESIGN: Randomized controlled trial; Level of evidence, 1. METHODS: A total of 113 consecutive patients undergoing isolated, unilateral, primary anterior cruciate ligament reconstruction with hamstring autografts were randomized to tibial fixation with metal interference screw and staples (RCI) or with a centrally placed polyethylene screw and sheath implant (INTRAFIX). Prospective assessment of subjective outcomes was performed using Lysholm, Mohtadi, and International Knee Documentation Committee (IKDC) scores. RESULTS: At minimum 2-year follow-up, there were no significant differences between the 2 groups in terms of instrumented stability testing (KT-1000 arthrometer) or subjective assessment of knee outcomes (IKDC, Lysholm, Mohtadi). Both fixation methods demonstrated a significant, but not different, increase in outcomes scores from preoperative to postoperative evaluation. There were 7 failures (5 INTRAFIX, 2 RCI) caused by reinjury, but no statistically significant differences were observed between the 2 fixation methods. CONCLUSION: The centrally placed polyethylene screw and sheath provided equivalent clinical outcomes at minimum 2-year follow-up to standard tibial fixation with metal interference screw and staples.</t>
  </si>
  <si>
    <t>10.1177/0363546511406234</t>
  </si>
  <si>
    <t>#434</t>
  </si>
  <si>
    <t>DeWall 2011</t>
  </si>
  <si>
    <t>Effect of drain use in the early postoperative period after arthroscopically assisted anterior cruciate ligament reconstruction with bone-patellar tendon-bone graft.</t>
  </si>
  <si>
    <t>Dhawan A; Doukas WC; Papazis JA; Scoville CR</t>
  </si>
  <si>
    <t>BACKGROUND: Little data exist on the effect of routine use of postoperative drainage after arthroscopic anterior cruciate ligament reconstruction, although clinical studies of other procedures have not shown benefit to this practice. HYPOTHESIS: Use of a postoperative drain will not result in decreased suprapatellar girth, increased range of motion, and decreased pain compared with nonuse. STUDY DESIGN: Prospective randomized clinical trial. METHODS: Twenty-one patients undergoing arthroscopically assisted bone-patellar tendon-bone anterior cruciate ligament reconstruction were randomly assigned to receive a drain for 24 hours (12 patients) or no drain (9 patients). Data for comparison of groups were collected daily through postoperative day 7. RESULTS: Pain scores on a visual analog scale demonstrated the same improving trend over time for both treatment and control groups; however, the treatment group had significantly higher average pain scores, except on day 7. Differences in suprapatellar girth, flexion, and extension were not found to be statistically significant between groups. CONCLUSION: Use of a drain after arthroscopically assisted anterior cruciate ligament reconstruction provided no benefit in terms of range of motion, effusion, or pain in the early postoperative period.</t>
  </si>
  <si>
    <t>10.1177/03635465030310031601</t>
  </si>
  <si>
    <t>#598</t>
  </si>
  <si>
    <t>Dhawan 2003</t>
  </si>
  <si>
    <t>Decreased kinesiophobia with virtual embodiment for post-surgical knee rehabilitation: a randomized controlled trial.</t>
  </si>
  <si>
    <t>Donegan T; Amestoy-Alonso B; Spanlang B; Sastre S; Combalia A; Sanchez-Vives MV</t>
  </si>
  <si>
    <t>Anterior cruciate ligament (ACL) ruptures are prevalent, particularly among young athletes. Although ligament reconstruction is the gold standard treatment, the rehabilitation process is extensive and has high reinjury rates. Recovery is often hindered by muscle inhibition and psychological factors like kinesiophobia and associated fear of reinjury. Emerging evidence suggests that motor imagery and action observation could enhance rehabilitation outcomes. Immersive virtual reality (VR) offers a novel way to integrate these techniques, potentially accelerating recovery. In this parallel randomized controlled trial, patients undergoing ACL reconstruction were randomly assigned to receive either conventional rehabilitation alone or conventional rehabilitation plus VR training. Our VR content incorporated several novel elements, including embodiment in a virtual body, first-person perspective, and the performance of virtual exercises guided by a virtual physiotherapist. Another innovative feature was that patients conducted the daily VR training independently at home using a standalone head-mounted display. The VR group performed a 20-min daily VR rehabilitation program for 4 weeks post-surgery, visualizing, planning, and executing movements using an embodied virtual avatar. Self-reported disability (International Knee Documentation Committee score, IKDC), quadriceps strength limb symmetry, active knee extension range of motion (ROM) limb symmetry, and kinesiophobia (Tampa Scale of Kinesiophobia-short form, TSK-11) were measured at baseline, 4, 12, and 36 weeks. Forty-seven participants were randomized, with 44 completing treatment. IKDC scores were not statistically significantly different between groups, despite moderate effect sizes at 4 and 36 weeks (Cohen's dâ€‰=â€‰0.559, and dâ€‰=â€‰0.722, respectively). The VR intervention group showed significantly lower kinesiophobia at 4 weeks post-surgery compared to controls (27.00â€‰Â±â€‰6.58 vs. 33.35â€‰Â±â€‰5.07, Cohen's dâ€‰=â€‰-â€‰0.971, pâ€‰=â€‰0.045). Both groups demonstrated significant improvements in all outcomes over time (pâ€‰&lt;â€‰0.001). No significant differences were found for range of motion or quadriceps strength limb symmetry. No adverse events were reported related to the intervention. Reducing kinesiophobia is crucial for timely and effective rehabilitation and return to sport, and for reducing reinjury risk. To our knowledge, this is the first clinical study to investigate the independent use of therapeutic VR at home during post-orthopedic surgery rehabilitation. Future research should explore different VR interventions, including more active exercises and personalized programs, to enhance adherence and optimize recovery. The study was pre-registered with the National Library of Medicine (NCT05080894; first registered 09/20/2021).</t>
  </si>
  <si>
    <t>10.1186/s13018-026-06865-6</t>
  </si>
  <si>
    <t>#15</t>
  </si>
  <si>
    <t>Donegan 2026</t>
  </si>
  <si>
    <t>Electromyographic biofeedback and recovery of quadriceps femoris muscle function following anterior cruciate ligament reconstruction.</t>
  </si>
  <si>
    <t>Draper V</t>
  </si>
  <si>
    <t>The purpose of this study was to compare the effects of biofeedback-facilitated exercise with exercise alone on the recovery rate of quadriceps femoris muscle function following anterior cruciate ligament (ACL) reconstruction. Functional measures included 1) a dynamometric test of quadriceps femoris muscle isometric peak torque during the 12th postoperative week and 2) the number of days post-operatively that a patient achieved full active extension of the knee. Twenty-two patients with acute ACL injury were randomly assigned to a Treatment (biofeedback) Group (n = 11) or a Control (nonfeedback) Group (n = 11) during the first therapy session one week after reconstructive surgery. After the patients had completed the 12-week exercise program, the quadriceps femoris muscle isometric peak torque in the operative limb was compared with that in the nonoperative limb at three angles (90 degrees, 60 degrees, and 45 degrees) of extension. An analysis of variance revealed significant differences between the Treatment and Control Groups at all three angles. Mean recovery time was calculated for each group, and a t test for independent samples indicated a significant difference between the groups. These results demonstrate that the addition of biofeedback to muscle strengthening exercises facilitates the rate of recovery of quadriceps femoris muscle function following ACL reconstruction.</t>
  </si>
  <si>
    <t>10.1093/ptj/70.1.11</t>
  </si>
  <si>
    <t>#700</t>
  </si>
  <si>
    <t>Draper 1990</t>
  </si>
  <si>
    <t>Electrical stimulation versus electromyographic biofeedback in the recovery of quadriceps femoris muscle function following anterior cruciate ligament surgery.</t>
  </si>
  <si>
    <t>Draper V; Ballard L</t>
  </si>
  <si>
    <t>Both electrical stimulation and electromyographic biofeedback have been shown to be more effective than voluntary isometric exercise alone in the recovery of quadriceps femoris muscle force following anterior cruciate ligament (ACL) reconstruction. In a comparison of these two modalities, 30 patients with ACL reconstruction were randomly assigned to either a group receiving electrical stimulation in conjunction with voluntary isometric exercise or a group receiving biofeedback in conjunction with voluntary isometric exercise. Following 6 weeks of a rehabilitative exercise protocol, the quadriceps femoris muscle isometric peak torque in the operative limb was compared with that in the nonoperative limb. A t test of independent samples indicated that the biofeedback group recovered a significantly greater percentage of their nonoperative limb's peak torque than did the electrical stimulation group. Measurements of active knee extension were taken at weeks 1, 2, 4, and 6 of the exercise program. A two-way analysis of variance (groups x weeks) indicated no significant difference between the rate at which each group recovered full active extension. The authors concluded that biofeedback is more effective than electrical stimulation in facilitating the recovery of peak torque and that biofeedback is comparable to electrical stimulation in the recovery of active knee extension.</t>
  </si>
  <si>
    <t>10.1093/ptj/71.6.455</t>
  </si>
  <si>
    <t>#695</t>
  </si>
  <si>
    <t>Draper 1991</t>
  </si>
  <si>
    <t>Anterior cruciate ligament reconstruction with and without a ligament augmentation device : results at 8-Year follow-up.</t>
  </si>
  <si>
    <t>Drogset JO; GrÃ¸ntvedt T</t>
  </si>
  <si>
    <t>BACKGROUND: Ligament augmentation devices have been used in anterior cruciate ligament reconstruction since the suggestion of Kennedy et al. in 1980 that such devices would allow grafts to heal faster and more safely. HYPOTHESIS: Patients who had augmentation will have better outcomes after 8 years. STUDY DESIGN: Prospective randomized case control study. METHODS: Between 1991 and 1993, 100 patients were randomized to groups undergoing anterior cruciate ligament reconstruction with bone-patellar tendon-bone grafts with (49) or without (51) use of a Kennedy ligament augmentation device. Of these 100 patients, 94 were examined at an average of 8 years after surgery. Fifteen patients were excluded because of rupture in the other knee and 11 because of rerupture in the same knee. RESULTS: Of the remaining 68 patients, the mean Lysholm function score was 84 in the augmentation group and 87 in the control group. There was a statistically significant relationship between preoperatively detected cartilage injury and osteoarthritis. Almost half of the patients had developed osteoarthritis. We observed no significant difference between the two groups concerning rerupture rate, Lysholm or Lachman test scores, or KT-1000 arthrometer measurements. CONCLUSIONS: We found no positive long-term effects supporting the use of augmentation in anterior cruciate ligament reconstruction.</t>
  </si>
  <si>
    <t>10.1177/03635465020300061601</t>
  </si>
  <si>
    <t>#607</t>
  </si>
  <si>
    <t>Drogset 2002</t>
  </si>
  <si>
    <t>Endoscopic reconstruction of the anterior cruciate ligament using bone-patellar tendon-bone grafts fixed with bioabsorbable or metal interference screws: a prospective randomized study of the clinical outcome.</t>
  </si>
  <si>
    <t>Drogset JO; GrÃ¸ntvedt T; Tegnander A</t>
  </si>
  <si>
    <t>BACKGROUND: During the past decade, bioabsorbable interference screws have become increasingly popular in endoscopic reconstructions of the anterior cruciate ligament. With these screws, there is no need for a second operation for removal and no complicating factor if later revision surgery is necessary. Several pullout studies have found similar results between metal and bioabsorbable interference screws; however, few studies have investigated the clinical outcome. HYPOTHESIS: There is no difference in the clinical outcome of bioabsorbable interference screws compared with metal screws. STUDY DESIGN: Randomized controlled clinical trial; Level of evidence, 1. METHODS: Forty-one patients were randomized for the use of either metal interference screws (20 patients) or bioabsorbable poly-l-lactic acid screws (21 patients). The patients were followed with clinical examinations at 6, 12, and 24 weeks and at 1 and 2 years postoperatively. RESULTS: Subjective knee function was better in the patients in the metal screw group; they had less pain at rest, a higher Tegner score, a higher Lysholm score, and better subjective knee function at 2 years compared to the bioabsorbable screw group. However, there was no difference in stability between the groups. CONCLUSION AND CLINICAL RELEVANCE: Because of the inferior results in the bioabsorbable screw group in our study, and until larger studies show otherwise, we do not find the advantages of using bioabsorbable screws sufficient to warrant the routine use of poly-L-lactic acid screws in anterior cruciate ligament reconstructions.</t>
  </si>
  <si>
    <t>10.1177/0363546504272264</t>
  </si>
  <si>
    <t>#564</t>
  </si>
  <si>
    <t>Drogset 2005</t>
  </si>
  <si>
    <t>Comparison of in vitro and in vivo complement activation by metal and bioabsorbable screws used in anterior cruciate ligament reconstruction.</t>
  </si>
  <si>
    <t>Drogset JO; GrÃ¸ntvedt T; Jessen V; Tegnander A; Mollnes TE; Bergh K</t>
  </si>
  <si>
    <t>PURPOSE: The purpose of the study was to evaluate the biocompatibility of polylactide (PLLA) screws in comparison with standard metal screws for fixation of the patellar tendon graft in human anterior cruciate ligament (ACL) reconstruction. METHODS: A total of 41 patients (22 women and 19 men) were prospectively randomized for the use of metal interference screws (20 patients) or biologically resorbable PLLA screws from Linvatec, Largo, FL (21 patients). Average age at the time of surgery was 26 years (15 to 51 y). Synovial fluid and plasma were collected preoperatively and after 6 weeks in both groups. Plasma was analyzed for C5a and synovial fluid, as well as for terminal SC5b-9 complement complex (TCC) and interleukin (IL)-8. At 1 year after surgery, serum was incubated with metal, PLLA, and no screws; this was followed by analysis of C5a after 1 and 6 hours of incubation. Inflammatory mediators were measured through enzyme-linked immunosorbent assay (ELISA). RESULTS: In the BioScrew group, 4 patient samples showed high C5a concentration in synovial fluid after 6 weeks, but no statistically significant difference was observed between the 2 groups (P = .11). One patient in the BioScrew group had a high TCC value after 6 weeks, but no statistically significant difference was seen between the 2 groups (P = .20). In the in vitro study, no increased C5a generation was observed in sera incubated with a BioScrew or a metal screw compared with controls. CONCLUSIONS: No statistically significant difference was observed between the BioScrew and metal screw groups concerning C5a, TCC, and IL-8 formation. However, some patients in the BioScrew group showed elevated values. LEVEL OF EVIDENCE: Level II, prospective randomized trial.</t>
  </si>
  <si>
    <t>10.1016/j.arthro.2006.03.011</t>
  </si>
  <si>
    <t>#549</t>
  </si>
  <si>
    <t>Drogset 2006</t>
  </si>
  <si>
    <t>A prospective randomized study of ACL-reconstructions using bone-patellar tendon-bone grafts fixed with bioabsorbable or metal interference screws.</t>
  </si>
  <si>
    <t>Drogset JO; Straume LG; BjÃ¸rkmo I; Myhr G</t>
  </si>
  <si>
    <t>INTRODUCTION: Bioabsorbable screws are, at the expense of metal screws, increasingly used as fixation device in ACL-reconstructions. The possible advantages with bioabsorbable screws are better postoperative MRI evaluations and easier revision surgery. PURPOSE: The aim of this study was to compare the clinical outcome after ACL-reconstructions with BPTB-grafts fixed with metal interference screws or bioabsorbable screws 7Â years postoperatively. The resorption of the bioabsorbable screws was also analyzed. METHODS: Between 2000 and 2001, 41 patients with ACL deficient knees were randomized for the use of BPTB-graft fixed with either metal interference screws or bioabsorbable poly-L: -lactic acid screws. This is a 7-year follow-up with clinical examinations of both groups and, MRI of the patients with bioabsorbable screws. RESULTS: The clinical and functional results were satisfactory in both groups. There were no significant differences between the groups in any parameter measured, except for better pivot_shift results in the bioscrew group (PÂ =Â 0.04). The MRI evaluation showed degradation of the bioscrews. A residual screw tract which appeared threaded was seen in the tibia in 11 of the 16 patients. There was no sign of bony ingrowth in the previous screw site in the tibia in any of the patients. CONCLUSION: The potential advantages of using PLLA-screws compared to metal screws are not sufficient to warrant the routine use of PLLA-screws in ACL-reconstructions. LEVEL OF EVIDENCE: I.</t>
  </si>
  <si>
    <t>10.1007/s00167-010-1353-4</t>
  </si>
  <si>
    <t>#440</t>
  </si>
  <si>
    <t>Drogset 2011</t>
  </si>
  <si>
    <t>Patella fracture after anterior cruciate ligament reconstruction with the patellar tendon: a comparison between different shaped bone block excisions.</t>
  </si>
  <si>
    <t>DuMontier TA; Metcalf MH; Simonian PT; Larson RV</t>
  </si>
  <si>
    <t>Tensile failure of a patella after anterior cruciate ligament (ACL) reconstruction with autogenous patellar tendon graft is an uncommon but serious complication. One factor that may affect post-harvest patella strength is the shape of the bony defect. The effect of patella defect shape on ultimate tensile strength and mode of failure of the extensor mechanism has not been studied using physiologic moments. Twelve matched pair knee specimens were randomly distributed within three groups comparing rectangular versus triangular, rectangular versus circular, and circular versus triangular shaped patella defects. Specimens were loaded in tension to failure using physiologic moments. Patella fracture occurred in 21 of 24 specimens. Mean ultimate strength for all patellae with a circular defect was 2540 N (+/-651), rectangular defect was 3267 N (+/-920), and triangular defect was 3009 N (+/-1057). There was no significant difference in mean ultimate tensile strength between defect shapes or between matched pairs within the groups. Mode of failure also was similar in all three groups. No defect shape was found to be superior in this investigation comparing ultimate tensile strength or mode of failure between different shaped patella defects.</t>
  </si>
  <si>
    <t>Winter</t>
  </si>
  <si>
    <t>Am J Knee Surg</t>
  </si>
  <si>
    <t>#635</t>
  </si>
  <si>
    <t>DuMontier 2001</t>
  </si>
  <si>
    <t>Study protocol for double-blind, randomised placebo-controlled trial evaluating semitendinosus function and morbidity following tendon harvesting for anterior cruciate ligament reconstruction augmented by platelet-rich plasma.</t>
  </si>
  <si>
    <t>du Moulin W; Kositsky A; Bourne MN; Diamond LE; Tudor F; Vertullo C; Saxby DJ</t>
  </si>
  <si>
    <t>INTRODUCTION: Anterior cruciate ligament (ACL) rupture is debilitating, often requiring surgical reconstruction. An ACL reconstruction (ACLR) using a tendon autograft harvested from the semitendinosus results in substantial injury to the donor muscle. Following ACLR, patients rarely return to their preinjury level of physical activity, are at elevated risk of secondary lower limb injuries and early onset knee osteoarthritis. To date, no randomised controlled trial has evaluated the efficacy of platelet-rich plasma (PRP) in aiding knee function and semitendinosus morphology of following ALCR. METHODS AND ANALYSIS: This is a multicentre double-blind randomised placebo-controlled trial. Fifty-four ACLR patients aged 18-50 years will be randomised to receive either a single application of PRP (ACLR+) or placebo saline (ACLR) into the semitendinosus harvest zone at the time of surgery. All patients will undergo normal postoperative rehabilitation recommended by the attending orthopaedic surgeon or physiotherapist. The primary outcome measure is between-limb difference (ACLR compared with intact contralateral) in isometric knee flexor strength at 60(o) knee flexion, collected 10-12 months postsurgery. This primary outcome measure will be statistically compared between groups (ACLR+ and standard ACLR). Secondary outcome measures include bilateral assessments of hamstring muscle morphology via MRI, biomechanical and electromyographic parameters during an anticipated 45Â° running side-step cut and multidirectional hopping task and patient-reported outcomes questionaries. Additionally, patient-reported outcomes questionaries will be collected before (baseline) as well as immediately after surgery, and at 2-6 weeks, 3-4 months, 10-12 months and 22-24 months postsurgery 10-12 months following surgery. ETHICS AND DISSEMINATION: Ethics approval has been granted by Griffith University Human Research Ethics Committee, Greenslopes Research and Ethics Committee, and Royal Brisbane &amp; Women's Hospital Human Research Ethics Committee. Results will be submitted for publication in a peer-reviewed medical journal. TRIAL REGISTRATION NUMBER: ACTRN12618000762257p.</t>
  </si>
  <si>
    <t>10.1136/bmjopen-2022-061701</t>
  </si>
  <si>
    <t>#119</t>
  </si>
  <si>
    <t>duMoulin 2022</t>
  </si>
  <si>
    <t>A randomized controlled trial on oblique incisions for ACL reconstruction: Minimizing sensory deficit without compromising outcome.</t>
  </si>
  <si>
    <t>Duraiswamy G; Ashraf M; Paul E; K SS; Rajan DV</t>
  </si>
  <si>
    <t>AIM: This randomized controlled trial aimed to evaluate the impact of different incision types (oblique, vertical, and horizontal) for hamstring graft harvest on sensory disturbances and functional outcomes after anterior cruciate ligament (ACL) reconstruction. METHODS: A total of 118 patients were randomized into three groups: oblique incision (nÂ =Â 40), vertical incision (nÂ =Â 40), and horizontal incision (nÂ =Â 38). Sensory deficits were assessed using Von Frey Filaments at three weeks, three months, and six months postoperatively. Functional outcomes were measured using the International Knee Documentation Committee (IKDC) 2000 Subjective Knee Evaluation score at the 6-month mark. Statistical analyses included ANOVA and post-hoc tests to compare sensory disturbances across groups. RESULTS: At 6 months, the oblique incision group demonstrated significantly less sensory disturbance (34.7Â mm(2)Â Â±Â 38.6) than the vertical (43.8Â mm(2)Â Â±Â 39.1) and horizontal (63.4Â mm(2)Â Â±Â 42.4) incision groups (pÂ =Â 0.031). No significant differences were found between the oblique and vertical incisions. The functional outcomes were comparable across all groups (PÂ &gt;Â 0.05). CONCLUSION: Compared with vertical and horizontal incisions, oblique incisions for hamstring graft harvesting significantly reduced sensory disturbances without compromising functional outcomes. These findings suggest that careful selection of incision type can improve postoperative sensory outcomes in ACL reconstruction.</t>
  </si>
  <si>
    <t>J Clin Orthop Trauma</t>
  </si>
  <si>
    <t>10.1016/j.jcot.2024.102865</t>
  </si>
  <si>
    <t>#63</t>
  </si>
  <si>
    <t>Duraiswamy 2025</t>
  </si>
  <si>
    <t>Prospective comparison of auto and allograft hamstring tendon constructs for ACL reconstruction.</t>
  </si>
  <si>
    <t>Edgar CM; Zimmer S; Kakar S; Jones H; Schepsis AA</t>
  </si>
  <si>
    <t>Although allograft use for primary anterior cruciate ligament reconstruction has continued to increase during the last 10 years, concerns remain regarding the long-term function of allografts (primarily that they may stretch with time) and clinical efficacy compared with autograft tendons. We attempted to address these issues by prospectively comparing identical quadrupled hamstring autografts with allograft constructs for primary anterior cruciate ligament reconstruction in patients with a minimum followup of 3 years. Eighty-four patients (37 with autografts and 47 with allografts) were enrolled; the mean followup was 52 +/- 11 months for the autograft group and 48 +/- 8 months for the allograft group. Outcome measurements included objective and subjective International Knee Documentation Committee scores, Lysholm scores, Tegner activity scales, and KT-1000 arthrometer measurements. The two cohorts were similar in average age, acute or chronic nature of the anterior cruciate ligament rupture, and incidence of concomitant meniscal surgeries. At final followup, we found no difference in terms of Tegner, Lysholm, KT-1000, or International Knee Documentation Committee scores. Five anterior cruciate ligament reconstructions failed: three in the autograft group and two in the allograft group. Our data suggest laxity is not increased in allograft tendons compared with autografts and clinical outcome scores 3 to 6 years after surgery are similar. LEVEL OF EVIDENCE: Level II, therapeutic study. See the Guidelines for Authors for a complete description of levels of evidence.</t>
  </si>
  <si>
    <t>10.1007/s11999-008-0305-5</t>
  </si>
  <si>
    <t>#504</t>
  </si>
  <si>
    <t>Edgar 2008</t>
  </si>
  <si>
    <t>No difference in anterior knee pain after anterior cruciate ligament reconstruction: A randomised controlled trial comparing autograft, calcium phosphate cement and demineralised bone matrix for patellar defect filling.</t>
  </si>
  <si>
    <t>Ehlers M; Kurtz J; Jazrawi L; Alaia M; Strauss E</t>
  </si>
  <si>
    <t>PURPOSE: Although bone-patellar tendon-bone autograft is widely used for anterior cruciate ligament reconstruction, it is often associated with anterior knee pain resulting from the residual patellar bone defect. Various materials have been proposed to fill this void, yet no consensus exists regarding the optimal choice. This study compared three commonly used patellar harvest site bone void fillers and assessed their impact on the frequency and severity of anterior knee pain. We hypothesised that calcium phosphate cement would result in lower postoperative anterior knee pain compared with autologous bone graft and demineralised bone matrix (DBM) due to its compressive modulus approximating cancellous bone. METHODS: Skeletally mature patients undergoing primary anterior cruciate ligament reconstruction with a bone-patellar tendon-bone autograft were enrolled. Exclusion criteria included age under 18, prior anterior cruciate ligament reconstruction, multiligament knee injury, coronal malalignment exceeding three degrees of varus or valgus, or less than 1 year of follow-up. Participants were randomly assigned to one of three groups: (1) autologous bone graft, (2) calcium phosphate cement or (3) DBM. Patient-reported outcomes were collected preoperatively and at 1 week, 6 weeks, 3 months, 6 months, 9 months and 12 months postoperatively. Analysis of variance and chi-square tests were used for statistical analysis. RESULTS: After applying exclusion criteria, 148 patients were included in the final analysis. No significant differences in visual analog scale pain scores were observed between cohorts at any postoperative interval (12-month, pâ€‰=â€‰0.598). Similarly, Kujala and Knee injury and Osteoarthritis Outcome scores did not differ significantly among the three cohorts at any time point (12-month, pâ€‰=â€‰0.878, pâ€‰=â€‰0.366). CONCLUSIONS: Filling the patellar harvest site defect with autologous bone graft, calcium phosphate cement, or DBM resulted in similar postoperative anterior knee pain following anterior cruciate ligament reconstruction with bone-patellar tendon-bone autograft. LEVEL OF EVIDENCE: Level I.</t>
  </si>
  <si>
    <t>10.1002/ksa.70434</t>
  </si>
  <si>
    <t>#9</t>
  </si>
  <si>
    <t>Ehlers 2026</t>
  </si>
  <si>
    <t>Preoperative quadriceps strength is a significant predictor of knee function two years after anterior cruciate ligament reconstruction.</t>
  </si>
  <si>
    <t>Eitzen I; Holm I; Risberg MA</t>
  </si>
  <si>
    <t>OBJECTIVE: To identify preoperative predictive factors for knee function two years after reconstructive surgery of the anterior cruciate ligament (ACL). The main hypothesis was that preoperative quadriceps strength would be the most significant predictor for knee function two years after reconstructive surgery. DESIGN: Cohort study. SETTING: ACL injured individuals treated at a University Hospital and an outpatient clinic in Oslo, Norway. PARTICIPANTS: Seventy-three individuals with complete unilateral rupture of the ACL scheduled for reconstruction with a bone-patellar-bone autograft were included in the study, from where 60 were available for two-year follow up and included in the final analyses. INTERVENTIONS: Not applicable. MAIN OUTCOME MEASUREMENTS: Identification of baseline independent variables that may predict knee function assessed with the Cincinnati Knee Score as dependent variable two years after ACL reconstruction. RESULTS: Quadriceps muscle strength, meniscus injury and the Short-Form-36 Bodily Pain sub score were identified as significant predictors for knee function assessed from the Cincinnati Knee Score two years after ACL reconstruction. Individuals with preoperative quadriceps strength deficits above 20% also had persistent significantly larger strength deficits two years after surgery. CONCLUSIONS: Preoperative quadriceps muscle strength deficits and meniscus injuries have significant negative consequences for the long-term functional outcome after ACL reconstruction. From our findings we suggest that ACL reconstruction should not be performed before quadriceps muscle strength deficits of the injured limb is less than 20% of the uninjured limb.</t>
  </si>
  <si>
    <t>Br J Sports Med</t>
  </si>
  <si>
    <t>10.1136/bjsm.2008.057059</t>
  </si>
  <si>
    <t>#488</t>
  </si>
  <si>
    <t>Eitzen 2009</t>
  </si>
  <si>
    <t>Quantifying Quadriceps Muscle Strength in Patients With ACL Injury, Focal Cartilage Lesions, and Degenerative Meniscus Tears: Differences and Clinical Implications.</t>
  </si>
  <si>
    <t>Eitzen I; Grindem H; Nilstad A; Moksnes H; Risberg MA</t>
  </si>
  <si>
    <t>BACKGROUND: Reduced quadriceps strength influences knee function and increases the risk of knee osteoarthritis. Thus, it is of significant clinical relevance to precisely quantify strength deficits in patients with knee injuries. PURPOSE: To evaluate isokinetic concentric quadriceps muscle strength torque values, assessed both from peak torque and at specific knee flexion joint angles, in patients with anterior cruciate ligament (ACL) injury, focal cartilage lesions, and degenerative meniscus tears. STUDY DESIGN: Cohort study; Level of evidence, 3. METHODS: Data were synthesized from patients included in 3 previously conducted research projects: 2 prospective cohort studies and 1 randomized controlled trial. At the time of inclusion, all patients were candidates for surgery. Isokinetic concentric quadriceps muscle strength measurements (60 deg/s) were performed at baseline (preoperative status) and after a period of progressive supervised exercise therapy (length of rehabilitation period: 5 weeks for ACL injury, 12 weeks for cartilage lesions and degenerative meniscus). Outcome measures were peak torque and torque at specific knee flexion joint angles from 20Â° to 70Â°. All patients had unilateral injuries, and side-to-side deficits were calculated. For comparisons between and within groups, we utilized 1-way analysis of variance and paired t tests, respectively. RESULTS: In total, 250 patients were included. At baseline, cartilage patients had the most severe deficit (39.7% Â± 24.3%; P &lt; .001). Corresponding numbers for ACL and degenerative meniscus subjects were 21.7% (Â±13.2%) and 20.7% (Â±16.3%), respectively. At retest, there was significant improvement in all groups (P &lt; .001), with remaining deficits of 24.7% (Â±18.5%) for cartilage, 16.8% (Â±13.9%) for ACL, and 3.3% (Â±17.8%) for degenerative meniscus. Peak torque was consistently measured at 60Â° of knee flexion, whereas the largest mean deficits were measured at 30Â° at baseline and 70Â° at retest for the ACL group, at 70Â° at baseline and retest for the degenerative meniscus group, and at 60Â° at baseline and at 50Â° at retest for the cartilage group. CONCLUSION: This study underlines the importance of including torque at specific knee flexion joint angles from isokinetic assessments to identify the most severe quadriceps muscle strength deficits. Furthermore, it confirms the importance of progressive exercise therapy interventions before potential surgery in patients with knee injuries.</t>
  </si>
  <si>
    <t>10.1177/2325967116667717</t>
  </si>
  <si>
    <t>#287</t>
  </si>
  <si>
    <t>Eitzen 2016</t>
  </si>
  <si>
    <t>Preconditioning patellar tendon autografts in arthroscopic anterior cruciate ligament reconstruction: a prospective randomized study.</t>
  </si>
  <si>
    <t>Ejerhed L; Kartus J; KÃ¶hler K; Sernert N; Brandsson S; Karlsson J</t>
  </si>
  <si>
    <t>This prospective randomized evaluated the effect of preconditioning patellar tendon autografts before implantation and fixation during anterior cruciate ligament (ACL) reconstruction. Fifty-three patients with a unilateral ACL rupture were included in the study. One group of patients had their patellar tendon autograft preconditioned by passive stretching at a constant load of 39 N for 10 min immediately prior to implantation (group P). The other group underwent no preconditioning before the implantation of the graft (group NP). The follow-up examination was performed by independent observers after 26 months (23-29) in group P and after 25 months (23-30) in group NP (n.s.). At follow-up the KT-1000 laxity test revealed a total side-to-side difference of 2.5 mm (-1.5 to +8.5) in group P and 3.0 mm (-7 to +6.5) in group NP (n.s.). The Lysholm score was 86 points (47-100) in group P and 94 points (44-100) in group NP (n.s.). The Tegner activity level was 6 (2-9) in group P and 7 (3-9) in group NP (n.s.). There was no significant difference between the study groups regarding IKDC classification. Patients who underwent ACL reconstruction using a preconditioned patellar tendon autograft had no advantages in terms of restoration of laxity or clinical outcome at 2-year follow-up.</t>
  </si>
  <si>
    <t>10.1007/s001670000179</t>
  </si>
  <si>
    <t>#632</t>
  </si>
  <si>
    <t>Ejerhed 2001</t>
  </si>
  <si>
    <t>Patellar tendon or semitendinosus tendon autografts for anterior cruciate ligament reconstruction? A prospective randomized study with a two-year follow-up.</t>
  </si>
  <si>
    <t>Ejerhed L; Kartus J; Sernert N; KÃ¶hler K; Karlsson J</t>
  </si>
  <si>
    <t>BACKGROUND: There are well-known problems with the use of bone-patellar tendon-bone autografts for anterior cruciate ligament reconstruction, especially in terms of donor site morbidity. Hamstring tendon grafts have been increasingly used as an alternative, but there are very few controlled studies comparing the methods. HYPOTHESIS: Use of semitendinosus tendon grafts will cause less donor site morbidity and result in better knee-walking ability. STUDY DESIGN: Prospective randomized clinical trial. METHODS: Seventy-one patients who had a unilateral anterior cruciate ligament rupture underwent arthroscopic reconstruction with interference screw fixation and use of either bone-patellar tendon-bone or semitendinosus tendon graft. Outcome assessment was performed by physiotherapists not involved in the patients' care. RESULTS: At the 2-year follow-up, no differences were found in terms of the Lysholm score, Tegner activity level, KT-1000 arthrometer side-to-side laxity measurement, single-legged hop test, or International Knee Documentation Committee classification results. The knee-walking test was rated difficult or impossible to perform by 53% of the bone-patellar tendon-bone group and by only 23% of the semitendinosus graft patients, a significant difference. CONCLUSIONS: The semitendinosus tendon graft is at least an equivalent option to the bone-patellar tendon-bone graft for anterior cruciate ligament reconstruction, and we recommend its use.</t>
  </si>
  <si>
    <t>#603</t>
  </si>
  <si>
    <t>The effect of magnesium added to levobupivacaine for femoral nerve block on postoperative analgesia in patients undergoing ACL reconstruction.</t>
  </si>
  <si>
    <t>Ekmekci P; Bengisun ZK; Akan B; Kazbek BK; Ozkan KS; Suer AH</t>
  </si>
  <si>
    <t>PURPOSE: The aim of this prospective randomised double-blind study is to investigate the effect of magnesium added to local anaesthetics on postoperative VAS scores, total opioid consumption, time to first mobilisation, patient satisfaction and rescue analgesic requirements in arthroscopic ACL reconstruction surgery. METHODS: A total of 107 American Society of Anaesthesiologists physical status grade I and II patients between 18 and 65 years of age who were scheduled to undergo elective anterior crucial ligament (ACL) reconstruction with hamstring autografts were enrolled in the study. The patients were randomly allocated to Groups L (n = 51) and LM (n = 56) using the closed-envelope method. Group LM was administered 19 ml of 0.25% levobupivacaine and 1 ml of 15% magnesium sulphate, while Group L was administered 20 ml of 0.25% levobupivacaine for femoral blockade. General anaesthesia was administered using laryngeal airway masks following neural blockade in both groups. The patients were evaluated for heart rate and mean arterial pressure, oxygen saturation, visual analogue score (VAS), verbal rating scale (VRS), rescue analgesic requirements, total opioid consumption, side effects and time to first mobilisation at the 1st, 2nd, 4th, 6th, 12th and 24th hours postoperatively. RESULTS: There was no statistically significant difference in terms of demographic data, mean arterial pressure, heart rate or oxygen saturation between groups. The area under the curve VAS and VRS scores were lower at 4, 6, 12 and 24 h in Group LM (p = 0.001, p = 0.016, respectively). The rescue analgesic requirement and the total opioid consumption were significantly lower in Group LM (p = 0.015, p = 0.019, respectively). The time to first mobilisation and the Likert score (completely comfortable; quite comfortable; slight discomfort; painful; very painful) were higher, and the block onset time was lower in Group LM (p = 0.014 and p = 0.012, respectively). There was no difference in terms of side effects. CONCLUSIONS: The addition of magnesium to levobupivacaine prolongs the sensory and motor block duration without increasing side effects, enhances the quality of postoperative analgesia and increases patient satisfaction; however, the addition of magnesium delays the time to first mobilisation and decreases rescue analgesic requirements.</t>
  </si>
  <si>
    <t>10.1007/s00167-012-2093-4</t>
  </si>
  <si>
    <t>#412</t>
  </si>
  <si>
    <t>Ekmekci 2013</t>
  </si>
  <si>
    <t>A comparison of the outcomes of anterior curciate ligament reconstruction with large-size graft versus reconstruction with average-size graft combined with extraarticular tenodesis.</t>
  </si>
  <si>
    <t>El-Azab H; Moursy M; Mohamed MA; Elsayed M</t>
  </si>
  <si>
    <t>INTRODUCTION: Many patients who have had anterior cruciate ligament (ACL) reconstruction (R) complain of instability, inability to return to previous levels of sports activity, and possible ACL graft failure. Graft size was discovered to be an important factor in lowering ACL failure rates. Also, extraarticular tenodesis decreases recurrent instability, A comparative study was done to compare the effect of graft size and lateral external tenodesis on the recurrence of instability after ACL-R. PATIENTS AND METHODS: A Prospective Blinded Randomized Controlled study included 100 consecutive patients who underwent ACL-R with hamstring tendon grafts in our Hospital. The patients were allocated into two groups (Group A and B) with randomization; group A received ACL-R with a large-size ACL-graft diameter of 6 strands, and group B received ACL-R of 4 strands combined with lateral extraarticular tenodesis (LET) (Modified Lemaire). Each group had fifty patients. The follow-up time was two years. They were examined for graft failure, anterolateral rotatory instability with the pivot_shift test, and clinical outcomes, which were evaluated with the International Knee Documentation Committee score (IKDC) both subjective and objective. RESULTS: In this study; group A, graft failure occurred in three (6.3%) patients, a positive pivot_shift test grade I was detected in eight (17.8%) patients, grade II in three (6.7%) patients, and grade III in one (2.2%) patient. The subjective IKDC score was 87.9 (Â± 7.19) points. The objective IKDC score was normal or nearly normal in 43 (93.4%) patients. In group B, one (2.1%) patient had graft failure, five (10.9%) had a positive pivot_shift test grade I, one (2.1%) had a grade II, and no patient had a grade III. The subjective IKDC score was 91.9 (Â± 8.9) points. The objective IKDC score was normal or nearly normal in 44 (95.6%) patients. As regard the subjective IKDC score, there was a non-significant difference between both groups (p valueÂ =Â 0.465). CONCLUSION: Both groups showed a low ACL-graft failure rate, low anterolateral rotatory instability, and a good clinical outcome. Although there was no significant difference in subjective IKDC score between both groups, the failure rate and anterolateral rotatory instability were significantly lower in the ACL-R (4 strands) with LET combination group than in the group with the large-diameter (6 strands) graft. LEVEL OF EVIDENCE: Level 1; Randomized Comparative Study.</t>
  </si>
  <si>
    <t>Injury</t>
  </si>
  <si>
    <t>10.1016/j.injury.2023.01.033</t>
  </si>
  <si>
    <t>#110</t>
  </si>
  <si>
    <t>El-Azab 2023</t>
  </si>
  <si>
    <t>Anterior Cruciate Ligament Reconstruction Using a Bone-Patellar Tendon-Bone Graft With and Without a Ligament Augmentation Device: A 25-Year Follow-up of a Prospective Randomized Controlled Trial.</t>
  </si>
  <si>
    <t>Elveos MM; Drogset JO; Engebretsen L; BrÃ¸nn R; Lundemo TO; Gifstad T</t>
  </si>
  <si>
    <t>BACKGROUND: Various grafts and ligament augmentation devices (LADs) have been used in the search for optimal reconstruction of the anterior cruciate ligament (ACL). PURPOSE: To compare 25-year follow-up results after ACL reconstruction using a bone-patellar tendon-bone (BPTB) graft with or without the Kennedy LAD. STUDY DESIGN: Randomized controlled trial; Level of evidence, 1. METHODS: One hundred patients undergoing ACL reconstruction between 1991 and 1993 were randomized into 2 groups: reconstruction using a BPTB graft alone (BPTB group, 51 patients) or a BPTB graft with the Kennedy LAD (LAD group, 49 patients). The 25-year follow-up evaluation included a clinical knee examination, patient-reported outcome measures, and an assessment of radiological osteoarthritis (OA) according to the AhlbÃ¤ck classification. Additional outcomes were reruptures and knee arthroplasty. RESULTS: Ninety-three patients (93%) were available for the follow-up evaluation: 48 patients in the BPTB group and 45 in the LAD group. Through telephone calls, 26 patients were excluded from further investigation because of reruptures and arthroplasty in the knee of interest; 67 patients were further investigated. A total of 43 of 44 (98%) and 42 of 44 (95%) patients had negative or 1+ Lachman and pivot-shift test results, respectively. The mean Lysholm score was 85 for the BPTB group and 83 for the LAD group. All mean Knee injury and Osteoarthritis Outcome Score (KOOS) subscale values were â‰¥73. There were no statistically significant differences between groups in any of these outcomes or regarding the Tegner score, radiological classification of OA, or number of ACL reruptures. Signs of radiological OA were detected in all patients, and severe radiological OA (AhlbÃ¤ck grade III, IV, or V) was detected in 32% of patients in the BPTB group and 21% of patients in the LAD group (P = .37). There were 12 patients in the BPTB group and 7 in the LAD group who had documented reruptures (P = .40). One patient in the BPTB group and 6 in the LAD group underwent knee arthroplasty (P = .054). CONCLUSION: In the present study, there were no statistically significant differences between groups in any of the outcomes. After 25 years, 19% of patients had reruptures, 27% had severe radiological OA, and 7% underwent knee arthroplasty.</t>
  </si>
  <si>
    <t>10.1177/2325967118808778</t>
  </si>
  <si>
    <t>#233</t>
  </si>
  <si>
    <t>Elveos 2018</t>
  </si>
  <si>
    <t>Anterior cruciate ligament reconstruction with and without computer navigation: a clinical and magnetic resonance imaging evaluation 2 years after surgery.</t>
  </si>
  <si>
    <t>Endele D; Jung C; Becker U; Bauer G; Mauch F</t>
  </si>
  <si>
    <t>PURPOSE: The purpose of this study was to evaluate the benefits of computer navigation on tunnel placement during anterior cruciate ligament reconstruction. METHODS: A prospective, randomized, controlled study comparing computer navigation with manual operation was performed between December 2003 and April 2004. We assigned 20 patients to the computer navigation group and 20 patients to the manual navigation group. Surgery was performed by use of a patellar tendon autograft with press-fit fixation. A lateral radiograph of the knee at maximum extension was used to determine the exact position of the tibial tunnel at 4 days postoperatively. Outcomes were evaluated with International Knee Documentation Committee 2000, Tegner, and Lysholm scoring. There was an additional magnetic resonance imaging (MRI) evaluation of tunnel placement and graft quality at the most recent follow-up, approximately 24 months after surgery. RESULTS: The postoperative radiographs and 2-year postoperative MRI scans showed no differences between groups for tibial or femoral tunnel placement. In both groups the mean tibial tunnel placement was 46% of the maximal diameter of the tibia. There were no significant differences between groups for objective and subjective outcomes scoring. Although some qualitative differences existed between groups with respect to MRI graft appearance at 2 years, this had no correlation with overall results. CONCLUSIONS: No significant differences were found between computer-assisted and manually navigated anterior cruciate ligament reconstruction with regard to tunnel placement and clinical results at a mean of 2 years postoperatively. LEVEL OF EVIDENCE: Level I, randomized, single-blinded, controlled trial.</t>
  </si>
  <si>
    <t>10.1016/j.arthro.2009.05.016</t>
  </si>
  <si>
    <t>#466</t>
  </si>
  <si>
    <t>Endele 2009</t>
  </si>
  <si>
    <t>A prospective, randomized study of three surgical techniques for treatment of acute ruptures of the anterior cruciate ligament.</t>
  </si>
  <si>
    <t>Engebretsen L; Benum P; Fasting O; MÃ¸lster A; Strand T</t>
  </si>
  <si>
    <t>Treatment of ACL tears is controversial. Recent reports on nonoperative treatment have shown poor results. Results after primary repair have deteriorated with time, leading to augmentation procedures that seem to have improved the results. However, there have been few prospective, randomized studies in this field. Our goal was to compare primary repair with a bone-patellar tendon-bone augmentation method and with a new method using the Kennedy Ligament Augmentation Device. One hundred fifty patients aged 16 to 50, all of whom had acute ACL tears, were randomized with the closed envelope method to one of three groups treated with open surgical methods. Fifty patients were treated with primary repair, 50 patients with patellar tendon augmentation, and 50 patients were augmented with the Kennedy Ligament Augmentation Device. All patients were operated on within 10 days of injury. The rehabilitation protocol was identical, consisting of a long leg cast for 2 weeks, followed by a brace with no weight-bearing and limited motion for 6 weeks. The patients were followed prospectively by one surgeon (LE) using the Lysholm functional score, Tegner activity level score, clinical evaluation and KT-1000 arthrometer at 6 months, 1, and 2 years. Three patients were lost to followup. There was no age or activity level difference between the groups. Sport activities led to 85% of the injuries, with skiing, soccer, and European handball representing 80% of injuries. All three groups reduced their activity level the 1st year. The repair group remained at the same level after 2 years.(ABSTRACT TRUNCATED AT 250 WORDS)</t>
  </si>
  <si>
    <t>10.1177/036354659001800605</t>
  </si>
  <si>
    <t>#698</t>
  </si>
  <si>
    <t>Engebretsen 1990</t>
  </si>
  <si>
    <t>Patellar tendon or Leeds-Keio graft in the surgical treatment of anterior cruciate ligament ruptures. Intermediate results.</t>
  </si>
  <si>
    <t>EngstrÃ¶m B; Wredmark T; Westblad P</t>
  </si>
  <si>
    <t>In a prospective randomized study, 60 patients with unilateral chronic anterior cruciate ligament (ACL) rupture were allocated to surgical reconstruction using an autogenous patellar tendon graft (PT) or a synthetic Leeds-Keio graft (LK). Fifty-five patients (26 PT, 29 LK), 32 men, 23 women, fulfilled the criteria to be further tested. The mean time from surgery to follow up was 28 months. Laxity was tested by pivot_shift and an instrumented anterior laxity test. Subjective knee function was classified using the Lysholm score, Tegner activity score, and IKDC grading. Muscle performance was analyzed in 49 patients (23 PT, 26 LK. There was no difference between the two groups in anthropometry, activity levels (before trauma; present; desired activity), time from trauma to surgery, or time from surgery to follow-up evaluation. Neither the concentric and eccentric knee extensor peak torque ratio nor the knee extensor endurance and the one-leg hop test differed between the two groups. However, both the pivotshift and the anterior laxity were significantly greater for the LK group. On the other hand, significantly more patients in the PT group had an extensor lag. Although the results are only intermediate, the Leeds-Keio ligament does not fulfill the requirements for a satisfactory result in ACL reconstructive surgery with regard to knee-joint stability.</t>
  </si>
  <si>
    <t>#691</t>
  </si>
  <si>
    <t>EngstrÃ¶m 1993</t>
  </si>
  <si>
    <t>Continuous passive motion in rehabilitation after anterior cruciate ligament reconstruction.</t>
  </si>
  <si>
    <t>EngstrÃ¶m B; Sperber A; Wredmark T</t>
  </si>
  <si>
    <t>In a prospective, randomized study, 34 patients (25 male, 9 female; mean age 27 +/- 8 years) with unilateral anterior cruciate ligament ruptures and arthroscopic reconstruction with patellar tendon grafts were allocated at random to either early active motion only (AM; n = 17) or active motion in combination with continuous passive motion (CPM; n = 17). Range of motion was measured with a goniometer and joint swelling with a tape measure, preoperatively and at 6 weeks postoperatively. Neither associated injuries nor the age of the patients differed in the two groups. There was no difference in the range of motion between the two groups at 6 weeks' follow-up. Joint swelling was more pronounced in the AM group both preoperatively and at 6 weeks' follow-up. In this investigation the range of motion was not improved by CPM. The difference in joint swelling between the two groups may be explained by a persistent preoperative variation in joint effusion due to an imbalanced distribution of acute and chronic cases.</t>
  </si>
  <si>
    <t>10.1007/BF01553520</t>
  </si>
  <si>
    <t>#683</t>
  </si>
  <si>
    <t>EngstrÃ¶m 1995</t>
  </si>
  <si>
    <t>Farmedial versus anteromedial portal drilling of the femoral tunnel in ACL reconstruction: a computed tomography analysis.</t>
  </si>
  <si>
    <t>Erdem M; Gulabi D; Asil K; Erdem AC</t>
  </si>
  <si>
    <t>INTRODUCTION: The success of ACL reconstruction is predicated on a variety of factors. Tunnel placement plays one of the most significant roles in achieving knee kinematics and function. The purposes of this study were to compare femoral tunnel position, angle, length and posterior wall blow-out after ACL reconstruction with hamstring tendons autograft through either a farmedial portal or an anteromedial portal technique. MATERIALS AND METHODS: We evaluated 36 patients who underwent ACL reconstruction between January 2014 and July 2014 in our institute, in a prospective, randomised cohort study. All the surgical procedures were performed by a sports fellowship-trained orthopaedic surgeon with experience in both portal reaming. The operated knees were evaluated with 0.5 mm fine CT scans of 3-D CT between days 3 and 5 postoperatively. RESULTS: According to the 3-D CT measurements, the mean femoral tunnel length was significantly longer (p &lt; 0.05) in the FAM group compared with the AM group. The femoral bone tunnel length averaged 34.2 Â± 3.6 mm versus 36.6 Â± 3.0 mm (p = 0.042) in AM and the FAM groups, respectively. The femoral tunnel position, as evaluated with use of the quadrant method, was more anterior in the FAM transportal technique group, and the difference between the two groups was significant (p &lt; 0.05). CONCLUSION: FAM tranportal drilling of the femoral tunnel creates longer and anterior femoral tunnels with regard to the AM portal drilling techniques. Additional studies with clinical outcomes are required for the clinical relevance of these techniques and to show which one is superior. LEVEL OF EVIDENCE: Level I, prospective randomised comparative cohort study.</t>
  </si>
  <si>
    <t>10.1007/s00402-015-2176-z</t>
  </si>
  <si>
    <t>#334</t>
  </si>
  <si>
    <t>Erdem 2015</t>
  </si>
  <si>
    <t>Comparison of the outcomes of isolated anterior cruciate ligament reconstruction and combined anterolateral ligament suture tape augmentation and anterior cruciate ligament reconstruction.</t>
  </si>
  <si>
    <t>Erden T; Toker B; Toprak A; TaÅŸer Ã–</t>
  </si>
  <si>
    <t>OBJECTIVES: This study aims to compare the outcomes of isolated anterior cruciate ligament (ACL) reconstruction and combined anterolateral ligament (ALL) suture tape augmentation (STA) and ACL reconstruction after a minimum follow-up of two years. PATIENTS AND METHODS: This retrospective study included 63 patients (36 males, 27 females; mean age 27.8Â±4.0; range, 19 to 35 years) who had unilateral ACL injury and participated in pivoting sports and were randomly assigned to undergo either isolated ACL reconstruction (Group 1, n=33) or combined ACL reconstruction and ALL STA (Group 2, n=30) between January 2015 and February 2018. The presence of an associated meniscal injury, chondral pathology, contralateral ACL rupture, and residual pivot_shift; subjective and objective International Knee Documentation Committee scores; Cincinnati and Lysholm functional scores; KT-1000 measurements; and graft rupture rate were evaluated. RESULTS: Patients were followed for a minimum of two years. The groups did not differ with respect to age, sex, side, time from injury to surgery, postoperative follow-up time, ACL graft size, contralateral ACL rupture, graft size, partial meniscectomy, chondral pathology or preoperative physical examination results. A total of 9.1% of the patients in Group 1 and 0% of those in Group 2 presented postoperative positive pivot_shift (p=0.357). The graft failure rate was 6.06% (n=2) in Group 1 and 0% in Group 2 (p=0.270). In the final evaluation, compared with Group 1, Group 2 showed better anteroposterior clinical stability, as evaluated by KT-1000 arthrometry (p=0.006). Although better results were observed in Group 2, the clinical evaluation results for postoperative function did not differ significantly between groups. CONCLUSION: Combined ALL STA and ACL reconstruction was found to be effective in improving subjective and objective outcomes. Nevertheless, these findings were not significantly superior to those of isolated ACL reconstruction with hamstring grafts, except for the side-to-side differential anterior laxity testing results.</t>
  </si>
  <si>
    <t>Jt Dis Relat Surg</t>
  </si>
  <si>
    <t>10.5606/ehc.2020.78201</t>
  </si>
  <si>
    <t>#171</t>
  </si>
  <si>
    <t>Erden 2021</t>
  </si>
  <si>
    <t>The Efficacy of Blood Flow Restriction Training to Improve Quadriceps Muscle Function after Anterior Cruciate Ligament Reconstruction.</t>
  </si>
  <si>
    <t>Erickson LN; Owen MK; Casadonte KR; Janatova T; Lucas K; Spencer K; Brightwell BD; Graham MC; White MS; Thomas NT; Latham CM; Jacobs CA; Conley CE; Thompson KL; Johnson DL; Hardy PA; Fry CS; Noehren B</t>
  </si>
  <si>
    <t>BACKGROUND: Blood flow restriction training (BFRT) is a popular rehabilitation intervention after anterior cruciate ligament reconstruction (ACLR). However, there are a lack of clinical trials establishing the efficacy of using BFRT during rehabilitation to improve quadriceps muscle function. PURPOSE: The purpose of this study is to evaluate the efficacy of blood flow restriction training to improve quadriceps muscle strength, morphology, and physiology, and knee biomechanics in individuals after ACLR in a double-blind, randomized, placebo-controlled clinical trial (NCT03364647). METHODS: Forty-eight athletes (20 females/28 males) were randomly assigned to low-load strength training with active BFRT or standard of care strength training with a sham unit. Treatment occurred for 1-month pre-surgery and 4 to 5 months post-surgery with both groups following the same standard rehabilitation protocol. Outcome variables were measured at baseline and 4 to 5 months post-surgery. Quadriceps muscle strength (isometric and isokinetic peak torque and rate of torque development) was measured on an isokinetic dynamometer. Quadriceps muscle morphology (physiological cross-sectional area, fibrosis) was determined using magnetic resonance imaging. Quadriceps muscle physiology (fiber type, fiber cross-sectional area, satellite cell abundance, collagen content, fibrogenic/adipogenic progenitor cells) was evaluated with muscle biopsies of the vastus lateralis. Knee extensor moment and knee flexion angle were measured via three-dimensional gait analysis. Change scores were calculated as: post-intervention - baseline. Two-sample t -tests were then used to assess between-group differences for each outcome variable. RESULTS: No significant between-group differences were found for any outcome variable. CONCLUSIONS: The addition of BFRT to a rehabilitation program for athletes pre- and post-ACLR was no more effective than standard rehabilitation for improving quadriceps muscle function. Clinicians should consider the value of BFRT relative to the cost, time, and discomfort for patients in light of these results.</t>
  </si>
  <si>
    <t>Med Sci Sports Exerc</t>
  </si>
  <si>
    <t>10.1249/MSS.0000000000003573</t>
  </si>
  <si>
    <t>#71</t>
  </si>
  <si>
    <t>Erickson 2025</t>
  </si>
  <si>
    <t>A comparison of quadruple semitendinosus and patellar tendon grafts in reconstruction of the anterior cruciate ligament.</t>
  </si>
  <si>
    <t>Eriksson K; Anderberg P; Hamberg P; LÃ¶fgren AC; Bredenberg M; Westman I; Wredmark T</t>
  </si>
  <si>
    <t>In a two-centre study, 164 patients with unilateral instability of the anterior cruciate ligament were prospectively randomised to arthroscopic reconstruction with either a patellar tendon graft using interference screw fixation or a quadruple semitendinosus graft using an endobutton fixation technique. The same postoperative rehabilitation protocol was used for all patients and follow-up at a median of 31 months (24 to 59) was carried out by independent observers. Four patients (2%) were lost to follow-up. No significant differences were found between the groups regarding the Stryker laxity test, one-leg hop test, Tegner activity level, Lysholm score, patellofemoral pain score, International Knee Documentation Committee (IKDC) score or visual analogue scale, reflecting patient satisfaction and knee function. Slightly decreased extension, compared with the non-operated side, was found in the patellar tendon group (p &lt; 0.05). Patients with associated meniscal injuries had lower IKDC, visual analogue (p &lt; 0.01) and Lysholm scores (p &lt; 0.05) than those without such injuries. Patients in whom reconstruction had been carried out less than five months after the injury had better final IKDC scores than the more chronic cases (p &lt; 0.05). We conclude that patellar tendon and quadruple semitendinous tendon grafts have similar outcomes in the medium term. Associated meniscal pathology significantly affects the final outcome and early reconstruction seems to be beneficial.</t>
  </si>
  <si>
    <t>10.1302/0301-620x.83b3.11685</t>
  </si>
  <si>
    <t>#631</t>
  </si>
  <si>
    <t>There are differences in early morbidity after ACL reconstruction when comparing patellar tendon and semitendinosus tendon graft. A prospective randomized study of 107 patients.</t>
  </si>
  <si>
    <t>Eriksson K; Anderberg P; Hamberg P; Olerud P; Wredmark T</t>
  </si>
  <si>
    <t>The main objective of this study was to study solely early postoperative morbidity following anterior cruciate ligament (ACL) reconstruction by comparing the gold standard procedure, the bone-patellar tendon-bone graft (BTB), and one of the most common alternatives, the semitendinosus tendon graft (ST). The prospective study included 107 randomized patients (50 BTB and 57 ST). The follow-up period was set to 20-35 weeks postoperatively (mean 26.8 +/- 3.5 weeks). One patient suffered early graft rupture and 89 (84%) of the remaining 106 patients were able to attend the follow-up within the given time limit. There were no differences in sick leave between the groups. The Lysholm score, Tegner activity level score and Visual Analog Scales (VAS) with the questions "How does your knee function?" and "How does your knee affect your activity level?" revealed no differences between the groups. Subjective patellofemoral pain, patellofemoral compartment findings and donor site morbidity were more common in the BTB group, P &lt; 0.05. Lachman test grade 1+ was more common in the ST group, P &lt; 0.05, but there was no significant difference in instrumented Lachman side-to-side comparison. The ST group scored better in the one-leg hop test than the BTB group, P &lt; 0.05. No correlations between these clinical and functional findings and subjective knee function scores were found. In conclusion, ACL reconstruction with ST tendon graft presented fewer short-term postoperative problems as compared to reconstruction with BTB.</t>
  </si>
  <si>
    <t>#628</t>
  </si>
  <si>
    <t>Integrating multi-session transcranial direct current stimulation with routine physical therapy to improve quadriceps strength and activation in athletes during subacute recovery following ACL reconstruction: A double-blind RCT.</t>
  </si>
  <si>
    <t>Esfahani NH; Roostayi MM; Hovsepian V; Baghban AA; Rezaeian ZS; Jaberzadeh S</t>
  </si>
  <si>
    <t>OBJECTIVE: Anterior cruciate ligament reconstruction (ACLR) is often associated with persistent quadriceps weakness and impaired voluntary activation. Integrating active anodal transcranial direct current stimulation (a-tDCS) with routine physical therapy (RPT) may offer additional neuromodulatory benefits during the subacute phase of rehabilitation in nonprofessional male athletes. METHODS: Twenty male nonprofessional athletes (mean age: 27.50â€‰Â±â€‰7.24 years, BMI: 25.83â€‰Â±â€‰3.49) were randomly assigned to two groups: active M1 a-tDCSâ€‰+â€‰RPT (nâ€‰=â€‰10) and sham M1 a-tDCSâ€‰+â€‰RPT (nâ€‰=â€‰10). Both groups received 10 sessions of a-tDCS during RPT. The active group received 2 mA stimulation for 20 minutes per session, while the sham group received 2 mA for 30 seconds, followed by ramp-down and discontinuation. Quadriceps strength was measured using an isokinetic dynamometer, voluntary activation was assessed using the superimposed burst technique (Central Activation Ration (CAR) method) Baseline measurements were taken after 10 weeks of RPT, prior to the combined intervention phase. RESULTS: The active a-tDCS group demonstrated a significant improvement in CAR compared to the sham group (mean difference: 6.85%; 95% CI: 1.92-11.77; pâ€‰=â€‰0.01), while the sham group showed a slight, non-significant decrease (2.54%; pâ€‰=â€‰0/80). Within-group analysis revealed significant voluntary activation improvements in the active group (pâ€‰=â€‰0.005), with no significant changes in the sham group (pâ€‰=â€‰0.59). No significant between-group differences in quadriceps strength were observed (pâ€‰=â€‰0.4), although both groups showed significant within-group improvements (active: 21.8%, Pâ€‰â‰¤â€‰0.001; sham: 14.8%, pâ€‰=â€‰0.02), likely due to the effects of RPT. CONCLUSION: The integration of multi-session a-tDCS with RPT during the subacute phase of ACLR recovery significantly enhanced voluntary activation and knee-specific function, as measured by the International Knee Documentation Committee (IKDC) score. These findings suggested that multiple-channel a-tDCS may facilitate neural activation and functional recovery, with clinically meaningful improvements in IKDC scores observed in the active group. Trial Registration: Iranian Registry of Clinical Trials (IRCT) Registration Number: IRCT20231113060048N1; Registered on December 28, 2023. URL: https://irct.behdasht.gov.ir/search/result?query=IRCT20231113060048N1.</t>
  </si>
  <si>
    <t>PLoS One</t>
  </si>
  <si>
    <t>10.1371/journal.pone.0345947</t>
  </si>
  <si>
    <t>#7</t>
  </si>
  <si>
    <t>Esfahani 2026</t>
  </si>
  <si>
    <t>Novel drug product to improve joint motion and function and reduce pain after arthroscopic anterior cruciate ligament reconstruction.</t>
  </si>
  <si>
    <t>Fanton GS; Dillingham MF; Wall MS; Gillenwater GE; Khan AM; Carver TJ; Perkins JG; Demopulos GA</t>
  </si>
  <si>
    <t>PURPOSE: OMS103HP, an investigational drug product containing ketoprofen, amitriptyline, and oxymetazoline, is added to arthroscopic irrigation solution. OMS103HP was evaluated in patients undergoing arthroscopic anterior cruciate ligament reconstruction to assess the drug's safety and ability to improve postoperative knee function and motion, reduce postoperative pain, and allow earlier return to work. METHODS: This was a prospective, double-blind, vehicle-controlled, parallel-group, randomized study. Allograft anterior cruciate ligament reconstruction patients in both treatment and vehicle control groups were monitored for safety and efficacy (e.g., measurements of knee function and motion, pain, and return to work) over a 30-day postoperative period. The efficacy endpoints of primary interest were assessed by use of both responder and time-to-event analyses. RESULTS: There were statistically significant differences (P &lt; or = .05) between the OMS103HP and vehicle control groups in the endpoints of knee function (knee function composite and straight-leg raise component of knee function composite), range of motion (median number of days to maximum passive flexion of 90 degrees or greater without pain and time to discontinuation of continuous passive motion), quadriceps and hamstring muscle strength, successful pain management, and return to work. The overall incidences of adverse events and abnormal clinical laboratory values for both OMS103HP- and vehicle-treated subjects were similar, and none was attributed to OMS103HP. CONCLUSIONS: The clinical benefits of OMS103HP in this study were reduced postoperative pain; improved postoperative knee motion, quadriceps and hamstring muscle strength, and knee function; and earlier return to work as measured by surgeons, nurses, and physical therapists across repeated clinic visits and rehabilitation sessions and recorded by patients in daily diaries. The drug was well tolerated.</t>
  </si>
  <si>
    <t>10.1016/j.arthro.2008.02.003</t>
  </si>
  <si>
    <t>#505</t>
  </si>
  <si>
    <t>Fanton 2008</t>
  </si>
  <si>
    <t>Analgesic effect of hamstring block after anterior cruciate ligament reconstruction compared with placebo: a prospective randomized trial.</t>
  </si>
  <si>
    <t>FaunÃ¸ P; Lund B; Christiansen SE; GjÃ¸derum O; Lind M</t>
  </si>
  <si>
    <t>PURPOSE: To evaluate the effect of a hamstring block for postoperative pain management using 20 mL of 0.25% bupivacaine compared with placebo after anterior cruciate ligament (ACL) reconstruction with a hamstring autograft. METHODS: In a 3-month period, 45 patients undergoing ACL reconstruction with a hamstring autograft who all received a femoral nerve block were randomized to receive either 20 mL of 0.25% bupivacaine or 20 mL of saline water administered through a catheter into the donor-site space. The patients and recovery staff were blinded to the treatment. Postoperative donor-site pain was evaluated subjectively by the patients using a pain score (Likert scale from 0 to 10). The pain was registered for each hour in the first 6 hours and thereafter once daily for 8 days. Furthermore, the requirement for postoperative analgesic medicine was registered. RESULTS: The hamstring block group (n = 23) had significantly less pain for each of the first 6 postoperative hours. The pain score was reduced from 4.2 to 2.3 (95% confidence interval, 1.3 to 3.3) (P = .01) in the first hour and from 2.8 to 1.3 (95% confidence interval, 0.6 to 1.9) in the sixth hour, and there was a significantly lower overall requirement for early postoperative fentanyl, reduced from a mean of 58 to 35 Î¼g (P = .02), and morphine, reduced from a mean of 10 to 6 mg (P = .04). After 6 hours, there was no difference in the pain level and use of analgesics between the 2 groups. CONCLUSIONS: With the use of a donor-site block in hamstring ACL reconstruction, the donor-site pain level, as well as the overall requirement for fentanyl and morphine, was significantly reduced in the first 6 postoperative hours. No effect of the donor-site block was seen after 6 hours. LEVEL OF EVIDENCE: Level I, therapeutic, randomized controlled study.</t>
  </si>
  <si>
    <t>10.1016/j.arthro.2014.07.024</t>
  </si>
  <si>
    <t>#346</t>
  </si>
  <si>
    <t>FaunÃ¸ 2015</t>
  </si>
  <si>
    <t>Tunnel widening after hamstring anterior cruciate ligament reconstruction is influenced by the type of graft fixation used: a prospective randomized study.</t>
  </si>
  <si>
    <t>Fauno P; Kaalund S</t>
  </si>
  <si>
    <t>PURPOSE: To compare the incidence of tunnel widening (TW) in patients undergoing anterior cruciate ligament (ACL) reconstruction with hamstring graft using either (group A) transfemoral fixation implant (Transfix; Arthrex, Naples, FL) and an interference screw (Arthrex) in the tibial tunnel or (group B) extracortical fixation (EndoButton; Smith &amp; Nephew Endoscopy, Andover, MA) in the femur and bicortical screw and washer distal to the tibial tunnel. TYPE OF STUDY: Prospective randomized study. METHODS: One hundred patients were included and randomized and 87 patients were assessed at a 1-year follow-up. The evaluation included standardized radiographs, KT-1000 data, International Knee Documentation Committee (IKDC) ratings, and Lysholm score. The diameter of the tunnel at the 1 year follow-up was, after correction for magnification, compared with the tunnel diameter of the radiograph from 2 weeks postoperatively. A more than 2-mm enlargement was considered TW. RESULTS: In group A in which transfixation in the femur and interference screw in the tibia was used, 7 of 41 patients had developed femoral TW and 5 of 41 tibial TW. In group B, 20 of 46 patients had TW in the femur and 16 of 46 in the tibia (P &lt; .05, chi-square test). No significant difference was found with respect to Lysholm score, IKDC, or arthrometric evaluation. CONCLUSIONS: There was a significant reduction of TW in both the femur and the tibia using fixation points close to the joint, compared with the system where the distance between the fixation points is long. We conclude that the position of the fixation sites and type of fixation device are major factors in the development of TW after ACL surgery. LEVEL OF EVIDENCE: Level I, therapeutic study in a prospective randomized clinical trial.</t>
  </si>
  <si>
    <t>10.1016/j.arthro.2005.08.023</t>
  </si>
  <si>
    <t>#557</t>
  </si>
  <si>
    <t>Fauno 2005</t>
  </si>
  <si>
    <t>Use of an extension-assisting brace following anterior cruciate ligament reconstruction.</t>
  </si>
  <si>
    <t>Feller J; Bartlett J; Chapman S; Delahunt M</t>
  </si>
  <si>
    <t>Despite changes in rehabilitation protocols, an extension deficit remains an important potential cause of significant morbidity following anterior cruciate ligament (ACL) reconstruction. An extension-assisting brace was designed using a limited motion brace and an elastic strap across a fulcrum on the anterior aspect of the knee joint. The effects of the brace were investigated in 40 patients undergoing primary ACL reconstruction using an autogenous central third patellar tendon graft. The patients were randomized either to use the brace in the first 6 weeks postoperatively or to undertake the same accelerated rehabilitation programme but without any brace, and they were reviewed at 4 months postoperatively. The following data were recorded: passive and active extension and flexion deficits compared with the non-operated limb. KT-1000 assessment of anterior laxity and isometric quadriceps and hamstring strength. There was no difference between the two groups for any of the recorded variables. This was largely attributed to satisfactory tunnel placement and emphasis on the restoration of extension and quadriceps function during the early postoperative rehabilitation.</t>
  </si>
  <si>
    <t>10.1007/s001670050016</t>
  </si>
  <si>
    <t>#663</t>
  </si>
  <si>
    <t>Feller 1997</t>
  </si>
  <si>
    <t>A randomized comparison of patellar tendon and hamstring tendon anterior cruciate ligament reconstruction.</t>
  </si>
  <si>
    <t>Feller JA; Webster KE</t>
  </si>
  <si>
    <t>BACKGROUND: Patellar and hamstring tendon autografts are the most frequently used graft types for anterior cruciate ligament reconstruction, but few direct comparisons of outcomes have been published. HYPOTHESIS: There is no difference in outcome between the two types of reconstruction. STUDY DESIGN: Prospective randomized clinical trial. METHODS: After isolated anterior cruciate ligament rupture, 65 patients were randomized to receive either a patellar tendon or a four-strand hamstring tendon graft reconstruction, and results were reviewed at 4, 8, 12, 24, and 36 months. RESULTS: Pain on kneeling was more common and extension deficits were greater in the patellar tendon group. There were greater quadriceps peak torque deficits in the patellar tendon group at 4 and 8 months but not thereafter. In the hamstring tendon group, active flexion deficits were greater from 8 to 24 months, and KT-1000 arthrometer side-to-side differences in anterior knee laxity at 134 N were greater. Cincinnati knee scores, International Knee Documentation Committee ratings, and rates of return to preinjury activity levels were not significantly different between the two groups. CONCLUSIONS: Both grafts resulted in satisfactory functional outcomes but with increased morbidity in the patellar tendon group and increased knee laxity and radiographic femoral tunnel widening in the hamstring tendon group.</t>
  </si>
  <si>
    <t>Jul-Aug</t>
  </si>
  <si>
    <t>#594</t>
  </si>
  <si>
    <t>Single Intravenous Administration of Tranexamic Acid in Anterior Cruciate Ligament Reconstruction to Reduce Postoperative Hemarthrosis and Increase Functional Outcomes in the Early Phase of Postoperative Rehabilitation: A Randomized Controlled Trial.</t>
  </si>
  <si>
    <t>Felli L; Revello S; Burastero G; Gatto P; Carletti A; Formica M; Alessio-Mazzola M</t>
  </si>
  <si>
    <t>PURPOSE: To evaluate the effect of tranexamic acid (TXA) in patients undergoing anterior cruciate ligament (ACL) reconstruction in reducing intra-articular effusion and affecting clinical outcomes 3Â months after surgery. METHODS: Eighty consecutive patients undergoing ACL reconstruction were prospectively assessed from 2014 to 2016. Patients were randomly allocated to 1 of 2 groups: The test group received an intravenous infusion of 15Â mg/kg of TXA, and the control group did not receive TXA. The patellar circumference, range of motion (ROM), Coupens and Yates (CY) value, visual analog scale score for pain assessment, and quadriceps strength (QS) were considered on postoperative day (PD) 1, PD 7, and PD 15 and at 1Â month and 3Â months after surgery. Blood volume in the intra-articular drainage was recorded on PD 1. Any adverse effect, such as fever onset (&gt;37.5Â°C), hemarthrosis, or infection, was also considered. RESULTS: We found a statistically significant reduction in drainage blood volume (P &lt; .001) and CY value (PÂ = .0044) on PD 1 in patients in the test group compared with those in the control group. On PD 7, a significant improvement was found for mean CY values (PÂ = .0057), ROM (PÂ = .0031), and QS (PÂ = .015). On PD 15, we noted significant improvements in CY values (P &lt; .001), patellar circumference (PÂ = .0019), QS (PÂ = .0089), and visual analog scale values (PÂ = .0032) in the test group. We noted 13 fever episodes in the control group and 2 fever episodes in the study group (PÂ = .047). No differences for any outcomes or complications were found at 3Â months. CONCLUSION: TXA administration reduced hemarthrosis and the amount of suction drainage blood volume, improved ROM and QS, and reduced fever episodes during the first 2Â weeks after surgery. TXA use improved early-phase outcomes in the postoperative period after ACL reconstruction. LEVEL OF EVIDENCE: Level I, randomized controlled trial.</t>
  </si>
  <si>
    <t>10.1016/j.arthro.2018.07.050</t>
  </si>
  <si>
    <t>#231</t>
  </si>
  <si>
    <t>Felli 2019</t>
  </si>
  <si>
    <t>Effects of Functional Rehabilitation on Muscle Strength, Dynamic Balance and Functional Performance 1 Year after Anterior Cruciate Ligament Reconstruction: A Randomised Controlled Trial.</t>
  </si>
  <si>
    <t>Feng H; Kahar JBA; Malek IZBA; Saleh MZB</t>
  </si>
  <si>
    <t>BACKGROUND: Return to sport (RTS) success rates remain suboptimal for high sports demand individuals (HSDs) following anterior cruciate ligament reconstruction (ACLR). Traditional rehabilitation model (TRM) primarily focuses on strength recovery and range of motion but demonstrates deficiencies in neuromuscular control and sport-specific conditioning. AIMS: This study aimed to compare the effects of functional rehabilitation model (FRM) versus Traditional rehabilitation model (TRM) on post-operative functional recovery and RTS outcomes in HSDs. METHODS: A prospective single-blind randomised controlled trial was conducted including 64 HSDs who underwent ACLR (exercise â‰¥3 times per week, Tegner score &gt;5), randomly allocated to the FRM group ( n = 32) and TRM group ( n = 32). The FRM group received a performance-based progressive 24-week rehabilitation protocol incorporating multimodal sensory training, closed-chain exercises, unstable surface proprioceptive training and sport-specific skill integration. The TRM group received a standard time-oriented 24-week rehabilitation protocol. The primary outcomes included 48-week RTS rate and functional recovery trajectory. The secondary outcomes included isokinetic strength, single-leg hop tests, modified star excursion balance test, proprioception and patient-reported outcomes (International Knee Documentation Committee [IKDC], Lysholm and Anterior Cruciate Ligament-Return to Sport after Injury [ACL-RSI]). Assessment time points included pre-operative baseline, 24 weeks and 48 weeks postoperatively. Repeated measures analysis of variance was used to evaluate longitudinal changes. RESULTS: Fifty-seven patients completed follow-up (retention rate: 89.1%). The FRM group demonstrated significantly higher 48-week successful RTS rate compared to the TRM group (89.3% vs. 62.1%, P = 0.038), with relative risk 1.44 (95% confidence interval: 1.05-1.97) and number needed to treat 3.7. Repeated measures analysis revealed that the FRM group significantly outperformed the TRM group in quadriceps peak torque (48 weeks: 124.17 Â± 7.25 vs. 98.42 Â± 8.73 Nm, P &lt; 0.001) and limb symmetry index (89.15% Â± 3.85% vs. 69.45% Â± 5.15%, P &lt; 0.001). In single-leg hop tests, the FRM group demonstrated superior performance in lateral hop time (5.54 Â± 2.25 vs. 7.84 Â± 3.37 s, P = 0.004) and box hop symmetry index (97.50% Â± 29.60% vs. 76.20% Â± 31.40%, P = 0.011). Proprioceptive testing showed that the FRM group had smaller position sense errors at 30Â° (2.83Â° Â± 1.63Â° vs. 4.25Â° Â± 1.85Â°, P = 0.002) and 45Â° knee flexion angles (6.37Â° Â± 1.69Â° vs. 7.57Â° Â± 1.73Â°, P = 0.008). Patient-reported outcomes demonstrated the FRM group superiority in IKDC (89.45 Â± 9.72 vs. 83.45 Â± 12.73, P = 0.028), Lysholm (88.71 Â± 5.78 vs. 76.12 Â± 12.38, P &lt; 0.001) and ACL-RSI scores (79.52 Â± 8.17 vs. 70.35 Â± 10.24, P &lt; 0.001). The FRM group exhibited sustained linear improvement patterns, while the TRM group showed a recovery plateau after 24 weeks. CONCLUSION: Compared to TRM, FRM significantly improved functional recovery trajectories and RTS outcomes in HSDs through enhanced neuromuscular control, improved dynamic performance and increased psychological readiness.</t>
  </si>
  <si>
    <t>Niger Postgrad Med J</t>
  </si>
  <si>
    <t>10.4103/npmj.npmj_504_25</t>
  </si>
  <si>
    <t>#13</t>
  </si>
  <si>
    <t>Feng 2026</t>
  </si>
  <si>
    <t>Minimizing internal rotation strength deficit after use of semitendinosus for anterior cruciate ligament reconstruction: a modified harvesting technique.</t>
  </si>
  <si>
    <t>Ferretti A; VadalÃ  A; De Carli A; Argento G; Conteduca F; Severini G</t>
  </si>
  <si>
    <t>PURPOSE: The purpose of this study was to test a new method of harvesting semitendinosus tendon during anterior cruciate ligament reconstruction that would allow an anatomic reinsertion of the regenerated tendon and minimize postoperative internal rotation strength loss. METHODS: We prospectively selected 35 patients surgically treated for anterior knee instability. The patients were randomly assigned to either the study group (group A) (19 patients) or the control group (group B) (16 patients). A modified harvesting technique of the semitendinosus, which reserves its distal insertion, was performed in group A, with the aim to allow a better postoperative recovery of flexion and internal rotation strength. Patients in group B underwent a "standard" harvesting technique. All patients were postoperatively evaluated by clinical examination, isokinetic tests, and magnetic resonance imaging. RESULTS: At a follow-up of 25 months, all patients showed satisfactory postoperative knee stability. Isokinetic tests showed a significant deficit in internal rotation strength at 60 degrees /s in patients in group B (84.60% v 97.37% in patients in group A). No deficits were found in group A. Magnetic resonance imaging evaluations showed a higher percentage of regenerated semitendinosus in group A patients (100%) than that in group B patients (50%) at the joint line level. In group A, the site of reinsertion was found to be on the pes anserinus in 71% of the patients and in the posteromedial corner of the tibial plateau in the other 29%; in group B, a distal signal was detected in 50% of the patients, which was at the posteromedial corner of the tibia in every case. CONCLUSIONS: This study seems to show that the proposed harvesting technique could minimize the postoperative loss of strength in internal rotation after anterior cruciate ligament reconstruction with hamstrings. LEVEL OF EVIDENCE: Level I, high-quality therapeutic randomized controlled trial.</t>
  </si>
  <si>
    <t>10.1016/j.arthro.2008.02.010</t>
  </si>
  <si>
    <t>#503</t>
  </si>
  <si>
    <t>Ferretti 2008</t>
  </si>
  <si>
    <t>Magnetic resonance imaging evaluation of the integration and maturation of semitendinosus-gracilis graft in anterior cruciate ligament reconstruction using autologous platelet concentrate.</t>
  </si>
  <si>
    <t>Figueroa D; Melean P; Calvo R; Vaisman A; Zilleruelo N; Figueroa F; VillalÃ³n I</t>
  </si>
  <si>
    <t>PURPOSE: To evaluate integration and maturation of semitendinosus-gracilis (STG) grafts in anterior cruciate ligament (ACL) reconstruction with magnetic resonance imaging (MRI) in patients who underwent ACL reconstruction with STG with and without autologous platelet concentrate (APC). METHODS: A randomized single-blinded evaluator prospective study was performed in 2 consecutive series of patients who underwent reconstruction over a 14-month period: 30 with APC use (group A) and 20 as control subjects (group B). At 6 months, an MRI evaluation was performed, with observation of the graft's maturation and presence or absence of synovial fluid at the tunnel-graft interface. To facilitate interpretation, a scoring scale was designed to evaluate graft integration and maturation. RESULTS: Regarding the presence of synovial fluid at the bone-graft interface, the test was negative in 86.84% of patients in group A and 94.74% in group B. A disorganized autograft signal pattern was found in 2.63% in group A and 5.26% in group B. Signal intensity was considered hypointense in 63.16% in group A and 42.11% in group B, isointense in 34.21% in group A and 52.63% in group B, and hyperintense in 0% in both groups. The final mean score was 4.45 points in group A and 4.2 points in group B (P â‰¥ .05). Poor integration was found in 2.63% in group A and 5.26% in group B (P = .214). Good integration was found in 97.37% in group A and 94.74% in group B (P = .784). CONCLUSIONS: In our consecutive series of patients who underwent ACL reconstruction with STG grafts, 1 group with intraoperative APC use versus a control group, followed up by MRI at 6 months after reconstruction, we did not find any statistically significant benefit in the APC group in terms of integration assessment and graft maturation (ligamentization). LEVEL OF EVIDENCE: Level III, case-control study.</t>
  </si>
  <si>
    <t>10.1016/j.arthro.2010.02.010</t>
  </si>
  <si>
    <t>#442</t>
  </si>
  <si>
    <t>Figueroa 2010</t>
  </si>
  <si>
    <t>Bioabsorbable polyglyconate interference screw fixation in anterior cruciate ligament reconstruction: a prospective computed tomography-controlled study.</t>
  </si>
  <si>
    <t>Fink C; Benedetto KP; Hackl W; Hoser C; Freund MC; Rieger M</t>
  </si>
  <si>
    <t>PURPOSE: It was the purpose of the study to evaluate a new polyglyconate bioabsorbable interference screw for graft fixation in anterior cruciate ligament (ACL) reconstruction. TYPE OF STUDY: Prospective randomized. MATERIALS AND METHODS: Forty patients who underwent endoscopic ACL reconstruction were included in the study and randomized intraoperatively. Group A consisted of 20 patients (6 women, 14 men; mean age, 29.6 years) who had femoral bone block fixation with a bioabsorbable interference screw and tibial fixation with a titanium interference screw. Group B included 20 patients (5 women, 15 men; mean age 29.6 years) who had fixation of both femoral and tibial bone blocks with titanium interference screws. There was no significant difference between the groups with regard to age, gender, height, weight, time from injury to surgery, activity level, and concomitant injuries. RESULTS: Clinical results (using IKDC, Lysholm, Tegner scores) of the 2 groups as well as instrumented laxity measurements (KT-1000) did not show significant (P &gt;.05) differences at any stage of follow-up. No complications with respect to graft fixation could be found. Computed tomography scans, performed within the first postoperative week, at 6 weeks, and at 3, 6, 12, and 24 months postoperatively revealed a uniform picture for all patients within the groups, showing completed screw degradation at 12 months in group A. CONCLUSION: Polyglyconate interference screw fixation for patellar tendon grafts has not been found to be associated with increased clinical complications or significant osteolysis. It provided equivalent fixation and clinical results compared with titanium screws. However, replacement of the screw with bone did not take place for up to 3 years postoperatively.</t>
  </si>
  <si>
    <t>10.1053/jars.2000.4633</t>
  </si>
  <si>
    <t>#641</t>
  </si>
  <si>
    <t>Fink 2000</t>
  </si>
  <si>
    <t>[Comparison between subarachnoid morphine and femoral nerve block for analgesia after knee ligament reconstruction: a randomized clinical trial].</t>
  </si>
  <si>
    <t>Fiorentin JZ; Martins AV; CaÃ±ola JMV; Gutierrez LC; Perches F; Sakae TM; TenÃ³rio SB</t>
  </si>
  <si>
    <t>BACKGROUND AND OBJECTIVES: There are no consensus of the ideal technique to provide analgesia in knee ligament reconstructions. The aim of this study was to compare the intensity of postoperative pain in these patients under different modalities of analgesia. METHOD: Randomized and controlled clinical trial of patients undergoing reconstruction of the Anterior Cruciate Ligament (ACL) with flexor tendons between December 2013 and 2014. All patients underwent spinal anesthesia and rescue analgesia with tramadol. The groups C, M, R0,375 and R0,25 was compared with only the previously described technique, subarachnoid morphine (100â–‘Î¼g), or Femoral Nerve Block (BNF) with 25â–‘mL of 0.375% ropivacaine and 0.25%, respectively. Pain intensity at 6, 12 and 24â–‘hours, age, sex, rescue analgesia, adverse reactions and satisfaction were evaluated. RESULTS: Among the 83 eligible patients, a predominance of males (85.7%) was observed, between 28 and 31 years. The group C requested more opioid (27.3%) than the other groups, without significance when compared. There were no significant differences in pain intensity at 6, 12 and 24â–‘hours. There was a higher incidence of urinary retention in the M group (23.8%) than in the R0,375 (0%) and prolonged quadriceps motor block in the R0,375 group (30%) than in the M and C groups (0%), with statistical significance (pâ–‘&lt;â–‘0.05). CONCLUSION: There was no difference in the intensity of postoperative pain in patients submitted to ACL reconstruction with flexor tendons under the analgesic modalities evaluated, despite the predominance of urinary retention in the M group and motor block in the R0,375 group.</t>
  </si>
  <si>
    <t>10.1016/j.bjan.2019.08.006</t>
  </si>
  <si>
    <t>#177</t>
  </si>
  <si>
    <t>Fiorentin 2020</t>
  </si>
  <si>
    <t>Predictors of Graft Failure in Young Active Patients Undergoing Hamstring Autograft Anterior Cruciate Ligament Reconstruction With or Without a Lateral Extra-articular Tenodesis: The Stability Experience.</t>
  </si>
  <si>
    <t>Firth AD; Bryant DM; Litchfield R; McCormack RG; Heard M; MacDonald PB; Spalding T; Verdonk PCM; Peterson D; Bardana D; Rezansoff A; Getgood AMJ; Willits K; Birmingham T; Hewison C; Wanlin S; Pinto R; Martindale A; O'Neill L; Jennings M; Daniluk M; Boyer D; Zomar M; Moon K; Moon R; Fan B; Mohan B; Buchko GM; Hiemstra LA; Kerslake S; Tynedal J; Stranges G; Mcrae S; Gullett L; Brown H; Legary A; Longo A; Christian M; Ferguson C; Mohtadi N; Barber R; Chan D; Campbell C; Garven A; Pulsifer K; Mayer M; Simunovic N; Duong A; Robinson D; Levy D; Skelly M; Shanmugaraj A; Howells F; Tough M; Thompson P; Metcalfe A; Asplin L; Dube A; Clarkson L; Brown J; Bolsover A; Bradshaw C; Belgrove L; Milan F; Turner S; Verdugo S; Lowe J; Dunne D; McGowan K; Suddens CM; Declerq G; Vuylsteke K; Van Haver M</t>
  </si>
  <si>
    <t>Eriksson et al., 2006</t>
  </si>
  <si>
    <t>BACKGROUND: Anterior cruciate ligament (ACL) reconstruction (ACLR) has higher failure rates in young active patients returning to sports as compared with older, less active individuals. Augmentation of ACLR with an anterolateral procedure has been shown to reduce failure rates; however, indications for this procedure have yet to be clearly defined. PURPOSE/HYPOTHESIS: The purpose of this study was to identify predictors of ACL graft failure in high-risk patients and determine key indications for when hamstring ACLR should be augmented by a lateral extra-articular tenodesis (LET). We hypothesized that different preoperative characteristics and surgical variables may be associated with graft failure characterized by asymmetric pivot_shift and graft rupture. STUDY DESIGN: Case-control study; Level of evidence, 3. METHODS: Data were obtained from the Stability 1 Study, a multicenter randomized controlled trial of young active patients undergoing autologous hamstring ACLR with or without a LET. We performed 2 multivariable logistic regression analyses, with asymmetric pivot_shift and graft rupture as the dependent variables. The following were included as predictors: LET, age, sex, graft diameter, tear chronicity, preoperative high-grade knee laxity, preoperative hyperextension on the contralateral side, medial meniscal repair/excision, lateral meniscal repair/excision, posterior tibial slope angle, and return-to-sports exposure time and level. RESULTS: Of the 618 patients in the Stability 1 Study, 568 with a mean age of 18.8 years (292 female; 51.4%) were included in this analysis. Asymmetric pivot_shift occurred in 152 (26.8%) and graft rupture in 43 (7.6%). The addition of a LET (odds ratio [OR], 0.56; 95% CI, 0.37-0.83) and increased graft diameter (OR, 0.62; 95% CI, 0.44-0.87) were significantly associated with lower odds of asymmetric pivot_shift. The addition of a LET (OR, 0.40; 95% CI, 0.18-0.91) and older age (OR, 0.83; 95% CI, 0.72-0.96) significantly reduced the odds of graft rupture, while greater tibial slope (OR, 1.15; 95% CI, 1.01-1.32), preoperative high-grade knee laxity (OR, 3.27; 95% CI, 1.45-7.41), and greater exposure time to sport (ie, earlier return to sport) (OR, 1.18; 95% CI, 1.08-1.29) were significantly associated with greater odds of rupture. CONCLUSION: The addition of a LET and larger graft diameter were significantly associated with reduced odds of asymmetric pivot_shift. Adding a LET was protective of graft rupture, while younger age, greater posterior tibial slope, high-grade knee laxity, and earlier return to sport were associated with increased odds of graft rupture. Orthopaedic surgeons should consider supplementing hamstring autograft ACLR with a LET in young active patients with morphological characteristics that make them at high risk of reinjury.</t>
  </si>
  <si>
    <t>10.1177/03635465211061150</t>
  </si>
  <si>
    <t>#141</t>
  </si>
  <si>
    <t>Firth 2022</t>
  </si>
  <si>
    <t>Quantitative Magnetic Resonance Imaging of Lateral Compartment Articular Cartilage After Lateral Extra-articular Tenodesis.</t>
  </si>
  <si>
    <t>Firth AD; Pritchett SL; Milner JS; Atkinson HF; Bryant DM; Holdsworth DW; Getgood AMJ</t>
  </si>
  <si>
    <t>BACKGROUND: Concerns have arisen that anterior cruciate ligament reconstruction (ACLR) with lateral extra-articular tenodesis (LET) may accelerate the development of posttraumatic osteoarthritis in the lateral compartment of the knee. PURPOSE/HYPOTHESIS: The purpose of this study was to evaluate whether the augmentation of ACLR with LET affects the quality of lateral compartment articular cartilage on magnetic resonance imaging (MRI) at 2 years postoperatively. We hypothesized that there would be no difference in T1rho and T2 relaxation times when comparing ACLR alone with ACLR + LET. STUDY DESIGN: Randomized controlled trial; Level of evidence, 1. METHODS: A consecutive subgroup of patients at the Fowler Kennedy Sport Medicine Clinic participating in the STABILITY 1 Study underwent bilateral 3-T MRI at 2 years after surgery. The primary outcome was T1rho and T2 relaxation times. Articular cartilage in the lateral compartment was manually segmented into 3 regions of the tibia (lateral tibia [LT]-1 to LT-3) and 5 regions of the femur (lateral femoral condyle [LFC]-1 to LFC-5). Analysis of covariance was used to compare relaxation times between groups, adjusted for lateral meniscal tears and treatment, cartilage and bone marrow lesions, contralateral relaxation times, and time since surgery. Semiquantitative MRI scores according to the Anterior Cruciate Ligament OsteoArthritis Score were compared between groups. Correlations were used to determine the association between secondary outcomes (including results of the International Knee Documentation Committee score, Knee injury and Osteoarthritis Outcome Score, Lower Extremity Functional Scale, 4-Item Pain Intensity Measure, hop tests, and isokinetic quadriceps and hamstring strength tests) and cartilage relaxation. RESULTS: A total of 95 participants (44 ACLR alone, 51 ACLR + LET) with a mean age of 18.8 years (61.1% female [58/95]) underwent 2-year MRI (range, 20-36 months). T1rho relaxation times were significantly elevated for the ACLR + LET group in LT-1 (37.3 Â± 0.7 ms vs 34.1 Â± 0.8 ms, respectively; P = .005) and LFC-2 (43.9 Â± 0.9 ms vs 40.2 Â± 1.0 ms, respectively; P = .008) compared with the ACLR alone group. T2 relaxation times were significantly elevated for the ACLR + LET group in LFC-1 (51.2 Â± 0.7 ms vs 49.1 Â± 0.7 ms, respectively; P = .03) and LFC-4 (45.9 Â± 0.5 ms vs 44.2 Â± 0.6 ms, respectively; P = .04) compared with the ACLR alone group. All effect sizes were small to medium. There was no difference in Anterior Cruciate Ligament OsteoArthritis Scores between groups (P = .99). Weak negative associations (r(s) = -0.27 to -0.22; P &lt; .05) were found between relaxation times and quadriceps and hamstring strength in the anterolateral knee, while all other correlations were nonsignificant (P &gt; .05). CONCLUSION: Increased relaxation times demonstrating small to medium effect sizes suggested early biochemical changes in articular cartilage of the anterolateral compartment in the ACLR + LET group compared with the ACLR alone group. Further evidence and long-term follow-up are needed to better understand the association between these results and the potential risk of the development of osteoarthritis in our patient cohort.</t>
  </si>
  <si>
    <t>10.1177/03635465241228193</t>
  </si>
  <si>
    <t>#85</t>
  </si>
  <si>
    <t>Firth 2024</t>
  </si>
  <si>
    <t>Home based rehabilitation for anterior cruciate ligament reconstruction.</t>
  </si>
  <si>
    <t>Fischer DA; Tewes DP; Boyd JL; Smith JP; Quick DC</t>
  </si>
  <si>
    <t>Fifty-four patients who underwent arthroscopically assisted anterior cruciate ligament reconstruction with bone-patellar tendon-bone autograft or allograft were studied prospectively to compare a postoperative home based rehabilitation program with a clinic based program. Fifty-four patients (mean age, 30 years) were assigned randomly to the home based program (27 patients) or the clinic based program (27 patients). The home based schedule featured six physical therapy visits during a 6-month postoperative study period, whereas the clinic based schedule specified 24 physical therapy visits during those 6 months. All patients entered in the study met strict selection criteria: age older than 15 years, no previous ligament repair or reconstruction, no complicating medical conditions, no collegiate or professional athletes, reconstruction at least 6 weeks after injury, and informed consent. At the 6-month followup, no significant statistical differences were found between the two groups in range of motion, thigh atrophy, anterior drawer compliance, hopping tests, Lysholm scores, or subjective health status scores. Thus, the authors conclude that in a selected group of patients who have undergone anterior cruciate ligament reconstruction, a home based postoperative rehabilitation program is feasible, safe, and effective.</t>
  </si>
  <si>
    <t>#658</t>
  </si>
  <si>
    <t>Fischer 1998</t>
  </si>
  <si>
    <t>The efficacy of perturbation training in nonoperative anterior cruciate ligament rehabilitation programs for physical active individuals.</t>
  </si>
  <si>
    <t>Fitzgerald GK; Axe MJ; Snyder-Mackler L</t>
  </si>
  <si>
    <t>BACKGROUND AND PURPOSE: Treatment techniques involving perturbations of support surfaces may induce compensatory muscle activity that could improve knee stability and increase the likelihood of returning patients to high-level physical activity. The purpose of this study was to determine the efficacy of augmenting standard nonoperative anterior cruciate ligament (ACL) rehabilitation programs with a perturbation training program. SUBJECTS: Twenty-six patients with acute ACL injury or ruptures of ACL grafts participated in the study. Subjects had to have a unilateral ACL injury, be free of concomitant multiple ligament or meniscal damage requiring surgical repair, and pass a screening examination designed to identify patients who had the potential to return to high-level physical activity with nonoperative treatments. Subjects also had to be regular participants in level I activities (eg, soccer, football, basketball) or level II activities (eg, racquet sports, skiing, construction work). METHODS: Subjects were randomly assigned to either a group that received a standard rehabilitation program (standard group) or a group that received the standard program augmented with a perturbation training program (perturbation group). Treatment outcome was determined from scores on the Knee Outcome Survey's Activities of Daily Living Scale (ADLS) and Sports Activity Scale, a global rating of knee function, scores on a series of single-limb hop tests, measurements of maximum isometric quadriceps femoris muscle force output, and the group frequency of unsuccessful rehabilitation. Unsuccessful rehabilitation was defined as the occurrence of an episode of giving way of the knee or failure to maintain the functional status of a rehabilitation candidate on retesting. RESULTS: More subjects had unsuccessful rehabilitation in the standard group compared with the perturbation group. There was a within-group x time interaction for the ADLS, global rating of knee function, and crossover hop test scores. These scores decreased from posttraining to the 6-month follow-up for the standard group. CONCLUSION AND DISCUSSION: Although both the standard program and the perturbation training program may allow subjects to return to high-level physical activity, the perturbation training program appears to reduce the risk of continued episodes of giving way of the knee during athletic participation and allows subjects to maintain their functional status for longer periods.</t>
  </si>
  <si>
    <t>#643</t>
  </si>
  <si>
    <t>Fitzgerald 2000</t>
  </si>
  <si>
    <t>A modified neuromuscular electrical stimulation protocol for quadriceps strength training following anterior cruciate ligament reconstruction.</t>
  </si>
  <si>
    <t>Fitzgerald GK; Piva SR; Irrgang JJ</t>
  </si>
  <si>
    <t>STUDY DESIGN: Randomized clinical trial, single-masked. OBJECTIVES: To determine the effectiveness of using a modified neuromuscular electrical stimulation (NMES) training program as an adjunct treatment for improving quadriceps strength and physical function in rehabilitation following anterior cruciate ligament reconstruction (ACLR). BACKGROUND: NMES training for quadriceps strengthening has previously been shown to be an effective adjunct treatment following ACLR when performed against isometric resistance using a dynamometer with the knee positioned in flexion. We developed a modified version of published NMES protocol because some patients have difficulty tolerating the existing protocol and many clinics may not have instrumented dynamometers. There is a need to determine the effectiveness of this modified protocol. METHODS AND MEASURES: Forty-three subjects who had undergone ACLR were randomly assigned to either a group that received (NMES group) or did not receive (comparison group) the NMES treatment in conjunction with their rehabilitation. Group means for quadriceps strength and self-reported measures of knee function were compared after 12 and 16 weeks of rehabilitation. The proportion of subjects in each group achieving clinical criteria to initiate ambulation without crutches, treadmill running, and agility training at selected times during rehabilitation were also compared. RESULTS: The NMES group demonstrated moderately greater quadriceps strength at 12 weeks (effect size, 0.48), and moderately higher levels of self-reported knee function at both 12 (effect size, 0.72) and 16 (effect size, 0.65) weeks of rehabilitation compared to the comparison group. A greater proportion of subjects in the NMES group achieved clinical criteria for advancing to agility training at 16 weeks. CONCLUSIONS: The modified NMES quadriceps training protocol can be a useful adjunct to ACLR rehabilitation programs, but the treatment effect is smaller than what has been reported in previous studies.</t>
  </si>
  <si>
    <t>10.2519/jospt.2003.33.9.492</t>
  </si>
  <si>
    <t>#588</t>
  </si>
  <si>
    <t>Fitzgerald 2003</t>
  </si>
  <si>
    <t>Differences in brain structure and theta burst stimulation-induced plasticity implicate the corticomotor system in loss of function after musculoskeletal injury.</t>
  </si>
  <si>
    <t>Flanagan SD; Proessl F; Dunn-Lewis C; Sterczala AJ; Connaboy C; Canino MC; Beethe AZ; Eagle SR; Szivak TK; Onate JA; Volek JS; Maresh CM; Kaeding CC; Kraemer WJ</t>
  </si>
  <si>
    <t>Traumatic musculoskeletal injury (MSI) may involve changes in corticomotor structure and function, but direct evidence is needed. To determine the corticomotor basis of MSI, we examined interactions among skeletomotor function, corticospinal excitability, corticomotor structure (cortical thickness and white matter microstructure), and intermittent theta burst stimulation (iTBS)-induced plasticity. Nine women with unilateral anterior cruciate ligament rupture (ACL) 3.2â€‰Â±â€‰1.1â€‰yr prior to the study and 11 matched controls (CON) completed an MRI session followed by an offline plasticity-probing protocol using a randomized, sham-controlled, double-blind, cross-over study design. iTBS was applied to the injured (ACL) or nondominant (CON) motor cortex leg representation (M1(LEG)) with plasticity assessed based on changes in skeletomotor function and corticospinal excitability compared with sham iTBS. The results showed persistent loss of function in the injured quadriceps, compensatory adaptations in the uninjured quadriceps and both hamstrings, and injury-specific increases in corticospinal excitability. Injury was associated with lateralized reductions in paracentral lobule thickness, greater centrality of nonleg corticomotor regions, and increased primary somatosensory cortex leg area inefficiency and eccentricity. Individual responses to iTBS were consistent with the principles of homeostatic metaplasticity; corresponded to injury-related differences in skeletomotor function, corticospinal excitability, and corticomotor structure; and suggested that corticomotor adaptations involve both hemispheres. Moreover, iTBS normalized skeletomotor function and corticospinal excitability in ACL. The results of this investigation directly confirm corticomotor involvement in chronic loss of function after traumatic MSI, emphasize the sensitivity of the corticomotor system to skeletomotor events and behaviors, and raise the possibility that brain-targeted therapies could improve recovery.NEW &amp; NOTEWORTHY Traumatic musculoskeletal injuries may involve adaptive changes in the brain that contribute to loss of function. Our combination of neuroimaging and theta burst transcranial magnetic stimulation (iTBS) revealed distinct patterns of iTBS-induced plasticity that normalized differences in muscle and brain function evident years after unilateral knee ligament rupture. Individual responses to iTBS corresponded to injury-specific differences in brain structure and physiological activity, depended on skeletomotor deficit severity, and suggested that corticomotor adaptations involve both hemispheres.</t>
  </si>
  <si>
    <t>J Neurophysiol</t>
  </si>
  <si>
    <t>10.1152/jn.00689.2020</t>
  </si>
  <si>
    <t>#168</t>
  </si>
  <si>
    <t>Flanagan 2021</t>
  </si>
  <si>
    <t>Long-term outcomes of anterior cruciate ligament reconstruction surgery: 2020 OREF clinical research award paper.</t>
  </si>
  <si>
    <t>Fleming BC; Fadale PD; Hulstyn MJ; Shalvoy RM; Tung GA; Badger GJ</t>
  </si>
  <si>
    <t>ACL injuries place the knee at risk for post-traumatic osteoarthritis (PTOA) despite surgical anterior cruciate ligament (ACL) reconstruction. One parameter thought to affect PTOA risk is the initial graft tension. This randomized controlled trial (RCT) was designed to compare outcomes between two graft tensioning protocols that bracket the range commonly used. At 7 years postsurgery, we determined that most outcomes between the two tension groups were not significantly different, that they were inferior to an uninjured matched control group, and that PTOA was progressing in both groups relative to controls. The trial database was also leveraged to gain insight into mechanisms of PTOA following ACL injury. We determined that the inflammatory response at the time of injury undermines one of the joint's lubricating mechanisms. We learned that patients continue to protect their surgical knee 5 years postinjury compared to controls during a jump-pivot activity. We also established that presurgical knee function and mental health were correlated with symptomatic PTOA at 7 years, that there were specific anatomical factors associated with poor outcomes, and that there were no changes in outcomes due to tunnel widening in patients receiving hamstring tendon autografts. We also validated a magnetic resonance imaging technique to noninvasively assess graft strength. In conclusion, the RCT determined that initial graft tensioning does not have a major influence on 7-year outcomes. Therefore, surgeons can reconstruct the ACL using a graft tensioning protocol that is within the window of the two graft tensioning techniques evaluated in this RCT.</t>
  </si>
  <si>
    <t>10.1002/jor.24794</t>
  </si>
  <si>
    <t>#183</t>
  </si>
  <si>
    <t>Fleming 2021</t>
  </si>
  <si>
    <t>Postoperative analgesic value of the intra-articular instillation of bupivacaine and morphine after arthroscopic knee surgery.</t>
  </si>
  <si>
    <t>Follak N; Ganzer D</t>
  </si>
  <si>
    <t>This prospective, randomized, double-blind study was carried out with 320 patients, subdivided into 4 groups of 80 patients each, who underwent arthroscopic knee surgery during the time period from March 1995 to February 1997. Each of the 4 groups received a different solution: 15 ml of bupivacaine 0.5%, 5 mg of morphine in 15 ml of isotonic saline solution, 15 ml of bupivacaine 0.5% with epinephrine 0.0005%, or 15 ml of isotonic saline solution (control group). Within each study group, the following operations were performed: 15 cruciate ligament plasties with autologous patellar tendon grafts, 30 meniscus resections, 15 notch-plasties as preparation for anterior cruciate ligament surgery, and 20 other types of operation (plica resection, diagnostic biopsy, etc.). Pain intensity was assessed with the visual analogue scale obtained from questioning patients at 2, 4, 8, 12, and 24 h postoperatively. In terms of reducing postoperative pain and decreasing the consumption of analgesics after arthroscopic knee surgery, bupivacaine 0.5% with epinephrine 0.0005% was found to be the most effective.</t>
  </si>
  <si>
    <t>10.1007/s004020000234</t>
  </si>
  <si>
    <t>#625</t>
  </si>
  <si>
    <t>Follak 2001</t>
  </si>
  <si>
    <t>Bone Marrow Aspirate Concentrate Augmentation May Accelerate Allograft Ligamentization in Anterior Cruciate Ligament Reconstruction: A Double-Blinded Randomized Controlled Trial.</t>
  </si>
  <si>
    <t>Forsythe B; Chahla J; Korrapati A; Lavoie-Gagne O; Forlenza E; Diaz CC; Chung CB; Bae WC; Bach BR; Cole B; Yanke AB; Verma NN</t>
  </si>
  <si>
    <t>PURPOSE: To assess the effect of bone marrow aspiration concentrate (BMAC) augmentation on clinical outcomes and magnetic resonance imaging (MRI) findings in anterior cruciate ligament (ACL) reconstruction (ACLR) with bone-patellar tendon-bone (BTB) allografts. METHODS: A double-blinded, randomized controlled trial was conducted on 80 patients undergoing ACL reconstruction using BTB allografts. Patients were randomized to 2 groups: (1) bone marrow aspirate was collected from the iliac crest, concentrated, and approximately 2.5 mL was injected into the BTB allograft, or (2) a small sham incision was made at the iliac crest (control). MRI was performed at 3 months and 9 months postoperatively to determine the signal intensity ratio of the ACL graft. RESULTS: Seventy-three patients were available for follow-up at 1-year postoperatively (36 BMAC, 37 control). International Knee Documentation Committee (IKDC) scores were significantly greater in the BMAC group versus the control at the 9-month postoperative period (81.6 Â± 10.5 vs 74.6 Â± 14.2, PÂ = .048). There was no significant difference in the proportion of patients who met the minimal clinically important difference for IKDC between the BMAC and control groups at 9 months (89% vs 85%; PÂ = .7). Three months postoperatively, signal intensity ratio of the inferior third of the ACL graft was significantly greater in the BMAC group versus the control group (3.2 Â± 2.2 vs 2.1 Â± 1.5; PÂ = .02). CONCLUSIONS: Patients who received BMAC augmentation of the BTB allograft during ACL reconstruction demonstrated greater signal intensity scores on MRI at 3 months, suggesting increased metabolic activity and remodeling, and potentially accelerated ligamentization. Additionally, patients in the BMAC group had greater patient-reported outcomes (IKDC) at 9 months postoperatively when compared with those who underwent a standard surgical procedure. There was no significant difference in the proportion of patients who met the minimal clinically important difference for IKDC between the BMAC and control groups at 9 months, suggesting limited clinical significance at this time point. LEVEL OF EVIDENCE: I, randomized control trial.</t>
  </si>
  <si>
    <t>10.1016/j.arthro.2022.01.010</t>
  </si>
  <si>
    <t>#142</t>
  </si>
  <si>
    <t>Forsythe 2022</t>
  </si>
  <si>
    <t>[Isokinetic comparative study at the third postoperative month after surgery of the anterior cruciate ligament with arthroscopy or after mini-arthrotomy].</t>
  </si>
  <si>
    <t>Franceschi JP; Rochwerger A; Benezet P; Bataille JF; Viton JM; Groulier P</t>
  </si>
  <si>
    <t>PURPOSE: A double blind prospective study was performed in 64 patients with a clinical and isokinetic assessment three months after anterior cruciate ligament (A.C.L.) reconstruction. MATERIAL AND METHODS: This work included 64 patients (47 males and 17 females), divided in two groups: 41 patients had an arthroscopically assisted bone-tendon-bone A.C.L. reconstruction, 17 had an open procedure. The isokinetic records concerned peak torque and muscular work at two different speeds. RESULTS: Three months after surgery there was no significant difference between both groups particularly what concerns the isokinetic assessment in muscular performances. Peak torque in hamstring averaged 151.4 Nm in the open procedure group and 149.2 Nm in the arthroscopically assisted group (p = 0.7), in quadriceps 156.10 Nm vs 149.3 Nm (p = 0.47). DISCUSSION: The advantages of arthroscopy in early muscular recovery are rarely admitted in medical literature. CONCLUSIONS: The favorable opinion of the authors to the arthroscopically assisted A.C.L. reconstruction concerning its rapid muscular recovery abilities is only based on subjective criterions.</t>
  </si>
  <si>
    <t>#644</t>
  </si>
  <si>
    <t>Franceschi 1999</t>
  </si>
  <si>
    <t>Minimally invasive semitendinosus tendon harvesting from the popliteal fossa versus conventional hamstring tendon harvesting for ACL reconstruction: A prospective, randomised controlled trial in 100 patients.</t>
  </si>
  <si>
    <t>Franz W; Baumann A</t>
  </si>
  <si>
    <t>BACKGROUND: This study aims to compare a technique for hamstring tendon harvesting from a postero-medial incision in the popliteal fossa with the conventional method. METHODS: One hundred patients who underwent anterior cruciate ligament (ACL)-reconstruction were randomised to either have their tendon graft harvested from postero-medial (group 1) or via an antero-medial approach (group 2). Time for tendon harvest, length of skin incision and duration of tendon harvest were recorded as well as complications and sensory disturbances in the lower leg. Pain scores were documented on the VAS scale. RESULTS: Time for tendon harvesting averaged one minute 23 s in group 1 versus five minutes 20 s in group 2 (p&lt;0.01). The skin incision measured 21 mm (group 1) versus 49 mm in group 2 (p&lt;0.01). The length of the harvested tendon averaged 272 mm (group 1) and 292 mm in group 2 (p&lt;0.01). There was one superficial wound infection in group 2 and none in group 1. Postoperative pain scores were similar in both groups. None of the patients in group 1 reported sensory disturbance in the lower leg, whilst seven patients in group 2 were found to have reduced sensation in the distribution of the saphenous nerve postoperatively (p&lt;0.01). CONCLUSION: This study confirms that harvesting the semitendinosus tendon from postero-medial is quicker, results in a shorter scar and reduces the risk of injury to branches of the saphenous nerve. However, harvesting the tendon from postero-medial resulted in a shorter tendon graft. LEVEL OF EVIDENCE: Level I (Randomised, controlled trial).</t>
  </si>
  <si>
    <t>10.1016/j.knee.2015.09.001</t>
  </si>
  <si>
    <t>#317</t>
  </si>
  <si>
    <t>Franz 2016</t>
  </si>
  <si>
    <t>[Proprioception after reconstruction of the anterior cruciate ligament. Endoscopic vs. 2 tunnel technique].</t>
  </si>
  <si>
    <t>Fremerey R; Lobenhoffer P; Skutek M; Zeichen J; Gerich T; Bosch U</t>
  </si>
  <si>
    <t>ACL reconstruction with patellar tendon autograft is a standard procedure which can be performed arthroscopically with a femoral half tunnel drilled from the joint or using the two-tunnel technique with medial miniarthrotomy and additional femoral approach. The arthroscopic procedure with single incision was supposed to increase stability and to improve proprioception by earlier rehabilitation. 29 patients with ACL deficiency were included in the study. 15 patients were treated endoscopically, 14 patients by using the two-tunnel technique. Proprioception, Lysholm and Tegner scores as well as stability (KT-1000) were assessed preoperatively, 3 and 6 months postoperatively. A deficit of proprioception was assessed in either group preoperatively, which could be improved after 3 months only in the arthroscopic group. 6 months postoperatively, either group showed a restitution of proprioception near full extension and full flexion of the knee. In the mid range position, the proprioception could not be restored. There were no differences in stability and the Lysholm and Tegner scores between the groups after 6 months postoperatively. The comparison between the patients with acute and chronic instability shows a better proprioception in the acute group in the mid range position 6 months after the reconstruction.</t>
  </si>
  <si>
    <t>Unfallchirurg</t>
  </si>
  <si>
    <t>10.1007/s001130050634</t>
  </si>
  <si>
    <t>#638</t>
  </si>
  <si>
    <t>Fremerey 2000</t>
  </si>
  <si>
    <t>Tranexamic Acid Has No Effect on Postoperative Hemarthrosis or Pain Control After Anterior Cruciate Ligament Reconstruction Using Bone-Patellar Tendon-Bone Autograft: A Double-Blind, Randomized, Controlled Trial.</t>
  </si>
  <si>
    <t>Fried JW; Bloom DA; Hurley ET; Baron SL; Popovic J; Campbell KA; Strauss EJ; Jazrawi LM; Alaia MJ</t>
  </si>
  <si>
    <t>PURPOSE: The purpose of this double-blind, randomized, controlled trial was to evaluate the use of intravenous (IV) tranexamic acid (TXA) in patients undergoing primary bone-patellar tendon-bone (BPTB) anterior cruciate ligament reconstruction (ACLR) regarding postoperative hemarthrosis, pain, opioid consumption, and quadriceps atrophy and activation. METHODS: A controlled, randomized, double-blind trial was conducted in 110 patients who underwent ACLR with BPTB autograft. Patients were equally randomized to the control and experimental groups. The experimental group received two 1-g boluses of IV TXA, one prior to tourniquet inflation and one prior to wound closure; the control group did not receive TXA. If a clinically significant hemarthrosis was evident, the knee was aspirated and the volume of blood (in milliliters) was recorded. Additionally, we recorded perioperative blood loss (in milliliters); visual analog scale scores on postoperative days 1, 4, and 7 and at postoperative weeks 1, 6, and 12; postoperative opioid consumption on postoperative days 1, 4, and 7; range of motion (ROM) and ability to perform a straight leg raise at postoperative weeks 1, 6, and 12; and preoperative and postoperative thigh circumference ratio. RESULTS: There was no significant difference in perioperative blood loss between the TXA and control groups (32.5 mL vs 35.6 mL, PÂ = .47). In the TXA group, 23 knees were aspirated; in the control group, 26 knees were aspirated (PÂ = .56). No significant difference in postoperative hemarthrosis volume was seen in patients who received IV TXA versus those who did not (26.7 mL vs 37.3 mL, PÂ = .12). There was no significant difference in visual analog scale scores between the 2 groups (PÂ = .15); in addition, there was no difference in postoperative opioid consumption (PÂ = .33). No significant difference in ROM, ability to perform a straight leg raise, or postoperative thigh circumference ratio was observed (P &gt; .05 for all). CONCLUSIONS: IV TXA in patients who undergo ACLR with BPTB autograft does not significantly impact perioperative blood loss, postoperative hemarthrosis, or postoperative pain levels. Additionally, no significant differences were seen in early postoperative recovery regarding ROM or quadriceps reactivation. LEVEL OF EVIDENCE: Level I, randomized controlled trial.</t>
  </si>
  <si>
    <t>10.1016/j.arthro.2021.01.037</t>
  </si>
  <si>
    <t>#170</t>
  </si>
  <si>
    <t>Fried 2021</t>
  </si>
  <si>
    <t>Strength Training Effects on Muscular Regeneration after ACL Reconstruction.</t>
  </si>
  <si>
    <t>Friedmann-Bette B; Profit F; Gwechenberger T; Weiberg N; Parstorfer M; Weber MA; Streich N; BariÃ© A</t>
  </si>
  <si>
    <t>PURPOSE: Protracted quadriceps muscle atrophy is observed after anterior cruciate ligament reconstruction (ACL-R). The aim of this study was to assess if quadriceps strength training with eccentric overload (CON/ECC) is more efficient to induce muscle regeneration after ACL-R than conventional concentric/eccentric (CON/ECC) strength training. METHODS: Biopsies from the vastus lateralis muscle were obtained from 37 recreational athletes after 12 wk of regular rehabilitation after ACL-R and again after 12 wk with twice a week of either conventional CON/ECC (n = 16) or CON/ECC (n = 21) one-legged supervised leg-press training. Immunohistochemical analyses were used to determine satellite cell (SC) number (Pax7); activated SC number (Pax7/MyoD); fibers expressing myosin heavy-chain (MHC) I and II, MHC neonatal, and fiber cross-sectional area. Magnetic resonance imaging was performed to measure quadriceps cross-sectional area and isokinetic testing for the measurement of quadriceps strength. RESULTS: CON/ECC induced a significantly (P = 0.002) greater increase in quadriceps cross-sectional area than did CON/ECC. There also was a significant increase in the fiber cross-sectional areas of all fiber types and in quadriceps strength, but without significant difference between training groups. Only CON/ECC training led to a significant (P &lt; 0.05) increase in percent type I fibers. After training, the number of MHC I/MHCneo fibers was significantly (P &lt; 0.05) greater in the CON/ECC than after in the CON/ECC group. The proportion of hybrid fibers tended to decrease in both groups; percent type II fibers, SC number, and activated SC number remained unchanged. CONCLUSIONS: CON/ECC leads to significantly greater muscle hypertrophy compared with CON/ECC, but without the hypothesized enhancing effect on SC activation. At the same time, CON/ECC+ induces a less favorable slower muscle phenotype for strong and fast movements.</t>
  </si>
  <si>
    <t>10.1249/MSS.0000000000001564</t>
  </si>
  <si>
    <t>#258</t>
  </si>
  <si>
    <t>Friedmann-Bette 2018</t>
  </si>
  <si>
    <t>The efficacy of femoral nerve block in pain reduction for outpatient hamstring anterior cruciate ligament reconstruction: a double-blind, prospective, randomized trial.</t>
  </si>
  <si>
    <t>Frost S; Grossfeld S; Kirkley A; Litchfield B; Fowler P; Amendola A</t>
  </si>
  <si>
    <t>The purpose of this study was to assess the efficacy of intraoperative femoral nerve block (FNB) in the reduction of postoperative pain following anterior cruciate ligament (ACL) hamstring reconstruction. Patients undergoing primary ACL reconstruction with hamstring tendon graft under general anesthetic who had signed an informed consent were included in the study. Patients were stratified to 4 surgeons and randomized to FNB with 0.25% bupivacaine or placebo of normal saline injected into the femoral nerve sheath before reversal of the general anesthetic. All patients received an intra-articular injection of bupivacaine at the beginning of their operative procedure. A single technique that included the use of a peripheral nerve stimulator was used for all FNBs. All patients were discharged on the day of surgery and given prescriptions for Tylenol 3. The Short-Form McGill Pain Questionnaire (SF-MPQ), a visual analog scale (VAS) for pain, and a medication diary recording Tylenol 3 usage were completed by patients in the recovery room, on the night of surgery, and on postoperative days 1, 2, and 3. There were complete data for 61 patients (FNB, 29; placebo, 32). An analysis of variance (ANOVA) test of the data showed no significant difference between the FNB and placebo group for pain reduction over the combined study period for both the SF-MPQ and VAS. However, the ANOVA does suggest that, on the night of surgery, there was a significant reduction in pain as measured with the VAS in the FNB group. A Student t test performed on the night of surgery data (SF-MPQ, P = .131; VAS, P = .0114; Tylenol 3, P = .076) showed a statistically significant difference between the FNB (39.4+/-21.0 mm) and placebo (56.8+/-24.6 mm) measured by VAS. Because this represented a difference of only 1.74 cm on a 10-cm VAS, it is unlikely to be clinically relevant. No difference was found in the amount of analgesic required on any day postoperatively. In conclusion, FNB may reduce pain on the night of surgery. However, this may not be clinically significant. FNB is not recommended at this time for use in outpatient ACL reconstruction with hamstring graft.</t>
  </si>
  <si>
    <t>10.1016/s0749-8063(00)90047-1</t>
  </si>
  <si>
    <t>#642</t>
  </si>
  <si>
    <t>Frost 2000</t>
  </si>
  <si>
    <t>The effect of early whole-body vibration therapy on neuromuscular control after anterior cruciate ligament reconstruction: a randomized controlled trial.</t>
  </si>
  <si>
    <t>Fu CL; Yung SH; Law KY; Leung KH; Lui PY; Siu HK; Chan KM</t>
  </si>
  <si>
    <t>BACKGROUND: Despite rehabilitation training, deficiency in knee joint position sense, muscular performance, postural control, and functional ability is common after anterior cruciate ligament reconstruction (ACLR). Whole-body vibration therapy (WBVT), which is initiated from 3 months postoperatively, has proven benefits. However, the effect of earlier WBVT is unknown. PURPOSE: To investigate the effect of early WBVT on neuromuscular control after ACLR. STUDY DESIGN: Randomized controlled trial; Level of evidence, 1. METHODS: A total of 48 patients with unilateral complete isolated ACL tears were recruited. Single-bundle hamstring ACLR was performed in all patients. After surgery, they were randomly assigned to either the reference or treatment group. Reference group patients received conventional ACL rehabilitation, while treatment group patients received 8 weeks of WBVT in addition to conventional rehabilitation, starting from 1 month postoperatively. Joint position sense, postural control, and knee isokinetic performance were assessed before surgery and at 1, 3, and 6 months postoperatively using the Biodex dynamometer, Biodex Stability System, and Cybex NORM, respectively. Knee range of motion (ROM), stability (manual testing and KT-1000 arthrometer), and functional ability (single-legged hop test, triple hop test, shuttle run test, and carioca test) were also examined. Two-way repeated-measures analysis of variance and the Mann-Whitney U test were used for statistical analysis. RESULTS: There was no complication throughout the rehabilitation. All patients achieved full knee ROM and stable knee joints at 6 months after surgery. The WBVT group demonstrated significantly better postural control, muscle performance, single-legged hop, and shuttle run (P &lt; .05) than the reference group, but there was no significant difference in knee joint position sense, triple hop, carioca, ROM, and stability (P &gt; .05). CONCLUSION: Early WBVT started from 1 month postoperatively was an effective training method without compromising knee ROM and stability. It improved postural control, isokinetic performance, single-legged hop, and shuttle run but not knee joint position sense, triple hop, and carioca.</t>
  </si>
  <si>
    <t>10.1177/0363546513476473</t>
  </si>
  <si>
    <t>#385</t>
  </si>
  <si>
    <t>Fu 2013</t>
  </si>
  <si>
    <t>Intercondylar notch size influences cyclops formation after anterior cruciate ligament reconstruction.</t>
  </si>
  <si>
    <t>Fujii M; Furumatsu T; Miyazawa S; Okada Y; Tanaka T; Ozaki T; Abe N</t>
  </si>
  <si>
    <t>PURPOSE: The purpose of this study was to investigate the incidence of cyclops lesions and its relationship with the cross-sectional area of the intercondylar notch. METHODS: For this study, 55 patients (24 male and 31 female) underwent follow-up arthroscopy after bi-socket anterior cruciate ligament reconstruction with hamstring tendon grafts were included. All patients underwent magnetic resonance imaging measurements of intercondylar notch dimensions. We compared the femoral intercondylar notch sizes and bone tunnel sizes between knees with cyclops lesions (cyclops group) and those without cyclops lesions (no-cyclops group). The mean percentage of the tunnel size to the cross-sectional area of the femoral intercondylar notch was also compared between the groups. The median follow-up duration was 3.8Â years. RESULTS: Cyclops lesions were found in 15 of the 55 knees (27.3Â %) on second-look arthroscopy (cyclops group). Only 6 of the 55 knees (10.9Â %) had extension loss (cyclops syndrome). The cyclops group included 3 men and 12 women. The two groups showed a statistical difference in sex variation (PÂ =Â 0.04). No significant differences were found in the femoral and tibial tunnel sizes between the two groups. The cross-sectional area of the femoral intercondylar notch was significantly smaller in the cyclops group (251.7Â Â±Â 63.2Â mm(2)) than in the no-cyclops group (335.6Â Â±Â 77.6Â mm(2)) (PÂ &lt;Â 0.001). The percentage of the total femoral tunnel size to the cross-sectional area of the femoral intercondylar notch was significantly higher in the cyclops group (18.6Â Â±Â 5.3Â %) than in the no-cyclops group (13.2Â Â±Â 3.6Â %) (PÂ =Â 0.02). CONCLUSIONS: A smaller intercondylar notch size may be a potential risk factor for cyclops lesion formation. LEVEL OF EVIDENCE: Case-control study, Level IV.</t>
  </si>
  <si>
    <t>10.1007/s00167-014-2891-y</t>
  </si>
  <si>
    <t>#361</t>
  </si>
  <si>
    <t>Fujii 2015</t>
  </si>
  <si>
    <t>Open kinetic chain exercises in a restricted range of motion after anterior cruciate ligament reconstruction: a randomized controlled clinical trial.</t>
  </si>
  <si>
    <t>Fukuda TY; Fingerhut D; Moreira VC; Camarini PM; Scodeller NF; Duarte A Jr; Martinelli M; Bryk FF</t>
  </si>
  <si>
    <t>BACKGROUND: Recent studies have shown that an early start of open kinetic chain (OKC) exercises for quadriceps strengthening in a full range of motion (ROM) could increase anterior knee laxity after anterior cruciate ligament (ACL) reconstruction with flexor tendons. However, there are no clinical trials that evaluated outcomes of OKC exercises in a restricted ROM for pain, function, muscle strength, and anterior knee laxity at 1 year after surgery. PURPOSE: To determine if an early start of OKC exercises for quadriceps strength in a restricted ROM would promote a clinical improvement without causing increased anterior knee laxity in patients after ACL reconstruction. STUDY DESIGN: Randomized controlled clinical trial; Level of evidence, 1. METHODS: A total of 49 patients between 16 and 50 years of age who underwent ACL reconstruction with semitendinosus and gracilis autografts were randomly assigned to an early start OKC (EOKC) exercise group or a late start OKC (LOKC) exercise group. The EOKC group (n = 25; mean age, 26 years) received a rehabilitation protocol with an early start of OKC (fourth week postoperatively) within a restricted ROM between 45Â° and 90Â°. The LOKC group (n = 24; mean age, 24 years) performed the same protocol with a late start of OKC exercises between 0Â° and 90Â° (12th week postoperatively). Quadriceps and hamstring muscle strength, 11-point numerical pain rating scale (NPRS), Lysholm knee scoring scale, single-legged and crossover hop tests, and anterior knee laxity were measured to assess outcomes at the 12-week, 19-week, 25-week, and 17-month postoperative follow-up (range, 13-24 months). RESULTS: No difference (P &lt; .05) was noted between groups with respect to demographic data. Both groups (EOKC and LOKC) had a higher level of function and less pain at the 19-week, 25-week, and 17-month assessments when compared with 12 weeks postoperatively (P &lt; .05). The EOKC group had improved quadriceps muscle strength at the 19-week, 25-week, and 17-month follow-up when compared with 12 weeks postoperatively (P &lt; .05); the LOKC group showed improvement only at the 17-month postoperative assessment. However, the analysis between groups showed no difference for all pain and functional assessments, including anterior knee laxity (P &gt; .05). CONCLUSION: An early start of OKC exercises for quadriceps strengthening in a restricted ROM did not differ from a late start in terms of anterior knee laxity. The EOKC group reached the same findings in relation to pain decrease and functional improvement when compared with the LOKC group but showed a faster recovery in quadriceps strength. The nonweightbearing exercises seem appropriate for patients who have undergone ACL reconstruction, when utilized in a specific ROM. The magnitude of difference in quadriceps strength between the 2 rehabilitation protocols was around 5%; however, this difference was not clinically significant, especially because both groups had equal function on the hop tests.</t>
  </si>
  <si>
    <t>10.1177/0363546513476482</t>
  </si>
  <si>
    <t>#386</t>
  </si>
  <si>
    <t>Fukuda 2013</t>
  </si>
  <si>
    <t>Osteoconductive Scaffold Placed at the Femoral Tunnel Aperture in Hamstring Tendon ACL Reconstruction: A Randomized Controlled Trial.</t>
  </si>
  <si>
    <t>GÃ¶tschi T; Hodel S; KÃ¼hne N; Bachmann E; Li X; Zimmermann SM; Snedeker JG; Fucentese SF</t>
  </si>
  <si>
    <t>BACKGROUND: Bone tunnel enlargement after single-bundle anterior cruciate ligament reconstruction remains an unsolved problem that complicates revision surgery. HYPOTHESIS: Positioning of an osteoconductive scaffold at the femoral tunnel aperture improves graft-to-bone incorporation and thereby decreases bone tunnel widening. STUDY DESIGN: Randomized controlled trial; Level of evidence, 1. METHODS: In a 1:1 ratio, 56 patients undergoing primary anterior cruciate ligament reconstruction were randomized to receive femoral fixation with cortical suspension fixation and secondary press-fit fixation at the tunnel aperture of the tendon graft only (control) or with augmentation by an osteoconductive scaffold (intervention). Adverse events, patient-reported outcomes, and passive knee stability were recorded over 2 years after the index surgery. Three-dimensional bone tunnel widening was assessed using computed tomography at the time of surgery and 4.5 months and 1 year postoperatively. RESULTS: The intervention group exhibited a similar number of adverse events as the control group (8 vs 10; P = .775) including 2 partial reruptures in both groups. The approach was feasible, although 1 case was encountered where the osteoconductive scaffold was malpositioned without adversely affecting the patient's recovery. There was no difference between the intervention and control groups in femoral bone tunnel enlargement, as expressed by the relative change in tunnel volume from surgery to 4.5 months (mean Â± SD, 36% Â± 25% vs 40% Â± 25%; P = .644) and 1 year (19% Â± 20% vs 17% Â± 25%; P =.698). CONCLUSION: Press-fit graft fixation with an osteoconductive scaffold positioned at the femoral tunnel aperture is safe but does not decrease femoral bone tunnel enlargement at postoperative 1 year. REGISTRATION: NCT03462823 (ClinicalTrials.gov identifier).</t>
  </si>
  <si>
    <t>10.1177/23259671231174478</t>
  </si>
  <si>
    <t>#97</t>
  </si>
  <si>
    <t>GÃ¶tschi 2023</t>
  </si>
  <si>
    <t>[Autologous hamstring versus quadriceps graft in anterior cruciate ligament plasty. Comparative study with focus on Return-To-Sport].</t>
  </si>
  <si>
    <t>GarcÃ­a-Linage R; Lassard-Rosenthal J; Noval-GarcÃ­a R; MuÃ±iz-Madrazo A; Fraind-Maya G; Palmero-Picazo J; German-CÃ³rdoba I; ZimbrÃ³n-LÃ³pez D</t>
  </si>
  <si>
    <t>INTRODUCTION: anterior cruciate ligament rupture has evolved to be one of the most common sports injuries with a remarkable increase in its incidence in the last two decades, with Return-To-Sport being a crucial approach in the choice of autologous graft for its surgical repair, the most commonly used being hamstring and quadriceps tendon graft. MATERIAL AND METHODS: a prospective randomized study was performed with 32 patients divided into two groups, one for each type of graft, with 13 patients in each. They were evaluated before surgery, at 30, 180 and 360 days after the procedure using scales such as Lysholm, mCKRS and ACL-RSI, and their previous activity level was considered using the Tegner score. RESULTS: it was observed that, at 30 and 180 days after surgery, there were significant differences in pain assessment using the VAS scale between the groups, while at 360 days no significant differences were observed. No significant differences were found in Lysholm and mCKRS scale scores in either group at days 30, 180, and 360, but significant differences were found in ACL-RSI scale scores at 30 and 180 days between the two groups, which did not hold at 360 days. CONCLUSION: despite the difference in postoperative pain, Return-To-Sport times and overall recovery showed no significant differences between the two types of grafts in this study.</t>
  </si>
  <si>
    <t>Acta Ortop Mex</t>
  </si>
  <si>
    <t>#61</t>
  </si>
  <si>
    <t>GarcÃ­a-Linage 2025</t>
  </si>
  <si>
    <t>Preemptive analgesia: its role and efficacy in anterior cruciate ligament reconstruction.</t>
  </si>
  <si>
    <t>Gatt CJ Jr; Parker RD; Tetzlaff JE; Szabo MZ; Dickerson AB</t>
  </si>
  <si>
    <t>As more outpatient orthopaedic surgical procedures are performed, postoperative pain control has gained importance. The benefits of preemptive analgesia, the use of analgesics or anesthetics or both before painful stimuli to prevent or reduce pain, have been widely published in the anesthesia and general surgery literature, but not in orthopaedic literature. We prospectively compared the effects, on postoperative pain and narcotic use, of intraarticular preoperative injections of 1) placebo with epinephrine, 2) bupivacaine with epinephrine, and 3) bupivacaine and morphine with epinephrine. Thirty patients (10 in each group) underwent arthroscopic anterior cruciate ligament reconstruction using patellar tendon autograft under general anesthesia. Pain was assessed with a 10-point visual analog scale pre- and postoperatively, and postoperative narcotic pain medication use was recorded. Postoperative pain was significantly greater in group 1 (placebo) than in the preemptive-treatment groups (groups 2 and 3), and in group 2 than in group 3. The differences became less apparent with time, and after 1 hour, no significant differences in pain scores existed between the groups. However, intravenous narcotic pain medication was administered in the recovery room to patients with pain scores greater than 5, equalizing pain scores. Group 3 used significantly less postoperative narcotic medication than group 1. Preemptive analgesia using intraarticular bupivacaine and morphine with epinephrine resulted in lower pain scores during the 1st hour after an arthroscopic anterior cruciate ligament reconstruction than did preemptive treatment with bupivacaine and epinephrine or placebo and epinephrine.</t>
  </si>
  <si>
    <t>10.1177/03635465980260040901</t>
  </si>
  <si>
    <t>#656</t>
  </si>
  <si>
    <t>GattCJJr 1998</t>
  </si>
  <si>
    <t>Effects of visual feedback balance training on muscle strength and balance ability in patients after anterior cruciate ligament reconstruction surgery.</t>
  </si>
  <si>
    <t>Ge X; Gao M; Suo L; Tao Y; Ren S; Ao Y</t>
  </si>
  <si>
    <t>OBJECTIVE: To investigate the effects of visual feedback balance training on lower limb motor function in patients following anterior cruciate ligament reconstruction (ACLR), and to provide evidence for optimizing postoperative rehabilitation protocols. DESIGN: Randomized controlled trial. METHOD: This study employed a prospective, single-blind, randomized controlled trial design. Initially, 42 patients were assigned (21 per group), with 33 ultimately completing the study (intervention group nâ€‰=â€‰17, control group nâ€‰=â€‰16). Both groups commenced a 10-week training program consisting of three sessions per week starting at week 5 postoperatively. Assessments were conducted preoperatively and postintervention using isokinetic muscle strength testing, dynamic balance testing, the Visual Analog Scale (VAS), the International Knee Disease Classification (IKDC) score, and the Lysholm score. RESULTS: In terms of isokinetic strength of the thigh, the intervention group showed significant improvements in concentric quadriceps strength (Qc) and concentric hamstring strength (Hc) at 60Â°/s post-intervention (Pâ€‰&lt;â€‰0.05). In the control group, limb symmetry index (LSI) of Qc at 180Â°/s, as well as LSI of Hc at 60Â°/s and 180Â°/s, significantly decreased after the intervention (Pâ€‰&lt;â€‰0.05). Compared with the control group, the intervention group demonstrated significantly greater Qc and Hc at both 60Â°/s and 180Â°/s, 60Â°/s hamstring-to-quadriceps strength ratio (H/Q), and Qc and Hc LSI at both 60Â°/s and 180Â°/s (Pâ€‰&lt;â€‰0.05).Regarding dynamic balance, the intervention group showed significant improvements in green target performance, coordination, and stability (Pâ€‰&lt;â€‰0.05), significantly outperforming the control group across multiple metrics. The control group only showed improvement in coordination (Pâ€‰&lt;â€‰0.05). Regarding functional outcomes, the intervention group showed significant improvement in VAS and IKDC scores after the intervention (Pâ€‰&lt;â€‰0.05). However, improvement in VAS did not reach minimal clinically important difference (MCID) and was not clinically meaningful, whereas improvement in IKDC exceeded MCID. The intervention group also showed significantly greater improvements in VAS, IKDC, and Lysholm scores compared to the control group (Pâ€‰&lt;â€‰0.05). CONCLUSION: This preliminary study suggests that visual feedback balance training may improve lower limb muscle strength, dynamic balance, and functional outcomes in patients after ACLR, though these findings require confirmation in larger, long-term trials. TRIAL REGISTRATION: ClinicalTrials.gov (NCT07306221 registered on 20 November 2025 retrospectively registered).</t>
  </si>
  <si>
    <t>10.1186/s12891-026-09823-9</t>
  </si>
  <si>
    <t>#16</t>
  </si>
  <si>
    <t>Ge 2026</t>
  </si>
  <si>
    <t>Safety, feasibility, and efficacy of negative work exercise via eccentric muscle activity following anterior cruciate ligament reconstruction.</t>
  </si>
  <si>
    <t>Gerber JP; Marcus RL; Dibble LE; Greis PE; Burks RT; Lastayo PC</t>
  </si>
  <si>
    <t>STUDY DESIGN: Randomized, matched design. BACKGROUND: Optimal rehabilitation following anterior cruciate ligament reconstruction (ACL-R) requires safe and effective interventions. Negative work exercise (via eccentric muscle activity) has the potential to be highly effective at producing large quadriceps size and strength gains early after ACL-R. The purpose of this investigation was to evaluate the short-term safety and efficacy of adding a progressive negative work exercise program via eccentric (ECC) ergometry early after ACL-R. METHODS AND MEASURES: Beginning 3 weeks after ACL-R, 32 participants were randomly assigned into either a 12-week traditional (TRAD) or ECC exercise program. Safety was assessed by measuring knee pain, thigh pain, knee effusion, and knee stability prior to surgery and at 3,15, and 26 weeks after surgery. Efficacy was assessed by measuring negative work output during the 12-week training program and by measuring functional ability (ie, quadriceps peak torque, hopping distance, self-reported functional ability and activity level scales) prior to surgery and 26 weeks after ACL-R. RESULTS: There were no significant differences between groups in measures of knee and thigh pain, effusion, or stability at any period after surgery. Negative work output increased systematically throughout training, while knee and thigh pain remained at relatively low levels. A significant group-by-time interaction was observed for quadriceps peak torque, hopping distance, and activity level (P&lt; or =.02). Quadriceps strength and hopping distance of the involved limb improved by a significantly greater amount in the ECC group compared to the TRAD group (P&lt;.01). Activity level decreased to a lesser extent in the ECC group compared to the TRAD group (P =.02). CONCLUSIONS: Negative work via an ECC intervention was implemented safely after ACL-R. The addition of negative work exercise also induced superior short-term results in strength, performance, and activity level after surgery.</t>
  </si>
  <si>
    <t>10.2519/jospt.2007.2362</t>
  </si>
  <si>
    <t>#530</t>
  </si>
  <si>
    <t>Effects of early progressive eccentric exercise on muscle structure after anterior cruciate ligament reconstruction.</t>
  </si>
  <si>
    <t>Gerber JP; Marcus RL; Dibble LE; Greis PE; Burks RT; LaStayo PC</t>
  </si>
  <si>
    <t>BACKGROUND: Thigh muscle atrophy is a major impairment that occurs early after reconstruction of the anterior cruciate ligament and persists for several years. Eccentric resistance training has the potential to induce considerable gains in muscle size and strength that could prove beneficial during postoperative rehabilitation. The purpose of this study was to evaluate the effects of progressive eccentric exercise on thigh muscle structure following reconstruction of the anterior cruciate ligament. METHODS: Beginning three weeks after reconstruction of the anterior cruciate ligament, forty patients were randomly assigned to a program involving either twelve weeks of eccentric exercises or a standard rehabilitation protocol. Patients were matched by surgical procedure, sex, and age. The final series consisted of two cohorts of twenty patients each who had been treated with one of two types of graft (semitendinosus-gracilis or bone-patellar tendon-bone), with ten patients treated with each of the two rehabilitation protocols in each graft cohort. To evaluate changes in muscle structure, magnetic resonance images of the involved and uninvolved thighs were acquired before and after training. The volume and peak cross-sectional area of the quadriceps, hamstrings, and gracilis and the distal portion of the gluteus maximus were calculated from these images. RESULTS: The volume and peak cross-sectional area of the quadriceps and gluteus maximus, in both the involved and the uninvolved thighs and in the patients treated with each type of graft, improved significantly more in the eccentric-exercise group (p &lt; 0.001). The magnitude of the volume change was more than twofold greater in that group. No significant differences in any hamstring or gracilis structural measurements were observed between the rehabilitation groups. However, the volume and peak cross-sectional area of the gracilis were markedly reduced, compared with the pretraining values, in the patients who had undergone reconstruction with the semitendinosus-gracilis graft. CONCLUSIONS: Eccentric resistance training implemented three weeks after reconstruction of the anterior cruciate ligament can induce structural changes in the quadriceps and gluteus maximus that greatly exceed those achieved with a standard rehabilitation protocol. The success of this intervention can be attributed to the gradual and progressive exposure to negative work through eccentric exercise, ultimately leading to production of high muscle force.</t>
  </si>
  <si>
    <t>10.2106/JBJS.F.00385</t>
  </si>
  <si>
    <t>#528</t>
  </si>
  <si>
    <t>Effects of early progressive eccentric exercise on muscle size and function after anterior cruciate ligament reconstruction: a 1-year follow-up study of a randomized clinical trial.</t>
  </si>
  <si>
    <t>BACKGROUND AND PURPOSE: The authors previously reported that focused eccentric resistance training during the first 15 weeks following anterior cruciate ligament reconstruction (ACL-R) induced greater short-term increases in muscle volume, strength, and measures of function relative to standard rehabilitation. The purpose of this study was to evaluate the effects of early progressive eccentric exercise on muscle volume and function at 1 year after ACL-R. PARTICIPANTS AND METHODS: Forty patients who had undergone an ACL-R were randomly assigned to 1 of 2 groups: a group that received early progressive eccentric exercise (n=20) and a group that received standard rehabilitation (n=20). Seventeen participants in the eccentric exercise group and 15 participants in the standard rehabilitation group completed a 1-year follow-up. Magnetic resonance images of the thighs were acquired 1 year after ACL-R and compared with images acquired 3 weeks after surgery. Likewise, routine knee examinations, self-report assessments, and strength and functional testing were completed 1 year after surgery and compared with previous evaluations. A 2-factor analysis of variance for repeated measures (group x time) was used to analyze the data. RESULTS: Compared with the standard rehabilitation group, improvements in quadriceps femoris and gluteus maximus muscle volume in the involved lower extremity from 3 weeks to 1 year following ACL-R were significantly greater in the eccentric exercise group. Improvements in quadriceps femoris and gluteus maximus muscle volume were 23.3% (SD=14.1%) and 20.6% (SD=12.9%), respectively, in the eccentric exercise group and 13.4% (SD=10.3%) and 11.6% (SD=10.4%), respectively, in the standard rehabilitation group. Improvements in quadriceps femoris muscle strength and hopping distance also were significantly greater in the eccentric exercise group 1 year postsurgery. DISCUSSION AND CONCLUSION: A 12-week focused eccentric resistance training program, implemented 3 weeks after ACL-R, resulted in greater increases in quadriceps femoris and gluteus maximus muscle volume and function compared with standard rehabilitation at 1 year following ACL-R.</t>
  </si>
  <si>
    <t>10.2522/ptj.20070189</t>
  </si>
  <si>
    <t>#496</t>
  </si>
  <si>
    <t>Gerber 2009</t>
  </si>
  <si>
    <t>One- versus two-incision technique for anterior cruciate ligament reconstruction with patellar tendon graft. Results on early rehabilitation and stability.</t>
  </si>
  <si>
    <t>Gerich TG; Lattermann C; Fremerey RW; Zeichen J; Lobenhoffer HP</t>
  </si>
  <si>
    <t>Anterior cruciate ligament (ACL) reconstruction with patellar tendon graft has become a standard procedure. The graft can be inserted either using two tunnels and a lateral femoral incision or with a femoral half-tunnel drilled from the joint, thus avoiding the lateral incision. Advantages have been claimed for the single-incision technique in the early rehabilitation period. Forty patients with ACL deficiency were included in a prospective randomized trial comparing the single- and two-incision technique with a follow-up period of 12 months. Preoperative data did not show any significant difference between the two groups. At early follow-up no differences were observed with respect to complications or the progress of rehabilitation. Evaluation at 12 months postoperatively using the IKDC form revealed good to excellent results in 70% of patients. ACL reconstruction reduced anterior translation of the knee significantly at the 6-month and 12-month follow-up with a slight increase of MMD values at 12 months in both groups. The arthroscopic single-incision technique did not differ from the mini-open technique in terms of postoperative pain medication, incidence of effusion, postoperative range-of-motion or any rehabilitation parameters. Stability was comparable in both groups at all time periods. We conclude that an arthroscopic single-incision technique has no advantage over a mini-open two-incision technique for ACL reconstruction with patellar tendon graft in terms of subjective or objective parameters.</t>
  </si>
  <si>
    <t>10.1007/s001670050052</t>
  </si>
  <si>
    <t>#661</t>
  </si>
  <si>
    <t>Gerich 1997</t>
  </si>
  <si>
    <t>Pullout strength of tibial graft fixation in anterior cruciate ligament replacement with a patellar tendon graft: interference screw versus staple fixation in human knees.</t>
  </si>
  <si>
    <t>Gerich TG; Cassim A; Lattermann C; Lobenhoffer HP</t>
  </si>
  <si>
    <t>The endoscopic single incision technique for anterior cruciate ligament (ACL) reconstruction with a femoral half-tunnel may lead to a graft/tunnel mismatch and subsequent protrusion of the block from the tibial tunnel. The typical tibial fixation with an interference screw is not possible in these cases. Fixation with staples in a bony groove inferior to the tunnel outlet can be used as an alternative technique. Current literature does not provide biomechanical data of either fixation technique in a human model. This study was performed to evaluate the primary biomechanical parameters of this technique compared with a standard interference screw fixation of the block. Fifty-five fresh-frozen relatively young (mean age 44 years) human cadaver knee joints were used. Grafts were harvested from the patellar tendon midportion with bone blocks of 25 mm length and 9 mm width. A 10-mm tibial tunnel was drilled from the anteromedial cortex to the center of the tibial insertion of the ACL. Three different sizes of interference screws (7 x 30, 9 x 20, 9 x 30 mm) were chosen as a standard control procedure (n = 40). For tibial bone-block fixation the graft was placed through the tunnel, and the screw was then inserted on the cancellous or the cortical surface, respectively. Fifteen knees were treated by staple fixation. A groove was created inferior to the tunnel outlet with a chisel. The bone block was fixed in this groove with two barbed stainless steel staples. Tensile testing in both groups was carried out under an axial load parallel to the tibial tunnel in a Zwick testing machine with a velocity of 1 mm/s. Dislocation of the graft and stiffness were calculated at 175 N load. Maximum load to failure using interference screws varied between 506 and 758 N. Load to failure using staples was 588 N. Dislocation of the graft ranged between 3.8 and 4.7 mm for interference screw fixation and was 4.7 mm for staples. Stiffness calculated at 175 N load was significantly higher in staple fixation. With either fixation technique, the recorded failure loads were sufficient to withstand the graft loads which are to be expected during the rehabilitation period. Staple fixation of the bone block outside of the tunnel resulted in a fixation strength comparable to interference screw fixation.</t>
  </si>
  <si>
    <t>10.1007/s001670050032</t>
  </si>
  <si>
    <t>#662</t>
  </si>
  <si>
    <t>[Endoscopic versus limited open technique for replacement of the anterior cruciate ligament. 4 years outcome of a prospective study].</t>
  </si>
  <si>
    <t>Gerich TG; Lattermann C; Bosch U; Lobenhoffer HP; Tscherne H</t>
  </si>
  <si>
    <t>ACL reconstruction with patellar tendon graft has become a standard procedure. The graft can be inserted either using two tunnels and a lateral femoral incision or with a femoral half tunnel drilled from the joint, thus avoiding the lateral incision. Advantages of the single-incision technique in the early rehabilitation period have been claimed. 40 patients with ACL deficiency were included in a prospective randomized trial comparing single and two-incision technique with a follow-up period of 4 years. Preoperative data did not show any significant difference between the two groups. At follow-up no difference were observed with respect to complications or he progress of rehabilitation. Evaluation after 1 and 4 years according to the IKDC form revealed good to excellent results in 70% of all patients. The Tegner-score increased significantly, however most patients did not regain their former activity level. ACL-reconstruction reduced anterior translation of the knee significantly at 6 months follow-up. However, we observed a slight increase of anterior translation after 1 and 4 years in both groups; stability was comparable in both groups at all time periods. We conclude that an arthroscopic single-incision technique has no advantage compared to a mini-open two-incision technique for ACL reconstruction with patellar tendon graft in terms of subjective or objective parameters.</t>
  </si>
  <si>
    <t>10.1007/s001130050308</t>
  </si>
  <si>
    <t>#655</t>
  </si>
  <si>
    <t>Gerich 1998</t>
  </si>
  <si>
    <t>No Difference in Functional Outcomes When Lateral Extra-Articular Tenodesis Is Added to Anterior Cruciate Ligament Reconstruction in Young Active Patients: The Stability Study.</t>
  </si>
  <si>
    <t>Getgood A; Hewison C; Bryant D; Litchfield R; Heard M; Buchko G; Hiemstra LA; Willits KR; Firth A; MacDonald P</t>
  </si>
  <si>
    <t>PURPOSE: To assess the functional outcomes of patients included in the Stability Study randomized controlled trial comparing anterior cruciate ligament reconstruction (ACLR) alone with ACLR with lateral extra-articular tenodesis (LET) at 6, 12, and 24 months postoperatively. METHODS: Six hundred eighteen patients undergoing ACLR, all under the age of 25 years either returning to contact pivoting sport or displaying signs of high-grade rotatory laxity or generalized ligamentous laxity, were randomly assigned to receive ACLR alone or ACLR plus LET. A total of 356 of these patients were randomized at centers participating in the functional assessments. Our primary outcome was Limb Symmetry Index, calculated using a series of 4-hop tests at 6, 12, and 24 months postoperatively. Secondary outcome measures included pain, patient-reported function, and isokinetic strength testing. RESULTS: We found no statistically significant difference in the proportion of patients either unwilling or unfit to complete the hop testing in the ACLR alone or ACLR with LET group at 6 months (40 vs 40 respectively; PÂ = 1.00), 12 months (25 vs 27; PÂ = .76), and 24 months (21 vs 23; PÂ = .87). Of those who completed hop testing, there were no statistically significant differences between groups in Limb Symmetry Index at 6, 12, or 24 months. Self-reported function (Lower Extremity Functional Score) significantly favored the ACLR alone group at 3 (PÂ = .01) and 6 months (PÂ = .02) postoperative but was similar by 12 months postoperative. Pain scores (P4) also showed a statistically significant difference in favor of the ACL alone group, but this also resolved by 6 months. Quadriceps peak torque (PÂ = .03) and average power (PÂ = .01) were also significantly different in favor of the ACLR alone group at 6 months postoperative; however, these were similar between groups by 12 months postoperative (PÂ = .11 and PÂ = .32, respectively). CONCLUSIONS: The addition of a LET to ACLR results in slightly increased pain, a mild reduction in quadriceps strength, and reduced subjective functional recovery up to 6 months postoperatively. However, theseÂ differences do not have any impact on objective function as measured by hop test limb symmetry index. LEVEL OF EVIDENCE: I, Randomized Controlled Trial.</t>
  </si>
  <si>
    <t>10.1016/j.arthro.2020.02.015</t>
  </si>
  <si>
    <t>#199</t>
  </si>
  <si>
    <t>Getgood 2020</t>
  </si>
  <si>
    <t>Lateral Extra-articular Tenodesis Reduces Failure of Hamstring Tendon Autograft Anterior Cruciate Ligament Reconstruction: 2-Year Outcomes From the STABILITY Study Randomized Clinical Trial.</t>
  </si>
  <si>
    <t>Getgood AMJ; Bryant DM; Litchfield R; Heard M; McCormack RG; Rezansoff A; Peterson D; Bardana D; MacDonald PB; Verdonk PCM; Spalding T; Willits K; Birmingham T; Hewison C; Wanlin S; Firth A; Pinto R; Martindale A; O'Neill L; Jennings M; Daniluk M; Boyer D; Zomar M; Moon K; Pritchett R; Payne K; Fan B; Mohan B; Buchko GM; Hiemstra LA; Kerslake S; Tynedal J; Stranges G; Mcrae S; Gullett L; Brown H; Legary A; Longo A; Christian M; Ferguson C; Mohtadi N; Barber R; Chan D; Campbell C; Garven A; Pulsifer K; Mayer M; Simunovic N; Duong A; Robinson D; Levy D; Skelly M; Shanmugaraj A; Howells F; Tough M; Thompson P; Metcalfe A; Asplin L; Dube A; Clarkson L; Brown J; Bolsover A; Bradshaw C; Belgrove L; Millan F; Turner S; Verdugo S; Lowe J; Dunne D; McGowan K; Suddens CM; Declercq G; Vuylsteke K; Van Haver M</t>
  </si>
  <si>
    <t>BACKGROUND: Persistent anterolateral rotatory laxity after anterior cruciate ligament (ACL) reconstruction (ACLR) has been correlated with poor clinical outcomes and graft failure. HYPOTHESIS: We hypothesized that a single-bundle, hamstring ACLR in combination with a lateral extra-articular tenodesis (LET) would reduce the risk of ACLR failure in young, active individuals. STUDY DESIGN: Randomized controlled trial; Level of evidence, 1. METHODS: This is a multicenter, prospective, randomized clinical trial comparing a single-bundle, hamstring tendon ACLR with or without LET performed using a strip of iliotibial band. Patients 25 years or younger with an ACL-deficient knee were included and also had to meet at least 2 of the following 3 criteria: (1) grade 2 pivot_shift or greater, (2) a desire to return to high-risk/pivoting sports, (3) and generalized ligamentous laxity (GLL). The primary outcome was ACLR clinical failure, a composite measure of rotatory laxity or a graft rupture. Secondary outcome measures included the P4 pain scale, Marx Activity Rating Scale, Knee injury Osteoarthritis and Outcome Score (KOOS), International Knee Documentation Committee score, and ACL Quality of Life Questionnaire. Patients were reviewed at 3, 6, 12, and 24 months postoperatively. RESULTS: A total of 618 patients (297 males; 48%) with a mean age of 18.9 years (range, 14-25 years) were randomized. A total of 436 (87.9%) patients presented preoperatively with high-grade rotatory laxity (grade 2 pivot_shift or greater), and 215 (42.1%) were diagnosed as having GLL. There were 18 patients lost to follow-up and 11 who withdrew (~5%). In the ACLR group, 120/298 (40%) patients sustained the primary outcome of clinical failure, compared with 72/291 (25%) in the ACLR+LET group (relative risk reduction [RRR], 0.38; 95% CI, 0.21-0.52; P &lt; .0001). A total of 45 patients experienced graft rupture, 34/298 (11%) in the ACLR group compared with 11/291 (4%) in the ACL+LET group (RRR, 0.67; 95% CI, 0.36-0.83; P &lt; .001). The number needed to treat with LET to prevent 1 patient from graft rupture was 14.3 over the first 2 postoperative years. At 3 months, patients in the ACLR group had less pain as measured by the P4 (P = .003) and KOOS (P = .007), with KOOS pain persisting in favor of the ACLR group to 6 months (P = .02). No clinically important differences in patient-reported outcome measures were found between groups at other time points. The level of sports activity was similar between groups at 2 years after surgery, as measured by the Marx Activity Rating Scale (P = .11). CONCLUSION: The addition of LET to a single-bundle hamstring tendon autograft ACLR in young patients at high risk of failure results in a statistically significant, clinically relevant reduction in graft rupture and persistent rotatory laxity at 2 years after surgery. REGISTRATION: NCT02018354 ( ClinicalTrials.gov identifier).</t>
  </si>
  <si>
    <t>10.1177/0363546519896333</t>
  </si>
  <si>
    <t>#204</t>
  </si>
  <si>
    <t>GetgoodAMJ 2020</t>
  </si>
  <si>
    <t>Avoiding Graft Failure: Lessons Learned from the Stability Trial.</t>
  </si>
  <si>
    <t>Getgood AMJ</t>
  </si>
  <si>
    <t>The Stability Study was a multicenter, pragmatic, parallel groups, randomized clinical trial comparing hamstring tendon autograft anterior cruciate ligament reconstruction with or without the addition of lateral extra-articular tenodesis in young patients at high risk of graft failure. Having recruited 618 patients with a 5% loss to follow up, we were able to demonstrate a clinically and statistically significant reduction in clinical failure and graft rupture at 2Â years postoperative. No differences in patient-reported outcomes (PROs) were demonstrated between groups; however, patients who experienced an adverse event had significantly worse PROs than those who did not.</t>
  </si>
  <si>
    <t>Clin Sports Med</t>
  </si>
  <si>
    <t>10.1016/j.csm.2023.08.005</t>
  </si>
  <si>
    <t>#79</t>
  </si>
  <si>
    <t>GetgoodAMJ 2024</t>
  </si>
  <si>
    <t>Arthroscopic anterior cruciate ligament surgery: results of autogenous patellar tendon graft versus the Leeds-Keio synthetic graft five year follow-up of a prospective randomised controlled trial.</t>
  </si>
  <si>
    <t>Ghalayini SR; Helm AT; Bonshahi AY; Lavender A; Johnson DS; Smith RB</t>
  </si>
  <si>
    <t>We conducted a prospective, randomised controlled trial comparing anterior cruciate ligament reconstruction using middle third patellar tendon graft (PT) to synthetic Leeds-Keio (LK) ligament. The patients were randomised (26 PT, 24 LK). Subjective knee function was classified (Lysholm, Tegner activity, IKDC scores), laxity was measured (Lachman test, Stryker laxometer), and functional ability was assessed (one-hop test). There were no significant differences between Lysholm or IKDC scores at any stage by 5 years. Significant differences were found between the groups at 2 years for Tegner activity scores, laxity and one-hop testing. By 5 years there were no significant differences. Clinical equivalence was demonstrated between the two groups for the Lysholm score and one-hop test but not for the Tegner activity score at 5 years. The use of the LK ligament has been largely abandoned due to reports of its insufficiency. Our results demonstrate that it is not as inferior as one might expect. We conclude that the results of LK ligament ACL reconstruction are as acceptable as those using PT. It may provide an additional means of reconstruction where no suitable alternative is present.</t>
  </si>
  <si>
    <t>10.1016/j.knee.2009.09.008</t>
  </si>
  <si>
    <t>#464</t>
  </si>
  <si>
    <t>Ghalayini 2010</t>
  </si>
  <si>
    <t>Immediate effects of real time feedback and kinesiotaping on kinematics and muscle activity in athletes with dynamic knee valgus.</t>
  </si>
  <si>
    <t>Gheibi T; Firouzjah EMAN; Ghanati HA; Almonroeder TG</t>
  </si>
  <si>
    <t>Dynamic knee valgus (DKV) is a significant risk factor for anterior cruciate ligament (ACL) injuries. Real-time feedback (RTF) and Kinesio taping (KT) are common interventions used to prevent DKV. This study aimed to compare the immediate effects of RTF, with and without KT, on the kinematics and muscle activity in athletes with dynamic knee valgus. This randomized controlled trial study included 34 male athletes aged 20â€“25 years with DKV (&gt;â€‰10Â°) from jumping sports (handball, basketball, and volleyball) who were randomly assigned to two groups: RTF (age 21.94â€‰Â±â€‰2.56 years, height 184.35â€‰Â±â€‰5.27Â cm, weight 74.50â€‰Â±â€‰6.75Â kg) and RTFâ€‰+â€‰KT (age 22.29â€‰Â±â€‰1.86 years, height 183.05â€‰Â±â€‰6.01Â cm, weight 73.50â€‰Â±â€‰5.48Â kg). Dynamic knee valgus was screened using Kinovea software during a landing from a 32Â cm platform. All participants performed step-down, lateral step-down, double-leg squat and single-leg squat exercises under RTF and RTF with KT conditions. All kinematics and electromyographic variables were assessed during the single-leg vertical drop jump (SL-VDJ) task. Knee flexion, hip flexion, knee valgus and ankle dorsiflexion angles were measured by an IMU system and feedforward activity of hip and knee muscles was measured by an EMG device before and after the exercise intervention. 2â€‰Ã—â€‰2 mixed-model ANOVA (group: RTF, RTFâ€‰+â€‰KT, time: pretest, posttest) was used for data analysis at the significance level of pâ€‰â‰¤â€‰0.05. There was a significant group-by-time interaction effect for peak knee flexion angle (F1,32=5.382, pâ€‰=â€‰0.027), gluteus medius activity (F1,32=5.9532, pâ€‰=â€‰0.004), and vastus medialis activity (F1,32=4.288, pâ€‰=â€‰0.047), with the RTFâ€‰+â€‰KT group exhibiting greater pre-to-post increases in peak knee flexion, gluteus medius activity, and vastus medialis activity, compared to the RTF group. There was a significant main effect of time for peak hip flexion angle (F1,32=7.427, pâ€‰=â€‰0.010), peak knee valgus angle (F1,32=90.201, pâ€‰=â€‰0.001), peak ankle dorsiflexion angle (F1,32=4.211, pâ€‰=â€‰0.048), gluteus maximus activity (F1,32=17.069, pâ€‰=â€‰0.001), vastus lateralis activity (F1,32=35.908, pâ€‰=â€‰0.001), medial hamstring activity (F1,32=60.183, pâ€‰=â€‰0.001), and lateral hamstring activity (F1,32=36.983, pâ€‰=â€‰0.001), with both groups exhibiting similar changes over time. In summary, RTFâ€‰+â€‰KT and RTF effectively altered kinematic and electromyographic ACL injury risk factors. The RTFâ€‰+â€‰KT intervention demonstrated notable within-group enhancements for multiple measures, particularly in increasing knee flexion and activation of the gluteus medius and vastus medialis muscles. Consequently, while RTF alone constitutes an effective intervention, the RTFâ€‰+â€‰KT combination may offer additional benefits for addressing deficits in knee flexion and specific muscle activations in athletes displaying DKV.</t>
  </si>
  <si>
    <t>10.1038/s41598-026-41823-6</t>
  </si>
  <si>
    <t>#20</t>
  </si>
  <si>
    <t>Gheibi 2026</t>
  </si>
  <si>
    <t>Long-term follow-up of patellar tendon grafts or hamstring tendon grafts in endoscopic ACL reconstructions.</t>
  </si>
  <si>
    <t>Gifstad T; Sole A; Strand T; Uppheim G; GrÃ¸ntvedt T; Drogset JO</t>
  </si>
  <si>
    <t>PURPOSE: Several studies compare the short- and long-term results of anterior cruciate ligament (ACL) reconstruction using bone-patellar tendon-bone (BPTB) graft or double-looped semitendinosus and gracilis (DLSG) graft. However, no studies evaluate the long-term results of BPTB grafts fixed with metal interference screws and DLSG grafts fixed with the Bone Mulch Screw and the Washer Loc. This prospective randomized multicentre study has the null hypothesis that there is no difference in long-term outcome between the two procedures. METHODS: A total of 114 patients with a symptomatic ACL rupture were randomized to reconstruction with either a BPTB graft (NÂ =Â 58) or a DLSG graft (NÂ =Â 56). Follow-up was conducted after one, two and sevenÂ years. At the seven-year follow-up, 102 of the 114 patients (89%) were available for evaluation; however, 16 of these by telephone-interview only. RESULTS: Ten patients in the BPTB group and 19 patients in the DLSG group underwent additional knee surgery (PÂ =Â 0.048), two and three, respectively, of these were ACL revisions (n.s.). The total flexion work was lower in the DLSG group (PÂ =Â 0.001). The mean peak flexion torque and extension work, however, showed no difference between the groups. No significant differences were found between the groups regarding the Tegner activity score, the Lysholm functional score, the Knee injury and osteoarthritis outcome score (KOOS), subjective knee function, anterior knee pain or mobility. There was no significant difference in laxity between the groups on the Lachman test or the KT-1,000 maximum manual force test. CONCLUSIONS: Both grafts and fixation methods resulted in satisfactory subjective outcome and objective stability. Both these methods can therefore be considered as suitable alternatives for ACL reconstructions. LEVEL OF EVIDENCE: II.</t>
  </si>
  <si>
    <t>#419</t>
  </si>
  <si>
    <t>Femoral fixation of hamstring tendon grafts in ACL reconstructions: the 2-year follow-up results of a prospective randomized controlled study.</t>
  </si>
  <si>
    <t>Gifstad T; Drogset JO; GrÃ¸ntvedt T; Hortemo GS</t>
  </si>
  <si>
    <t>PURPOSE: Hamstring tendon grafts are commonly used in anterior cruciate ligament (ACL) reconstructions. A number of fixation devices are available; however, several have limited clinical support. To our knowledge, no randomized controlled study comparing the EZLoc and the Bone Mulch Screw for femoral fixation in ACL reconstruction exists. Therefore, the purpose of this study was to compare the results following the use of these two femoral fixation devices. Time in surgery for the two methods was also to be compared. METHODS: A total of 110 patients between 18 and 45 years old at two orthopaedic departments, A (n = 55) and B (n = 55), were randomized to ACL reconstruction with femoral fixation of the hamstring graft with either the EZLoc or the Bone Mulch Screw. Surgical time was measured for each group. The patients were evaluated after 6 weeks and 3, 6, 12 and 24 months. The clinical examination included range of motion, evaluation of intraarticular swelling, tenderness at the lateral femoral condyle, the Lachman test, the pivot_shift test and the KT-1000 arthrometer. In addition, the visual analogue scale score for pain, the Tegner activity score, the Lysholm functional score and the knee injury and osteoarthritis outcome score were recorded. Knee extension and flexion muscle strength were also measured with a Biodex. RESULTS: There were no significant differences in any of the parameters mentioned above at the 2-year follow-up evaluation. Three patients in each group underwent revision ACL reconstruction during the study. More than 95% of the knees in both groups were found to be stable. Good to excellent results were found for all selected knee scores in both groups. There were no statistically significant differences between the two groups in any of the muscle strength parameters. Time in surgery was statistically significantly shorter in the EZLoc group compared with the Bone Mulch group. CONCLUSION: There were no statistically significant differences in clinical findings, knee scores or in muscle strength between the EZLoc group and the Bone Mulch group at the 2-year follow-up evaluation. Time in surgery was statistically significantly shorter for patients undergoing ACL reconstruction with hamstring grafts when the EZLoc femoral fixation device was used. LEVEL OF EVIDENCE: II.</t>
  </si>
  <si>
    <t>10.1007/s00167-013-2652-3</t>
  </si>
  <si>
    <t>#368</t>
  </si>
  <si>
    <t>Gifstad 2014</t>
  </si>
  <si>
    <t>[Intra-articular reconstruction of the anterior cruciate ligament with and without extra-articular supplementation by quadricipital tendon plasty: seven-year follow-up].</t>
  </si>
  <si>
    <t>Giraud B; Besse JL; CladiÃ¨re F; Ecochard R; Moyen B; Lerat JL</t>
  </si>
  <si>
    <t>PURPOSE OF THE STUDY: Reconstruction of the anterior cruciate ligament (ACL) is a common procedure, but use of lateral reinforcement is still a subject of debate. The purpose of this study was to compare two randomized series of ACL reconstructions, one using an intra-articular method (patellar tendon autograft) and the other an intra- and extra-articular method (Mac-InJones). MATERIAL AND METHODS: From January 1995 to March 1998, 63 knees underwent surgery for ACL reconstruction. Inclusion criteria was significant medial differential laxity measured between 7 and 12 mm on passive dynamic x-rays as 20 degrees flexion. Group 1 (patellar tendon intra-articular reconstruction) included 34 patients (27.1+/-7.5 years) and group 2 (intra-articular reconstruction plus extra-articular quadircipital tendon plasty) included 29 patients (28.5+/-12 years). The IKDC score was determined for 72% of the knees in group 1 and 68% in group 2 at seven years follow-up on average (102 and 93 months respectively). Anterior laxity was measured radiographically and with KT-1000. The position of the tunnels was controlled using the Aglietti method. RESULTS: The subjective functional score was 83.6+/-3.5 in group 1 and 83.5+/-3.5 in group 2. The overall IKDC knee score classes for group 1 were 0% A, 52.4% B, 28.6% C, and 19% D and for group 2 were 5.5% group A, 50% group B, 33.3% group C, and 11.1% group D. In group 1, the pivot test was negative in 61.9% and noted stage 1 in 28.6% and stage 2 in 9.5%. In group 2, the pivot test was negative in 78.9% and noted stage 1 in 15.8% and stage 2 in 5.3%. The KT-1000 showed no difference in gain in laxity: 31% for group 1 and 27% for group 2. Similarly, radiographically there was no difference with a 43.9% gain in differential laxity for the medial compartment and 45.3% for the lateral compartment in group 1. In group 2 the corresponding values were 51.9% and 41.8%. The position of the tunnels was the same in the two groups. DISCUSSION: In a preliminary study with two years follow-up, the results in these two series were not significantly different. It was concluded that there was not clear advantage to adding the extra-articular lateral plasty. At the present 7-year follow-up, pivoting appears to be better controlled in the lateral plasty group (p=0.23), but with no significant difference for laxity for both knee compartments. The inclusion criteria would be different today and would be based on the laxity of the lateral compartment.</t>
  </si>
  <si>
    <t>10.1016/s0035-1040(06)75947-5</t>
  </si>
  <si>
    <t>#533</t>
  </si>
  <si>
    <t>Giraud 2006</t>
  </si>
  <si>
    <t>Comparable Instrumented Knee Joint Laxity and Patient-Reported Outcomes After ACL Repair With Dynamic Intraligamentary Stabilization or ACL Reconstruction: 5-Year Results of a Randomized Controlled Trial.</t>
  </si>
  <si>
    <t>Glasbrenner J; Raschke MJ; Kittl C; Herbst E; Peez C; Briese T; Michel PA; Herbort M; KÃ¶sters C; Schliemann B</t>
  </si>
  <si>
    <t>BACKGROUND: Technical innovation has led to the renaissance of anterior cruciate ligament (ACL) repair in the past decade. PURPOSE/HYPOTHESIS: The present study aimed to compare instrumented knee joint laxity and patient-reported outcomes (PROs) after ACL repair with those after primary ACL reconstruction for acute isolated ACL tears. It was hypothesized that ACL repair would lead to comparable knee joint stability and PROs at 5 years postoperatively in comparison with ACL reconstruction. STUDY DESIGN: Randomized controlled trial; Level of evidence, 1. METHODS: A total of 85 patients with acute ACL tears were randomized to undergo either ACL repair using dynamic intraligamentary stabilization (DIS) or primary ACL reconstruction with a semitendinosus tendon autograft. The primary outcome was the side-to-side difference in anterior tibial translation (Î”ATT) assessed by Rolimeter testing at 5 years postoperatively. Follow-up examinations were performed at 1, 2, and 5 years. PROs were assessed using the Tegner activity scale, the International Knee Documentation Committee (IKDC) subjective score, and the Lysholm score. Furthermore, the rates of recurrent instability, other complications, and revision surgery were recorded. A power analysis was performed a priori, and the Friedman test, Mann-Whitney U test, and Bonferroni correction were applied for statistical comparisons with significance set at P &lt; .05. RESULTS: The mean age at inclusion was 28.3 Â± 11.5 years in the ACL repair group and 27.1 Â± 11.5 years in the ACL reconstruction group. At 5 years postoperatively, a total of 64 patients (ACL repair: n = 34 of 43 [79%]; ACL reconstruction: n = 30 of 42 [71%]) were available for follow-up. At 5 years, Î”ATT was 1.7 Â± 1.6 mm in the ACL repair group and 1.4 Â± 1.3 mm in the ACL reconstruction group (P = .334). Preinjury PROs were restored as soon as 1 year after surgery and plateaued until 2 and 5 years postoperatively in both groups. At the 5-year follow-up, the mean Lysholm score was 97.0 Â± 5.4 versus 94.5 Â± 5.5 (P = .322), respectively, and the mean IKDC subjective score was 94.1 Â± 9.9 versus 89.9 Â± 7.8 (P = .047), respectively, in the ACL repair group versus ACL reconstruction group. At 5 years postoperatively, 12 patients in the ACL repair group (35%; age &lt;25 years: n = 10/12; Tegner score â‰¥7: n = 10/12) had recurrent instability, of whom 10 underwent single-stage revision ACL reconstruction. In the ACL reconstruction group, there were 6 patients with recurrent instability (20%; age &lt;25 years: n = 6/6; Tegner score â‰¥7: n = 5/6); however, in 5 patients, staged revision was required. Differences between both groups regarding recurrent instability (P = .09) or ACL revision surgery (P = .118) were not statistically significant. Recurrent instability was associated with age &lt;25 years and Tegner score &gt;7 in both groups. CONCLUSION: At 5 years after ACL repair with DIS, instrumented knee joint laxity and PROs were comparable with those after ACL reconstruction. Although no significant difference was found between repair and reconstruction, a critical appraisal of the rates of recurrent instability (35% vs 20%, respectively) and revision surgery (38% vs 27%, respectively) is needed. Young age and a high preinjury activity level were the main risk factors for recurrent instability in both groups. However, single-stage revision ACL reconstruction was possible in each case in the ACL repair group. Although ACL reconstruction remains the gold standard in the treatment of ACL tears, the present study supports the use of ACL repair with DIS as a feasible option to treat acute ACL tears in patients aged â‰¥25 years with low to moderate activity levels (Tegner score &lt;7). REGISTRATION: DRKS00015466 (German Clinical Trials Register).</t>
  </si>
  <si>
    <t>10.1177/03635465221117777</t>
  </si>
  <si>
    <t>#122</t>
  </si>
  <si>
    <t>Glasbrenner 2022</t>
  </si>
  <si>
    <t>Hamstring anterior cruciate ligament reconstruction: is it necessary to sacrifice the gracilis?</t>
  </si>
  <si>
    <t>Gobbi A; Domzalski M; Pascual J; Zanazzo M</t>
  </si>
  <si>
    <t>PURPOSE: The purpose of this study was to determine if there was a difference in the clinical results of anterior cruciate ligament (ACL) reconstruction when using the semitendinosus tendon (ST) alone versus the semitendinosus and gracilis (STG) construct. TYPE OF STUDY: Prospective randomized study. METHODS: We prospectively followed up a group of 97 patients who underwent reconstruction with either an ST graft (50 patients) or STG graft (47 patients). The patients were evaluated according to standard knee scales (IKDC, Noyes, Lysholm, Tegner), self-evaluation score (SANE), clinical findings, computerized knee laxity analysis, and functional tests. Isokinetic flexion, extension, and internal rotation-external rotation testing were also performed. The results were subjected to statistical analysis. RESULTS: We did not find any significant difference between the 2 groups according to the standard knee scores; self-evaluation score; clinical findings; computerized knee laxity analysis; flexion, extension, and external rotation strengths; or functional tests. However, we did note that the internal rotation torque deficit was significantly higher in the STG group (P = .039). Likewise, the external-to-internal rotation ratio was significantly greater in the STG group (P = .006). CONCLUSIONS: Although there is not much clinical difference when using the ST alone versus the STG construct, internal rotation weakness following harvest of 2 tendons may need to be evaluated further. We suggest that, whenever possible, only 1 tendon should be used when performing anterior cruciate ligament reconstruction with hamstring tendons. LEVEL OF EVIDENCE: Level I, Randomized Controlled Study.</t>
  </si>
  <si>
    <t>10.1016/j.arthro.2004.10.016</t>
  </si>
  <si>
    <t>#567</t>
  </si>
  <si>
    <t>Gobbi 2005</t>
  </si>
  <si>
    <t>Factors affecting return to sports after anterior cruciate ligament reconstruction with patellar tendon and hamstring graft: a prospective clinical investigation.</t>
  </si>
  <si>
    <t>Gobbi A; Francisco R</t>
  </si>
  <si>
    <t>In athletes, anterior cruciate ligament (ACL) reconstruction is recommended after injury to restore the normal knee function and allow subsequent return to sport. Successful ACL reconstruction with patellar tendon (PT) and hamstring tendon (HT) grafts combined with a well-structured rehabilitation program could bring athletes back to their previous level of sport activities. We prospectively followed-up 100 athletes who underwent ACL reconstruction with either PT (n=50) or HT grafts (n=50). Evaluation was done pre-operatively and post-operatively (3, 6, 12, and 24 months) using International Knee Documentation Committee (IKDC), Lysholm, Noyes, and Tegner scales. Subjective assessment numeric evaluation (SANE), knee activity rating scale (Marx) and a psychological profile questionnaire (psychovitality) were also utilized. Objective evaluations included isokinetic tests and computerized knee motion analysis. Data gathered were statistically analyzed using the Mann-Whitney non-parametric U-test. Among the 100 patients who have undergone ACL reconstruction, 65% returned to the same level of sports, 24% changed sports and 11% ceased sport activities. No significant difference (P&gt;0.05) in outcome between PT and HT grafts were observed. No significant differences (P&gt;0.05) were noted between athletes who "returned" to their previous sport and those who "did not return" to sports at the same level when using the IKDC, Lysholm, Noyes, and Tegner knee evaluation scales. However, significant difference was observed with the knee scores obtained by those who returned and those who completely ceased participation in sport activities. Computerized laxity test revealed that 90% of these patients have less than 3 mm side-to-side difference with no significant difference between HT and PT groups. Patients who "returned to sports" obtained significantly better scores with the Marx scale (P=0.001) and the psychovitality questionnaire (P=0.001) than those who did not. Conventional knee scales including IKDC, Lysholm, Noyes, and Tegner remain as reliable means of evaluating outcome of ACL reconstruction. However, the data obtained from these are not sufficient to determine which among the patients who had knee reconstruction can successfully return to sport. The use of the Marx knee activity rating scale and the evaluation of the athletes' psychological profile are additional scales that can be useful in determining which among the patients treated have a better chance of returning to their pre-injury activity levels.</t>
  </si>
  <si>
    <t>10.1007/s00167-006-0050-9</t>
  </si>
  <si>
    <t>#552</t>
  </si>
  <si>
    <t>Single- versus double-bundle ACL reconstruction: is there any difference in stability and function at 3-year followup?</t>
  </si>
  <si>
    <t>Gobbi A; Mahajan V; Karnatzikos G; Nakamura N</t>
  </si>
  <si>
    <t>BACKGROUND: Despite a number of studies comparing postoperative stability and function after anatomic double-bundle and single-bundle anterior cruciate ligament reconstruction (ACLR), it remains unclear whether double-bundle reconstruction improves stability or function. QUESTIONS/PURPOSES: We therefore asked whether patients having single- and double-bundle ACLR using semitendinosus (ST) alone differed with regard to (1) postoperative stability; (2) ROM; and (3) five functional scores. METHODS: We prospectively followed 60 patients with an isolated anterior cruciate ligament (ACL) injury. Thirty patients underwent single-bundle and 30 patients underwent double-bundle ACL reconstruction. Clinically we assessed stability and range of motion (ROM); anteroposterior stability was assessed by Rolimeter and rotational stability by a pivot_shift test. Function was assessed by IKDC, Noyes, Lysholm, Marx, and Tegner activity scales. The minimum followup was 36 months (mean, 46.2 months; range, 36-60 months). RESULTS: Residual anteroposterior laxity at 3 years postoperatively was similar in both groups: 1.4 Â± 0.3 mm versus 1.4 Â± 0.2 mm, respectively. We observed no difference in the pivot_shift test. ROM was similar in both groups, although double-bundle patients required more physical therapy sessions to gain full ROM. IKDC, Noyes, Lysholm, Marx, and Tegner scores were similar at final followup. CONCLUSION: Double-bundle reconstruction of the ACL did not improve function or stability compared with single-bundle reconstruction. LEVEL OF EVIDENCE: Level II, therapeutic study. See Guidelines for Authors for a complete description of levels of evidence.</t>
  </si>
  <si>
    <t>10.1007/s11999-011-1940-9</t>
  </si>
  <si>
    <t>#431</t>
  </si>
  <si>
    <t>Gobbi 2012</t>
  </si>
  <si>
    <t>[Isolated intraarticular plasty of the semitendinosus or combined intra- and extra-articular plasty in chronic anterior laxity of the knee].</t>
  </si>
  <si>
    <t>Goertzen M; Schulitz KP</t>
  </si>
  <si>
    <t>MATERIAL AND METHODS: In a prospective study we examined 32 athletes with arthroscopic implantation of a double loop of semitendinosus tendon for intra-articular anterior cruciate ligament reconstruction combined with an iliotibial band tenodesis for extra-articular augmentation. They were compared to 26 athletes operated by isolated intra-articular semitendinosus reconstruction. RESULTS: The Lysholm-Score, clinical and radiological findings, KT-1000 stability values and isokinetic tests were evaluated monthly over a year. The data suggests that while both procedures under standardized rehabilitation conditions may obtain excellent functional results, adding the iliotibial band tenodesis to an intra-articular reconstruction significantly improves stability and muscular strength. Patients were able to resume all activities without a pivot_shift following combined intra- and extra-articular stabilization.</t>
  </si>
  <si>
    <t>#690</t>
  </si>
  <si>
    <t>Goertzen 1994</t>
  </si>
  <si>
    <t>Anterior cruciate ligament reconstruction using autologous double hamstrings: a comparison of standard versus minimal debridement techniques using MRI to assess revascularisation. A randomised prospective study with a one-year follow-up.</t>
  </si>
  <si>
    <t>Gohil S; Annear PO; Breidahl W</t>
  </si>
  <si>
    <t>Animal studies have shown that implanted anterior cruciate ligament (ACL) grafts initially undergo a process of revascularisation prior to remodelling, ultimately increasing mechanical strength. We investigated whether minimal debridement of the intercondylar notch and the residual stump of the ruptured ACL leads to earlier revascularisation in ACL reconstruction in humans. We undertook a randomised controlled clinical trial in which 49 patients underwent ACL reconstruction using autologous four-strand hamstring tendon grafts. Randomised by the use of sealed envelopes, 25 patients had a conventional clearance of the intercondylar notch and 24 had a minimal debridement method. Three patients were excluded from the study. All patients underwent MR scanning postoperatively at 2, 6 and 12 months, together with clinical assessment using a KT-1000 arthrometer and International Knee Documentation Committee (IKDC) evaluation. All observations were made by investigators blinded to the surgical technique. Signal intensity was measured in 4 mm diameter regions of interest along the ACL graft and the mid-substance of the posterior cruciate ligament. Our results indicate that minimal debridement leads to earlier revascularisation within the mid-substance of the ACL graft at two months (paired t-test, p = 0.002). There was a significant reduction of mid-substance signal six months after the minimal debridement technique (paired t-test, p = 0.00007). No statistically significant differences were found in tunnel placement, incidence of Cyclops lesions, blood loss, IKDC scores, range of movement or Lachman test between the two groups.</t>
  </si>
  <si>
    <t>10.1302/0301-620X.89B9.19339</t>
  </si>
  <si>
    <t>#521</t>
  </si>
  <si>
    <t>Gohil 2007</t>
  </si>
  <si>
    <t>[Clinico-histologic comparison of allogenic and autologous bone-tendon-bone using one-third of the patellar tendon in reconstruction of the anterior cruciate ligament].</t>
  </si>
  <si>
    <t>Gorschewsky O; Browa A; Vogel U; Stauffer E</t>
  </si>
  <si>
    <t>Reconstruction of the ruptured anterior cruciate ligament (ACL) using modern techniques achieves successful long-term results in up to 90% of all cases. Yet the discussion continues as to the suitable implant to replace the ACL in terms of donor morbidity, implant reaction, long-term results, and potenzial risk of carrier concerning the allograft. The clinical and histological results from 2 years experience with the BPTB allograft (Tutoplast) and the BPTB autograft for ACL reconstruction are compared with reference to stability, functionality, rerupture rate, and histological reaction of the remodelling process. A BTB patella tendon allograft was implanted into 132 patients and a BPTB autograft into 136 patients. The patients were randomly allocated to the two groups. The results were recorded by an independent researcher and assessed according to the IKDC and Lysholm score. In the allograft group, a total of 20 patients (2.6%) reruptured within an average period of 11.75 months. In the autograft group, the transplant reruptured in five patients (4.8%) after an average of 17 months. Histological reappraisal indicated delayed incorporation and extended reconstruction in the BPTB allograft. There were clearer and more protracted indications of hypercellularity and hypervascularity, and the collagen matrix had not regularly aligned longitudinally even 1 year later. A detailed analysis of the BPTB allograft group indicated that especially in young and very sporty patients there is increased elongation of the implant and a clearly higher rerupture rate. Hence, according to the data we have collected, it would seem that the use of the BPTB allograft (Tutoplast) is not suitable especially in young patients who frequently practice high-level sports involving high knee stress.</t>
  </si>
  <si>
    <t>10.1007/s00113-001-0405-0</t>
  </si>
  <si>
    <t>#609</t>
  </si>
  <si>
    <t>Gorschewsky 2002</t>
  </si>
  <si>
    <t>Comparison between two techniques for surgical repair of the acutely torn anterior cruciate ligament. A prospective, randomized follow-up study of 48 patients.</t>
  </si>
  <si>
    <t>GrÃ¸ntvedt T; Engebretsen L</t>
  </si>
  <si>
    <t>This prospective, randomized study was designed to evaluate the early outcome of ACL repair with biologic or synthetic augmentation. Forty-eight consecutive patients with an acute proximal rupture of the ACL were included. The repairs in 22 patients were augmented with the Kennedy Ligament Augmentation Device (LAD), while 26 patients received a repair augmented with an autologous bone-patellar tendon-bone graft. All patients followed a standard rehabilitation protocol. Follow-up evaluations at 1 and 2 years postoperatively were based on the Tegner activity level, Lysholm functional score, clinical instability tests and KT-1000 arthrometer measurements. There were no significant differences in activity level or functional score between the LAD and patellar tendon groups at the 2-year follow-up. Ten patients in the LAD group (46%) sustained reruptures of the ACL and LAD at the 2-year follow-up, while two patients in the patellar tendon group had a KT1000 side difference of 4 mm or more. However, none of the patients in the patellar tendon group had a positive pivot_shift. During the first postoperative year, 8 patients (31%) in the patellar tendon and 2 in the LAD group (9%) underwent arthroscopic debridement for correction of an extension deficit. These range of motion complications were probably related to the anterior placement of the tibial tunnel and the conservative rehabilitation protocol. Because of the unacceptable high incidence of reruptures in the LAD group, we concluded that the augmentation technique with the LAD is unacceptable.</t>
  </si>
  <si>
    <t>10.1111/j.1600-0838.1995.tb00059.x</t>
  </si>
  <si>
    <t>#674</t>
  </si>
  <si>
    <t>GrÃ¸ntvedt 1995</t>
  </si>
  <si>
    <t>Arthroscopic reconstruction of the anterior cruciate ligament using bone-patellar tendon-bone grafts with and without augmentation. A prospective randomised study.</t>
  </si>
  <si>
    <t>GrÃ¸ntvedt T; Engebretsen L; Bredland T</t>
  </si>
  <si>
    <t>In 100 consecutive patients with chronic deficiency of the anterior cruciate ligament we reconstructed the ligament using a bone-patellar tendon-bone autograft either with or without a Kennedy ligament augmentation device. The patients had an aggressive rehabilitation programme supervised by two physiotherapists. They were followed prospectively for at least two years by one surgeon, and assessed after six months and at one and two years. No significant functional or clinical difference was found between the two groups and the stability of the knees did not deteriorate with time in either group. The addition of a Kennedy ligament augmentation device gave no better results than the bone-patellar tendon-bone technique alone.</t>
  </si>
  <si>
    <t>#668</t>
  </si>
  <si>
    <t>GrÃ¸ntvedt 1996</t>
  </si>
  <si>
    <t>Comparison of home versus physical therapy-supervised rehabilitation programs after anterior cruciate ligament reconstruction: a randomized clinical trial.</t>
  </si>
  <si>
    <t>Grant JA; Mohtadi NG; Maitland ME; Zernicke RF</t>
  </si>
  <si>
    <t>BACKGROUND: Because of health care funding and policy changes, there is a need to examine the effects of an evolution toward patient-directed (ie, home-based) rehabilitation programs on clinical outcomes of patients undergoing anterior cruciate ligament reconstruction. HYPOTHESIS: There will be no difference in the effectiveness of a home-based rehabilitation program and a standard physical therapy-supervised rehabilitation program in patients 3 months after nonacute anterior cruciate ligament reconstruction with bone-patellar tendon-bone grafts. STUDY DESIGN: Randomized controlled clinical trial; Level of evidence, 1. METHODS: There were 145 patients (16-59 years) who attended a presurgery education class. Home-based patients attended 4 physical therapy sessions, and physical therapy-supervised patients attended 17 physical therapy sessions over the first 12 weeks after surgery. All patients followed the same standardized rehabilitation program. Study outcome measures included active-assisted knee flexion and passive knee extension range of motion, knee range of motion during walking, KT computerized arthrometer results, and isokinetic quadriceps and hamstrings strength. Patient outcomes were dichotomized as either clinically acceptable or unacceptable. Rehabilitation programs were compared by the proportion of acceptable patients in each group. RESULTS: The home-based group had a significantly higher percentage of patients with acceptable flexion and extension range of motion compared to the standard physical therapy group (flexion, 67% vs 47%; extension, 97% vs 83%). There were no significant differences between the groups in range of motion during walking, ligament laxity, and strength. CONCLUSION: A structured, minimally supervised rehabilitation program was more effective in achieving acceptable knee range of motion in the first 3 months after anterior cruciate ligament reconstruction than a standard physical therapy-based program. CLINICAL RELEVANCE: Recreational athletes undergoing nonacute anterior cruciate ligament reconstruction can successfully reach acceptable rehabilitation goals in the first 3 months after surgery with a limited number of purposeful physical therapy education sessions, allowing recreational athletes more flexibility when integrating the necessary postoperative rehabilitation into their daily activities.</t>
  </si>
  <si>
    <t>10.1177/0363546504273051</t>
  </si>
  <si>
    <t>#563</t>
  </si>
  <si>
    <t>Grant 2005</t>
  </si>
  <si>
    <t>Two- to 4-year follow-up to a comparison of home versus physical therapy-supervised rehabilitation programs after anterior cruciate ligament reconstruction.</t>
  </si>
  <si>
    <t>Grant JA; Mohtadi NG</t>
  </si>
  <si>
    <t>BACKGROUND: There have been no long-term follow-up studies comparing a predominantly home-based rehabilitation program with a standard physical therapy program after anterior cruciate ligament (ACL) reconstruction. Demonstrating the long-term success of such a cost-effective program would be beneficial to guide future rehabilitation practice. PURPOSE: To determine whether there were any differences in long-term outcome between recreational athletes who performed a physical therapy-supervised rehabilitation program and those who performed a primarily home-based rehabilitation program in the first 3 months after ACL reconstruction. STUDY DESIGN: Randomized clinical trial; Level of evidence, 1. METHODS: Patients were randomized before ACL reconstruction surgery to either the physical therapy-supervised (17 physical therapy sessions) or home-based (4 physical therapy sessions) program. Eighty-eight of the original 129 patients returned 2 to 4 years after surgery to assess their long-term clinical outcomes. Primary outcome was the ACL quality of life questionnaire (ACL QOL). Secondary outcomes were bilateral difference in knee extension and flexion range of motion, sagittal plane knee laxity, relative quadriceps and hamstring strength, and objective International Knee Documentation Committee score. Unpaired t tests and a chi-square test were used for the comparisons. RESULTS: The home-based group had a significantly higher mean ACL QOL score (80.0 +/- 16.2) than the physical therapy-supervised group (69.9 +/- 22.0) a mean of 38 months after surgery (P = .02, 95% confidence interval [CI]: 1.7, 18.4). The mean change in ACL QOL score from before surgery to follow-up was not significantly different between the groups (physical therapy = 40.0, home = 45.8, P = .26, 95% CI: -15.8, 4.4). There were no significant differences in the secondary outcome measures. CONCLUSION: This long-term study upholds the short-term findings of the original randomized clinical trial by demonstrating that patients who participate in a predominantly home-based rehabilitation program in the first 3 months after ACL reconstruction have similar 2- to 4-year outcomes compared with those patients who participate in a more clinically supervised program.</t>
  </si>
  <si>
    <t>10.1177/0363546509359763</t>
  </si>
  <si>
    <t>#454</t>
  </si>
  <si>
    <t>Grant 2010</t>
  </si>
  <si>
    <t>The effects of preconditioning with ischemic exercise on quadriceps femoris muscle atrophy following anterior cruciate ligament reconstruction: a quasi-randomized controlled trial.</t>
  </si>
  <si>
    <t>Grapar Zargi T; Drobnic M; Jkoder J; Strazar K; Kacin A</t>
  </si>
  <si>
    <t>BACKGROUND: The degree of quadriceps femoris muscle (QF) atrophy is recognized as one of the key factors of poor knee function and patient's outcome, despite successful reconstruction of anterior cruciate ligament (ACL). AIM: The study assessed whether muscle preconditioning with ischemic exercise can attenuate loss of QF volume, strength, and function after ACL reconstruction. DESIGN: Prospective, single-centre, quasi-randomized, controlled trial with sham intervention. SETTING: University Medical Centre and Laboratory of Physiotherapy Research. POPULATION: Patients with total ACL rupture elected for reconstructive surgery. METHODS: Twenty subjects undergoing ACL reconstruction performed 5 exercise sessions during the last 10 days before surgery. They were assigned into two groups performing either low-load ischemic knee-extension exercise (ISHEMIC group), or standard knee-extension exercise (SHAM group). QF volume, maximal voluntary isometric contraction torque and single-leg anterior reach distance were assessed prior to preconditioning and at 4 and 12 weeks postsurgery. RESULTS: There were no significant differences between the groups in any of the variables prior to, or after surgery. The deficit in QF vastii volume increased (P&lt;0.001) to 20Â±5 % in ISCHEMIC and 23Â±10 % in SHAM group at 4 weeks and persisted (P&lt;0.001) at 16Â±4 % in ISCHEMIC and 20Â±11 % in SHAM group at 12 weeks postsurgery. Deficit in QF maximal isometric torque persisted (P&lt;0.05) at 15Â±15 % in ISCHEMIC and 22Â±16 % in SHAM group at 12 weeks postsurgery. There were no significant differences in single-leg anterior reach distance between the groups at any time point. CONCLUSIONS: Short-term preconditioning with low-load ischemic exercise exhibited no different effect on QF muscle mass, isometric strength, or knee functional loss than comparable standard exercise in patients undergoing ACL reconstruction. CLINICAL REHABILITATION IMPACT: Preconditioning with ischemic exercise of five training sessions or shorter does not have any clinically important effect on preservation of quadriceps femoris muscle mass and function in patients after arthroscopic ACL reconstruction.</t>
  </si>
  <si>
    <t>#315</t>
  </si>
  <si>
    <t>GraparZargi 2016</t>
  </si>
  <si>
    <t>Objective laxity and subjective outcomes are more influenced by meniscal treatment than anterior cruciate ligament reconstruction technique at minimum2 years of follow-up.</t>
  </si>
  <si>
    <t>Grassi A; Di Paolo S; Dal Fabbro G; Eroglu ON; Macchiarola L; Lucidi GA; Zaffagnini S</t>
  </si>
  <si>
    <t>OBJECTIVE: The purposes of this study were: (1) to compare three different surgical techniques for anterior cruciate ligament (ACL) reconstruction at a minimum 2 years of follow-up in terms of objective laxity and patient-reported outcomes; (2) to inspect the role of meniscal tears and treatment alongside with ACL reconstruction. METHODS: 59 patients were randomly assigned to one of the three reconstruction groups according to the ACL reconstruction technique: Double Bundle, Single Bundle, Single Bundle with Lateral Plasty. Autologous hamstring tendons were used in all the ACL reconstructionÂ techniques. Objective laxity tests and KOOS were collected before surgery as a baseline and at a minimum of 2 years of follow-up and compared through a Repeated measure ANOVA. Secondary analysis to evaluate the effect of meniscal treatment on laxity reduction and scores improvement was also conducted using ANOVA. Three laxity evaluations were performed: anterior/posterior displacement at 30Â° of knee flexion (AP 30), anterior/posterior displacement at 90Â° of knee flexion (AP 90), and pivot-shift test. RESULTS: Objective laxity and KOOS showed statistically significant improvement at follow-up in all three groups (pÂ &lt;Â 0.0001) without differences among the techniques. A higher AP 30 (mean difference 2.4Â mm, pÂ =Â 0.0333, ESÂ =Â 0.66) was found at baseline for the patients with irreparable medial meniscal tear compared to the patients with isolated ACL tear; a statistically significant difference in pain score at two-year follow-up was found between patients who underwent lateral meniscectomy and patients with either meniscal repair (mean difference 6.9Â Â±Â 12.5) or isolated ACL tear (mean difference 6.8Â Â±Â 16.1); patients with reparable meniscal tear had a statistically significant pain score improvement compared to the patients who underwent medial and lateral meniscectomy (mean difference of 9.5Â Â±Â 14.53 and 23.4Â Â±Â 19.2 respectively). CONCLUSION: Comparable objective laxity and subjective outcomes were found among the three ACL reconstruction techniques at a minimum of 2 years of follow-up. The presence of irreparable medial meniscal tear increased pre-operative laxity (AP 30, mean difference 2.4Â Â±Â 3.6Â mm). Patients with meniscal repair presented higher pain relief between baseline and follow-up compared with patients undergoing medial or lateral meniscectomy (mean difference of 9.5Â Â±Â 14.53 and 23.4Â Â±Â 19.2, respectively).</t>
  </si>
  <si>
    <t>10.1016/j.jisako.2022.04.006</t>
  </si>
  <si>
    <t>#118</t>
  </si>
  <si>
    <t>Grassi 2022</t>
  </si>
  <si>
    <t>A Randomized Clinical Trial to Assess the Clinical Effectiveness of a Measured Objective Tensioning Device in Hamstring Anterior Cruciate Ligament Reconstruction.</t>
  </si>
  <si>
    <t>Grunau PD; Arneja S; Leith JM</t>
  </si>
  <si>
    <t>BACKGROUND: Soft tissue grafts are commonly used in surgical reconstruction of the anterior cruciate ligament (ACL). Applying the appropriate tension to the final graft reconstruction has traditionally been performed by the surgeon and is based on the surgeon's experience and perception of applied tension. Problems with manual application of tension to the ACL reconstruction include under- or overtightening the reconstruction, inconsistent tension application among subjects, and variable load application to each strand. PURPOSE: To assess whether measured tensioning of hamstring ACL grafts during fixation improves clinical outcome or knee laxity postoperatively when compared with conventional tensioning maneuvers. STUDY DESIGN: Randomized controlled trial; Level of evidence, 1. METHODS: This was a prospective randomized controlled trial of consecutive primary ACL patients. The device group included patients in whom a measured tensioning device was used for graft tensioning (80 N), and the physician group did not use a tensioning device. The primary outcome was KT-1000 arthrometer side-to-side laxity differences between knees at 6, 12, and 18 months postoperatively. Secondary outcomes included the International Knee Documentation Committee (IKDC) Subjective Knee Evaluation Form and Anterior Cruciate Ligament Quality of Life Questionnaire (ACL-QoL) at those intervals. Chi-square and t tests were used for analysis. The study had 90% power to detect a difference of 2 mm between groups. RESULTS: A sample of 127 patients was randomized. Of those, 14 did not have follow-up data and were excluded from this analysis, resulting in a final sample of 113 (55 patients in the device group and 58 in the physician group). No significant differences were found in baseline demographics or comorbidities. There were no significant differences between the groups (physician vs device) at baseline and at 6, 12, and 18 months in side-to-side laxity (4.6 vs 4.7 mm, 1.6 vs 1.3 mm, 1.5 vs 1.3 mm, and 1.1 vs 1.0 mm, respectively), IKDC score (58.2 vs 56.4, 72.0 vs 67.9, 79.9 vs 76.0, and 81.3 vs 78.5, respectively), or ACL-QoL score (998.2 vs 901.2, 1846.4 vs 1647.5, 2150.4 vs 2268.3, and 2436.9 vs 2231.8, respectively). CONCLUSION: Measured tensioning of hamstring ACL grafts during fixation does not improve clinical outcome or knee laxity postoperatively when compared with conventional tensioning maneuvers.</t>
  </si>
  <si>
    <t>10.1177/0363546516634021</t>
  </si>
  <si>
    <t>#309</t>
  </si>
  <si>
    <t>Grunau 2016</t>
  </si>
  <si>
    <t>Prospective and Randomized Clinical Evaluation of Hamstring Versus Patellar Tendon Autograft for Anterior Cruciate Ligament Reconstruction in Soccer Players.</t>
  </si>
  <si>
    <t>Guglielmetti LGB; Salas VER; Jorge PB; Severino FR; Duarte A; de Oliveira VM; Cury RPL</t>
  </si>
  <si>
    <t>BACKGROUND: Anterior cruciate ligament (ACL) reconstruction is usually performed with autologous bone-patellar tendon-bone (PT) or hamstring tendon (HT) graft. There has been only 1 randomized clinical trial examining ACL reconstruction with these grafts specifically in soccer players, and more studies comparing these graft types within a homogenous cohort such as soccer athletes may better highlight differences in outcomes. PURPOSE: To compare the results of ACL reconstruction with PT versus HT autograft in soccer players and to evaluate objective and subjective outcomes. STUDY DESIGN: Randomized controlled trial; Level of evidence, 1. METHODS: A total of 62 professional or semiprofessional soccer players (mean age, 25.1 years) with ACL injury were randomized to undergo reconstruction with PT or HT autograft by a single orthopaedic surgeon (n = 31 in each group). Outcome measures were recorded preoperatively and at 2 years postoperatively. The primary outcome was the modified Cincinnati Knee Rating System, and secondary outcomes were the objective and subjective International Knee Documentation Committee scores, Lachman test, pivot-shift test, anterior drawer test, and Lysholm score. The following variables were also evaluated postoperatively: return to soccer, level at return, graft rerupture, postoperative complications, anterior knee pain, patellar tendinitis, difficulty sprinting, and loss of kicking power. RESULTS: The PT and HT groups were homogenous in terms of age, sex distribution, injured side, and time from injury to surgery, and there was no difference between them on any preoperative outcome score. At 2 years postoperatively, there were no differences between the groups on any outcome score; however, there were significantly fewer patients with anterior knee pain in the HT group compared with the PT group (7 [22.6%] vs 15 [48.4%], respectively; P = .03). Two patients from each group (2/31; 6.5%) sustained rerupture. CONCLUSION: There were no differences between soccer players who underwent different types of ACL reconstruction with the exception of anterior knee pain, which was more frequent in players who underwent reconstruction with PT graft.Registration: NCT02642692 (ClinicalTrials.gov).</t>
  </si>
  <si>
    <t>#149</t>
  </si>
  <si>
    <t>Comparison of analgesic effects of intra-articular tenoxicam and morphine in anterior cruciate ligament reconstruction.</t>
  </si>
  <si>
    <t>Guler G; Karaoglu S; Velibasoglu H; Ramazanogullari N; Boyaci A</t>
  </si>
  <si>
    <t>This study compared the analgesic effect of intra-articular injection of tenoxicam with that of morphine on postoperative pain after anterior cruciate ligament (ACL) reconstruction. Forty-two patients undergoing arthroscopically ACL reconstructions using hamstring tendons underwent the same anesthetic protocol. The patients were randomized to receive 25 ml normal saline, 20 mg tenoxicam in 25 ml normal saline, or 2 mg morphine in 25 ml normal saline. Postoperative pain was assessed using a visual analogue scale and measuring analgesic requirements. We found both that both intra-articular tenoxicam and intra-articular morphine provided better analgesia than that in the control group. Although pain scores were similar between tenoxicam and morphine groups 30 min postoperative, the analgesic requirements in with tenoxicam were significantly lower than those with morphine group 3-6 h postoperatively.</t>
  </si>
  <si>
    <t>10.1007/s00167-002-0286-y</t>
  </si>
  <si>
    <t>#611</t>
  </si>
  <si>
    <t>Guler 2002</t>
  </si>
  <si>
    <t>Immediate post-operative pain in anterior cruciate ligament reconstruction surgery with bone patellar tendon bone graft versus hamstring graft.</t>
  </si>
  <si>
    <t>Gupta R; Kapoor D; Kapoor L; Malhotra A; Masih GD; Kapoor A; Joshi S</t>
  </si>
  <si>
    <t>BACKGROUND: Pain in the immediate post-operative period after anterior cruciate ligament (ACL) surgery, apart from an unpleasant experience for the patient, can act as a barrier for static quadriceps contractions and optimum execution of the initial rehabilitation protocol resulting in slow recovery and a later return to full function for a sportsperson. There is no report in the literature comparing pain in the immediate post-operative period after using the two most widely used autografts, bone patellar tendon bone (BPTB) graft and hamstring graft. METHODS: The present study compared the visual analogue scale (VAS) pain score in the immediate post-operative period after arthroscopic ACL reconstruction with the BPTB and hamstring autografts. Both groups consisted of 50 patients each. The mean age of the BPTB and hamstring cohorts was 26.9â€‰Â±â€‰7.3Â years (age range 18-59Â years) and 26.7â€‰Â±â€‰9.0Â years (age range 17-52Â years), respectively. Unpaired t test was applied to compare pain scores between the BPTB and hamstring cohorts. RESULTS: In the present study, patients in the BPTB cohort showed higher mean pain scores across all the post-operative time intervals except at 6Â h. However, the difference in the mean VAS pain score at post-operative 6, 12,18, 24, 36 and 48Â h in the two groups was statistically not significant (p value of 1, 0.665, 0.798, 0.377, 0.651 and 0.215 at 6, 12, 18, 24, 36 and 48Â h, respectively). CONCLUSIONS: Our study concludes that the arthroscopic ACL reconstruction with BPTB autograft and hamstring autograft is associated with similar pain in the immediate post-operative period. As a result, aggressive physiotherapy regime is not affected by the type of graft being used for ACL reconstruction, as the pain scores in the immediate post-operative period are similar for both techniques. TRIAL REGISTRATION: Clinical Trials Registry-India, CTRI/2016/01/006502.</t>
  </si>
  <si>
    <t>10.1186/s13018-016-0399-5</t>
  </si>
  <si>
    <t>#302</t>
  </si>
  <si>
    <t>Gupta 2016</t>
  </si>
  <si>
    <t>Outcome of Hamstring Autograft With Preserved Insertions Compared With Free Hamstring Autograft in Anterior Cruciate Ligament Surgery at 2-Year Follow-up.</t>
  </si>
  <si>
    <t>Gupta R; Bahadur R; Malhotra A; Masih GD; Sood M; Gupta P; Mathur VK</t>
  </si>
  <si>
    <t>PURPOSE: To compare mechanical stability, functional outcome, and level of return to sports activity in patients undergoing anterior cruciate ligament (ACL) reconstruction with a free hamstring graft versus a graft with preserved insertions at 2-year follow-up. METHODS: This study was a prospective, single-blind (the evaluator was blinded), randomized trial of 110 adult professional athletes who were randomly allocated into 2 groups. Group 1 consisted of 55 patients who underwent ACL reconstruction with hamstring tendon autograft with preserved insertions (technique 1), and group 2 consisted of 55 patients who underwent ACL reconstruction with free hamstring tendon autograft (technique 2). An anteromedial portal was used for drilling of the femoral tunnel in all cases. Patients were assessed for a minimum follow-up of 2Â years with clinical tests, the Activities of Daily Living Function Scale and Sports Function Scale (Cincinnati knee score), knee arthrometer (KT-1000) testing, and the Tegner activity scale. RESULTS: The average age of the patients was 27.0 Â± 7.5Â years in group 1 and 27.2 Â± 5.7Â years in group 2. At 24Â months, the mean side-to-side difference by KT-1000 testing was 1.4 in group 1 and 2.2 in group 2 (P &lt; .0001); the mean Cincinnati knee score (Activities of Daily Living Function Scale and Sports Function Scale) was 418.5 (median, 420; range, 400-420) and 406.8 (median, 420; range, 350-420), respectively (P &lt; .0001); and the mean difference between the preinjury and postsurgery Tegner level of sports activity was 0.3 and 1.08, respectively (PÂ = .027). CONCLUSIONS: Although ACL reconstruction using hamstring autograft with preserved insertions resulted in statistically superior anterior stability, a better functional outcome, and a closer return to the preinjury level of sports activity as compared with free autograft, no clinically significant difference was proved. LEVEL OF EVIDENCE: Level I, randomized controlled trial.</t>
  </si>
  <si>
    <t>10.1016/j.arthro.2017.06.040</t>
  </si>
  <si>
    <t>#264</t>
  </si>
  <si>
    <t>Gupta 2017</t>
  </si>
  <si>
    <t>Absorption of dexamethasone sodium phosphate in human connective tissue using iontophoresis.</t>
  </si>
  <si>
    <t>Gurney AB; Wascher DC</t>
  </si>
  <si>
    <t>BACKGROUND: Iontophoresis ostensibly facilitates the delivery of medications through the skin to underlying tissues using a direct electrical current. Dexamethasone is the most commonly used medication with iontophoresis to treat a variety of connective tissue disorders. HYPOTHESIS: Iontophoresis will facilitate the absorption of dexamethasone into connective tissue compared with diffusion. STUDY DESIGN: Controlled laboratory study. METHODS: Twenty-nine adults undergoing anterior cruciate ligament reconstructive surgery using the semitendinosus/gracilis autograft were randomly assigned to either a true iontophoresis (TI) or sham iontophoresis (SI). In the TI group, a 40-mA/min dose of iontophoresis using a 0.4% (4 mg/mL) solution of dexamethasone was used targeting the semitendinosus tendon just before surgery. The SI group underwent the same treatment, but the machine was not turned on. Tissue was extracted within 4 hours of treatment and analyzed for dexamethasone. In addition, 2 control samples were sent to the laboratory for analysis. RESULTS: There was a statistically significant difference in dexamethasone concentrations between the groups (P = .0216). Of the 16 samples in the TI group, 8 had measurable amounts of dexamethasone, with an average concentration of 2.906 ng/g of tendon tissue. In the SI group, 1 of the 13 samples had measurable amounts of dexamethasone with an average concentration of 0.205 ng/g of tendon tissue. The control samples contained no dexamethasone. CONCLUSION: Iontophoresis facilitates the transmission of dexamethasone to connective tissues in humans. CLINICAL RELEVANCE: Iontophoresis can deliver dexamethasone to connective tissues in humans.</t>
  </si>
  <si>
    <t>10.1177/0363546507311597</t>
  </si>
  <si>
    <t>#515</t>
  </si>
  <si>
    <t>Gurney 2008</t>
  </si>
  <si>
    <t>Cylinder or mobile cast brace after knee ligament surgery. A clinical analysis and morphologic and enzymatic studies of changes in the quadriceps muscle.</t>
  </si>
  <si>
    <t>HÃ¤ggmark T; Eriksson E</t>
  </si>
  <si>
    <t>Sixteen patients participated in a prospective randomized trial in which a standard cylinder cast was compared with a mobile cast brace. Both were worn for 4 weeks, beginning at 1 week after reconstruction of the anterior cruciate ligament. The athletes that had used a cast brace could return to sports activities in about one-half the time it took for the athletes with a standard cast. The patients with a standard cast showed a significant atrophy of Type I (slow twitch) muscle fibers in the vastus lateralis. The cast brace patients did not show any significant changes in cross-sectional areas of Type I or Type II (fast twitch) muscle fibers. The standard cast patients had a significant reduction of succinate dehydrogenase (SDH) activity in the vastus lateralis whereas the patients with the cast brace did not show any significant changes. No difference in surgical end result was found. A cast brace with a limited range of motion between 20 and 60 degrees of flexion is recommended as the standard postoperative treatment after knee ligament surgery.</t>
  </si>
  <si>
    <t>10.1177/036354657900700111</t>
  </si>
  <si>
    <t>#707</t>
  </si>
  <si>
    <t>HÃ¤ggmark 1979</t>
  </si>
  <si>
    <t>Local and intra-articular infiltration of bupivacaine before surgery: effect on postoperative pain after anterior cruciate ligament reconstruction.</t>
  </si>
  <si>
    <t>HÃ¶her J; Kersten D; Bouillon B; Neugebauer E; Tiling T</t>
  </si>
  <si>
    <t>In a double-blind, randomized trial, 40 patients undergoing open anterior cruciate ligament (ACL) reconstruction using a bone-patellar tendon-bone autograft were randomly allocated to two groups: group A (n = 20) received an intra-articular instillation of 20 mL bupivacaine (0.25%) and a local infiltration of 20 mL bupivacaine (0.5%) 15 minutes before surgery. Group B (n = 20) received an injection of saline solution in the same manner. Patient-controlled on-demand analgesia (PCA) with intravenous piritramid was used for postoperative pain control. A significant decrease in pain scores on a visual analog scale (VAS scale, 0 to 10) was found in the bupivacaine group (group A) at bedrest on the day of surgery only (pain score, 5.5 v 7.3 (scale, 0 to 10), P &lt; .05). At all other times, no significant differences were found. The overall supplemental opioid requirements were not different between the study groups (63.9 v 62.6 mg piritramid/72 hours). A long-lasting, clinically relevant, pain-reducing effect with infiltration of bupivacaine before surgery could not be shown with this study.</t>
  </si>
  <si>
    <t>10.1016/s0749-8063(97)90156-0</t>
  </si>
  <si>
    <t>#660</t>
  </si>
  <si>
    <t>HÃ¶her 1997</t>
  </si>
  <si>
    <t>[Transplant fixation by anterior cruciate ligament reconstruction. Metal vs. bioabsorbable polyglyconate interference screw. A prospective randomized study of 40 patients].</t>
  </si>
  <si>
    <t>Hackl W; Fink C; Benedetto KP; Hoser C</t>
  </si>
  <si>
    <t>To overcome some of the potential problems (e.g. hardware removal during revision surgery) of metal interference screws used for patellar tendon anterior cruciate ligament reconstruction, bioabsorbable screws have recently been introduced. Forty patients who underwent endoscopic ACL reconstruction using patella tendon autograft were included in the study, they were randomized intraoperatively to either Group A (femoral bone block fixation: polyglyconate screw; tibial: metal screw) or Group B (both bone blocks fixed with metal interference screws). The patients were evaluated clinically preoperatively as well as 6 weeks, 3 months 12 months and 24 months post op. Lysholm Score at 24 months was 98.1 +/- 2.3 for Group A and 97.7 +/- 3.0 for Group B. Tegner Score was 7.4 +/- 1.1 for Group A and 7.5 +/- 0.8 for Group B. Two years post op overall IKDC-Score for group A was 5.6% normal, 88.8% nearly normal and 5.6% abnormal. The result for group B was 11.1%, 77.8% and 11.1%, respectively. KT-1000 (at 89 N) at two years revealed a side to side difference of 1.5 +/- 0.3 mm (Group A) and 1.6 +/- 0.7 (Group B). The results of the two groups did not show significant differences at any stage of follow up. In our study polyglyconate interference screw fixation for patellar tendon grafts has not found to be associated with increased clinical complications. It provided equivalent fixation and clinical results compared to metal screws.</t>
  </si>
  <si>
    <t>10.1007/s001130050567</t>
  </si>
  <si>
    <t>#640</t>
  </si>
  <si>
    <t>Hackl 2000</t>
  </si>
  <si>
    <t>Operative and nonoperative treatments of medial collateral ligament rupture with early anterior cruciate ligament reconstruction: a prospective randomized study.</t>
  </si>
  <si>
    <t>Halinen J; Lindahl J; Hirvensalo E; Santavirta S</t>
  </si>
  <si>
    <t>BACKGROUND: The apparent consensus is that solitary medial collateral ligament rupture can be treated nonoperatively, but treatment of severe combined ruptures of the medial collateral ligament and anterior cruciate ligament remains controversial. HYPOTHESES: Nonoperative and early operative treatments of grade III medial collateral ligament rupture lead to similar results when the anterior cruciate ligament is reconstructed in the early phase. STUDY DESIGN: Randomized controlled clinical trial; Level of evidence, 1. METHODS: Forty-seven consecutive patients with combined anterior cruciate ligament and grade III medial collateral ligament injuries were randomized into 2 groups. The medial collateral ligament injury was treated operatively in group 1 (n = 23) and non-operatively in group 2 (n = 24). In both groups, the anterior cruciate ligament injury was treated with early reconstruction, using bone-patellar tendon-bone graft and interference screw. Two years postoperatively, knee stability was measured with a KT-1000 arthrometer and Telos valgus radiography and knee extension strength with a Biodex dynamometer and a 1-legged hop test. An International Knee Documentation Committee evaluation form and Lysholm score were completed. RESULTS: All 47 patients were available for clinical evaluation for a mean of 27 months (range, 20-37 months) after surgery. There were no statistically significant differences between the 2 groups with respect to subjective function of the knee, postoperative stability, range of motion, muscle power, return to activities, Lysholm score, and overall International Knee Documentation Committee evaluation. The subjective outcome and Lysholm score were good and anteroposterior knee stability excellent in both groups. CONCLUSION: Nonoperative and operative treatments of medial collateral ligament injuries lead to equally good results. Medial collateral ligament ruptures need not be treated operatively when the anterior cruciate ligament is reconstructed in the early phase.</t>
  </si>
  <si>
    <t>10.1177/0363546505284889</t>
  </si>
  <si>
    <t>#555</t>
  </si>
  <si>
    <t>Halinen 2006</t>
  </si>
  <si>
    <t>Range of motion and quadriceps muscle power after early surgical treatment of acute combined anterior cruciate and grade-III medial collateral ligament injuries. A prospective randomized study.</t>
  </si>
  <si>
    <t>Halinen J; Lindahl J; Hirvensalo E</t>
  </si>
  <si>
    <t>BACKGROUND: Early operative treatment of combined anterior cruciate and medial collateral ligament injuries has frequently led to motion complications and slow quadriceps muscle power gains. The purpose of the present study was to evaluate the effect of early repair or nonoperative treatment of a concomitant medial collateral ligament injury on range of motion of the knee and quadriceps muscle strength in patients with combined injuries. METHODS: Forty-seven consecutive patients with combined anterior cruciate and grade-III medial collateral ligament injuries were randomized into two groups. The medial collateral ligament was repaired in Group I (n = 23) and was treated nonoperatively in Group II (n = 24). In both groups, the torn anterior cruciate ligament was treated with early reconstruction. The patients were evaluated on the basis of sequential range-of-motion measurements, the one-leg-hop test, and isokinetic muscle power measurements at the time of follow-up, and the findings were compared between the two treatment groups. RESULTS: All patients achieved full knee extension. At all follow-up intervals the flexion deficit was greater in the group that had been managed with surgical repair of both ligaments, but the difference was significant only at six weeks (100 degrees compared with 112 degrees; p = 0.009), twelve weeks (119 degrees compared with 128 degrees; p = 0.043), and thirty-six weeks (130 degrees compared with 136 degrees; p = 0.011) after the operation. The difference between the groups was not significant at fifty-two weeks (132 degrees compared with 137 degrees) or 104 weeks (134 degrees compared with 137 degrees). The quadriceps muscle power deficit at fifty-two weeks was 30.7% in the group that had been managed with combined repair and 20.5% in the group that had been managed with anterior cruciate ligament reconstruction only (p = 0.015). At 104 weeks, the deficits were 14.4% and 9.7%, respectively (p = 0.2). CONCLUSIONS: Early operative treatment of combined anterior cruciate and medial collateral ligament injuries is possible without increased long-term mobilization complications. The rehabilitation period is long, and aggressive physiotherapy is recommended. However, nonoperative treatment of the torn medial collateral ligament allows faster restoration of flexion and quadriceps muscle power. Our results favor nonoperative treatment of the torn medial collateral ligament in patients with combined injuries.</t>
  </si>
  <si>
    <t>10.2106/JBJS.G.01571</t>
  </si>
  <si>
    <t>#476</t>
  </si>
  <si>
    <t>Halinen 2009</t>
  </si>
  <si>
    <t>Multilayer low-stretch bandage combined with conventional rehabilitation to promote functional recovery after knee surgery: study protocol for a prospective, single-blind, randomised controlled trial.</t>
  </si>
  <si>
    <t>Han X; Cao W; Jin W; Hu K; Xu R; Sun C</t>
  </si>
  <si>
    <t>INTRODUCTION: Patients undergoing anterior cruciate ligament reconstruction (ACLR) and patellar fracture frequently present with substantial pain, swelling and inflammation. These pathophysiological changes not only intensify postoperative pain but also compromise the intra-articular environment via mechanical compression and localised microcirculatory deficits, thereby impeding recovery. Conventional interventions for postoperative swelling, such as cryotherapy and physical agent modalities, are commonly applied yet exhibit limited efficacy. Multilayer low-stretch bandage (MLB), with its gradient compression properties, has recently demonstrated superior swelling control and functional restoration; however, existing research primarily assesses short-term outcomes and lacks a systematic analysis across the postoperative continuum-acute, subacute and chronic phases-as well as long-term follow-up. This study therefore employs a multi-temporal intervention design and extended follow-up to evaluate the effectiveness of MLB in managing swelling, modulating pain and enhancing long-term knee function and activities of daily living across different recovery stages. The findings aim to furnish high-level evidence for knee rehabilitation protocols, refine clinical practice and ultimately improve patient quality of life. METHODS AND ANALYSIS: This prospective, single-blind, randomised controlled trial will enrol 36 patients following ACLR and patellar fracture. Participants will be allocated at a 1:1 ratio through computerised randomisation to either an experimental group receiving MLB plus conventional rehabilitation, or a control group receiving conventional rehabilitation alone. The study spans 12 weeks, with follow-up assessments scheduled at baseline (T0), 4 weeks (T1), 8 weeks (T2) and 12 weeks (T3). Outcome measures comprise the Hospital for Special Surgery (HSS) Knee Rating Score, affected limb oedema regression rate, Visual Analogue Scale (VAS) pain score, knee range of motion, quadriceps and hamstring muscle strength, centre of pressure (COP) displacement parameters, proprioceptive testing, the 36-Item Short Form Health Survey (SF-36) and the Holden Walking Function Classification. A subsequent 1-year follow-up will assess long-term efficacy and patient satisfaction, while adverse events are strictly monitored throughout the entire study period. Adherence to Consolidated Standards of Reporting Trials guidelines is maintained, and a single-blind design ensures that both participants and assessors remain unaware of group assignments. This trial aims to establish an evidence-based foundation for optimising postoperative rehabilitation in this patient population. ETHICS AND DISSEMINATION: Ethical approval for the study was obtained from the Medical Ethics Committee of Nanjing Drum Tower Hospital, the Affiliated Hospital of Nanjing University Medical School (2025-0141-01). The results of the study will be published in a peer-reviewed medical journal. TRIAL REGISTRATION NUMBER: ClinicalTrials.gov chiCTR2500100566. Registration date is 10 April 2025.</t>
  </si>
  <si>
    <t>10.1136/bmjopen-2025-107906</t>
  </si>
  <si>
    <t>#31</t>
  </si>
  <si>
    <t>Han 2025</t>
  </si>
  <si>
    <t>Autograft contamination during preparation for anterior cruciate ligament reconstruction.</t>
  </si>
  <si>
    <t>Hantes ME; Basdekis GK; Varitimidis SE; Giotikas D; Petinaki E; Malizos KN</t>
  </si>
  <si>
    <t>BACKGROUND: The autograft preparation process for anterior cruciate ligament reconstruction has a potential for graft contamination. The purpose of this study was to evaluate the possibility of contamination of the bone-patellar tendon-bone and hamstring tendon autograft during preparation for anterior cruciate ligament reconstruction. METHODS: A primary isolated reconstruction of the anterior cruciate ligament with use of bone-patellar tendon-bone autograft (thirty patients) and hamstring tendon autograft (thirty patients) was performed in a prospective, consecutive series of patients. Three tissue samples were obtained for culture from each graft at different time-intervals during the graft preparation. In addition, the erythrocyte sedimentation rate and the C-reactive protein level were evaluated preoperatively and on the third, seventh, and twentieth postoperative days, and the clinical course of all patients was monitored. RESULTS: The time needed for graft preparation was significantly longer for hamstring autografts (nineteen minutes) than for bone-patellar tendon-bone autografts (ten minutes) (p = 0.032). In the hamstring group, cultures of graft tissue from four patients (13%) were positive for bacteria. In the bone-patellar tendon-bone group, cultures of graft tissue from three patients (10%) were positive for bacteria; the difference between groups was not significant (p = 0.923). No patient had development of a postoperative infection. There were no differences between patients with a contaminated graft and those with an uncontaminated graft with regard to postoperative changes in the erythrocyte sedimentation rate or the C-reactive protein level at all time-intervals. CONCLUSIONS: A high rate (12%) of autograft contamination can be expected during autograft preparation for anterior cruciate ligament reconstruction. The contamination rate is almost equal for both bone-patellar tendon-bone and hamstring tendon autografts. We could not identify an association between contaminated grafts implanted in the knee and postoperative inflammatory markers such as the erythrocyte sedimentation rate and the C-reactive protein level.</t>
  </si>
  <si>
    <t>10.2106/JBJS.G.00806</t>
  </si>
  <si>
    <t>#507</t>
  </si>
  <si>
    <t>Hantes 2008</t>
  </si>
  <si>
    <t>Cross-pin femoral fixation versus metal interference screw fixation in anterior cruciate ligament reconstruction with hamstring tendons: results of a controlled prospective randomized study with 2-year follow-up.</t>
  </si>
  <si>
    <t>Harilainen A; Sandelin J; Jansson KA</t>
  </si>
  <si>
    <t>PURPOSE: To determine if there is a different clinical outcome after cross-pin versus interference screw fixation in anterior cruciate ligament (ACL) reconstruction with hamstring tendons. TYPE OF STUDY: Prospective randomized clinical follow-up study. METHODS: Sixty-two patients were randomized into either TransFix cross-pin (Arthrex, Naples, FL) (TransFix group, n = 31) or metal interference screw femoral fixation (screw group, n = 31) in ACL reconstruction with hamstring tendons. The distal fixations were an AO screw with spiked washer post and metal interference screw. The evaluation methods were clinical examination, CA 4000 laxity (OSI, Hayward, CA), and Lido isokinetic muscle torque measurements (Lido MultiJoint II; Loredon, West Sacramento, CA) as well as International Knee Documentation Committee (IKDC), Tegner activity level, Lysholm knee, and Kujala patellofemoral scores. RESULTS: There were no differences between the study groups preoperatively. For the 2-year follow-up, 26 patients of the TransFix group and 30 patients of the screw group were available (90%). The evaluation methods disclosed no statistical differences between the groups at the 1- or 2-year follow-up examinations. At the 2-year follow-up, 22 (85%) of the TransFix and 22 (73%) of the screw group patients were in the IKDC A or B categories. There were significantly more additional procedures postoperatively in the TransFix group owing to the removal of the tibial fixation post hardware in 15 (48%) cases. CONCLUSIONS: There were no statistically or clinically relevant differences in the results 1 or 2 years postoperatively and both techniques seemed to improve patients' performance. LEVEL OF EVIDENCE: Level I.</t>
  </si>
  <si>
    <t>10.1016/j.arthro.2004.09.013</t>
  </si>
  <si>
    <t>#574</t>
  </si>
  <si>
    <t>Harilainen 2005</t>
  </si>
  <si>
    <t>Post-operative use of knee brace in bone-tendon-bone patellar tendon anterior cruciate ligament reconstruction: 5-year follow-up results of a randomized prospective study.</t>
  </si>
  <si>
    <t>Harilainen A; Sandelin J</t>
  </si>
  <si>
    <t>Sixty patients were prospectively randomized to brace and no-brace groups after bone-tendon-bone patellar tendon anterior cruciate ligament (ACL) reconstruction. The brace group wore a rehabilitation knee brace for 12 weeks post-operatively, while the no-brace group was mobilized immediately, and crutches were discarded 2 weeks post-operatively. The groups were comparable with respect to age, gender, time from injury to surgery and concomitant injuries. There were no differences either pre-operatively or 5 years post-operatively (80% of patients reviewed) between the groups in terms of the knee score (Lysholm), activity level (Tegner), degree of laxity or isokinetic peak muscle torque. Thus it appears that knee braces are not needed in the post-operative rehabilitation after ACL reconstruction with the patellar tendon graft.</t>
  </si>
  <si>
    <t>10.1111/j.1600-0838.2004.00435.x</t>
  </si>
  <si>
    <t>#556</t>
  </si>
  <si>
    <t>Randomized prospective study of ACL reconstruction with interference screw fixation in patellar tendon autografts versus femoral metal plate suspension and tibial post fixation in hamstring tendon autografts: 5-year clinical and radiological follow-up res</t>
  </si>
  <si>
    <t>Harilainen A; Linko E; Sandelin J</t>
  </si>
  <si>
    <t>Patellar tendon graft has been the most frequently used material in anterior cruciate ligament (ACL) reconstruction, but the hamstring tendons have been increasingly used as well; however, which graft is to be preferred is not adequately supported by existing clinical studies. In this prospective randomized clinical trial, the study hypothesis was that the hamstring tendons are equally good graft material as the patellar tendon in ACL reconstruction. Ninety-nine patients with laxity due to a torn ACL underwent arthroscopically assisted reconstruction with graft randomization according to their birth year to either patellar tendon with metal interference screw fixation or double looped semitendinosus and gracilis tendons with fixation similar to the Endobutton technique using a titanium metal plate suspension proximally and screw-washer postdistally. Excluding preoperative Lysholm knee score, there were no significant differences between the two groups in the preoperative and operative data. A standard rehabilitation regimen was used for all the patients, including immediate postoperative mobilization without a knee brace, protected weight bearing for 2 weeks, and return to full activity at 6-12 months postoperatively. Forty patients in the patellar tendon group and 39 patients in the hamstring tendon group were available for clinical evaluation at median 5 years after surgery (ranges 3 years 11 months-6 years 7 months). The results revealed no statistically significant differences with respect to clinical and instrumented laxity testing, isokinetic muscle torque measurements, International Knee Documentation Committee ratings, Lysholm (knee score), Tegner (activity level) and Kujala patellofemoral knee scores. There was an enlargement of the drill tunnels, statistically more in the hamstring tendon group, but no increase from 2 to 5 years in either group. Narrowing of the joint spaces (IKDC measurement method) from 2 to 5 years postoperatively was seen in both the groups, however, without difference between the two groups.</t>
  </si>
  <si>
    <t>#550</t>
  </si>
  <si>
    <t>A prospective comparison of 3 hamstring ACL fixation devices--Rigidfix, BioScrew, and Intrafix--randomized into 4 groups with 2 years of follow-up.</t>
  </si>
  <si>
    <t>BACKGROUND: New devices for graft fixation in anterior cruciate ligament reconstruction are released to clinical use without clinical follow-up data. HYPOTHESIS: There is similar clinical outcome after either cross-pin or absorbable interference screw fixation in anterior cruciate ligament reconstruction with hamstring tendons. STUDY DESIGN: Randomized controlled clinical trial; Level of evidence, 1. METHODS: A total of 120 patients were randomized into 4 different groups (30 each) for anterior cruciate ligament reconstruction with hamstring tendons: femoral Rigidfix cross-pin and Intrafix tibial expansion sheath with a tapered expansion screw; Rigidfix femoral and BioScrew interference screw tibial fixation, BioScrew femoral and Intrafix tibial fixation; or BioScrew fixation into both tunnels. The evaluation methods were clinical examination, knee scores, and instrumented laxity measurements. RESULTS: Ten patients were completely lost to follow-up and 3 revisions were done before the 2-year follow-up, leaving 107 of 120 (89%) patients for analysis. No statistically significant differences between the groups were seen 2 years postoperatively, and all but 2 patients in the Rigidfix/Intrafix and Rigidfix/BioScrew groups, respectively, were classified into International Knee Documentation Committee A or B categories. A revision reconstruction was performed before the 2-year follow-up in 2 cases after a high-energy injury caused a rerupture (1 in Rigidfix/Intrafix and 1 in BioScrew/BioScrew groups). In addition, there were 4 nontraumatic failures revised before the 2-year follow-up (2 in Rigidfix/Intrafix and 1 each in Rigidfix/BioScrew and BioScrew/BioScrew). CONCLUSION: There were no statistically or clinically relevant differences in the results 2 years postoperatively, and all 4 techniques improved patient performance.</t>
  </si>
  <si>
    <t>10.1177/0363546508328109</t>
  </si>
  <si>
    <t>#489</t>
  </si>
  <si>
    <t>Harilainen 2009</t>
  </si>
  <si>
    <t>Cross-education improves quadriceps strength recovery after ACL reconstruction: a randomized controlled trial.</t>
  </si>
  <si>
    <t>Harput G; Ulusoy B; Yildiz TI; Demirci S; Eraslan L; Turhan E; Tunay VB</t>
  </si>
  <si>
    <t>PURPOSE: The aim of this study was to investigate the effects of concentric and eccentric cross-education (CE) on quadriceps strength and knee function recoveries after anterior cruciate ligament (ACL) reconstruction. METHODS: Forty-eight patients (age: 29.5â€‰Â±â€‰6.8 years, body mass index: 26.1â€‰Â±â€‰3.2Â kg/m(2)) who had undergone ACL reconstruction with hamstring tendon autograft were included in the study. The patients were randomly divided into three groups when they reached four weeks post surgery: (1) concentric CE (nâ€‰=â€‰16); (2) eccentric CE (nâ€‰=â€‰16); and (3) control (nâ€‰=â€‰16). All groups followed the same post-surgical rehabilitation program for their reconstructed limb. Additionally, the two experimental groups followed eight weeks of isokinetic training for the uninjured knee at 60Â°/s for 3 days per week. Quadriceps maximum voluntary isometric strength (MVIC) was measured during the 4th week (pre-training), 12th week (post training), and 24th week post surgery. The single-leg hop distance and International Knee Documentary Committee (IKDC) scores were also evaluated during the 24th week post surgery. Analysis of variance was used for statistical analysis. RESULTS: Group-by-time interaction was significant for quadriceps MVICs for reconstructed and healthy limbs (pâ€‰=â€‰0.02). Quadriceps strength of both knees was greater in concentric and eccentric CE groups compared to control group during the 12th- and 24th weeks post surgery (pâ€‰&lt;â€‰0.05). Strength gain was 28% and 31% in concentric and eccentric CE groups, respectively, when compared with the control group. Concentric and eccentric CE had similar effects on quadriceps strength recovery (n.s.). IKDC score, and single-leg hop distances were not significantly different among groups (n.s.). CONCLUSIONS: Concentric and eccentric quadricep strengthening of healthy limbs in early phases of ACL rehabilitation improved post-surgical quadriceps strength recovery of the reconstructed limb. CE should be integrated into ACL reconstruction rehabilitation, especially in the early rehabilitative phases to restore quadriceps strength. LEVEL OF EVIDENCE: Randomized controlled trial, Level I.</t>
  </si>
  <si>
    <t>10.1007/s00167-018-5040-1</t>
  </si>
  <si>
    <t>#241</t>
  </si>
  <si>
    <t>Harput 2019</t>
  </si>
  <si>
    <t>Five-year clinical outcomes of a randomized trial of anterior cruciate ligament treatment strategies: an evidence-based practice paper.</t>
  </si>
  <si>
    <t>Harris K; Driban JB; Sitler MR; Cattano NM; Hootman JM</t>
  </si>
  <si>
    <t>REFERENCE/CITATION: Frobell RB, Roos HP, Roos EM, Roemer FW, Ranstam J, Lohmander LS. Treatment for acute anterior cruciate ligament tear: five year outcome of randomised trial. BMJ. 2013;346:F232. CLINICAL QUESTION: Does early anterior cruciate ligament (ACL) reconstruction with rehabilitation lead to better patient-reported outcomes and a lower incidence of osteoarthritis at 5 years postinjury compared with delayed ACL reconstruction with rehabilitation? STUDY SELECTION: This randomized controlled trial with extended follow-up at 5 years postrandomization was conducted in 2 Swedish orthopaedic departments. DATA EXTRACTION: The authors studied a total of 121 moderately active adults (age = 18-35 years) with an acute ACL rupture in a knee with no other history of trauma. Excluded were patients with a collateral ligament rupture, full-thickness cartilage defect, or extensive meniscal fixation. One patient assigned to the early ACL-reconstruction group did not attend the 5-year follow-up visit. Patients were randomly assigned to (1) an early ACL reconstruction plus structured rehabilitation group (n = 62, surgery within 10 weeks of injury) or (2) optional-delayed ACL reconstruction plus structured rehabilitation group (n = 59). The primary outcome measure was change in the average of 4 out of 5 subscales of the Knee Injury and Osteoarthritis Outcome Score (KOOS). The authors also assessed crude KOOS (combined 4 subscales), KOOS subscale scores, general physical and mental health (Short-Form 36), activity level (Tegner Activity Scale), mechanical knee stability (Lachman and pivot_shift tests), meniscal surgery status, and presence of knee osteoarthritis on radiographs. MAIN RESULTS: Among patients randomized to the optional-delayed ACL-reconstruction group, 30 (51%) opted for an ACL reconstruction. The treatment groups had comparable 5-year patient-reported outcomes and changes in patient-reported outcomes (eg, knee pain, knee symptoms, activities of daily living, sport and recreational levels, knee-related quality of life, general physical health, and general mental health). Patients in the optional-delayed ACL-reconstruction group had greater mechanical knee instability than patients who received early ACL reconstruction; however, this was primarily among the patients opting for conservative management alone. In the overall sample, 61 knees (51%) required meniscal surgery over 5 years, regardless of treatment group. At 5 years, radiographs were available for 113 patients (93%). Overall, 29 patients (26%) had knee osteoarthritis at 5 years. Specifically, 13 patients (12%) developed tibiofemoral radiographic osteoarthritis (9 patients [16%] in the early ACL-reconstruction group, 4 [7%] in the optional-delayed ACL-reconstruction group) and 22 (19%) developed patellofemoral osteoarthritis (14 patients [24%] in the early ACL-reconstruction group, 8 [15%] in the optional-delayed ACL-reconstruction group). Patients with patellar tendon grafts (n = 40) had a greater incidence of ipsilateral patellofemoral osteoarthritis than patients with hamstrings tendon grafts (n = 51), but the 2 groups had similar incidences of ipsilateral tibiofemoral osteoarthritis. Six knees (5%) had both tibiofemoral and patellofemoral osteoarthritis. CONCLUSIONS: Early ACL reconstruction plus rehabilitation did not provide better results at 5 years compared with optional-delayed ACL reconstruction plus rehabilitation. Furthermore, the authors found no radiographic differences among patients with early ACL reconstruction, delayed ACL reconstruction, or no ACL reconstruction (rehabilitation alone).</t>
  </si>
  <si>
    <t>J Athl Train</t>
  </si>
  <si>
    <t>10.4085/1062-6050-49.3.53</t>
  </si>
  <si>
    <t>#342</t>
  </si>
  <si>
    <t>Harris 2015</t>
  </si>
  <si>
    <t>Quadriceps function in anterior cruciate ligament-deficient knees exercising with transcutaneous electrical nerve stimulation and cryotherapy: a randomized controlled study.</t>
  </si>
  <si>
    <t>Hart JM; Kuenze CM; Pietrosimone BG; Ingersoll CD</t>
  </si>
  <si>
    <t>OBJECTIVE: To compare strength and quadriceps muscle activation in anterior cruciate ligament-deficient patients who underwent a two-week rehabilitation exercise program using TENS or cryotherapy. DESIGN: Randomized, controlled study. SETTING: Clinical research laboratory. SUBJECTS: Thirty patients: 20 males, 10 females, 31.6 (13.0) years, 172.8 (10.0) cm, 75.8 (13.0) kg with diagnosed tear of the anterior cruciate ligament. INTERVENTIONS: All patients attended four sessions of supervised quadriceps strengthening exercises over two weeks, prior to reconstruction surgery. Patients were randomly allocated (n = 10/group) to receive exercises alone, exercise while wearing a sensory transcutaneous electrical nerve stimulation (TENS) device on the knee joint for the duration of each daily session, or 20 minutes of knee joint cryotherapy immediately prior to each daily exercise session. MAIN MEASURES: Normalized knee extension force and quadriceps central activation ratio were measured before and after the first supervised treatment session and within 24 hours of the last session. RESULTS: When accounting for differences in baseline measures, there were no statistically significant group differences immediately following the first exercise session for knee extension force (P = 0.10) or central activation ratio (P = 0.30) nor were there statistically significant group differences after the two-week intervention for knee extension force (P = 0.92) or central activation ratio (P = 0.94). Effect sizes for the change in knee extension force and central activation ratio after two weeks of therapy were all large. CONCLUSIONS: Quadriceps strength and central activation in anterior cruciate ligament deficient patients improved after two weeks of rehabilitaiton exercises, however, there were no significant differences between treatment groups.</t>
  </si>
  <si>
    <t>Clin Rehabil</t>
  </si>
  <si>
    <t>10.1177/0269215512438272</t>
  </si>
  <si>
    <t>#420</t>
  </si>
  <si>
    <t>Hart 2012</t>
  </si>
  <si>
    <t>Quadriceps muscle function after rehabilitation with cryotherapy in patients with anterior cruciate ligament reconstruction.</t>
  </si>
  <si>
    <t>Hart JM; Kuenze CM; Diduch DR; Ingersoll CD</t>
  </si>
  <si>
    <t>CONTEXT: Persistent muscle weakness after anterior cruciate ligament (ACL) reconstruction may be due to underlying activation failure and arthrogenic muscle inhibition (AMI). Knee-joint cryotherapy has been shown to improve quadriceps function transiently in those with AMI, thereby providing an opportunity to improve quadriceps muscle activation and strength in patients with a reconstructed ACL. OBJECTIVE: To compare quadriceps muscle function in patients with a reconstructed ACL who completed a 2-week intervention including daily cryotherapy (ice bag), daily exercises, or both. DESIGN: Cross-sectional study. SETTING: Laboratory. PATIENTS OR OTHER PARTICIPANTS: A total of 30 patients with reconstructed ACLs who were at least 6 months post-index surgery and had measurable quadriceps AMI. INTERVENTION(S): The patients attended 4 supervised visits over a 2-week period. They were randomly assigned to receive 20 minutes of knee-joint cryotherapy, 1 hour of therapeutic rehabilitation exercises, or cryotherapy followed by exercises. MAIN OUTCOME MEASURE(S): We measured quadriceps Hoffmann reflex, normalized maximal voluntary isometric contraction torque, central activation ratio using the superimposed-burst technique, and patient-reported outcomes before and after the intervention period. RESULTS: After the 2-week intervention period, patients who performed rehabilitation exercises immediately after cryotherapy had higher normalized maximal voluntary isometric contraction torques (P = .002, Cohen d effect size = 1.4) compared with those who received cryotherapy alone (P = .16, d = 0.58) or performed exercise alone (P = .16, d = 0.30). CONCLUSIONS: After ACL reconstruction, patients with AMI who performed rehabilitation exercises immediately after cryotherapy experienced greater strength gains than those who performed cryotherapy or exercises alone.</t>
  </si>
  <si>
    <t>10.4085/1062-6050-49.3.39</t>
  </si>
  <si>
    <t>#343</t>
  </si>
  <si>
    <t>Hart 2014</t>
  </si>
  <si>
    <t>Perturbation training prior to ACL reconstruction improves gait asymmetries in non-copers.</t>
  </si>
  <si>
    <t>Hartigan E; Axe MJ; Snyder-Mackler L</t>
  </si>
  <si>
    <t>We investigated whether preoperative perturbation training would help anterior cruciate ligament (ACL) deficient individuals who complain of knee instability ("non-copers") regain quadriceps strength and walk normally after ACL reconstruction. Nineteen non-copers with acute ACL injury were randomly assigned into a perturbation group (PERT) or a strengthening group (STR). The PERT group received specialized neuromuscular training and progressive quadriceps strength training, whereas the STR group received progressive quadriceps strength training only. We compared quadriceps strength indexes and knee excursions during the mid-stance phase of gait preoperatively to data collected 6 months after ACL reconstruction. Analyses of Variance with repeated measures (time/limb) were conducted to compare quadriceps strength index values over time (time x group) and differences in knee excursions in limbs between groups over time (limb x time x group). If significance was found, post hoc analyses were performed using paired and independent t-tests. Quadriceps strength indexes before intervention (Pert: 87.2%; Str: 75.8%) improved 6 months after ACL reconstruction in both groups (Pert: 97.1%; Str: 94.4%). Non-copers who received perturbation training preoperatively had no differences in knee excursions between their limbs 6 months after ACL reconstruction (p = 0.14), whereas those who received just strength training continued to have smaller knee excursions during the mid-stance phase of gait (p = 0.007). Non-copers strength and knee excursions were more symmetrical 6 months postoperatively in the group that received perturbation training and progressive quadriceps strength training than the group who received strength training alone.</t>
  </si>
  <si>
    <t>10.1002/jor.20754</t>
  </si>
  <si>
    <t>#495</t>
  </si>
  <si>
    <t>Hartigan 2009</t>
  </si>
  <si>
    <t>Time line for noncopers to pass return-to-sports criteria after anterior cruciate ligament reconstruction.</t>
  </si>
  <si>
    <t>Hartigan EH; Axe MJ; Snyder-Mackler L</t>
  </si>
  <si>
    <t>STUDY DESIGN: Randomized clinical trial. OBJECTIVES: Determine effective interventions for improving readiness to return to sports postoperatively in patients with complete, unilateral, anterior cruciate ligament (ACL) rupture who do not compensate well after the injury (noncopers). Specifically, we compared the effects of 2 preoperative interventions on quadriceps strength and functional outcomes. BACKGROUND: The percentage of athletes who return to sports after ACL reconstruction varies considerably, possibly due to differential responses after acute ACL rupture and different management. Prognostic data for noncopers following ACL reconstruction is absent in the literature. METHODS: Forty noncopers were randomly assigned to receive either progressive quadriceps strength-training exercises (STR group) or perturbation training in conjunction with strength-training exercises (PERT group) for 10 preoperative rehabilitation sessions. Postoperative rehabilitation was similar between groups. Data on quadriceps strength indices [(involved limb/uninvolved limb force) x 100], 4 hop score indices, and 2 self-report questionnaires were collected preoperatively and 3, 6, and 12 months postoperatively. Mann-Whitney U tests were used to compare functional differences between the groups. Chi-square tests were used to compare frequencies of passing functional criteria and reasons for differences in performance between groups postoperatively. RESULTS: Functional outcomes were not different between groups, except a greater number of patients in the PERT group achieved global rating scores (current knee function expressed as a percentage of overall knee function prior to injury) necessary to pass return-to-sports criteria 6 and 12 months after surgery. Mean scores for each functional outcome met return-to-sports criteria 6 and 12 months postoperatively. Frequency counts of individual data, however, indicated that 5% of noncopers passed RTS criteria at 3, 48% at 6, and 78% at 12 months after surgery. CONCLUSION: Functional outcomes suggest that a subgroup of noncopers require additional supervised rehabilitation to pass stringent criteria to return to sports. LEVEL OF EVIDENCE: Therapy, level 2b.Note: If watching the first video, we recommend downloading and referring to the accompanying PowerPoint slides for any text that is not readable.</t>
  </si>
  <si>
    <t>10.2519/jospt.2010.3168</t>
  </si>
  <si>
    <t>#458</t>
  </si>
  <si>
    <t>Hartigan 2010</t>
  </si>
  <si>
    <t>Preoperative predictors for noncopers to pass return to sports criteria after ACL reconstruction.</t>
  </si>
  <si>
    <t>Hartigan EH; Zeni J Jr; Di Stasi S; Axe MJ; Snyder-Mackler L</t>
  </si>
  <si>
    <t>Less than 50% of athletes pass criteria to return to sports (RTS) 6 months after ACL reconstruction (ACLR). Using data on 38 noncopers, we hypothesized that preoperative age, quadriceps strength index (QI), and knee flexion moments (KFM) during gait would predict the ability to pass/fail RTS criteria and that preoperative quadriceps strength gains would be predictive of passing RTS criteria. Gait analysis and strength data were collected before and after a preoperative intervention and 6 months after ACLR. Age, QI, and KFM each contributed to the predictability to pass or fail RTS criteria 6 months after ACLR. Collectively, the variables predict 69% who would pass and 82% who would fail RTS criteria 6 months after ACLR. Younger athletes who have symmetrical quadriceps strength and greater KFM were more likely to pass RTS criteria. Further, 63% of those who increased preoperative quadriceps strength passed RTS criteria, whereas 73% who did not failed. Increasing quadriceps strength in noncopers before ACLR seems warranted.</t>
  </si>
  <si>
    <t>J Appl Biomech</t>
  </si>
  <si>
    <t>10.1123/jab.28.4.366</t>
  </si>
  <si>
    <t>#406</t>
  </si>
  <si>
    <t>Hartigan 2012</t>
  </si>
  <si>
    <t>No increase in adverse events with lateral extra-articular tenodesis augmentation of anterior cruciate ligament reconstruction - Results from the stability randomized trial.</t>
  </si>
  <si>
    <t>Heard M; Marmura H; Bryant D; Litchfield R; McCormack R; MacDonald P; Spalding T; Verdonk P; Peterson D; Bardana D; Rezansoff A; Getgood A</t>
  </si>
  <si>
    <t>OBJECTIVES: Results from the Stability Study suggest that adding a lateral extra-articular tenodesis (LET) to a hamstring tendon autograft reduces the rate of anterior cruciate ligament reconstruction (ACLR) failure in high-risk patients. The purpose of this study is to report adverse events over the 2-year follow-up period and compare groups (ACLR alone vs. ACLRÂ +Â LET). METHODS: Stability is a randomized clinical trial comparing hamstring tendon ACLR with and without LET. Patients aged 14-25 years with an ACL deficient knee were included. Patients were followed and adverse events documented (type, actions taken, resolution) with visits at 3, 6, 12, and 24 months postoperatively. Adverse events were categorized as none, minor medical, minor surgical, contralateral ACL rupture, or graft rupture. Patient reported outcome measures (PROMs) collected at each visit included the Knee Injury and Osteoarthritis Outcome Score (KOOS), International Knee Documentation Committee Score (IKDC), and ACL Quality of Life Questionnaire (ACL-QOL). RESULTS: In total, 618 patients were randomized (mean age 18.9 years, 302 (49%) male). Forty-five patients (7%) suffered graft rupture; 34 (11%) in the ACLR group compared to 11 (4%) in the ACLRÂ +Â LET group (RRRÂ =Â 0.67, 95% CI 0.36 to 0.83, pÂ &lt;Â 0.001). There were no differences in effusion or infection rates between groups. The ACLRÂ +Â LET group experienced an increased number of hardware removals (10 vs. 4). Overall, the rate of minor medical events (11%), minor surgical events (7%), and ipsilateral or contralateral ACL tears (10%) were low considering the high-risk patient profile. Increasing severity of adverse events was associated with lower PROMs at 24 months post-operative. Patients in the ACLRÂ +Â LET group reported greater degree of pain at 3 months only. There were no clinically significant differences in range of motion between groups. CONCLUSIONS: The addition of LET to hamstring tendon autograft ACLR in young patients at high risk of re-injury resulted in a statistically significant reduction in graft rupture. While the addition of LET may increase rates of hardware irritation, there was no significant increase in overall rates of minor medical adverse events, minor surgical events, or overall re-operation rates. The concerns regarding complications associated with a LET did not materialize in this study. LEVEL OF EVIDENCE: Level I.</t>
  </si>
  <si>
    <t>10.1016/j.jisako.2022.12.001</t>
  </si>
  <si>
    <t>#111</t>
  </si>
  <si>
    <t>Heard 2023</t>
  </si>
  <si>
    <t>Early versus late start of open kinetic chain quadriceps exercises after ACL reconstruction with patellar tendon or hamstring grafts: a prospective randomized outcome study.</t>
  </si>
  <si>
    <t>Heijne A; Werner S</t>
  </si>
  <si>
    <t>The purpose of the present investigation was to evaluate physical outcome after anterior cruciate ligament (ACL) reconstruction with early versus late initiation of open kinetic chain (OKC) exercises for the quadriceps in patients operated on either patellar tendon or hamstring grafts. Sixty-eight patients, 36 males and 32 females, with either patellar tendon graft (34 patients) or hamstring graft (34 patients) were enrolled in this study. All patients were randomly allocated to either early (the 4th postoperative week) or late (the 12th postoperative week) start of OKC exercises for the quadriceps, resulting in four subgroups: patellar tendon reconstruction, early start (P4) or late start (P12) of OKC quadriceps exercises, hamstring tendon reconstruction, early start (H4) or late start (H12) of quadriceps OKC exercises. Prior to surgery and 3, 5 and 7 months later, assessments of range of motion (goniometer), anterior knee laxity (KT-1000), postural sway (KAT 2000), thigh muscle torques (Kin-Com dynamometer) and anterior knee pain (anterior knee pain score) were evaluated. No significant group differences were found in terms of range of motion 3, 5 and 7 months postoperatively. The H4 group showed a significantly higher mean difference of laxity over time of 1.0 mm (CI: 0.18-1.86) than the P4 group (P=0.04). Within the same type of surgery, the H4 against the H12, the mean difference over time was 1.2 mm (0.37-2.1) higher in the H4 group than in the H12 group (P=0.01). There were no significant group differences in terms of postural sway or anterior knee pain at the different test occasions. Significant differences in trends (changes over time) were found when comparing the four groups, for both quadriceps muscle torques (P&lt;0.001) and hamstring muscle torques (P&lt;0.001). All groups, except the P4 group, reached preoperative values of quadriceps muscle torques at the 7 months follow-up. In the H4 and the H12 groups, significantly lower hamstring muscle torques at the 7 months follow-up compared with preoperative values were found. In conclusion, early start of OKC quadriceps exercises after hamstring ACL reconstruction resulted in significantly increased anterior knee laxity in comparison with both late start and with early and late start after bone-patellar tendon-bone ACL reconstruction. Furthermore, the early introduction of OKC exercises for quadriceps did not influence quadriceps muscle torques neither in patients operated on patellar tendon nor hamstring tendon grafts. On the contrary, it appears as if the choice of graft affected the strength of the specific muscle more than the type of exercises performed. Our results could not determine the appropriate time for starting OKC quadriceps exercises for patients who have undergone ACL reconstruction with hamstring tendon graft. Future studies of long-term results of anterior knee laxity and functional outcome are needed.</t>
  </si>
  <si>
    <t>10.1007/s00167-006-0246-z</t>
  </si>
  <si>
    <t>#535</t>
  </si>
  <si>
    <t>Heijne 2007</t>
  </si>
  <si>
    <t>A 2-year follow-up of rehabilitation after ACL reconstruction using patellar tendon or hamstring tendon grafts: a prospective randomised outcome study.</t>
  </si>
  <si>
    <t>Sixty-eight patients were clinically evaluated preoperatively, 3, 5, 7, 9 months, 1 and 2 years after ACL reconstruction, 34 with patellar tendon graft, 34 with hamstring graft. Outcome regarding graft choice and anterior knee laxity (P = 0.04) was in favour of patellar tendon graft. Hamstring graft led to a larger laxity, 2.4 mm compared with patellar tendon graft, 1.3 mm at 1 year and 2.5 mm and 1.5 mm, respectively, at 2 years (P = 0.05). There was a significant difference in rotational knee stability in favour of the patellar tendon graft at all test occasions but 9 months. A general effect regarding graft choice and muscle torque was found at 90 degrees/s for quadriceps (P = 0.03) and hamstrings (P &lt; or = 0.0001) and at 230 degrees/s for hamstrings (P &lt; or = 0.0001). No treatment effect regarding graft choice and one-leg hop test, postural sway or knee function was found. No group differences in anterior knee pain were found at any of the test occasions but 2 years in favour of hamstring graft compared to patellar tendon graft (P = 0.04). Patellar tendon graft resulted in higher activity level than hamstring graft at all test occasions but 1 year (P = 0.01). Patellar tendon ACL reconstruction led to more stable knees with less anterior knee laxity and less rotational instability than hamstring ACL reconstruction. Hamstring graft patients had not reached preoperative level in hamstring torque even 2 years after ACL reconstruction. Athletes with patellar tendon graft returned to sports earlier and at a higher level than those with hamstring graft.</t>
  </si>
  <si>
    <t>#465</t>
  </si>
  <si>
    <t>Range of motion training in brace vs. plaster immobilization after anterior cruciate ligament reconstruction: a prospective randomized comparison with a 2-year follow-up.</t>
  </si>
  <si>
    <t>Henriksson M; Rockborn P; Good L</t>
  </si>
  <si>
    <t>The purpose of this prospective and randomized study was to compare rehabilitation with early range of motion (ROM) training vs immobilization following anterior cruciate ligament (ACL) reconstruction. Fifty patients, undergoing an ACL reconstruction with a bone-patellar tendon-bone graft, were postoperatively allocated randomly to either a plaster cast or a brace for 5 weeks. The brace group had ROM exercises from postoperative day 7. The commencement of ROM exercises was postponed 4 weeks for the plaster group compared to the brace group, but progressed subsequently with equal speed. There was no difference between the groups in the ROM of flexion or extension 20 weeks after the ACL reconstruction and later. Twenty-four months after surgery, the muscle strength deficit in the hamstring muscles (isokinetic measurements; percent difference, injured vs uninjured) was significantly larger in the brace group (mean +/- SD: 5.9 +/- 7.8%, P &lt; 0.01) than in the plaster group (- 0.9 +/- 11.8%, NS) (brace vs plaster group, P &lt; 0.05). Furthermore, there was also a tendency in the brace group to a larger strength deficit in the quadriceps muscle (brace: 11.1 +/- 13.2%, P &lt; 0.001; plaster: 3.8 +/- 12.9%, NS) (brace vs plaster group, P= 0.07). There was no difference between the groups in the total sagittal knee laxity, as measured with an arthrometer, or in the subjective knee function or activity level (Lysholm score together with the Tegner activity level) between the groups. It is concluded that the postoperative treatment with early range of motion training after ACL reconstruction gave as good ROM, knee stability, subjective knee function and activity level as the treatment with immobilization. It is hypothesized that the larger strength deficit observed after rehabilitation with early range of motion training is secondary to the more intensive training and physical therapist involvement that was demanded in order to achieve full ROM following immobilization.</t>
  </si>
  <si>
    <t>10.1034/j.1600-0838.2002.120203.x</t>
  </si>
  <si>
    <t>#612</t>
  </si>
  <si>
    <t>Henriksson 2002</t>
  </si>
  <si>
    <t>Single-versus two-incision technique in anterior cruciate ligament replacement: influence on postoperative muscle function.</t>
  </si>
  <si>
    <t>Hess T; Duchow J; Roland S; Kohn D</t>
  </si>
  <si>
    <t>The purpose of this study was to find out whether the single-incision technique for anterior cruciate ligament repair has advantages over the two-incision technique in terms of muscular function up to 1 year postoperatively. Twenty patients who underwent unilateral anterior cruciate ligament reconstruction with bone-patellar tendon-bone autografts were randomly assigned to one of the two procedures. Both groups (10 patients in each) were followed up at 1 year. Lysholm and International Knee Documentation scores and thigh circumferences were markedly reduced after surgery in both groups but improved up until the last follow-up examination at 12 months postoperatively. Clinical examination, functional scores, stabilometry measurements, and thigh circumferences did not differ between the two groups. Isokinetic evaluation revealed a significant reduction of extensor peak torques in both groups that was most pronounced at 3 months, then improved continuously but was still present 12 months postoperatively. A significant reduction of peak torques, up to 35%, was seen in the flexor muscles of the involved legs compared with the contralateral legs, but this deficit vanished completely after 12 months in both groups. At 3 and 6 months, for the flexor as well as the extensor muscles, the deficits in peak torque on the injured sides were found to have improved faster in the single-incision group. These results indicate improved dynamic muscle function with use of the single-incision technique because the dissection of the vastus lateralis muscle that occurs in the two-incision technique is avoided.</t>
  </si>
  <si>
    <t>10.1177/03635465020300011801</t>
  </si>
  <si>
    <t>#617</t>
  </si>
  <si>
    <t>Hess 2002</t>
  </si>
  <si>
    <t>Knee immobilization for pain control after a hamstring tendon anterior cruciate ligament reconstruction: a randomized clinical trial.</t>
  </si>
  <si>
    <t>Hiemstra LA; Heard SM; Sasyniuk TM; Buchko GL; Reed JG; Monteleone BJ</t>
  </si>
  <si>
    <t>BACKGROUND: This study will attempt to evaluate the efficacy of knee immobilization on patient pain levels after an anterior cruciate ligament reconstruction. HYPOTHESIS: There is no difference in visual analog scale pain scores 2 days after anterior cruciate ligament reconstruction between patients who wear a knee immobilizer and those who do not wear a knee immobilizer. STUDY DESIGN: Randomized clinical trial; Level of evidence, 1. METHODS: Patients aged 18 to 40 years who met study inclusion criteria were eligible. Patients meeting intraoperative inclusion criteria were randomized (immobilizer or no immobilizer) after wound closure. The immobilizer used was a soft, unhinged brace with Velcro straps. Preoperative, intraoperative, and postoperative protocols were standardized. The primary outcome was patient self-assessed pain using a 0-to-100-mm visual analog scale at day 2 after surgery. Secondary outcomes included pain and analgesic use in the first 14 days after surgery, complications, and range of motion (approximately 3 weeks postoperatively). A sample size estimate was calculated and resulted in the need for 44 patients per group. RESULTS: A total of 102 patients were enrolled; 88 patients were randomized, and 14 were excluded intraoperatively. There was no difference in mean visual analog scale pain scores at 2 days after surgery between immobilized and nonimmobilized patients (32.6 and 35.2, respectively; P = .59; difference, -2.6; 95% confidence interval, -12.2 to 6.9). There were no differences between groups in medication consumed, range of motion, or complications. Pain and analgesic use were the same for both groups at 7 and 14 days postoperatively. CONCLUSION: No differences in pain or any of the secondary outcomes were detected between immobilized and nonimmobilized patients at any point during the first 14 days after anterior cruciate ligament reconstruction.</t>
  </si>
  <si>
    <t>10.1177/0363546508322896</t>
  </si>
  <si>
    <t>#500</t>
  </si>
  <si>
    <t>Hiemstra 2009</t>
  </si>
  <si>
    <t>The influence of supplementary tibial fixation on laxity measurements after anterior cruciate ligament reconstruction with hamstring tendons in female patients.</t>
  </si>
  <si>
    <t>Hill PF; Russell VJ; Salmon LJ; Pinczewski LA</t>
  </si>
  <si>
    <t>BACKGROUND: Female patients undergoing arthroscopic anterior cruciate ligament reconstruction with a hamstring tendon graft developed increased postoperative laxity compared to male and female patients who had reconstruction using a patellar tendon graft. This difference may be due to graft slippage in less dense female tibial bone. HYPOTHESIS: Reinforcement of tibial fixation of the hamstring tendon graft in women by supplementary methods may reduce laxity. STUDY DESIGN: Randomized controlled clinical trial; Level of evidence, 2. METHODS: Fifty-six female patients divided into 2 groups (standard tibial fixation with 7 x 25-mm metal interference screw versus metal interference screw with supplementary staple fixation) were followed for 2 years. RESULTS: After 2 years, the mean side-to-side difference using KT-1000 arthrometer manual maximum measurements was 1.8 mm (standard group) and 1.1 mm (staple group) (P=.05). The percentage of patients with a side-to-side difference of &lt;3 mm did not differ significantly between the 2 groups (P=.66): 88.8% of the standard group versus 90.5% of the staple group. A grade 0 Lachman test result was present in 63% of the standard group and 86% of the staple group (P=.04). Kneeling pain was experienced by 7% of the standard group and 29% of the staple group (P=.05). CONCLUSIONS: Supplementary tibial fixation in female patients undergoing anterior cruciate ligament reconstruction with hamstring tendon graft in addition to a single-size screw significantly improves laxity measurements and clinical stability assessment 2 years after surgery. However, this improvement is at the cost of increased kneeling pain.</t>
  </si>
  <si>
    <t>10.1177/0363546504268036</t>
  </si>
  <si>
    <t>#575</t>
  </si>
  <si>
    <t>Hill 2005</t>
  </si>
  <si>
    <t>The efficacy of continuous bupivacaine infiltration following anterior cruciate ligament reconstruction.</t>
  </si>
  <si>
    <t>Hoenecke HR Jr; Pulido PA; Morris BA; Fronek J</t>
  </si>
  <si>
    <t>PURPOSE: The purpose of this study was to determine whether continuous infiltration of a local anesthetic into the surgical wound for 48 hours will diminish the need for narcotics and improve the postoperative pain experience for patients undergoing anterior cruciate ligament (ACL) reconstruction using a patellar tendon autograft. TYPE OF STUDY: Prospective, randomized, double-blind study with a placebo and an experimental group. METHODS: Twenty-six patients were randomly assigned to receive either normal saline (placebo) or bupivacaine (experimental) for 48 hours. Both groups received a single intra-articular bolus injection of 35 mL of 0.25% bupivacaine and 5 mg. of morphine at the conclusion of surgery. The placebo group received an infusion of 2 mL/h of normal saline and the experimental group received an infusion of 2 mL/h of 0.25% bupivacaine, both for 48 hours. The anesthetic was infused using a disposable elastomeric pump (Baxter Healthcare, Deerfield, IL). Patients were evaluated using a pain and pain relief assessment questionnaire and visual analogue scale (VAS). Narcotic consumption was also documented. The pump was discontinued either by the patient at home or by a physical therapist. RESULTS: There was a statistically significant (P &lt;.05) difference in VAS pain and pain relief scores reported by patients receiving the infusion of 0.25% bupivacaine. Patients in the treatment group also consumed 37% less narcotics than the placebo group. The operating room time, tourniquet time, weight, and age of this population were similar in the 2 groups. There were no complications with the catheter technique. CONCLUSION: This report of a new technique suggests that surgical knee patients receiving local anesthetic infusion postoperatively experience less pain and require less narcotics. The disposable pump allowed administration of the medication on an outpatient basis.</t>
  </si>
  <si>
    <t>10.1053/jars.2002.36139</t>
  </si>
  <si>
    <t>#608</t>
  </si>
  <si>
    <t>HoeneckeHRJr 2002</t>
  </si>
  <si>
    <t>Is There a Disadvantage to Early Physical Therapy After Multiligament Surgery for Knee Dislocation? A Pilot Randomized Clinical Trial.</t>
  </si>
  <si>
    <t>Hoit G; Rubacha M; Chahal J; Khan R; Ravi B; Whelan DB</t>
  </si>
  <si>
    <t>BACKGROUND: Multiligament knee injuries, though rare, can be profoundly disabling. Surgeons disagree about when to initiate rehabilitation after surgical reconstruction due to the conflicting priorities of postoperative stability and motion. QUESTIONS/PURPOSES: (1) Does early or late initiation of physical therapy after multiligament knee surgery result in fewer postoperative manipulations? (2) Does early versus late physical therapy compromise stability postoperatively? (3) Does early initiation of physical therapy result in improved patient-reported outcomes, as measured by the Multi-ligament Quality of Life (ML-QOL) score? METHODS: Between 2011 and 2016, 36 adults undergoing multiligament repair or reconstruction were prospectively enrolled in a randomized controlled trial and randomized 1:1 to either early rehabilitation or late rehabilitation after surgery. Eligibility included those with an injury to the posterior cruciate ligament (PCL) and at least one other ligament, as well as the ability to participate in early rehabilitation. Patients who were obtunded or unable to adhere to the protocols for other reasons were excluded. Early rehabilitation consisted of initiating a standardized physical therapy protocol on postoperative day 1 involving removal of the extension splint for quadriceps activation and ROM exercises. Late rehabilitation consisted of full-time immobilization in an extension splint for 3 weeks. Following this 3-week period, both groups engaged in the same standardized physical therapy protocol. All surgical reconstructions were performed at a single center by one of two fellowship-trained sports orthopaedic surgeons, and all involved allograft Achilles tendon PCL reconstruction. When possible, hamstring autograft was used for ACL and medial collateral ligament reconstructions, whereas lateral collateral ligament and posterolateral reconstruction was performed primarily with allograft. The primary outcome was the number of patients undergoing manipulation during the first 6 months. Additional outcomes added after trial registration were patient-reported quality of life scores (ML-QOL) at 1 year and an objective assessment of laxity through a physical examination and stress radiographs at 1 year. One patient from each group was not assessed for laxity or ROM at 1 year, and one patient from each group did not complete the ML-QOL questionnaires. No patient crossover was observed. RESULTS: With the numbers available, there was no difference in the use of knee manipulation during the first 6 months between the rehabilitation groups: 1 of 18 patients in the early group and 4 of 18 patients in the late group (p = 0.34). Similarly, there were no differences in knee ROM, stability, or patient-reported quality of life (ML-QOL) between the groups at 1 year. CONCLUSION: With the numbers available in this study, we were unable to demonstrate a difference between early and late knee rehabilitation with regard to knee stiffness, laxity, or patient-reported quality of life outcomes. The results of this small, randomized pilot study suggest a potential role for early rehabilitation after multiligament reconstruction for knee dislocation, which should be further explored in larger multi-institutional studies. LEVEL OF EVIDENCE: Level II, therapeutic study.</t>
  </si>
  <si>
    <t>10.1097/CORR.0000000000001729</t>
  </si>
  <si>
    <t>#163</t>
  </si>
  <si>
    <t>Hoit 2021</t>
  </si>
  <si>
    <t>Autologous bone effects on femoral tunnel widening in hamstring anterior cruciate ligament reconstruction.</t>
  </si>
  <si>
    <t>Hollis R; West H; Greis P; Brown N; Burks R</t>
  </si>
  <si>
    <t>This study examines the hypothesis that autologous bone in the femoral tunnel for a hamstring anterior cruciate ligament (ACL) reconstruction will reduce femoral tunnel widening. Thirty-six patients undergoing hamstring autograft ACL reconstruction were randomized to 2 groups. One group underwent ACL reconstruction using EndoButton femoral fixation. The other group underwent the same procedure, with the addition of a bone plug placed at the aperture of the femoral tunnel next to the graft. Twenty-seven patients at &gt; 6 months postoperatively (range, 6-12 months) had digitized anteroposterior (AP) and lateral radiographs of the involved knee. Tunnel widening was determined by comparing the radiographic tunnel diameters to the drilled tunnel diameters from surgery. The mean (+/- SD) tunnel enlargement on the AP radiographs in the standard and plug groups were 3.8 +/- 1.7 mm and 3.5 +/- 2.0 mm, respectively (P = .61). On lateral radiographic assessment, the mean (+/- SD) tunnel enlargement in the standard and plug groups were 3.3 +/- 1.9 mm and 3.4 +/- 2.2 mm, respectively (P = .90). Autologous bone plug graft during ACL reconstruction does not reduce femoral tunnel widening.</t>
  </si>
  <si>
    <t>10.1055/s-0030-1247735</t>
  </si>
  <si>
    <t>#479</t>
  </si>
  <si>
    <t>Hollis 2009</t>
  </si>
  <si>
    <t>Can a regular leg extension bench be used in testing deficits of the quadriceps muscle during rehabilitation?</t>
  </si>
  <si>
    <t>Holm I; Hammer S; Larsen S; Nordsletten L; Steen H</t>
  </si>
  <si>
    <t>Fifty-nine people, 31 healthy subjects with no previous knee injuries and 28 who had undergone an intra-articular anterior cruciate ligament reconstruction 6-12 months prior to testing took part in the study. The subjects were randomly tested bilaterally on a Cybex 6000 isokinetic testing device (ITD) and on an ordinary leg extension bench (LEB). Strength and endurance were tested with both methods. The linear relationships for paired strength and endurance differences between ITD and LEB were found to be acceptable for the operated group. The LEB alone explained 57% and 38% of the ITD outcome for strength and endurance, respectively. The agreement between observed and predicted ITD values based on the LEB measurements was found satisfactory with a positive standardized agreement index. This indicates that the LEB can be used as a helpful tool in evaluation of quadriceps muscle strength deficits.</t>
  </si>
  <si>
    <t>10.1111/j.1600-0838.1995.tb00007.x</t>
  </si>
  <si>
    <t>#681</t>
  </si>
  <si>
    <t>Holm 1995</t>
  </si>
  <si>
    <t>The effect of protein and carbohydrate supplementation on strength training outcome of rehabilitation in ACL patients.</t>
  </si>
  <si>
    <t>Holm L; Esmarck B; Mizuno M; Hansen H; Suetta C; HÃ¶lmich P; Krogsgaard M; Kjaer M</t>
  </si>
  <si>
    <t>Patients with anterior cruciate ligament (ACL) injury experience atrophy and weakening of the extensor as well as the hamstrings muscles at the injured leg. Especially, the weakness of the quadriceps muscle has been ascribed to hamper daily physical tasks. The purpose of the present study was therefore to investigate if nutrient supplementation during 12 weeks of conservative rehabilitation strength training could enhance hypertrophy and strength of the quadriceps muscle in ACL-injured patients. Twenty-six ACL-injured men and women were included and randomly distributed into three supplementation groups: Protein+Carbohydrate (PC), Isocaloric-Carbohydrate (IC), or Placebo (PL), ingesting the supplementation immediately after each of 36 training sessions. Determined from images of thigh cross-sections (magnetic resonance imaging) the hypertrophy of the quadriceps muscle differed significantly between groups at the distal part, with the PC group demonstrating the largest hypertrophy. Peak torque of the quadriceps muscle at constant velocity 60 degrees.s-1 was significantly elevated in the PC group only, and the time to reach peak torque tended to decrease as well only in the PC group. The results from this study demonstrate that restoration of the distal vasti muscle mass and knee extension muscle strength with resistance training is promoted further by protein-containing nutrient supplementation immediately after single exercise sessions. Thus, exercise-related protein supplementation may seem important for surgery-related rehabilitation of skeletal muscle.</t>
  </si>
  <si>
    <t>10.1002/jor.20147</t>
  </si>
  <si>
    <t>#543</t>
  </si>
  <si>
    <t>Holm 2006</t>
  </si>
  <si>
    <t>No difference in knee function or prevalence of osteoarthritis after reconstruction of the anterior cruciate ligament with 4-strand hamstring autograft versus patellar tendon-bone autograft: a randomized study with 10-year follow-up.</t>
  </si>
  <si>
    <t>Holm I; Oiestad BE; Risberg MA; Aune AK</t>
  </si>
  <si>
    <t>BACKGROUND: The choice of different graft types and surgical techniques used when reconstructing a torn anterior cruciate ligament may influence the long-term prevalence of osteoarthritis and functional outcomes. HYPOTHESIS: There are no differences in the prevalence of knee osteoarthritis or knee function in patients undergoing reconstruction of a torn anterior cruciate ligament with 4-strand hamstring autograft versus patellar tendon-bone autograft. STUDY DESIGN: Randomized controlled trial; Level of evidence, 1. METHODS: Seventy-two patients with subacute or chronic rupture of the anterior cruciate ligament were randomly assigned to autograft reconstruction with 4-strand gracilis and semitendinosus tendon (HAM) (N = 37) or with patellar tendon-bone (PTB) (N = 35) from the ipsilateral side. Outcome measurements were the Cincinnati knee score, single-legged hop tests, isokinetic muscle strength tests, pain, knee joint laxity test (KT-1000 arthrometer), and a radiologic evaluation (Kellgren and Lawrence) at 10-year follow-up. RESULTS: At 10 years, 57 patients (79%) were eligible for evaluation-29 in the HAM group and 28 in the PTB group. No differences were found between the 2 graft groups with respect to the Cincinnati knee score, the single-legged hop tests, pain, muscle strength measurements, or knee joint laxity. Fifty-five percent and 64% of the patients had osteoarthritis corresponding to Kellgren and Lawrence grade 2 or more in the HAM and the PTB groups, respectively (P =.27). For the uninvolved knee, the corresponding numbers were 28% and 22% (P = .62). CONCLUSION: At 10 years postoperatively, no statistically significant differences in clinical outcome between the 2 graft types were found. The prevalence of osteoarthritis was significantly higher in the operated leg than in the contralateral leg, but there were no significant differences between the 2 groups. The results indicate that the choice of graft type after an anterior cruciate ligament injury has minimal influence on the prevalence of osteoarthritis 10 years after surgery.</t>
  </si>
  <si>
    <t>#461</t>
  </si>
  <si>
    <t>No differences in prevalence of osteoarthritis or function after open versus endoscopic technique for anterior cruciate ligament reconstruction: 12-year follow-up report of a randomized controlled trial.</t>
  </si>
  <si>
    <t>Holm I; Oiestad BE; Risberg MA; Gunderson R; Aune AK</t>
  </si>
  <si>
    <t>BACKGROUND: Although arthroscopic techniques are the most common procedures today when reconstructing the anterior cruciate ligament (ACL), many surgeons still prefer the open and/or 2-incision techniques. HYPOTHESIS: There are no differences in knee function or prevalence of knee osteoarthritis (OA) in patients who have undergone the open versus endoscopic technique for ACL reconstruction using the patellar tendon autograft. STUDY DESIGN: Randomized controlled trial; Level of evidence, 2. METHODS: Sixty-seven patients with subacute or chronic rupture of the ACL were randomly assigned to open (OPEN) (n = 33) or endoscopic (ENDO) (n = 34) reconstruction. Function was evaluated by the Cincinnati knee score, single-legged hop tests, and isokinetic muscle strength tests. The radiographs were classified according to the Kellgren and Lawrence (KL) classification system, defining grade 2 or more as the cutoff point for knee OA. The Insall-Salvati ratio and the Blackburne-Peel ratio were used to calculate the patellar position and height. RESULTS: Mean age at inclusion and at the 12-year follow-up evaluation was 27.9 Â± 8.6 and 39.8 Â± 8.6 years, respectively. At 12-year follow-up, 53 patients (79%) were eligible for evaluation. There were no significant differences between the 2 surgical procedures with respect to the pain, function, muscle strength, hop tests, patellar height, or the prevalence of OA. The prevalence of OA was high in the tibiofemoral joint on the operated side, 79% and 80% in the OPEN and ENDO groups, respectively. For the uninvolved knee, the corresponding numbers were 36% and 21%. CONCLUSION: This study suggests that the open procedure does not produce more functional problems or osteoarthritis compared with the endoscopic technique up to 12 years postoperatively.</t>
  </si>
  <si>
    <t>10.1177/0363546512458766</t>
  </si>
  <si>
    <t>#405</t>
  </si>
  <si>
    <t>Holm 2012</t>
  </si>
  <si>
    <t>Acute Anterior Cruciate Ligament Rupture: Repair or Reconstruction? Two-Year Results of a Randomized Controlled Clinical Trial.</t>
  </si>
  <si>
    <t>Hoogeslag RAG; Brouwer RW; Boer BC; de Vries AJ; Huis In 't Veld R</t>
  </si>
  <si>
    <t>BACKGROUND: Contemporary anterior cruciate ligament (ACL) suture repair techniques have been subject to renewed interest in recent years. Although several clinical studies have yielded good short-term results, high-quality evidence is lacking in regard to the effectiveness of this treatment compared with ACL reconstruction. HYPOTHESIS: Dynamic augmented ACL suture repair is at least as effective as anatomic single-bundle ACL reconstruction for the treatment of acute ACL rupture in terms of patient self-reported outcomes at 2 years postoperatively. STUDY DESIGN: Randomized controlled trial; Level of evidence, 1. METHODS: After stratification and randomization, 48 patients underwent either dynamic augmented ACL suture repair or ACL reconstruction with a single-bundle, all-inside, semitendinosus technique. The International Knee Documentation Committee (IKDC) subjective score at 2 years postoperatively was the primary outcome measure. Patient-reported outcomes (IKDC subjective score, Knee injury and Osteoarthritis Outcome Score, Tegner score, visual analog scale for satisfaction), clinical outcomes (IKDC physical examination score, leg symmetry index for the quadriceps, hamstrings strength, and jump test battery), and radiological outcomes as well as adverse events including reruptures were recorded. Analyses were based on an intention-to-treat principle. RESULTS: The lower limit for the median IKDC subjective score of the repair group (86.2) fell within the prespecified noninferiority margin, confirming noninferiority of dynamic augmented ACL suture repair compared with ACL reconstruction. No statistical difference was found between groups for median IKDC subjective score (repair, 95.4; reconstruction, 94.3). Overall, 2 reruptures (8.7%) occurred in the dynamic ACL suture repair group and 4 reruptures (19.0%) in the ACL reconstruction group; further, 5 repeat surgeries-other than for revision ACL surgery-took place in 4 patients from the dynamic ACL suture repair group (20.8%) and in 3 patients from the ACL reconstruction group (14.3%). CONCLUSION: Dynamic augmented ACL suture repair is not inferior to ACL reconstruction in terms of subjective patient-reported outcomes as measured with the IKDC subjective score 2 years postoperatively. However, for reasons other than revision ACL surgery due to rerupture, a higher number of related adverse events leading to repeat surgery were seen in the dynamic augmented ACL suture repair group within 2 years postoperatively. CLINICAL RELEVANCE: Dynamic augmented ACL suture repair might be a viable treatment option for patients with an acute ACL rupture. REGISTRATION: NCT02310854 ( ClinicalTrials.gov identifier).</t>
  </si>
  <si>
    <t>10.1177/0363546519825878</t>
  </si>
  <si>
    <t>#229</t>
  </si>
  <si>
    <t>HoogeslagRAG 2019</t>
  </si>
  <si>
    <t>Acute Anterior Cruciate Ligament Rupture: Repair or Reconstruction? Five-Year Results of a Randomized Controlled Clinical Trial.</t>
  </si>
  <si>
    <t>Hoogeslag RAG; Huis In 't Veld R; Brouwer RW; de Graaff F; Verdonschot N</t>
  </si>
  <si>
    <t>BACKGROUND: High-level evidence for short-term outcomes of contemporary anterior cruciate ligament (ACL) suture repair (ACLSR) in comparison with those of ACL reconstruction (ACLR) is scarce. High-level evidence for mid- and long-term results is lacking, whereas outcomes of ACLSR in several historical studies were shown to deteriorate at midterm follow-up after initial good short-term outcomes. HYPOTHESIS: Contemporary ACLSR is noninferior to ACLR in the treatment of acute ACL rupture in terms of patient self-reported outcomes at 5 years postoperatively. STUDY DESIGN: Randomized controlled trial; Level of evidence, 1. METHODS: A total of 48 patients were enrolled in the study and, after stratification and randomization, underwent either dynamic augmented (DA) ACLSR or anatomic single-bundle ACLR. The primary outcome measure was the International Knee Documentation Committee 2000 (IKDC) subjective score (IKDCs). Furthermore, the Knee injury and Osteoarthritis Outcome Score (KOOS), Tegner Activity Scale score (TAS), visual analog scale score for satisfaction (VASs), IKDC physical examination score (IKDCpe), limb symmetry index for quadriceps (LSIq) and hamstrings (LSIh) strength and jump test battery (LSIj), Kellgren-Lawrence grade of osteoarthritis (OA), and rate of adverse events were recorded. Analyses were based on an intention-to-treat principle. RESULTS: The lower limit of the 2-sided 95% CI for the median IKDCs of the DA ACLSR group (n = 23; 75.9) was lower than the prespecified noninferiority margin (n = 21; 86.6). Therefore, the null hypothesis was rejected. However, the upper limit of the 2-sided 95% CI of the DA ACLSR group (100.0) was higher than the median IKDCs of the ACLR group (96.6), rendering the result for noninferiority inconclusive. No statistical difference was found between groups for median IKDCs (repair, 90.2; reconstruction, 96.6). Furthermore, no statistically significant differences were found for any of the secondary outcome measures for the DA ACLSR compared with the ACLR group: KOOS Symptoms, 92.9 versus 96.4; KOOS Pain, 100 versus 97.2; KOOS Activities of Daily Living, 100 versus 100; KOOS Sport and Recreation, 85.0 versus 100; TAS score, 7.0 versus 6.5; VASs, 9.2 versus 8.7; IKDCpe, 81.8% versus 100%; LSIq, â‰¥91.6 versus â‰¥88.2; LSIh, â‰¥95.1 versus â‰¥90.7; LSIj, â‰¥94.2 versus â‰¥97.6; OA grade 0, 90.9% versus 77.8%; clinical ACL failure rate, 20.8% versus 27.2%; and repeat surgery rate, 37.5% versus 20.0%, respectively. CONCLUSION: It remains inconclusive whether the effectiveness of DA ACLSR is noninferior to that of ACLR in terms of subjective patient-reported outcomes as measured using the IKDCs. Although DA ACLSR may be a viable treatment option for patients with acute ACL rupture, caution must be exercised when considering this treatment for young, active patients, corresponding to the present study population.</t>
  </si>
  <si>
    <t>10.1177/03635465221090527</t>
  </si>
  <si>
    <t>#132</t>
  </si>
  <si>
    <t>HoogeslagRAG 2022</t>
  </si>
  <si>
    <t>Quadriceps and hamstring tendon autografts in ACL reconstruction yield comparably good results in a prospective, randomized controlled trial.</t>
  </si>
  <si>
    <t>Horstmann H; Petri M; Tegtbur U; Felmet G; Krettek C; Jagodzinski M</t>
  </si>
  <si>
    <t>INTRODUCTION: Comparable data of functional outcomes of anterior cruciate ligament reconstruction using either hamstring- or quadriceps tendon grafts is controversial. This prospective, randomized controlled trial aims to provide data comparing both grafts regarding the functional outcome. MATERIALS AND METHODS: A two centre trial involving symptomatic patients 18Â years of age or older with an anterior cruciate ligament tear was conducted. We randomly assigned 27 patients to quadruple hamstring tendon reconstruction and 24 to quadriceps tendon reconstruction. The patients were evaluated preoperatively, at 3, 6, 12 and 24Â months post-surgery. The primary outcome parameter was the side-to-side knee laxity measured with an arthrometer. Secondary outcomes included results in the International Knee Documentation Committee (IKDC) and Lysholm Scores and isokinetic testing of strength in knee extension and flexion. RESULTS: Forty-four patients (86%) completed the 2-year follow-up. There was significantly improved knee stability at all time intervals with no difference between the two study groups. The manual side-to-side displacement improved by 4.7â€‰Â±â€‰3.0Â mm in patients with hamstring tendon reconstruction and 5.5â€‰Â±â€‰2.9Â mm in patients with quadriceps tendon reconstruction. In addition, muscle strength and outcome scores (IKDC and Lysholm Score) did not show any differences between the hamstring tendon group and the quadriceps tendon group. Patients in the hamstring tendon group returned to their pre-injury activity level after 95.2â€‰Â±â€‰45.5Â days while patients in the quadriceps tendon group needed 82.1â€‰Â±â€‰45.6Â days. CONCLUSION: Quadriceps and hamstring tendon autografts yield comparably good results in primary anterior cruciate ligament reconstruction.</t>
  </si>
  <si>
    <t>#161</t>
  </si>
  <si>
    <t>Preliminary effects of hyaluronic acid on early rehabilitation of patients with isolated anterior cruciate ligament reconstruction.</t>
  </si>
  <si>
    <t>Huang MH; Yang RC; Chou PH</t>
  </si>
  <si>
    <t>OBJECTIVE: To investigate the effects of Hyaluronic acid (HA) on early rehabilitation of patients with isolated anterior cruciate ligament (ACL) reconstruction. DESIGN: Randomized, controlled clinical trial. SETTING: A total 120 patients with isolated ACL injury who had received patellar tendon autograft reconstruction were randomly assigned to four groups (groups I-IV), with 30 subjects in each group. INTERVENTIONS: All patients received 16 weeks of a regular rehabilitation program and an intra-articular injection of HA or saline weekly for 3 weeks. Additionally, patients in group I received the HA commencing at 4 weeks after surgery, patients in group II at 8 weeks, and patients in group III at 12 weeks. Patients in group IV did not receive HA but did receive the same volume of normal saline as control subjects at 4 weeks after surgery. The rehabilitation program started at the same time after surgery for all groups. MAIN OUTCOME MEASUREMENTS: Outcomes were measured at 4, 8, 12, and 16 weeks after reconstruction, and at follow-up 1 year later. These included the changes in Lysholm knee scoring scale, knee range of motion, ambulation speed (AS), and muscle peak torque (MPT) of knee flexion and extension. RESULTS: There were improvements in groups I-III shortly after receiving the HA, but not in the saline group (group IV). Patients in groups II and III showed more improvement in AS and MPT after rehabilitation program and at follow-up. Besides, the best results 1 year later occurred in the group receiving HA at 8 weeks after surgery (group II). CONCLUSION: HA therapy results in more functional and MPT improvement in ACL rehabilitation, and the intervention at 8 weeks after surgery results in the best outcome.</t>
  </si>
  <si>
    <t>Clin J Sport Med</t>
  </si>
  <si>
    <t>10.1097/JSM.0b013e31812570fa</t>
  </si>
  <si>
    <t>#524</t>
  </si>
  <si>
    <t>Huang 2007</t>
  </si>
  <si>
    <t>Comparing the Effectiveness of BloodÂ Flow Restriction and Traditional Heavy Load Resistance Training in the Post-Surgery Rehabilitation of Anterior Cruciate Ligament Reconstruction Patients: A UK National Health Service Randomised Controlled Trial.</t>
  </si>
  <si>
    <t>Hughes L; Rosenblatt B; Haddad F; Gissane C; McCarthy D; Clarke T; Ferris G; Dawes J; Paton B; Patterson SD</t>
  </si>
  <si>
    <t>BACKGROUND: We implemented a bloodÂ flow restriction resistance training (BFR-RT) intervention during an 8-week rehabilitation programme in anterior cruciate ligament reconstruction (ACLR) patients within a National Health Service setting. OBJECTIVE: To compare the effectiveness of BFR-RT and standard-care traditional heavy-load resistance training (HL-RT) at improving skeletal muscle hypertrophy and strength, physical function, pain and effusion in ACLR patients following surgery. METHODS: 28 patients scheduled for unilateral ACLR surgery with hamstring autograft were recruited for this parallel-group, two-arm, single-assessor blinded, randomised clinical trial following appropriate power analysis. Following surgery, a criteria-driven approach to rehabilitation was utilised and participants were block randomised to either HL-RT at 70% repetition maximum (1RM) (nâ€‰=â€‰14) or BFR-RT (nâ€‰=â€‰14) at 30% 1RM. Participants completed 8Â weeks of biweekly unilateral leg press training on both limbs, totalling 16 sessions, alongside standard hospital rehabilitation. Resistance exercise protocols were designed consistent with standard recommended protocols for each type of exercise. Scaled maximal isotonic strength (10RM), muscle morphology of the vastus lateralis of the injured limb, self-reported function, Y-balance test performance and knee joint pain, effusion and range of motion (ROM) were assessed at pre-surgery, post-surgery, mid-training and post-training. Knee joint laxity and scaled maximal isokinetic knee extension and flexion strength at 60Â°/s, 150Â°/s and 300Â°/s were measured at pre-surgery and post-training. RESULTS: Four participants were lost, with 24 participants completing the study (12 per group). There were no adverse events or differences between groups for any baseline anthropometric variable or pre- toÂ post-surgery change in any outcome measure. Scaled 10RM strength significantly increased in the injured limb (104â€‰Â±â€‰30% and 106â€‰Â±â€‰43%) and non-injured limb (33â€‰Â±â€‰13% and 39â€‰Â±â€‰17%) with BFR-RT and HL-RT, respectively, with no group differences. Significant increases in knee extension and flexion peak torque were observed at all speeds in the non-injured limb with no group differences. Significantly greater attenuation of knee extensor peak torque loss at 150Â°/s and 300Â°/s and knee flexor torque loss at all speeds was observed with BFR-RT. No group differences in knee extensor peak torque loss were found at 60Â°/s. Significant and comparable increases in muscle thickness (5.8â€‰Â±â€‰0.2% and 6.7â€‰Â±â€‰0.3%) and pennation angle (4.1â€‰Â±â€‰0.3% and 3.4â€‰Â±â€‰0.1%) were observed with BFR-RT and HL-RT, respectively, with no group differences. No significant changes in fascicle length were observed. Significantly greater and clinically important increases in several measures of self-reported function (50-218â€‰Â±â€‰48% vs. 35-152â€‰Â±â€‰56%), Y-balance performance (18-59â€‰Â±â€‰22% vs. 18-33â€‰Â±â€‰19%), ROM (78â€‰Â±â€‰22% vs. 48â€‰Â±â€‰13%) and reductions in knee joint pain (67â€‰Â±â€‰15% vs. 39â€‰Â±â€‰12%) and effusion (6â€‰Â±â€‰2% vs. 2â€‰Â±â€‰2%) were observed with BFR-RT compared to HL-RT, respectively. CONCLUSION: BFR-RT can improve skeletal muscle hypertrophy and strength to a similar extent to HL-RT with a greater reduction in knee joint pain and effusion, leading to greater overall improvements in physical function. Therefore, BFR-RT may be more appropriate for early rehabilitation in ACLR patient populations within the National Health Service.</t>
  </si>
  <si>
    <t>Sports Med</t>
  </si>
  <si>
    <t>10.1007/s40279-019-01137-2</t>
  </si>
  <si>
    <t>#217</t>
  </si>
  <si>
    <t>Hughes 2019</t>
  </si>
  <si>
    <t>Examination of the comfort and pain experienced with blood flow restriction training during post-surgery rehabilitation of anterior cruciate ligament reconstruction patients: A UK National Health Service trial.</t>
  </si>
  <si>
    <t>Hughes L; Patterson SD; Haddad F; Rosenblatt B; Gissane C; McCarthy D; Clarke T; Ferris G; Dawes J; Paton B</t>
  </si>
  <si>
    <t>OBJECTIVE: Examine the comfort and pain experienced with blow flow restriction resistance training (BFR-RT) compared to standard care heavy load resistance training (HL-RT) during anterior cruciate ligament reconstruction (ACLR) patient rehabilitation. DESIGN: Randomised controlled trial. SETTING: United Kingdom National Health Service. PARTICIPANTS: Twenty eight patients undergoing unilateral ACLR surgery with hamstring autograft were recruited. Following surgery participants were block randomised to either HL-RT at 70% repetition maximum (1RM) (nâ€¯=â€¯14) or BFR-RT (nâ€¯=â€¯14) at 30% 1RM and completed 8 weeks of twice weekly unilateral leg press training on both limbs. MAIN OUTCOME MEASURES: Perceived knee pain, muscle pain and rating of perceived exertion (RPE) were assessed using Borg's (1998) RPE and pain scales during training. Knee pain was also assessed 24â€¯h post-training. RESULTS: There were no adverse events. Knee pain was lower with BFR-RT during (pâ€¯&lt;â€¯0.05) and at 24â€¯h post-training (pâ€¯&lt;â€¯0.05) with BFR-RT for all sessions. Muscle pain was higher (pâ€¯&lt;â€¯0.05) with BFR-RT compared to HL-RT during all sessions. RPE remained unchanged (pâ€¯&gt;â€¯0.05) for both BFR-RT and HL-RT. CONCLUSION: ACLR patients experienced less knee joint pain and reported similar ratings of perceived exertion during and following leg press exercise with BFR-RT compared to traditional HL-RT. BFR-RT may be more advantageous during the early phases of post-surgery ACLR rehabilitation.</t>
  </si>
  <si>
    <t>Phys Ther Sport</t>
  </si>
  <si>
    <t>10.1016/j.ptsp.2019.06.014</t>
  </si>
  <si>
    <t>#218</t>
  </si>
  <si>
    <t>Upregulation of Systemic Inflammatory Pathways Following Anterior Cruciate Ligament Injury Relates to Both Cartilage and Muscular Changes: A Pilot Study.</t>
  </si>
  <si>
    <t>Hunt ER; Villasanta-Tezanos AG; Butterfield TA; Lattermann C; Jacobs CA</t>
  </si>
  <si>
    <t>In conjunction with cartilage breakdown, muscle maladaptation including atrophy and increased fibrosis have been observed in the quadriceps following anterior cruciate ligament (ACL) injury. Previously observed upregulated muscle-related proteins in the synovial fluid following ACL rupture allude to cellular communication between the joint and muscle. Therefore, the purpose of this study was to determine whether muscle-related analytes are differentially expressed in the serum. Sixteen patients with an acute ACL tear participated in this IRB-approved study. Serum was obtained at two different time points at a mean of 6 and 14 days post-injury, and serum was analyzed by a highly multiplexed assay of 1,300 proteins. Pathway analysis using DAVID was performed; genes included met three criteria: significant change between the two study time points using a paired t test, significant change between the two study time points using a Mann-Whitney non-parametric test, and significant Benjamini post hoc analysis. Twelve analytes significantly increased between time points. Proteins chitinase-3-like protein 1 (pâ€‰=â€‰0.01), insulin-like growth factor binding protein 1 (pâ€‰=â€‰0.01), insulin-like growth factor binding protein 5 (pâ€‰=â€‰0.02), renin (pâ€‰=â€‰0.004), and lymphotoxin alpha 1: beta 2 (pâ€‰=â€‰0.03) were significantly upregulated in serum following acute ACL injury. The current results confirm the inflammatory pattern previously seen in the synovial fluid thought to play a role in the progression of post-traumatic osteoarthritis after ACL injury, and this data also provides further insights into important communication between the joint and quadriceps group, whose function is important in long term health. Â© 2019 Orthopaedic Research Society. Published by Wiley Periodicals, Inc. J Orthop Res 38:387-392, 2020.</t>
  </si>
  <si>
    <t>10.1002/jor.24467</t>
  </si>
  <si>
    <t>#211</t>
  </si>
  <si>
    <t>Hunt 2020</t>
  </si>
  <si>
    <t>Prospective randomized clinical evaluation of conventional single-bundle, anatomic single-bundle, and anatomic double-bundle anterior cruciate ligament reconstruction: 281 cases with 3- to 5-year follow-up.</t>
  </si>
  <si>
    <t>Hussein M; van Eck CF; Cretnik A; Dinevski D; Fu FH</t>
  </si>
  <si>
    <t>BACKGROUND: Three different techniques of anterior cruciate ligament (ACL) reconstruction--conventional (transtibial) single bundle (CSB), anatomic single bundle (ASB), and anatomic double bundle (ADB)--have been described. PURPOSE: To determine if double-bundle reconstruction is needed to restore rotational stability or if anatomic placement of a single bundle can yield similar results. STUDY DESIGN: Randomized controlled trial; Level of evidence, 1. METHODS: From December 2005 to December 2007, 320 patients were prospectively randomized into 3 groups: ADB, ASB, and CSB reconstruction. The average follow-up was 51.15 months (range, 39-63 months). At the final follow-up, 281 patients were available. In all groups, hamstring tendons were used with suspensory fixation on the femoral side and bioabsorbable interference screw fixation on the tibial side. The outcomes were evaluated by an independent blinded observer using the Lysholm score and subjective International Knee Documentation Committee (IKDC) form. The KT-1000 arthrometer was used to evaluate anteroposterior stability, and the pivot-shift test was used to determine rotational stability. RESULTS: Anatomic single-bundle reconstruction resulted in better anteroposterior and rotational stability than CSB reconstruction (average side-to-side difference for anterior tibial translation was 1.6 mm in the ASB group vs 2.0 mm in the CSB group; P = .002). Negative pivot_shift was 66.7% vs 41.7% (P = .003). In other parameters, the differences between groups were not statistically significant. The results of the ADB group were also superior to the ASB group for anteroposterior and rotational stability (average side-to-side difference for anterior tibial translation was 1.2 mm in the ADB group vs 1.6 mm in the ASB group; P = .002). Negative pivot_shift was 93.1% vs 66.7%, respectively (P &lt; .001), and range of motion was also significantly different (P = .005). The Lysholm score was 90.9, 91.8, and 93.0 in the CSB, ASB, and ADB groups, respectively. The difference was significant only when we compared ADB and CSB (P = .025). Subjective IKDC scores were 90.2, 90.6, and 92.1 in the CSB, ASB, and ADB groups, respectively. The difference was not significant. CONCLUSION: Anatomic double-bundle ACL reconstruction is significantly superior to conventional single-bundle ACL reconstruction and better than anatomic single-bundle reconstruction. Anatomic single-bundle reconstruction was superior to conventional single-bundle reconstruction. However, these differences are small and may not be clinically relevant.</t>
  </si>
  <si>
    <t>10.1177/0363546511426416</t>
  </si>
  <si>
    <t>#424</t>
  </si>
  <si>
    <t>Hussein 2012</t>
  </si>
  <si>
    <t>Does press-fit technique reduce tunnel volume enlargement after anterior cruciate ligament reconstruction with autologous hamstring tendons? A prospective randomized computed tomography study.</t>
  </si>
  <si>
    <t>Hwang DH; Shetty GM; Kim JI; Kwon JH; Song JK; MuÃ±oz M; Lee JS; Nha KW</t>
  </si>
  <si>
    <t>PURPOSE: The purpose of this prospective, randomized, computed tomography-based study was to investigate whether the press-fit technique reduces tunnel volume enlargement (TVE) and improves the clinical outcome after anterior cruciate ligament reconstruction at a minimum follow-up of 1 year compared with conventional technique. METHODS: Sixty-nine patients undergoing primary ACL reconstruction using hamstring autografts were randomly allocated to either the press-fit technique group (group A) or conventional technique group (group B). All patients were evaluated for TVE and tunnel widening using computed tomography scanning, for functional outcome using International Knee Documentation Committee and Lysholm scores, for rotational stability using the pivot-shift test, and for anterior laxity using the KT-2000 arthrometer at a minimum of 1-year follow-up. RESULTS: There were no significant differences in TVE between the 2 groups. In group A, in which the press-fit technique was used, mean volume enlargement in the femoral tunnel was 65% compared with 71.5% in group B (P = .84). In group A, 57% (20 of 35) of patients developed femoral TVE compared with 67% (23 of 34) of patients in group B (P = .27). Both groups showed no significant difference for functional outcome (mean Lysholm score P = .73, International Knee Documentation Committee score P = .15), or knee laxity (anterior P = .78, rotational P = .22) at a minimum follow-up of 1 year. CONCLUSIONS: In a comparison of press-fit and conventional techniques, there were no significant differences in TVE and clinical outcome at short-term follow-up. LEVEL OF EVIDENCE: Level II, therapeutic study, prospective randomized clinical trial.</t>
  </si>
  <si>
    <t>10.1016/j.arthro.2012.07.007</t>
  </si>
  <si>
    <t>#392</t>
  </si>
  <si>
    <t>Hwang 2013</t>
  </si>
  <si>
    <t>Does Functional Neuromuscular Electrical Stimulation (NMES) Influence Calf Atrophy Following Achilles Tendon Surgery? Prospective Double-Blind Randomized Controlled Trial on the Use of Immediate Postoperative Electrical Muscle Stimulation to Preserve Musc</t>
  </si>
  <si>
    <t>Hyer CF; Berlet G; Philbin T; Bull P; BrandÃ£o R; Prissel M; Malay DS</t>
  </si>
  <si>
    <t>Surgical repair of the Achilles tendon can lead to prolonged calf atrophy and functional limitations, even with early weightbearing. The use of neuromuscular electrical stimulation (NMES) has been studied in muscle rehabilitation programs following anterior cruciate ligament repair. Accelerated recovery and pain reduction were noted. The aim of the present study was to evaluate the use of electrical stimulation on maintaining calf muscle cross-sectional area volume and improving patient reported outcome measures following Achilles tendon surgery. Randomized controlled clinical trial. Forty patients were enrolled. All patients had undergone repair of the Achilles tendon. A 4 lead NMES device was applied at time of surgery with both patient and surgeon blinded to activity of the device. All patients followed a standardized postoperative protocol. Group 1 consisted of 20 patients who received protocol specific NMES. Group 2 was the "sham device" control group, receiving subtherapeutic electrical stimulation. Preoperative and postoperative calf circumference (2, 6, 12 weeks) and magnetic resonance imaging (MRI) scans (2, 6 weeks) were conducted. Patient-reported functional outcome scores were measured. Of the 40 patients, 23 (57.5%) were male and 17 (42.5%) were female. The mean age was 48.9 years (11.1 standard deviation [SD]) with a mean body mass index of 32.2 kg/m(2) (5.7 SD). Calf measurements for Group 1 (39.3 cm and 39.7 cm) were slightly higher compared Group 2 (38.4 cm and 39.2 cm) at 6 and 12 weeks postoperative. Functional scores were similar between Groups 1 and 2 at final follow-up. Foot/Ankle Computer Adaptive Test scores were 55.1 (6.9 SD) versus 58.4(8.6 SD), and American Orthopaedic Foot and Ankle Society Ankle-Hindfoot scores were 82.3 (8.2 SD) and 83.9 (9.3 SD), respectively. The visual analog scale at 12-week visit for Groups 1 and 2 was 8.4 (9.3 SD) and 8.4 (9.1 SD), respectively. This prospective randomized controlled trial was undertaken to quantify and validate the effect and ability of NMES to minimize calf atrophy after acute or chronic repair. No statistically significant difference was found between active NMES and sham control group. There was a trend showing some maintenance of calf volume per MRI study.</t>
  </si>
  <si>
    <t>J Foot Ankle Surg</t>
  </si>
  <si>
    <t>10.1053/j.jfas.2020.12.005</t>
  </si>
  <si>
    <t>#162</t>
  </si>
  <si>
    <t>Hyer 2021</t>
  </si>
  <si>
    <t>Femoral nerve block using 0.25% or 0.5% bupivacaine for analgesia after arthroscopic anterior cruciate ligament reconstruction.</t>
  </si>
  <si>
    <t>Iamaroon A; Tangwiwat S; Sirivanasandha B; Halilamien P; Lertpenmetha Y; Sirimaneewattana S; Surachetpong S; Puangchan S</t>
  </si>
  <si>
    <t>BACKGROUND: Femoral nerve block (FNB) with varying concentrations of bupivacaine is often used for postoperative analgesia after anterior cruciate ligament (ACL) reconstruction. OBJECTIVE: To determine whether FNB using 0.25% or 0.5% bupivacaine provided better analgesia with less effect on quadriceps strengths after ACL reconstruction. MATERIAL AND METHOD: One hundred patients were randomized to receive FNB with 20 mL of 0.25% or 0.5% bupivacaine. Data regarding demographic, effectiveness of FNB, time to first pain, time to first analgesic, pain scores, morphine use, and recovery of sensory and motor function were recorded. RESULTS: Median time to first morphine requirement was 12 hours in 0.5% bupivacaine group and 10 hours in 0.25% bupivacaine group (p = 0.048). Pain score at 18 hours was lower in 0.5% bupivacaine group compared with 0.25% bupivacaine group (p = 0.001). When specify to the patellar tendon graft subgroup, the patients requiring morphine were 70% in 0.5% bupivacaine group and 90% in 0.25% bupivacaine group (p = 0.03). No differences were found in demographic data, effectiveness of FNB, time to first pain, morphine consumption, and recovery of sensorimotor function. CONCLUSION: FNB with 0.5% bupivacaine provided longer time to first analgesic and lower narcotic requirements after patellar tendon graft ACL reconstruction when compared to 0.25% bupivacaine. Both concentrations showed similar effect on quadriceps strengths.</t>
  </si>
  <si>
    <t>J Med Assoc Thai</t>
  </si>
  <si>
    <t>#344</t>
  </si>
  <si>
    <t>Iamaroon 2014</t>
  </si>
  <si>
    <t>Femoral Nerve Block versus Intra-Articular Infiltration: A Preliminary Study of Analgesic Effects and Quadriceps Strength in Patients Undergoing Arthroscopic Anterior Cruciate Ligament Reconstruction.</t>
  </si>
  <si>
    <t>Iamaroon A; Tamrongchote S; Sirivanasandha B; Halilamien P; Lertwanich P; Surachetpong S; Rungwattanakit P</t>
  </si>
  <si>
    <t>BACKGROUND: Adequate analgesia and early rehabilitation is necessary for arthroscopic anterior cruciate ligament reconstruction (A CLR) surgery. OBJECTIVE: To compare analgesia and quadriceps strength after femoral nerve block (FNB) with intra-articular infiltration (IA) using 0.25% bupivacaine for ACLR with patella tendon graft. MATERIAL AND METHOD: Forty patients were randomized to receive FNB under ultrasound guidance with 20 mL of bupivacaine or IA with 15 mL of bupivacaine into the knee joint and 5 mL infiltrated along the incision sites including portal sites at the end of surgery. All patients received intravenous ketorolac at wound closure. Data regarding demographic, time to first pain, time to first morphine requirement, morphine usage, pain scores and quadriceps strength were recorded. RESULTS: Significant difference in quadriceps strength was shown. Ninety percent of patients in Group IA and fifty-five percent of patients in Group FNB had good ability to extend knee at 24 hours after surgery (p = 0.013). No differences were found in demographic data, time to first pain, time to first morphine requirement, post operative pain scores and morphine consumption, CONCLUSION: The preliminary results demonstrated that IA has an effect on quadriceps strength less than FNB while provide comparable postoperative analgesia after patellar tendon graft ACLR.</t>
  </si>
  <si>
    <t>#293</t>
  </si>
  <si>
    <t>Iamaroon 2016</t>
  </si>
  <si>
    <t>Clinical evaluation of arthroscopically assisted anterior cruciate ligament reconstruction: patellar tendon versus gracilis and semitendinosus autograft.</t>
  </si>
  <si>
    <t>Ibrahim SA; Al-Kussary IM; Al-Misfer AR; Al-Mutairi HQ; Ghafar SA; El Noor TA</t>
  </si>
  <si>
    <t>PURPOSE: To evaluate the clinical results of anterior cruciate ligament (ACL) reconstruction in patients with ACL-deficient knee in 2 similar groups of patients. TYPE OF STUDY: A prospective randomized comparison of patellar tendon (PT) versus semitendinosus and gracilis tendon (STG) autografts for ACL reconstruction. METHODS: Between 1994 and 1996, 85 consecutive male patients with chronic ACL-deficient knees underwent arthroscopically assisted reconstruction with either autologous PT or double-loop STG (4-strand) graft. PT grafts were used in patients with even-numbered birth dates and STG grafts for those with odd-numbered birth dates. Preoperatively, no significant differences between the 2 groups were noted with respect to age, level of activity, and degree of laxity (chi-square analysis). A standardized rehabilitation program was used for both groups postoperatively that included immediate active extension and early weight bearing and gradual flexion. Return to sports was permitted 8 months postoperatively. Assessment of the patients was carried out using a questionnaire, clinical assessment, Lysholm knee scores, the International Knee Documentation Committee scale, and radiological examination. RESULTS: At a mean follow-up of 81 months, there was no significant difference between the 2 groups with respect to subjective complaints (recurrent giving way, functional level) or objective laxity evaluation, including KT-1000 measurement or return to sports. Loss of extension of &lt; or =5 degrees was greater in the PT group (12 patients, 30 %) than in the STG group (8 patients, 17 %). There was loss of flexion of &lt; or =15 degrees in 5 patients (12 %) in the PT group and 1 patient (2.2 %) in the STG group. Anterior knee pain was recorded in 10 patients (24 %) in the PT group and 3 patients (5 %) in the STG group. The Lysholm knee score was 91.6 and 92.7 for the PT and STG groups, respectively, and the Tegner activity score decreased from 8.9 preoperatively for both groups to 7.9 for the PT group and 7.8 for the STG group. CONCLUSION: In this study, the 2 groups had comparable results in terms of patient satisfaction, activity level, and knee function. Our study showed that patellofemoral problems and loss of knee motion are more frequent in patients with PT grafts than in those with STG grafts. LEVEL OF EVIDENCE: Level I, Randomized Controlled Trial.</t>
  </si>
  <si>
    <t>#566</t>
  </si>
  <si>
    <t>Anterior cruciate ligament reconstruction using autologous hamstring double bundle graft compared with single bundle procedures.</t>
  </si>
  <si>
    <t>Ibrahim SA; Hamido F; Al Misfer AK; Mahgoob A; Ghafar SA; Alhran H</t>
  </si>
  <si>
    <t>A total of 218 patients with unilateral anterior cruciate ligament deficiency were randomly assigned to one of four groups. In group A an anatomical double bundle anterior cruciate ligament reconstruction was performed; group B were treated by a single bundle using an Endobutton for femoral fixation; in group C by a single bundle using RigidFix cross pins for femoral fixation; and in group D by a single bundle using a bioabsorbable TransFix II screw for femoral fixation. For tibial fixation a bioabsorbable Intrafix interference screw was used for all the groups and the graft was fashioned from the semitendinosus and gracilis tendons in all patients. In all, 18 patients were lost to follow-up. The remaining 200 were subjected to a clinical evaluation, with assessment of the anterior drawer, Lachman's and the pivot-shift tests, and KT-1000 arthrometer measurement. They also completed the International Knee Documentation Committee, Lysholm knee and Tegner activity scores. At a mean of 29 months (25 to 38) follow-up there were no significant differences concerning time between injury and range of movement and Lysholm knee scores among the four groups. However, the double bundle method showed significantly better results for the pivot-shift test (p = 0.002). The KT 1000 measurements showed a mean difference between the reconstructed knee and the patients' normal knee of 1.4 mm in the double bundle group and 2.4 mm in the single bundle group; which was statistically significant. The Lachman and anterior drawer tests also showed superior results for the double bundle method. The International Knee Documentation Committee scale showed no significant difference among the groups (p &lt; 0.001). On clinical evaluation the double bundle group showed less laxity than the single bundle groups. However, regardless of the technique, all knees were improved by anterior cruciate ligament reconstruction compared with their pre-operative status.</t>
  </si>
  <si>
    <t>10.1302/0301-620X.91B10.21886</t>
  </si>
  <si>
    <t>#467</t>
  </si>
  <si>
    <t>Ibrahim 2009</t>
  </si>
  <si>
    <t>Intratunnel versus extratunnel autologous hamstring double-bundle graft for anterior cruciate ligament reconstruction: a comparison of 2 femoral fixation procedures.</t>
  </si>
  <si>
    <t>Ibrahim SA; Abdul Ghafar S; Marwan Y; Mahgoub AM; Al Misfer A; Farouk H; Wagdy M; Alherran H; Khirait S</t>
  </si>
  <si>
    <t>BACKGROUND: Anatomic double-bundle anterior cruciate ligament (ACL) reconstruction provides excellent results for restoring normal kinematics to the knee. Nevertheless, strong evidence supporting an ideal method for fixation of the ACL graft is lacking. HYPOTHESIS: Intratunnel femoral fixation of the ACL graft via a cross-pin fixation technique would provide better clinical and objective results than the extratunnel femoral fixation with cortical buttons. STUDY DESIGN: Randomized clinical trial; Level of evidence, 2. METHODS: Seventy patients with a unilateral ACL-deficient knee were randomly assigned to 1 of 2 femoral fixation groups. Group A (35 patients) was fixed with 2 bioabsorbable Rigidfix pins, 1 cross-pin per bundle, while group B (35 patients) was secured with 1 EndoButton cortical button per bundle. All femoral tunnels were created via an anteromedial portal, and a bioabsorbable Biointrafix interference screw was used for tibial fixation for both groups. The evaluation of the patients was performed by history details, clinical examination findings, measurement of the joint laxity by KT-1000 arthrometer, and use of validated patient outcome questionnaires. Statistical analysis was carried out with Fisher exact and Mann-Whitney U tests, with P&lt;.05 considered the cutoff level of significance. RESULTS: At a mean follow-up of 30 months, 34 and 32 patients of group A and B, respectively, were available for evaluation. There were no statistically significant differences between the treatment groups regarding the subjective and objective outcomes, except for KT-1000 arthrometer values. The median KT-1000 value of patients in the cross-pin fixation group was 1.30 mm, while the median value in the cortical button fixation group was 1.95 mm (P&lt;.001). Four patients with ACL grafts that were fixed with cortical buttons demonstrated failure of stability via the instrumented knee laxity testing, while patients from the other group had no failures. CONCLUSION: Intratunnel femoral fixation of the double-bundle ACL graft from the cross-pin fixation technique provided better instrumented knee laxity results than did the extratunnel femoral fixation with cortical buttons. Future larger studies comparing these 2 techniques should be conducted to ensure the availability of stronger evidence supporting the findings of this study.</t>
  </si>
  <si>
    <t>10.1177/0363546514554189</t>
  </si>
  <si>
    <t>#341</t>
  </si>
  <si>
    <t>Ibrahim 2015</t>
  </si>
  <si>
    <t>Ultrasound-guided adductor canal block after arthroscopic anterior cruciate ligament reconstruction: Effect of adding dexamethasone to bupivacaine, a randomized controlled trial.</t>
  </si>
  <si>
    <t>Ibrahim AS; Aly MG; Farrag WS; Gad El-Rab NA; Said HG; Saad AH</t>
  </si>
  <si>
    <t>BACKGROUND: Dexamethasone improves the quality and duration of peripheral nerve block when used as an adjuvant to local anaesthetic. We evaluated the effect of adding dexamethasone to bupivacaine on the duration of postoperative analgesia in patients undergoing knee arthroscopy using ultrasound-guided adductor canal block. METHODS: The study was a randomized, double-blinded trial. Sixty patients scheduled for arthroscopic anterior cruciate ligament reconstruction were randomly allocated into two groups to receive adductor canal block. The control group received 20Â mL bupivacaine 0.5%Â +Â 2Â mL normal saline, and the dexamethasone group received 20Â mL bupivacaine 0.5%Â +Â 2Â mL dexamethasone (8Â mg). Measurements included onset and duration of sensory blockade, visual analog score, time to first analgesic requirement, analgesic consumption, satisfaction score and assessment of quadriceps strength. RESULTS: Duration of sensory block was significantly longer in the dexamethasone group (17.42Â Â±Â 5.24Â h) than the control group (12.52Â Â±Â 1.16Â h), pÂ &lt;Â 0.001. The visual analog score was significantly lower (pÂ &lt;Â 0.05) in the dexamethasone group. Time to first analgesic requirement was significantly longer in the dexamethasone group (13.37Â Â±Â 3.68Â h) compared with the control group (10.57Â Â±Â 0.93Â h), pÂ &lt;Â 0.001. Ketorolac dose as a rescue analgesic was significantly higher in the control group (pÂ &lt;Â 0.001), whereas patients' satisfaction score was significantly higher in the dexamethasone group (pÂ &lt;Â 0.001). CONCLUSION: The addition of dexamethasone to bupivacaine in adductor canal block provides prolonged postoperative analgesia and less postoperative analgesic consumption than bupivacaine alone in anterior cruciate ligament arthroscopic surgery. SIGNIFICANCE: Adding dexamethasone to bupivacaine in adductor canal block significantly increases the duration of sensory block, time to first analgesic requirement and patients' satisfaction score in anterior cruciate ligament arthroscopic surgery.</t>
  </si>
  <si>
    <t>Eur J Pain</t>
  </si>
  <si>
    <t>10.1002/ejp.1292</t>
  </si>
  <si>
    <t>#239</t>
  </si>
  <si>
    <t>Ibrahim 2019</t>
  </si>
  <si>
    <t>A Comparison of Central Anatomic Single-Bundle Reconstruction and Anatomic Double-Bundle Reconstruction in Anteroposterior and Rotational Knee Stability: Intraoperative Biomechanical Evaluation.</t>
  </si>
  <si>
    <t>Ikuta Y; Nakamae A; Shimizu R; Ishikawa M; Nakasa T; Ochi M; Adachi N</t>
  </si>
  <si>
    <t>Postoperative anterior and rotational stability are still controversial when compared with single-bundle (SB) and double-bundle (DB) anterior cruciate ligament (ACL) reconstruction. This study aimed to compare the central anatomical SB and anatomical DB ACL reconstruction in intraoperative knee kinematics during continuous knee flexion-extension. A total of 34 patients who underwent ACL reconstruction using the hamstring tendon were evaluated intraoperatively before and immediately after ACL reconstruction using OrthoPilot ACL Navigation System Version 3.0. The patients were prospectively randomized into the central anatomical SB (17 knees) and the anatomical DB reconstruction (17 knees) groups. The tibial translation and rotation were continuously measured during knee flexion-extension under conventional knee motion, anterior tibial load (100N), and internal-external torque (3 NÂ·m). The anterior tibial translation and total range of tibial rotation were calculated from the measurement values from 20 to 50 degrees at each 5-degree point. The anterior tibial translation (pâ€‰=â€‰0.59; two-factor repeated measures analysis of variance; Î· (2)Gâ€‰=â€‰0.0077) and total range of tibial rotation (pâ€‰=â€‰0.95; Î· (2)Gâ€‰=â€‰0.0001) at each knee flexion angle showed no significant difference between the central anatomical SB and anatomical DB reconstruction groups. It is suggested that the central anatomical SB reconstruction is comparable with the anatomical DB reconstruction in biomechanical anteroposterior and rotational knee stability at time 0.</t>
  </si>
  <si>
    <t>10.1055/s-0040-1713730</t>
  </si>
  <si>
    <t>#185</t>
  </si>
  <si>
    <t>Ikuta 2022</t>
  </si>
  <si>
    <t>Anatomic single-bundle anterior cruciate ligament reconstruction improves walking economy: hamstrings tendon versus patellar tendon grafts.</t>
  </si>
  <si>
    <t>Iliopoulos E; Galanis N; Zafeiridis A; Iosifidis M; Papadopoulos P; Potoupnis M; Geladas N; Vrabas IS; Kirkos J</t>
  </si>
  <si>
    <t>PURPOSE: Anterior cruciate ligament (ACL) injury is associated with a pathologic gait pattern and increased energy cost during locomotion. ACL reconstruction could improve the gait pattern. Hamstrings tendon (HAM) and bone-patellar tendon-bone (BPTB) grafts are usually used for reconstruction. The aim of this study was to compare the efficacy of anatomic ACL reconstruction with HAM and BPTB grafts on improving and normalizing the energy cost and physiologic reserves during flat, uphill, and downhill walking. METHODS: Twenty male subjects with unilateral ACL injuries were randomly assigned to ACL reconstruction with a HAM (nÂ =Â 10) or BPTB (nÂ =Â 10) graft. Ten matched controls were also enrolled. All participants performed three 8-min walking tasks at 0, +10, and -10Â % gradients before and 9Â months after surgery. Energy cost (oxygen consumption, VO(2)), heart rate (HR), and ventilation (VE) were measured. Lysholm/IKDC scores were recorded. RESULTS: Pre-operatively, VO(2), HR, and VE were higher in the HAM and BPTB groups than in controls during walking at 0, +10, and -10Â % gradients (pÂ &lt;Â 0.001-0.01). Post-operatively, both HAM and BPTB groups showed reduced VO(2), HR, and VE during the three walking tasks (pÂ &lt;Â 0.001-0.01). Although the post-operative VO(2) in both surgical groups reached 90-95Â % of the normative (control) value during walking, it remained elevated against the value observed in controls (pÂ &lt;Â 0.001-0.01). The HAM and BPTB groups showed no differences in post-surgical VO(2) or HR during walking at all three gradients. CONCLUSION: Anatomic ACL reconstruction with either HAM or BPTB graft resulted in similar short-term improvements in energy cost and nearly normalized locomotion economy and cardiorespiratory reserves during flat, uphill, and downhill walking. The improved locomotion economy is an additional benefit of anatomic ACL reconstruction, irrespective of the type of graft used, that the orthopaedic surgeons should consider. LEVEL OF EVIDENCE: II.</t>
  </si>
  <si>
    <t>#297</t>
  </si>
  <si>
    <t>Aseptically processed and chemically sterilized BTB allografts for anterior cruciate ligament reconstruction: a prospective randomized study.</t>
  </si>
  <si>
    <t>Indelicato PA; Ciccotti MG; Boyd J; Higgins LD; Shaffer BS; Vangsness CT Jr</t>
  </si>
  <si>
    <t>PURPOSE: To compare the clinical outcomes of bone-patellar tendon-bone (BTB) allografts processed via a novel sterilization system with the traditional aseptically processed BTB allografts for anterior cruciate ligament (ACL) reconstruction. METHODS: A total of 67 patients undergoing ACL reconstruction at 6 independent investigation sites were randomized into one of two intervention groups, BioCleanse-sterilized or aseptic BTB allografts. Inclusion criteria included an acute, isolated, unilateral ACL tear, and exclusion criteria included prior ACL injury, multi-ligament reconstruction, and signs of degenerative joint disease. Post-op examiners and patients were blinded to graft type. Patients were evaluated at 6, 12, and 24Â months. Clinical outcomes were compared using the IKDC, a KT-1000 knee arthrometer, level of effusion, and ranges of motion (ROM). RESULTS: After randomization, 24 patients received aseptic BTB allografts and 43 patients received BioCleanse-sterilized allografts. Significant improvement in IKDC scores (PÂ &lt;Â 0.0001) as well as KT-1000 results (PÂ &lt;Â 0.0001) was noted over the 24-month period for both groups. IKDC or KT-1000 results were not significantly different between groups at any time point. Active flexion ROM significantly improved from pre-op to 24-month follow-up (PÂ &lt;Â 0.0001) with no difference between groups at any time point. Active extension ROM did not differ significantly between the two groups. CONCLUSIONS: These results indicate that the sterilization process, BioCleanse, did not demonstrate a statistical difference in clinical outcomes for the BTB allograft at 2Â years. The BioCleanse process may provide surgeons with allografts clinically similar to aseptically processed allograft tissue with the benefit of addressing donor-to-recipient disease. LEVEL OF EVIDENCE: II.</t>
  </si>
  <si>
    <t>10.1007/s00167-012-2309-7</t>
  </si>
  <si>
    <t>#399</t>
  </si>
  <si>
    <t>Indelicato 2013</t>
  </si>
  <si>
    <t>ACL reconstruction with hamstrings: how different technique and fixation devices influence bone tunnel enlargement.</t>
  </si>
  <si>
    <t>Iorio R; Di Sanzo V; VadalÃ  A; Conteduca J; Mazza D; Redler A; Bolle G; Conteduca F; Ferretti A</t>
  </si>
  <si>
    <t>BACKGROUND: Bone tunnel enlargement after anterior cruciate ligament (ACL) reconstruction is well documented in the literature. The cause of this tunnel enlargement is unclear, but is thought to be multifactorial, with mechanical and biological factors playing a role. AIM: The aim of this prospective study was to evaluate how the different techniques may affect the bone tunnel enlargement and clinical outcome. PATIENTS AND METHODS: Forty-five consecutive patients undergoing ACL reconstruction with autologous doubled semitendinosus and gracilis tendons entered this study. They were randomly assigned to enter group A (In-Out technique, with cortical fixation and Interference screw) and group B (Out-In technique, metal cortical fixation on the femour and tibia). At a mean follow-up of 10 months, all the patients underwent CT scan exam to evaluate the post-operative diameters of both femoral and they underwent tibial tunnels clinical examination after 24 months. RESULTS: The mean femoral tunnel diameter increased significantly from 9.05Â±0.3 mm to 10.01Â±2.3 mm in group A and from 9.04Â±0.8 mm to 9.3Â±1.12 mm in group B. The mean increase in femoral tunnel diameters observed in group A was significantly higher than that observed in group B (p &lt; 0.05) The mean tibial tunnel diameter increased significantly from 9.03Â±0.04 mm to 10.68Â±2.5 mm in group A and from 9.04Â±0.03 mm to 10.Â±0.78 mm in group B. The mean increase in tibial tunnel diameters observed in group A was significantly higher than that observed in group B (p &lt; 0.05). No clinical differences were found between two groups and no correlations between clinical and radiological results were found in any patients of both groups. CONCLUSIONS: Results of the study suggest that different mechanical fixation devices could influence tunnel widening. The lower stiffness of the fixation devices is probably responsible of the tunnel widening through the fixation devices's micromotions in the femoral and tibial tunnels.</t>
  </si>
  <si>
    <t>Eur Rev Med Pharmacol Sci</t>
  </si>
  <si>
    <t>#367</t>
  </si>
  <si>
    <t>Iorio 2013</t>
  </si>
  <si>
    <t>Nanohydroxyapatite-based bone graft substitute in tunnel enlargement after ACL surgery: RMN study.</t>
  </si>
  <si>
    <t>Iorio R; Di Sanzo V; VadalÃ  A; Mazza D; Valeo L; Messano GA; Redler A; Iorio C; Bolle G; Conteduca F; Ferretti A</t>
  </si>
  <si>
    <t>BACKGROUND AND AIM: A successful anterior cruciate ligament reconstruction (ACL) requires solid healing of the tendon graft in the bone tunnel. New biological strategies have already been proposed with the aim of improving ACL graft healing and therefore allowing a faster rehabilitative program. The aim of this prospective study was to clinically and radiologically evaluate the efficacy of nanohydroxyapatite bone-base grafts in facilitating bone-tendon incorporation after ACL reconstruction with hamstrings (HS). As far as we know, this is the first study that has tried to asses the efficacy of such a type of bone substitute on human beings. MATERIALS AND METHODS: 40 male patients with chronic ACL rupture who underwent surgical reconstruction with 4-strand semitendinosus and gracilis tendon autograft via a single-bundle technique. Patients were randomly assigned to enter group A (20 patients, nanohydroxyapatite group) or group B (20 patients, control group). Preoperative and postoperative clinical evaluation was always performed, in a blinded way, assessing the Lachman and Pivot-shift tests and range of motion (ROM) of the affected knee. The Lysholm knee score, Tegner activity level, subjective and objective International Knee Documentation Committee (IKDC) forms, and 30 lb KT-1000 arthrometer evaluations. Patients underwent a magnetic resonance imaging (MRI) exam at 30, 90 and 180 days after surgery by the same musculoskeletal radiologist in a blinded way. RESULTS: As for the clinical evaluation, Lysholm, Tegner, IKDC scales, and KT-1000 arthrometer results did not show any significant difference between the two groups. Radiological data show a tendency toward better results in regard to the graft strength signal, the graftbone interface, and bone edema remodeling process, these parameters show significant differences between the two groups only at the short or mid-term follow-ups, while they are never significant at the mid-to long-term follow-up. CONCLUSIONS: In conclusion the use of nanohydroxyapatite bone substitute does not provide significant clinical improvements in terms of better knee stability or patient satisfaction.</t>
  </si>
  <si>
    <t>Clin Ter</t>
  </si>
  <si>
    <t>10.7417/CT.2013.1540</t>
  </si>
  <si>
    <t>#378</t>
  </si>
  <si>
    <t>Anatomic single vs. double-bundle ACL reconstruction: a randomized clinical trial-Part 1: clinical outcomes.</t>
  </si>
  <si>
    <t>Irrgang JJ; Tashman S; Patterson CG; Musahl V; West R; Oostdyk A; Galvin B; Poploski K; Fu FH</t>
  </si>
  <si>
    <t>PURPOSE: Compare clinical outcomes of anatomic single-bundle (SB) to anatomic double-bundle (DB) anterior cruciate ligament reconstruction (ACLR). It was hypothesized that anatomic DB ACLR would result in better International Knee Documentation Committee Subjective Knee Form (IKDC-SKF) scores and reduced anterior and rotatory laxity compared to SB ACLR. METHODS: Active individuals between 14 and 50Â years of age that presented within 12Â months of injury were eligible to participate. Individuals with prior injury or surgery of either knee, greater than a grade 1 concomitant knee ligament injury, or ACL insertion sites less than 14Â mm or greater than 18Â mm were excluded. Subjects were randomized to undergo SB or DB ACLR with a 10Â mm-wide quadriceps tendon autograft harvested with a patellar bone block and were followed for 24Â months. The primary outcome measures included the IKDC-SKF and KT-1000 (side to side difference) and pivot_shift tests. Other secondary outcomes included measures of sports activity and participation, range of motion (ROM) and re-injury. RESULTS: Enrollment in the study was suspended due to patellar fractures related to harvest of the patellar bone plug. At that time, 57 subjects had been randomized (29 DB) and two-year follow-up was attained from 51 (89.5%). At 24-month follow-up there were no between-group differences detected for the primary outcomes. Twenty-one (77.8%) DB's and 20 (83.3%) SB's reported returning to pre-injury sports 2Â years after surgery (n.s) Three subjects (2 DB's, 5.3% of total) sustained a graft rupture and 5 individuals (4 SB's, 8.8% of total) had a subsequent meniscus injury. CONCLUSIONS: Due to the early termination of the study, there were no detectable differences in clinical outcome between anatomic SB and DB ACLR when performed with a quadriceps tendon autograft with a bone block in individuals with ACL insertion sites that range from 14 to 18Â mm. LEVEL OF EVIDENCE: Level 2.</t>
  </si>
  <si>
    <t>10.1007/s00167-021-06585-w</t>
  </si>
  <si>
    <t>#157</t>
  </si>
  <si>
    <t>Irrgang 2021</t>
  </si>
  <si>
    <t>Early active extension after anterior cruciate ligament reconstruction does not result in increased laxity of the knee.</t>
  </si>
  <si>
    <t>Isberg J; FaxÃ©n E; Brandsson S; Eriksson BI; KÃ¤rrholm J; Karlsson J</t>
  </si>
  <si>
    <t>If permission of full active and passive extension immediately after an anterior cruciate ligament (ACL) reconstruction will increase the post-operative laxity of the knee has been a subject of discussion. We investigated whether a post-operative rehabilitation protocol including active and passive extension without any restrictions in extension immediately after an ACL reconstruction would increase the post-operative anterior-posterior knee laxity (A-P laxity). Our hypothesis was that full active and passive extension immediately after an ACL reconstruction would have no effect on the A-P laxity and clinical results up to 2 years after the operation. Twenty-two consecutive patients (14 men, 8 women, median age 21 years, range 17-41) were included. All the patients had a unilateral ACL rupture and no other ligament injuries or any other history of previous knee injuries. The surgical procedure was identical in all patients and one experienced surgeon operated on all the patients, using the bone-patellar tendon-bone autograft. The post-operative rehabilitation programme was identical in both groups, except for extension training during the first 4 weeks post-operatively. The patients were randomly allocated to post-operative rehabilitation programmes either allowing (Group A, n=11) or not allowing [Group B (30 to -10 degrees ), n=11] full active and passive extension immediately after the operation. They were evaluated pre-operatively and at 6 months and 2 years after the reconstruction. To evaluate the A-P knee laxity, radiostereometric analysis (RSA) and KT-1000 arthrometer (KT-1000) measurements were used, range of motion, Lysholm score, Tegner activity level, the International Knee Documentation Committee (IKDC) evaluation system and one-leg-hop test quotient were used. Pre-operatively, the RSA measurements revealed side-to-side differences in Group A of 8.6 mm (2.3-15.4), median (range) and in Group B of 7.2 mm (2.2-17.4) (n.s.). The corresponding KT-1000 values were for Group A, 2.0 mm (0-8.0) and Group B, 4.0 mm (0-10.0) (n.s.). At 2 years, the differences between the two groups were minimal, regardless of the method that had been used. The RSA measurements in Group A were 2.7 mm (0-10.7) and in Group B 2.8 (-1.8 to 9.5). The KT-1000 values were for Group A, 1.0 mm (-1.5 to 3.5), and for Group B, 0.5 mm (-1.0 to 4.0), without any significant differences between the groups. Nor did the Lysholm score, Tegner activity level, IKDC or one-leg-hop test differ. Early active and passive extension training, without any restrictions in extension, immediately after an ACL reconstruction using bone-patellar tendon-bone graft did not increase post-operative knee laxity up to 2 years after the ACL reconstruction.</t>
  </si>
  <si>
    <t>10.1007/s00167-006-0138-2</t>
  </si>
  <si>
    <t>#541</t>
  </si>
  <si>
    <t>Isberg 2006</t>
  </si>
  <si>
    <t>A prospective study of 3-day versus 2-week immobilization period after anterior cruciate ligament reconstruction.</t>
  </si>
  <si>
    <t>Ito Y; Deie M; Adachi N; Kobayashi K; Kanaya A; Miyamoto A; Nakasa T; Ochi M</t>
  </si>
  <si>
    <t>BACKGROUND: Aggressive early rehabilitation is recommended after reconstruction of the anterior cruciate ligament (ACL) using a patellar tendon-bone graft. However, rehabilitation after reconstruction of ACL using the multistranded hamstring is controversial. In this study, we compared the clinical results of 3-day immobilization after reconstruction of ACL using the multistranded hamstring, with those of 2-week immobilization prospectively. METHODS: A total of 30 consecutive patients with ruptured ACL underwent single-socket ACL reconstruction. 10 male and 5 female patients (mean age of 29.2+/-10.0 years) were prospectively randomized for a 3-day immobilization period, and 6 male and 9 female patients (mean age of 27.3+/-10.9 years) were randomized for a 2-week immobilization period. We measured the anterior laxity with a KT-2000 arthrometer, joint position sense, and thigh muscle strength at 3, 6 and 12 months after surgery. RESULTS AND CONCLUSIONS: There were no statistically significant differences between the two groups. We concluded that the post-operative 3-day immobilization period is preferable to the longer 2-week period in our rehabilitation program from the viewpoint of psychological load to the patients and the duration of hospitalization after ACL reconstruction using multistranded hamstring tendons.</t>
  </si>
  <si>
    <t>10.1016/j.knee.2006.10.004</t>
  </si>
  <si>
    <t>#539</t>
  </si>
  <si>
    <t>Ito 2007</t>
  </si>
  <si>
    <t>Double-bundle versus single-bundle anterior cruciate ligament reconstruction: a prospective, randomize clinical study.</t>
  </si>
  <si>
    <t>JÃ¤rvelÃ¤ T</t>
  </si>
  <si>
    <t>Anatomical observation and biomechanical studies have shown that the anterior cruciate ligament (ACL) mainly consists of two distinct bundles, the anteromedial (AM) bundle and posterolateral (PL) bundle. Conventional single-bundle ACL reconstruction techniques have focused on the restoration of the AM bundle while giving limited attention to the PL bundle. The purpose of this prospective, randomized clinical study is to compare the outcomes of ACL reconstruction when using either double-bundle or single-bundle technique and bioabsorbable interference screw fixation, and similar rehabilitation with both techniques. Sixty-five patients were randomized into either double-bundle (n = 35) or single-bundle (n = 30) ACL reconstruction with hamstring tendons and bioabsorbable screw (Hexalon, Inion Company, Tampere, Finland) fixation in both groups. The evaluation methods were clinical examination, KT-1000 arthrometer measurements, radiographic evaluation, as well as International Knee Documentation Committee and Lysholm knee scores. There were no differences between the study groups preoperatively. For an average of 14 months of follow-up (range 12-20 months), 30 patients of the double-bundle group and 29 patients of the single-bundle group were available (91%). At the follow-up, the rotational stability, as evaluated by pivot_shift test, was significantly better in the double-bundle group than in the single-bundle group. However, in anterior stability of the knee, there was no significant difference between the groups. None of the patients in the double-bundle group had graft failure, while four patients in the single-bundle group had. In addition, knee scores were equal at the follow-up, and all the results were significantly better at the follow-up than preoperatively, in both groups.</t>
  </si>
  <si>
    <t>10.1007/s00167-006-0254-z</t>
  </si>
  <si>
    <t>#537</t>
  </si>
  <si>
    <t>JÃ¤rvelÃ¤ 2007</t>
  </si>
  <si>
    <t>Tunnel enlargement after double-bundle anterior cruciate ligament reconstruction: a prospective, randomized study.</t>
  </si>
  <si>
    <t>JÃ¤rvelÃ¤ T; Moisala AS; Paakkala T; Paakkala A</t>
  </si>
  <si>
    <t>PURPOSE: The aim of this study was to compare tunnel enlargement in patients with double-bundle and single-bundle anterior cruciate ligament (ACL) reconstruction. METHODS: Sixty patients were randomized by closed envelopes into 2 different groups of ACL reconstruction with hamstring tendons: double-bundle technique with bioabsorbable screw fixation (n = 35) and single-bundle technique with bioabsorbable screw fixation (n = 25). Magnetic resonance imaging evaluation was performed in 53 patients (88%) (32 in double-bundle group and 21 in single-bundle group) for a mean of 27 months' follow-up (range, 24 to 36 months). Tunnel enlargement was determined by digital measurement of the widths perpendicular to the long axis of the tunnels on an oblique coronal and sagittal plane. The magnetic resonance imaging measurements were compared with the intraoperative drill diameter. RESULTS: No significant differences were found between the double-bundle group and the single-bundle group in tunnel enlargement on the femoral side. However, on the tibial side, tunnel enlargement was greater in the single-bundle group than in the double-bundle group in each tunnel (P = .051). In all knees, tunnel enlargement both on the tibial side and on the femoral side correlated significantly with the anterior and rotational laxity of the operated knee. In the double-bundle group, no tunnel communication between the anteromedial and posterolateral tunnels was seen in any of the patients on either the tibial side or femoral side. CONCLUSIONS: This prospective, randomized study showed that our double-bundle ACL reconstruction technique results in less tunnel enlargement in each tunnel on the tibial side than the single-bundle technique with similar fixation methods, graft material, and rehabilitation. In addition, no tunnel communication was observed in the patients undergoing double-bundle ACL reconstruction. The clinical results were good in both groups. However, the patients who had more tunnel enlargement had significantly more anterior and rotational laxity of the operated knee as well. LEVEL OF EVIDENCE: Level I, therapeutic randomized controlled trial.</t>
  </si>
  <si>
    <t>10.1016/j.arthro.2008.07.018</t>
  </si>
  <si>
    <t>#494</t>
  </si>
  <si>
    <t>JÃ¤rvelÃ¤ 2008</t>
  </si>
  <si>
    <t>Double-bundle anterior cruciate ligament reconstruction using hamstring autografts and bioabsorbable interference screw fixation: prospective, randomized, clinical study with 2-year results.</t>
  </si>
  <si>
    <t>JÃ¤rvelÃ¤ T; Moisala AS; Sihvonen R; JÃ¤rvelÃ¤ S; Kannus P; JÃ¤rvinen M</t>
  </si>
  <si>
    <t>BACKGROUND: Conventional anterior cruciate ligament reconstruction techniques have focused on restoration of the anteromedial bundle only, which, however, may be insufficient in restoring the rotational stability of the knee. HYPOTHESIS: Rotational stability of the knee is better when using a double-bundle technique instead of a single-bundle technique for anterior cruciate ligament reconstruction. STUDY DESIGN: Randomized controlled clinical trial; Level of evidence, 1. METHODS: Seventy-seven patients were randomized into 3 different groups for anterior cruciate ligament reconstruction with hamstring tendons: double-bundle with bioabsorbable screw fixation (n = 25), single-bundle with bioabsorbable screw fixation (n = 27), and single-bundle with metallic screw fixation (n = 25). The evaluation methods were clinical examination, KT-1000 arthrometric measurement, and the International Knee Documentation Committee and Lysholm knee scores. RESULTS: There were no differences between the study groups preoperatively. Seventy-three patients (95%) were available at a minimum 2-year follow-up (range, 24-35 mo). The rotational stability of the knee, as evaluated by the pivot-shift test, was the best in the patients in the double-bundle group. In addition, the patients in the single-bundle groups had more graft failures than those in the double-bundle group. Concerning the anterior stability of the knee as measured with the KT-1000 arthrometer, the group differences were not statistically significant. No significant differences were found between the groups in knee scores. CONCLUSION: Rotational stability of the knee is better when using the double-bundle technique instead of the single-bundle technique in anterior cruciate ligament reconstruction.</t>
  </si>
  <si>
    <t>10.1177/0363546507308360</t>
  </si>
  <si>
    <t>#519</t>
  </si>
  <si>
    <t>Blood Flow Restriction Therapy Preserves Lower Extremity Bone and Muscle Mass After ACL Reconstruction.</t>
  </si>
  <si>
    <t>Jack RA 2nd; Lambert BS; Hedt CA; Delgado D; Goble H; McCulloch PC</t>
  </si>
  <si>
    <t>BACKGROUND: Muscle atrophy is common after an injury to the knee and anterior cruciate ligament reconstruction (ACLR). Blood flow restriction therapy (BFR) combined with low-load resistance exercise may help mitigate muscle loss and improve the overall condition of the lower extremity (LE). PURPOSE: To determine whether BFR decreases the loss of LE lean mass (LM), bone mass, and bone mineral density (BMD) while improving function compared with standard rehabilitation after ACLR. STUDY DESIGN: Randomized controlled clinical trial. METHODS: A total of 32 patients undergoing ACLR with bone-patellar tendon-bone autograft were randomized into 2 groups (CONTROL: N = 15 [male = 7, female = 8; age = 24.1 Â± 7.2 years; body mass index [BMI] = 26.9 Â± 5.3 kg/m2] and BFR: N = 17 [male = 12, female = 5; age = 28.1 Â± 7.4 years; BMI = 25.2 Â± 2.8 kg/m2]) and performed 12 weeks of postsurgery rehabilitation with an average follow-up of 2.3 Â± 1.0 years. Both groups performed the same rehabilitation protocol. During select exercises, the BFR group exercised under 80% arterial occlusion of the postoperative limb (Delfi tourniquet system). BMD, bone mass, and LM were measured using DEXA (iDXA, GE) at presurgery, week 6, and week 12 of rehabilitation. Functional measures were recorded at week 8 and week 12. Return to sport (RTS) was defined as the timepoint at which ACLR-specific objective functional testing was passed at physical therapy. A group-by-time analysis of covariance followed by a Tukey's post hoc test were used to detect within- and between-group changes. Type I error; Î± = 0.05. RESULTS: Compared with presurgery, only the CONTROL group experienced decreases in LE-LM at week 6 (-0.61 Â± 0.19 kg, -6.64 Â± 1.86%; P &lt; 0.01) and week 12 (-0.39 Â± 0.15 kg, -4.67 Â± 1.58%; P = 0.01) of rehabilitation. LE bone mass was decreased only in the CONTROL group at week 6 (-12.87 Â± 3.02 g, -2.11 Â± 0.47%; P &lt; 0.01) and week 12 (-16.95 Â± 4.32 g,-2.58 Â± 0.64%; P &lt; 0.01). Overall, loss of site-specific BMD was greater in the CONTROL group (P &lt; 0.05). Only the CONTROL group experienced reductions in proximal tibia (-8.00 Â± 1.10%; P &lt; 0.01) and proximal fibula (-15.0Â±2.50%,P &lt; 0.01) at week 12 compared with presurgery measures. There were no complications. Functional measures were similar between groups. RTS time was reduced in the BFR group (6.4 Â± 0.3 months) compared with the CONTROL group (8.3 Â± 0.5 months; P = 0.01). CONCLUSION: After ACLR, BFR may decrease muscle and bone loss for up to 12 weeks postoperatively and may improve time to RTS with functional outcomes comparable with those of standard rehabilitation.</t>
  </si>
  <si>
    <t>10.1177/19417381221101006</t>
  </si>
  <si>
    <t>#129</t>
  </si>
  <si>
    <t>JackRA2nd 2023</t>
  </si>
  <si>
    <t>Biodegradable screw versus a press-fit bone plug fixation for hamstring anterior cruciate ligament reconstruction: a prospective randomized study.</t>
  </si>
  <si>
    <t>Jagodzinski M; Geiges B; von Falck C; Knobloch K; Haasper C; Brand J; Hankemeier S; Krettek C; Meller R</t>
  </si>
  <si>
    <t>BACKGROUND: Press-fit fixation of a tendon graft has been advocated to achieve tendon-to-bone healing. HYPOTHESIS: Fixation of hamstring tendon grafts with a porous bone scaffold limits bone tunnel enlargement compared with a biodegradable interference screw fixation. STUDY DESIGN: Randomized controlled trial; Level of evidence, 1. Methods Between 2005 and 2006, 20 patients (17 men, 3 women) with a primary reconstruction of the anterior cruciate ligament (ACL) were enrolled in this study. Patients were randomized to obtain graft fixation in the tibial tunnel either by means of an interference screw (I) or a press-fit fixation with a porous bone cylinder (P). At 3 months after surgery, a computed tomography (CT) scan of the knee was performed, and tunnel enlargement was analyzed in the coronal and sagittal planes for the proximal, middle, and distal thirds of the tunnel. After 6 months and 1 and 2 years, radiographs of the knee in the sagittal and coronal plane were analyzed for bone tunnel widening. The International Knee Documentation Committee (IKDC), Tegner, and Lysholm scores of both groups were compared after 1 and 2 years. RESULTS: The bone tunnel enlargement determined by CT was 106.9% + or - 10.9% for group P and 121.9% + or - 9.0% for group I (P &lt; .02) in the anteroposterior (AP) plane and 102.8% + or - 15.2% versus 121.5% + or - 10.1% in the coronal plane (P &lt;.01). The IKDC, Tegner, and Lysholm scores improved in both groups from preoperatively to postoperatively without significant differences between the 2 groups. There was a trend to higher knee stability in group P after 3 months (0.6 + or - 1.4 mm vs 1.8 + or - 1.5 mm; P = .08). CONCLUSION: Both interference screw and a press-fit fixation lead to a high number of good or very good outcomes after ACL reconstruction. Tibial press-fit fixation decreases the amount of proximal bone tunnel enlargement.</t>
  </si>
  <si>
    <t>10.1177/0363546509350325</t>
  </si>
  <si>
    <t>#462</t>
  </si>
  <si>
    <t>Jagodzinski 2010</t>
  </si>
  <si>
    <t>Composition and adaptation of human myotendinous junction and neighboring muscle fibers to heavy resistance training.</t>
  </si>
  <si>
    <t>Jakobsen JR; Mackey AL; Knudsen AB; Koch M; Kjaer M; Krogsgaard MR</t>
  </si>
  <si>
    <t>The myotendinous junction (MTJ) is a common site of strain injury and yet understanding of its composition and ability to adapt to loading is poor. The main aims of this study were to determine the profile of selected collagens and macrophage density in human MTJ and adjoining muscle fibers, and to investigate whether heavy exercise loading would alter this profile. Fifteen individuals scheduled for anterior cruciate ligament repair surgery were randomized into three groups: control, acute or 4Â weeks heavy resistance training. MTJ samples were collected from the semitendinosus and gracilis muscles and were sectioned and stained immunohistochemically for collagen types I, III, VI, XII, XIV, XXII, Tenascin-C and CD68. Macrophage density and distribution was evaluated and the amount of each collagen type in muscle and MTJ was graded. Collagen XXII was observed solely at the MTJ, while all other collagens were abundant at the MTJ and in muscle perimysium or endomysium. The endomysial content of collagen XIV, macrophages and Tenascin-C increased following 4Â weeks of training. These findings illustrate the heterogeneity of collagen type composition of human MTJ. The increase in collagen XIV following 4Â weeks of training may reflect a training-induced protection against strain injuries in this region.</t>
  </si>
  <si>
    <t>10.1111/sms.12794</t>
  </si>
  <si>
    <t>#286</t>
  </si>
  <si>
    <t>Jakobsen 2017</t>
  </si>
  <si>
    <t>Nestin and osteocrin mRNA increases in human semitendinosus myotendinous junction 7Â days after a single bout of eccentric exercise.</t>
  </si>
  <si>
    <t>Jakobsen JR; Schjerling P; KjÃ¦r M; Mackey AL; Krogsgaard MR</t>
  </si>
  <si>
    <t>The myotendinous junction (MTJ), a specialized interface for force transmission between muscle and tendon, has a unique transcriptional activity and is highly susceptible to muscle strain injury. Eccentric exercise training is known to reduce this risk of injury, but knowledge of the influence of exercise on the MTJ at the molecular and cellular levels is limited. In this study, 30 subjects were randomized to a single bout of eccentric exercise 1Â week prior to tissue sampling (exercised) or no exercise (control). Samples were collected from the semitendinosus as part of reconstruction of the anterior cruciate ligament and divided into fractions containing muscle, MTJ and tendon, respectively. The concentrations of macrophages and satellite cells were counted, and the expression of genes previously known to be active at the MTJ were analyzed by real-time-quantitative PCR. An effect of the single bout of exercise was found on the expression of nestin (NES) and osteocrin (OSTN) mRNA in the MTJ and tendon fractions. Genes earlier identified at the MTJ (COL22A1, POSTN, ADAMTS8, MNS1, NCAM1) were confirmed to be expressed at a significantly higher level in the MTJ compared to muscle and tendon but were unaffected by exercise. In the exercise group a higher concentration of macrophages, but not of satellite cells, was seen in muscle close to the MTJ. The expression of NES and OSTN was higher in human semitendinosus MTJ 1Â week after a single session of heavy eccentric exercise. Based on these results, NES and OSTN could have a part in explaining how the MTJ adapts to eccentric exercise.</t>
  </si>
  <si>
    <t>Histochem Cell Biol</t>
  </si>
  <si>
    <t>10.1007/s00418-022-02101-4</t>
  </si>
  <si>
    <t>#136</t>
  </si>
  <si>
    <t>Jakobsen 2022</t>
  </si>
  <si>
    <t>Bone tunnel enlargement after anterior cruciate ligament reconstruction with the hamstring autograft and endobutton fixation technique. A clinical, radiographic and magnetic resonance imaging study with 2 years follow-up.</t>
  </si>
  <si>
    <t>Jansson KA; Harilainen A; Sandelin J; Karjalainen PT; Aronen HJ; Tallroth K</t>
  </si>
  <si>
    <t>The aim of this study was to describe the contrast-enhanced magnetic resonance imaging (MRI) appearance of bone tunnel enlargement detected on radiography after anterior cruciate ligament (ACL) reconstruction with semitendinosus and gracilis tendon endobutton (STG-endobutton) fixation technique. Fourteen patients with a STG-endobutton ACL reconstruction were examined 3 months (n = 1), 1 year (n = 1) and 2 years (n = 12) postoperatively. An age- and sex-matched group with a bone-patellar tendon-bone (BTB) autograft ACL reconstruction with similar follow-up was taken as control. Data on clinical examination, laxity and isokinetic muscle torque measurements, anteroposterior and lateral view radiography were obtained, and knee scores (Lysholm and Tegner) were collected. Contrast-enhanced MRI was performed in the STG-endobutton group with a 1.5-T imager. There were no statistical differences between the groups with respect to clinical findings, stability tests, or knee scores. In the STG-endobutton group the average femoral and tibial bone tunnel diameter detected on anteroposterior view radiography had increased at 2-year follow-up by 33% and 23%, respectively. On MRI the ligamentous graft itself was not enhanced by the contrast medium whereas periligamentous tissue within and around the STG graft bundles showed mild contrast enhancement. In conclusion, the MRI results suggest that enhancing periligamentous tissue accumulated in and around the STG graft associated with the tunnel expansion. In spite of the significant bone tunnel enlargement observed on the follow-up radiography the STG-endobutton knees were stable and the patients satisfied.</t>
  </si>
  <si>
    <t>10.1007/s001670050166</t>
  </si>
  <si>
    <t>#646</t>
  </si>
  <si>
    <t>Jansson 1999</t>
  </si>
  <si>
    <t>A prospective randomized study of patellar versus hamstring tendon autografts for anterior cruciate ligament reconstruction.</t>
  </si>
  <si>
    <t>Jansson KA; Linko E; Sandelin J; Harilainen A</t>
  </si>
  <si>
    <t>BACKGROUND: Bone-patellar tendon-bone graft has been the most commonly used graft material in anterior cruciate reconstructions, but there has been increasing use of hamstring tendon grafts. However, no existing clinical studies show adequate support for the choice of one graft over the other. HYPOTHESIS: Hamstring tendons are equally as good as patellar tendon in anterior cruciate ligament reconstructions. STUDY DESIGN: Prospective randomized clinical trial. METHODS: Ninety-nine patients with laxity caused by a torn anterior cruciate ligament underwent arthroscopically assisted reconstruction with graft randomization according to their birth year. Grafts were either bone-patellar tendon-bone with metal interference screw fixation or double-looped hamstring tendons with metal plate fixation. There were no significant differences between the two groups preoperatively or at operation. Standard rehabilitation included immediate postoperative mobilization without a knee brace, protected weightbearing for 2 weeks, and return to full activity at 6 to 12 months. RESULTS: Forty-three patients in the patellar tendon group and 46 patients in the hamstring tendon group were available for clinical evaluation at a minimum of 21 months after surgery. No statistically significant differences were seen with respect to clinical and instrumented laxity testing, International Knee Documentation Committee Score ratings, isokinetic muscle torque measurements, and Kujala patellofemoral, Lysholm, and Tegner scores. CONCLUSION: Equal results were seen for patellar and hamstring tendon autograft anterior cruciate ligament reconstructions at 2 years after surgery. Both techniques seem to improve patients' performance.</t>
  </si>
  <si>
    <t>#604</t>
  </si>
  <si>
    <t>Knee Extensor Strength in Anterior Cruciate Ligament-Deficient Individuals Following Normal and Modified Squats: A Randomized Controlled Trial.</t>
  </si>
  <si>
    <t>Jean LMY; Gross DP; Chiu LZF</t>
  </si>
  <si>
    <t>Jean, LMY, Gross, DP, and Chiu, LZF. Knee extensor strength in anterior cruciate ligament-deficient individuals following normal and modified squats: a randomized controlled trial. J Strength Cond Res 36(1): 47-54, 2022-Training with barbell squats, which load the quadriceps, increases knee extensor strength. Anterior cruciate ligament (ACL) injury results in a quadriceps avoidance substitution strategy, which may impair the efficacy of barbell squat training. Modified squats to promote quadriceps loading have been proposed to facilitate restoring knee extensor strength and function. This research compared resistance training using traditional squats (TRAD) versus traditional plus modified squats (EXP) in ACL-deficient individuals. Thirty-seven ACL-deficient individuals were randomly assigned to TRAD or EXP. Knee extensor function was assessed using maximum isometric strength testing and 3D motion analysis of sit-to-stand. Effect sizes for minimum meaningful improvement were established (d = 0.28-0.47). There were no significant differences between TRAD and EXP for knee extensor strength before, in response to, or after the training interventions (p &gt; 0.05). Involved limb knee extensor strength increased at 15Â° (95% CI [0.09, 0.27] NÂ·mÂ·kgBM-1, d = 0.60), 30Â° (95% CI [0.25, 0.48] NÂ·mÂ·kgBM-1, d = 0.82), 45Â° (95% CI [0.32, 0.58] NÂ·mÂ·kgBM-1, d = 0.78), and 75Â° (95% CI [0.18, 0.46] NÂ·mÂ·kgBM-1, d = 0.54) knee flexion. Involved limb knee extensor net joint moment work in sit-to-stand (95% CI [0.034, 0.135] JÂ·kgBM-1, d = 0.48) increased in both groups. Squat training was effective for increasing involved limb isometric knee extensor strength and knee extensor work performed in the sit-to-stand. Modified squats do not seem to provide additional benefit.</t>
  </si>
  <si>
    <t>10.1519/JSC.0000000000004165</t>
  </si>
  <si>
    <t>#145</t>
  </si>
  <si>
    <t>JeanLMY 2022</t>
  </si>
  <si>
    <t>Muscle Strength Training Alters Muscle Activation of the Lower Extremity during Side-Step Cutting in Females.</t>
  </si>
  <si>
    <t>Jeong J; Choi DH; Song Y; Shin CS</t>
  </si>
  <si>
    <t>The objective of this study was to examine the effects of muscle strength training on knee kinematics/kinetics and muscle activation patterns during anticipated side-step cutting. Three-dimensional knee kinematics/kinetics data and muscle activation of selected lower extremity muscles were measured while performing cutting before and after completing 10-week circuit strength training mixed typical resistance training and power training (intervention) or no training (control) from 25 female subjects. The muscle strength of quadriceps and hamstrings were measured before and after training using isokinetic dynamometer. No statistically significant differences were observed in quadriceps and hamstrings muscle strength, all kinematic/kinetic variables, and muscle activation for the control group. Both quadriceps (pâ€‰=â€‰0.005) and hamstrings (pâ€‰=â€‰0.030) muscle strength were increased after training. An increased biceps femoris (pâ€‰=â€‰0.003) and H:Q ratio of activation (pâ€‰=â€‰0.016), as well as decreased gastrocnemius muscle activation (pâ€‰=â€‰0.012) during pre-activation phase in intervention group were found. No significant differences were found in knee kinematics and kinetics both at the time frame of the initial contact and the peak tibial anterior shear force after training. In conclusion, muscle strength training altered some muscle activations of lower extremity muscles, which might affect the risk of ACL injury, but it did not change the kinematic/kinetic parameters.</t>
  </si>
  <si>
    <t>J Mot Behav</t>
  </si>
  <si>
    <t>10.1080/00222895.2019.1683505</t>
  </si>
  <si>
    <t>#208</t>
  </si>
  <si>
    <t>Jeong 2020</t>
  </si>
  <si>
    <t>Core Strength Training Can Alter Neuromuscular and Biomechanical Risk Factors for Anterior Cruciate Ligament Injury.</t>
  </si>
  <si>
    <t>Jeong J; Choi DH; Shin CS</t>
  </si>
  <si>
    <t>BACKGROUND: Core stability is influential in the incidence of lower extremity injuries, including anterior cruciate ligament (ACL) injuries, but the effects of core strength training on the risk for ACL injury remain unclear. HYPOTHESIS: Core muscle strength training increases the knee flexion angle, hamstring to quadriceps (H:Q) coactivation ratio, and vastus medialis to vastus lateralis (VM:VL) muscle activation ratio, as well as decreases the hip adduction, knee valgus, and tibial internal rotation angles. STUDY DESIGN: Controlled laboratory study. METHODS: A total of 48 male participants were recruited and randomly assigned to either the intervention group (n = 32) or the control group (n = 16). Three-dimensional trunk, hip, knee, and ankle kinematic data and muscle activations of selected trunk and lower extremity muscles were obtained while the participants performed side-step cutting. The core endurance scores were measured before and after training. Two-way analyses of variance were conducted for each dependent variable to determine the effects of 10 weeks of core strength training. RESULTS: The trunk endurance scores in the intervention group significantly increased after training (P &lt; .05 for all comparisons). The intervention group showed decreased knee valgus (P = .038) and hip adduction angles (P = .032) but increased trunk flexion angle (P = .018), rectus abdominis to erector spinae coactivation ratio (P = .047), H:Q coactivation ratio (P = .021), and VM:VL activation ratio (P = .016). In addition, the knee valgus angle at initial contact was negatively correlated with the VM:VL activation ratio in the precontact phase (R(2) = 0.188; P &lt; .001) but was positively correlated with the hip adduction angle (R(2) = 0.120; P &lt; .005). No statistically significant differences were observed in the trunk endurance scores, kinematics, and muscle activations for the control group. CONCLUSION: Core strength training altered the motor control strategies and joint kinematics for the trunk and the lower extremity by increasing the trunk flexion angle, VM:VL activation ratio, and H:Q activation ratio and reducing the knee valgus and hip adduction angles. CLINICAL RELEVANCE: Training core muscles can modify the biomechanics associated with ACL injuries in a side-step cutting task; thus, core strength training might be considered in ACL injury prevention programs to alter the lower extremity alignment in the frontal plane and muscle activations during sports-related tasks.</t>
  </si>
  <si>
    <t>10.1177/0363546520972990</t>
  </si>
  <si>
    <t>#172</t>
  </si>
  <si>
    <t>Jeong 2021</t>
  </si>
  <si>
    <t>Does the position of the femoral tunnel affect the laxity or clinical outcome of the anterior cruciate ligament-reconstructed knee? A clinical, prospective, randomized, double-blind study.</t>
  </si>
  <si>
    <t>Jepsen CF; Lundberg-Jensen AK; Faunoe P</t>
  </si>
  <si>
    <t>PURPOSE: The aim of this study was to evaluate whether a change in the femoral graft insertion site between the 1-o'clock (high) and 2-o'clock (low) positions could change the laxity, the score on the 2000 International Knee Documentation Committee (IKDC) Knee Examination Form, or the score on the 2000 subjective IKDC Knee Evaluation Form in the anterior cruciate ligament (ACL)-reconstructed knee. METHODS: The study was designed as a prospective, randomized, double-blind investigation. We randomized 30 patients to the low tunnel position group and 30 to the high tunnel position group. Four-stranded semitendinosus and gracilis single-bundle grafts were used. At follow-up, the patients were examined according to the IKDC evaluation form and the IKDC examination form. The exact measurements of laxity at 25 degrees and 70 degrees were performed by use of the Rolimeter (Aircast, Boca Raton, FL). Standardized radiographs were evaluated. RESULTS: In total, 26 patients in the low tunnel position group and 25 in the high tunnel position group completed the study. At follow-up, we found no significant difference in the laxity at 25 degrees and 70 degrees or scores on the IKDC examination form. We found a significant difference in the scores on the IKDC evaluation form, favoring the low position, with a subjective score of 82.8 versus 70.4. CONCLUSIONS: A change in the femoral tunnel placement from 1 o'clock to 2 o'clock did not result in a detectable change in the sagittal laxity at 25 degrees and 70 degrees , on the pivot-shift test, or on the IKDC examination form scores. However, we found a significant difference between the two groups in the scores on the IKDC evaluation form, most evident in the subgroups dealing with the patient's subjective knee stability. We conclude that it is possible to improve the clinical result in 1-bundle ACL reconstruction by lowering the tibial tunnel angle and thereby lowering the femoral tunnel toward the 2-o'clock position. LEVEL OF EVIDENCE: Level I, therapeutic prospective randomized trial.</t>
  </si>
  <si>
    <t>10.1016/j.arthro.2007.09.010</t>
  </si>
  <si>
    <t>#517</t>
  </si>
  <si>
    <t>Jepsen 2007</t>
  </si>
  <si>
    <t>Comparison of Clinical Outcome of Autograft and Allograft Reconstruction for Anterior Cruciate Ligament Tears.</t>
  </si>
  <si>
    <t>Jia YH; Sun PF</t>
  </si>
  <si>
    <t>BACKGROUND: Hamstring (HS) autograft and bone-patellar tendon-bone allograft are the most common choice for reconstruction of anterior cruciate ligament (ACL). There was a little report about the clinical outcome and difference of arthroscopic ACL reconstruction using allograft and autograft. This study aimed to compare the clinical outcome of autograft and allograft reconstruction for ACL tears. METHODS: A total of 106 patients who underwent surgery because of ACL tear were included in this study. The patients were randomly divided into two groups, including 53 patients in each group. The patients in group I underwent standard ACL reconstruction with HS tendon autografts, while others in group II underwent reconstruction with bone-patellar tendon-bone allograft. All the patients were followed up and analyzed; the mean follow-up was 81 months (range: 28-86 months). Clinical outcomes were evaluated using the International Knee Documentation Committee (IKDC), Lysholm scores, physical instability tests, and patient satisfaction questionnaires. The complication rates of both groups were compared. Tibial and femoral tunnel widening were assessed using lateral and anteroposterior radiographs. RESULTS: At the end of follow-up, no significant differences were found between the groups in terms of IKDC, Lysholm scores, physical instability tests, patient satisfaction questionnaires, and incidences of arthrofibrosis. Tibial and femoral tunnel widening was less in the HS tendon autografts. This difference was more significant on the tibial side. CONCLUSIONS: In the repair of ACL tears, allograft reconstruction is as effective as the autograft reconstruction, but the allograft can lead to more tunnel widening evidently in the tibial tunnel, particularly.</t>
  </si>
  <si>
    <t>Chin Med J (Engl)</t>
  </si>
  <si>
    <t>10.4103/0366-6999.170265</t>
  </si>
  <si>
    <t>#321</t>
  </si>
  <si>
    <t>Jia 2015</t>
  </si>
  <si>
    <t>Comparison of Rapid Rehabilitation after Anterior Cruciate Ligament Reconstruction with Tensioning Technique and Traditional Rehabilitation.</t>
  </si>
  <si>
    <t>Jin T; Li Y; Yang G; Liao X; Wang G; Wang F</t>
  </si>
  <si>
    <t>To investigate the efficacy of a fast rehabilitation program for the recovery of knee joint function after arthroscopic autologous hamstring tendon transplantation for reconstruction of the anterior cruciate ligament (ACL), from January 1, 2017, to March 31, 2019, a total of 65 patients with ACL injury were randomly divided into a study group and a control group. Both groups were treated with autologous hamstring tendon to reconstruct the anterior cruciate ligament, arthroscopic transplantation, and decompression techniques. The research group was treated with a fast rehabilitation program. The control group was treated with traditional rehabilitation program. Knee flexion angles were measured at 2, 4, and 8 weeks postoperatively. KT-1000 knee anterior stability was measured at 3, 6, and 12 months after operation. Knee function was assessed by subjective knee function assessment scale (IKDC) and Lysholm knee score. The knee curvature, KT-1000 measurement, IKDC score, and Lysholm score were compared between the two groups before and after treatment. KT-1000 measured value, IKDC score, and Lysholm score in 2 groups were significantly improved 3, 6, and 12 months compared with those before treatment, and the difference was statistically significant (P &lt; 0.001). Comparison between the two groups: 2 weeks, 4 weeks, and 8 weeks after treatment, the knee curvature in the study group was better than that in the control group, and the difference was statistically significant (P &lt; 0.001); there was no significant difference in the measured values of KT-1000 between the two groups 3, 6, and 12 months after treatment (P &gt; 0.05); IKDC score and Lysholm score in the study group 3 and 6 months after treatment were significantly better than those in the control group, with statistical significance (P &lt; 0.001); there was no significant difference in IKDC score and Lysholm score between the two groups 12 months after treatment (Pâ€‰&gt;0.05). Autograft hamstring tendon transplantation and tense-reducing technique for anatomical reconstruction of anterior cruciate ligament under arthroscopy combined with rapid rehabilitation program can quickly, safely, and effectively restore the knee function of patients, greatly shortening the rehabilitation period of patients.</t>
  </si>
  <si>
    <t>Dis Markers</t>
  </si>
  <si>
    <t>10.1155/2022/6779207</t>
  </si>
  <si>
    <t>#126</t>
  </si>
  <si>
    <t>Jin 2022</t>
  </si>
  <si>
    <t>Regional Anesthesia Utilizing Liposomal Bupivacaine, With or Without Dexamethasone, Provides Excellent Pain Control and Minimizes Opioid Consumption Following Anterior Cruciate Ligament Reconstruction.</t>
  </si>
  <si>
    <t>Johns WL; Voskeridjian A; Miltenberg B; Muchintala R; Dodson CC; Cohen SB; Salvo J; Sherman M; Ciccotti MG; Hammoud S</t>
  </si>
  <si>
    <t>BACKGROUND: Perioperative nerve blocks are commonly used for regional analgesia with anterior cruciate ligament (ACL) reconstruction (ACLR). Liposomal bupivacaine (LB) is a long-acting anesthetic agent providing up to 72 hours of nerve blockade. It is theorized that the addition of dexamethasone to LB (LB+dex) may prolong the analgesic duration. PURPOSE: To characterize pain control and opioid consumption with adductor canal block (ACB), interspace between the popliteal artery and capsule of the posterior knee (iPACK), and suprasartorial infiltration (SSI) regional anesthetic techniques utilizing LB after ACLR and to compare LB versus LB+dex. STUDY DESIGN: Randomized controlled trial; Level of evidence, 1. METHODS: Patients undergoing primary ACLR using bone-patellar tendon-bone or quadriceps tendon autograft were included. All patients received an ACB, iPACK, and SSI preoperatively. Patients were randomized to receive either LB or LB+dex for their anesthetic agent. Opioid consumption, visual analog scale (VAS) scores, pain control satisfaction, and duration of block effect were recorded postoperatively. RESULTS: A total of 131 patients were included in the analysis. The mean opioid consumption for all patients was 1.20 Â± 2.42 five-mg oxycodone tablets (8.97 Â± 18.12 morphine milliequivalents [MME]). We did not observe a significant difference in oxycodone consumption between cohorts during the study period (1.42 Â± 2.92 vs 0.97 Â± 1.91; 10.65 Â± 21.90 MME vs 7.28 Â± 14.33 MME; P = .76). An estimated 95.2% of opioids prescribed went unused and 77.1% (101/131) of patients consumed no opioids. There was no significant difference in VAS score, patient satisfaction, or duration of block effect between cohorts. CONCLUSION: A single shot of LB with or without dexamethasone via ACB, SSI, and iPACK block provided excellent pain control and minimized opioid consumption after autograft ACLR. Nearly 80% of patients did not require opioids postoperatively, making opioid-free ACLR a realistic possibility for many patients. When narcotics were required, the dose of opioids was minimal; patients required 1.2 tablets of oxycodone on average, and &gt;95% of the opioids prescribed went unused. Despite previous reports suggesting a prolonged duration of anesthetic effect when LB is combined with dexamethasone, we found no difference in opioid consumption, VAS score, patient satisfaction, or duration of block effect when patients received dexamethasone with their regional block. The utilization of regional anesthetic techniques such as ACB, SSI, and iPACK blocks in conjunction with LB-based anesthetics could allow providers to curtail or potentially eliminate opioid prescriptions after ACL surgery. REGISTRATION: NCT06006624 (ClinicalTrials.gov identifier).</t>
  </si>
  <si>
    <t>10.1177/23259671251401596</t>
  </si>
  <si>
    <t>#28</t>
  </si>
  <si>
    <t>Johns 2026</t>
  </si>
  <si>
    <t>Contribution of Neuromuscular Factors to Quadriceps Asymmetry After Anterior Cruciate Ligament Reconstruction.</t>
  </si>
  <si>
    <t>Johnson AK; Palmieri-Smith RM; Lepley LK</t>
  </si>
  <si>
    <t>CONTEXT: â€ƒ To quantify quadriceps weakness after anterior cruciate ligament reconstruction (ACLR), researchers have often analyzed only peak torque. However, analyzing other characteristics of the waveform, such as the rate of torque development (RTD), time to peak torque (TTP), and central activation ratio (CAR), can lend insight into the underlying neuromuscular factors that regulate torque development. OBJECTIVE: â€ƒ To determine if interlimb neuromuscular asymmetry was present in patients with ACLR at the time of clearance to return to activity. DESIGN: â€ƒ Cross-sectional study. SETTING: â€ƒ Laboratory. PATIENTS OR OTHER PARTICIPANTS: â€ƒ A total of 10 individuals serving as controls (6 men, 4 women; age = 23.50 Â± 3.44 years, height = 1.73 Â± 0.09 m, mass = 71.79 Â± 9.91 kg) and 67 patients with ACLR (43 men, 24 women; age = 21.34 Â± 5.73 years, height = 1.74 Â± 0.11 m, mass = 77.85 Â± 16.03 kg, time postsurgery = 7.52 Â± 1.36 months) participated. MAIN OUTCOME MEASURE(S): â€ƒ Isokinetic (60Â°/s) and isometric quadriceps strength were measured. Peak torque, TTP, and RTD were calculated across isometric and isokinetic trials, and CAR was calculated from the isometric trials via the superimposed burst. Repeated-measures analyses of variance were used to compare limbs in the ACLR and control groups. RESULTS: â€ƒ No between-limbs differences were detected in the control group ( P &gt; .05). In the ACLR group, the involved limb demonstrated a longer TTP for isokinetic strength ( P = .04; Cohen d effect size [ES] = 0.18; 95% confidence interval [CI] = -0.16, 0.52), lower RTD for isometric ( P &lt; .001; Cohen d ES = 0.73; 95% CI = 0.38, 1.08) and isokinetic ( P &lt; .001; Cohen d ES = 0.84; 95% CI = 0.49, 1.19) strength, lower CAR ( P &lt; .001; Cohen d ES = 0.37; 95% CI = 0.03, 0.71), and lower peak torque for isometric ( P &lt; .001; Cohen d ES = 1.28; 95% CI = 0.91, 1.65) and isokinetic ( P &lt; .001; Cohen d ES = 1.15; 95% CI = 0.78, 1.52) strength. CONCLUSIONS: â€ƒ Interlimb asymmetries at return to activity after ACLR appeared to be regulated by several underlying neuromuscular factors. We theorize that interlimb asymmetries in isometric and isokinetic quadriceps strength were associated with changes in muscle architecture. Reduced CAR, TTP, and RTD were also present, indicating a loss of motor-unit recruitment or decrease in firing rate.</t>
  </si>
  <si>
    <t>10.4085/1062-6050-463-16</t>
  </si>
  <si>
    <t>#253</t>
  </si>
  <si>
    <t>Johnson 2018</t>
  </si>
  <si>
    <t>Effect of combining peri-hamstring injection or anterior obturator nerve block on the analgesic efficacy of adductor canal block for anterior cruciate ligament reconstruction: a randomised controlled trial.</t>
  </si>
  <si>
    <t>Johnston DF; Sondekoppam RV; Uppal V; Litchfield R; Giffin R; Ganapathy S</t>
  </si>
  <si>
    <t>BACKGROUND: Pain after anterior cruciate ligament reconstruction (ACLR) with autologous hamstring graft can be attributed to both arthroscopic surgery and the graft donor site. This study investigated whether donor site pain control was superior with the addition of either peri-hamstring injection or anterior division obturator nerve block in comparison with adductor canal block (ACB) alone. METHODS: Patients scheduled to undergo knee arthroscopy with ACLR using a graft from the ipsilateral hamstring were randomised to one of three groups. All patients received ACB and multimodal analgesia. Subjects in Group H received peri-hamstring local anaesthetic injection while subjects in Group O received an anterior division of the obturator nerve block, and subjects in Group C served as a control group (ACB alone). RESULTS: In 105 subjects undergoing ACLR, there was no significant difference between groups H, O, and C for the primary outcome of pain on movement as assessed by numerical rating scale (NRS) on knee flexion at 2 h after operation (P=0.11). There was no difference in NRS at any time point in the first 48 h after operation, nor was there a difference in oxycodone consumption between the three groups at 24 h (P=0.2). Worst knee pain was initially at the graft donor site in all three groups, which transitioned to anterior knee pain after 12 h. CONCLUSIONS: The addition of ultrasound-guided peri-hamstring injection or anterior division of obturator nerve block to ACB did not result in a significant reduction in pain or opioid consumption after ACLR with ipsilateral hamstring graft. CLINICAL TRIAL REGISTRATION: NCT01868282.</t>
  </si>
  <si>
    <t>Br J Anaesth</t>
  </si>
  <si>
    <t>10.1016/j.bja.2019.11.032</t>
  </si>
  <si>
    <t>#202</t>
  </si>
  <si>
    <t>Johnston 2020</t>
  </si>
  <si>
    <t>Infra Patellar Branch of Saphenous Nerve Injury during Hamstring GraftÂ Harvest: Vertical versus Oblique Incisions.</t>
  </si>
  <si>
    <t>Joshi A; Kayasth N; Shrestha S; Kc BR</t>
  </si>
  <si>
    <t>BACKGROUND: Autologous hamstring grafts are commonly used for anterior cruciate ligament reconstruction. The injury of infrapatellar branch of saphenous nerve is one of the concerns leading to various pattern of sensory loss in the operated leg. An oblique incision to harvest the graft has been reported to be better than the vertical one.The aim of this study was to compare the incidence, recovery of nerve injury and final outcome in patients with hamstring harvest of vertical or oblique incision. METHODS: A total of 146 patients who underwent hamstring graftÂ harvestÂ forÂ anterior cruciate ligamentÂ reconstruction, were included in the study. They were randomized into two (Vertical and Oblique) groups as per the incisions used. The sensory loss along the Infra Patellar Branch of Saphenous Nerve was documented on 3rd day. Recovery of the nerve injury was monitoredat three, six and 12 months follow-ups. At final follow up Tegner Lysholm score and scale was recorded to compare between two groups. RESULTS: The incidence of infrapatellar branch of saphenous nerve injury was 25% in vertical group and 16.36% in oblique group. Recovery of nerve injury started earlier in oblique group compared to vertical group. The mean TegnerLyshom score was not significantly different in both the groups. CONCLUSIONS: Oblique incision to harvest hamstring graft has lesser incidence of infrapatellar branch of saphenous nerve injury, recovers earlier and does not have any adverse effect on final outcome compared to the vertical incision.</t>
  </si>
  <si>
    <t>J Nepal Health Res Counc</t>
  </si>
  <si>
    <t>#319</t>
  </si>
  <si>
    <t>Joshi 2016</t>
  </si>
  <si>
    <t>The effect of progressive eccentric and concentric training on functional performance after autogenous hamstring anterior cruciate ligament reconstruction: a randomized controlled study.</t>
  </si>
  <si>
    <t>KÄ±nÄ±klÄ± GI; YÃ¼ksel I; BaltacÄ± G; Atay OA</t>
  </si>
  <si>
    <t>OBJECTIVE: The aim of this study was to assess the functional results of an early onset progressive eccentric and concentric training in patients with autogen hamstring anterior cruciate ligament (ACL) reconstruction. METHODS: Thirty-three patients with autogenous hamstring ACL reconstruction were randomly divided into study (n=16, mean age; 33.87Â±8.19) and control (n=17, mean age; 32.64Â±8.21) groups and followed the same ACL rehabilitation program. Additionally, the study group followed a progressive eccentric and concentric training for 12 weeks on the Monitorized Functional Squat System (MFSS) beginning 3 weeks after surgery. The groups were compared according to the isokinetic strength of the knee extensors and flexors, functional performance (the vertical jump test, a single hop for distance test) and the Lysholm knee scale, the Anterior Cruciate Ligament-Quality of Life Questionnaire (ACL-QOL), before and 16 weeks after the surgery. RESULTS: The functional outcomes in terms of the vertical jump test (p=0.012), a single hop-for-distance test (p=0.027), the Lysholm knee scale (p=0.002) and the ACL-QOL questionnaire (p=0.000) demonstrated significantly greater improvement in the study group. No significant difference was reported between groups for isokinetic strength of the knee extensors and flexors (p&gt;0.05). CONCLUSION: Adding progressive eccentric and concentric exercises to the standard rehabilitation protocol may improve the functional results after ACL reconstruction with autogen hamstring grafts.</t>
  </si>
  <si>
    <t>10.3944/AOTT.2014.13.0111</t>
  </si>
  <si>
    <t>#352</t>
  </si>
  <si>
    <t>KÄ±nÄ±klÄ± 2014</t>
  </si>
  <si>
    <t>Functional and molecular adaptations of quadriceps and hamstring muscles to blood flow restricted training in patients with ACL rupture.</t>
  </si>
  <si>
    <t>Kacin A; DrobniÄ_x008d_ M; MarÅ¡ T; MiÅ¡ K; PetriÄ_x008d_ M; Weber D; Tomc Å½argi T; MartinÄ_x008d_iÄ_x008d_ D; Pirkmajer S</t>
  </si>
  <si>
    <t>Effects of low-load blood flow restricted (LL-BFR) training remain unexplored in patients with ACL rupture. Our hypothesis was that LL-BFR training triggers augmented gains in knee muscle strength and size, which are paralleled with transcriptional responses of hypoxia-regulated genes and myokines. Eighteen volunteers (age 37.5Â Â±Â 9Â years) planned for ACL reconstruction, participated in the study. Twelve were divided between BFR group, performing 9 sessions of LL-BFR exercise, and SHAM-BFR group performing equal training with sham vascular occlusion. Six subjects served as a control for muscle biopsy analysis. Cross-sectional area (CSA) and isokinetic strength of knee muscles were assessed before and after the training. Change in CSA(quad) was significantly (pÂ &lt;Â 0.01) larger in BFR (4.9%) compared with SHAM-BFR (1.3%). Similarly, change in peak torque of knee extensors was significantly (pÂ &lt;Â 0.05) larger in BFR (14%) compared with SHAM-BFR (-1%). The decrease in fatigue index of knee extensors (6%) was larger (pÂ &lt;Â 0.01) in BFR than in SHAM-BFR (2%). mRNA expression of HIF-1Î± in the vastus lateralis was reduced (pÂ &lt;Â 0.05) in SHAM-BFR, while VEGF-A mRNA tended to be higher in BFR. The mRNA expression of myostatin and its receptor were reduced (pÂ &lt;Â 0.05) in the semitendinosus after both types of training. Expression of IL-6, its receptors IL-6RÎ± and gp130, as well as musclin were similar in control and training groups. In conclusion, our results show augmented strength and endurance of knee extensors but less of the flexors. LL-BFR training is especially effective for conditioning of knee extensors in this population.</t>
  </si>
  <si>
    <t>10.1111/sms.13968</t>
  </si>
  <si>
    <t>#160</t>
  </si>
  <si>
    <t>Kacin 2021</t>
  </si>
  <si>
    <t>A prospective randomized comparison of bioabsorbable and titanium anterior cruciate ligament interference screws.</t>
  </si>
  <si>
    <t>Kaeding C; Farr J; Kavanaugh T; Pedroza A</t>
  </si>
  <si>
    <t>PURPOSE: To compare the Phantom bioabsorbable polymer interference screw (DePuy, Warsaw, IN) with a titanium metal interference screw when used in fixation of femoral and tibial bone blocks in central third bone-patellar tendon-bone autograft anterior cruciate ligament (ACL) reconstructions. TYPE OF STUDY: Multicentered prospective randomized study. METHODS: Two surgeons performed primary ACL reconstructions at different locations. Preoperatively, the patients were randomly assigned. One group received a titanium cannulated interference screw. The second group received the cannulated poly-L-lactic bioabsorbable Phantom screw. Data included subjective evaluation of activity level and International Knee Documentation Committee scores. Objective measures were made using the KT-1000 arthrometer (MedMetric, San Diego, CA), range of motion, presence of effusions, and complications intraoperatively or postoperatively. Measurements were made at 1 year and 2 years. Radiographic evaluation was carried out at least 2 years from the initial surgical date and interpreted by 2 independent orthopaedic surgeons. RESULTS: At the 1-year follow-up (N = 97), pain was reported more during moderate activity in the Phantom screw group (6) compared with the titanium screw group (0) (P = .03). No statistical difference between range of motion (P = .45), activity level (P = .83), swelling with activity (P = .95), partial (P = .13) or full (P = .31) giving way, knee effusions (P = .33), or KT-1000 side-to-side difference (P = .53) were found. At the 2-year follow-up (N = 65), more subjects (18) in the Phantom interference screw group reported activity levels in the strenuous category compared with those in the titanium interference screws (7) group (P = .02). No differences were reported with respect to pain (P = .97), effusion (P = .17), partial (P = .28) or full (P = .27) giving way, swelling with activity (P = .21), range of motion ( P = .64), or KT-1000 side-to-side difference (P = .96). Radiographic inspection showed no change in bone plug position, osteolysis, adverse effect, or complication caused by the bioabsorbable material. Some evidence of tunnel widening was seen in both groups. CONCLUSIONS: Use of a poly-L-lactic bioabsorbable interference screw can provide clinical results equal to that of a metal interference screw for fixation of a central third bone-patellar tendon-bone graft in ACL reconstruction. LEVEL OF EVIDENCE: Level II, therapeutic.</t>
  </si>
  <si>
    <t>10.1016/j.arthro.2004.09.012</t>
  </si>
  <si>
    <t>#572</t>
  </si>
  <si>
    <t>Kaeding 2005</t>
  </si>
  <si>
    <t>Intraoperative evaluation of anteroposterior and rotational stabilities in anterior cruciate ligament reconstruction: lower femoral tunnel placed single-bundle versus double-bundle reconstruction.</t>
  </si>
  <si>
    <t>Kanaya A; Ochi M; Deie M; Adachi N; Nishimori M; Nakamae A</t>
  </si>
  <si>
    <t>Twenty-six patients with anteroposterior (AP) laxity of the knee, associated with torn anterior cruciate ligament (ACL), were prospectively randomized for arthroscopic lower femoral tunnel placed single- or double-bundle reconstruction using hamstring tendons. We evaluated AP and rotational stabilities under regular loads (a 100-N anterior load and a 1.5-N m external-internal load) before and after ACL reconstruction, comparing single- and double-bundle reconstruction with our original device for applying quantitative tibial rotation and the navigation system intraoperatively. No significant differences were found between the two groups in AP displacement and total range of tibial rotation at 30 degrees and 60 degrees of knee flexion. We found that a lower femoral tunnel placed single-bundle reconstruction reproduced AP and rotational stability as well as double-bundle reconstruction after reconstruction intraoperatively.</t>
  </si>
  <si>
    <t>10.1007/s00167-009-0757-5</t>
  </si>
  <si>
    <t>#487</t>
  </si>
  <si>
    <t>Kanaya 2009</t>
  </si>
  <si>
    <t>Single-bundle modified patellar tendon versus double-bundle tibialis anterior allograft ACL reconstruction: a prospective randomized study.</t>
  </si>
  <si>
    <t>Kang HJ; Wang XJ; Wu CJ; Cao JH; Yu DH; Zheng ZM</t>
  </si>
  <si>
    <t>PURPOSE: The purpose of this study was to prospectively compare the outcomes of single-bundle (SB) anterior cruciate ligament (ACL) reconstruction with modified bone-patellar tendon-bone (BPTB) allograft and double-bundle (DB) reconstruction with tibialis anterior allograft. METHODS: With 94 patients enroled in the study, 43 subjects who had SB ACL reconstruction with modified BPTB allograft (group S) and 41 subjects of DB ACL reconstruction with tibialis anterior allograft (group D) were followed up for a minimum of 2Â years. Clinical outcomes including Lachman and pivot-shift tests, KT-1000 arthrometer measurements, and the International Knee Documentation Committee (IKDC) classification, Lysholm and Tegner activity scores were compared between the two groups at the last follow-up. RESULTS: The mean graft size of the group S, the anteromedial bundle and posterolateral bundle in group D were 9.9Â Â±Â 0.2, 7.5Â Â±Â 0.4 and 6.6Â Â±Â 0.4Â mm, with statistically significant difference between the group S graft to either bundle of group D grafts (pÂ &lt;Â 0.001). At the last follow-up, there was no statistical difference between the two groups for the Lachman test, pivot-shift test and side-to-side difference. Substantial improvements in the subjective knee function scores were achieved in both groups, but without significant difference between the two groups. CONCLUSIONS: After a 2-year minimum follow-up, SB ACL reconstruction based on modified BPTB allograft achieved similar clinical outcomes to DB reconstruction with tibialis anterior allograft in knee stability, both anterior-posterior and rotational, as well as knee function. The modified BPTB allograft was recommended as an ideal graft option for the SB ACL reconstruction. LEVEL OF EVIDENCE: Therapeutic, randomized controlled study, Level II.</t>
  </si>
  <si>
    <t>10.1007/s00167-014-3021-6</t>
  </si>
  <si>
    <t>#354</t>
  </si>
  <si>
    <t>Kang 2015</t>
  </si>
  <si>
    <t>Effect of drain placed in the donor site in the early postoperative period after arthroscopically assisted anterior cruciate ligament reconstruction with quadrupled hamstring tendons.</t>
  </si>
  <si>
    <t>Karahan M; Erol B; BekiroÄŸlu N; Uyan D</t>
  </si>
  <si>
    <t>BACKGROUND: No scientific study has addressed the effects of the routine use of postoperative drains in the donor site after arthroscopic anterior cruciate ligament reconstruction using hamstring tendons. HYPOTHESIS: Patients who have drains placed in their donor sites have less lower extremity edema, more motion, and more comfort in the early postoperative period. STUDY DESIGN: Randomized controlled clinical trial; Level of evidence, 1. METHODS: Thirty-four patients undergoing arthroscopically assisted quadruple hamstring tendon anterior cruciate ligament reconstruction were randomly assigned to either receive a drain for 24 hours placed at the donor site (17 patients) or have no drain at the donor site (17 patients). Data were collected on postoperative days 1, 3, 5, and 7 regarding knee flexion, knee extension, thigh circumference, leg circumference, and visual analog scale (measuring pain). RESULTS: In the study group versus the control group, there were increased knee flexion measurements on postoperative day 7 (84 degrees vs 69 degrees , P &lt; .05); smaller thigh circumference measurements on postoperative day 7 (36.8 vs 40.1 cm, P &lt; .05); smaller leg circumference measurements on postoperative days 3 (33.2 vs 36.4 cm, P &lt; .05), 5 (32.7 vs 36.0 cm, P &lt; .05), and 7 (31.8 vs 35.7 cm, P &lt; .001); and a lower visual analog scale score on postoperative days 3 (40.38 vs 57.50, P = .001), 5 (38.46 vs 60.35, P = .001), and 7 (38.07 vs 61.43, P = .001). CONCLUSION: Drain placement at the donor site after anterior cruciate ligament reconstruction gives more comfort to the patient and provides better flexion within the first week.</t>
  </si>
  <si>
    <t>10.1177/0363546504271503</t>
  </si>
  <si>
    <t>#565</t>
  </si>
  <si>
    <t>Karahan 2005</t>
  </si>
  <si>
    <t>Comparison of Anatomic Double- and Single-Bundle Techniques for Anterior Cruciate Ligament Reconstruction Using Hamstring Tendon Autografts: A Prospective Randomized Study With 5-Year Clinical and Radiographic Follow-up.</t>
  </si>
  <si>
    <t>Karikis I; Desai N; Sernert N; Rostgard-Christensen L; Kartus J</t>
  </si>
  <si>
    <t>BACKGROUND: The aim of this prospective randomized study was to compare the outcomes of the anatomic double-bundle (DB) and anatomic single-bundle (SB) techniques 5 years after anterior cruciate ligament (ACL) reconstruction. Since more effective restoration of rotational laxity is considered the main advantage of the DB technique, the pivot-shift test was the primary outcome variable of the study. HYPOTHESIS: Double-bundle ACL reconstruction will result in a better outcome in terms of the pivot-shift test. STUDY DESIGN: Randomized controlled trial; Level of evidence, 1. METHODS: A total of 105 patients (33 women, 72 men; median age, 27 years; range, 18-52 years) were randomized and underwent ACL reconstruction (DB group, n = 53; SB group, n = 52). All reconstructions were performed anatomically by identifying the ACL footprints, using the anteromedial portal for the femoral tunnel drilling, and utilizing interference screw for tibial and femoral fixation. A single blinded observer examined the patients preoperatively and at follow-up (median, 64 months; range, 55-75 months). Multiple subjective and objective clinical evaluation tests and radiographic assessments of osteoarthritis (OA) were performed using the AhlbÃ¤ck, Kellgren-Lawrence, and Fairbank grading systems at 6 weeks postoperatively and at the final follow-up evaluation. RESULTS: Preoperatively, no differences were found between the study groups, apart from the preinjury Tegner activity level, which was lower in the DB group (SB: mean, 7.8 [range, 3-9]; DB: mean, 7.3 [range, 0-9]; P = .02). Eighty-seven patients (83%) were available for examination at the 5-year follow-up. Statistical differences could not be found between the groups in terms of the pivot-shift test, KT-1000 arthrometer laxity measurements, manual Lachman test, single-legged-hop test, square-hop test, range of motion, Lysholm knee scoring scale, Tegner activity scale, or Knee injury and Osteoarthritis Outcome Score. Correspondingly, no differences were found between the groups regarding the presence of OA at follow-up. However, a significant increase of OA was found within the DB group at the 5-year follow-up. Both groups improved at follow-up compared with the preoperative assessment in terms of the laxity tests, hop tests, and scoring scales. CONCLUSION: At the 5-year follow-up of an unselected group of patients, anatomic DB reconstruction was not superior to anatomic SB reconstruction in terms of the pivot-shift test.</t>
  </si>
  <si>
    <t>10.1177/0363546515626543</t>
  </si>
  <si>
    <t>#310</t>
  </si>
  <si>
    <t>Karikis 2016</t>
  </si>
  <si>
    <t>Role of gracilis harvesting in four-strand hamstring tendon anterior cruciate ligament reconstruction: a double-blinded prospective randomized clinical trial.</t>
  </si>
  <si>
    <t>Karimi-Mobarakeh M; Mardani-Kivi M; Mortazavi A; Saheb-Ekhtiari K; Hashemi-Motlagh K</t>
  </si>
  <si>
    <t>PURPOSE: Weakness in knee flexion following anterior cruciate ligament (ACL) reconstruction is one of the key issues in the treatment of an ACL tear. The purpose of this study was to examine and compare clinical outcome measures of ACL reconstruction using semitendinosus autograft (ST) versus semitendinosusÂ +Â gracilis (ST/G) reconstructive techniques. METHODS: In a double-blind randomized clinical study, 19 patients with an ACL tear underwent either ST (59) or ST/G (61) and observed for 1Â year. Both patients and the final examiner were unaware as to the type of graft received. Patients were evaluated according to subjective criteria, functional assessment tests, knee isometric torques, knee laxity using KT-2000 and knee range of motion. RESULTS: The study included 21 (17.6Â %) female and 99 (82.4Â %) male patients with a mean age of 29.9Â Â±Â 7.8 in the ST group and 32.4Â Â±Â 6.3 in the ST/G group. There were no significant differences found in surgical complications; IKD; Knee injury and Osteoarthritis Outcome Score; Lysholm; strength of the knee isometric flexors; and flexion and extension loss between the two groups. At the final visit, 86.9Â % of ST group and 89.6Â % of ST/G group had side-to-side difference of laxity &lt;3Â mm (n.s.). CONCLUSIONS: Since anterior cruciate ligament reconstruction using quadrupled ST is more technically demanding than doubled STG and with there being no difference in outcomes and complications, no compulsory advice should be made on the former technique. However, gracilis harvesting may not be necessary based on the function and strength of the knee. LEVEL OF EVIDENCE: Randomized controlled trial, Level I.</t>
  </si>
  <si>
    <t>10.1007/s00167-014-2890-z</t>
  </si>
  <si>
    <t>#362</t>
  </si>
  <si>
    <t>Karimi-Mobarakeh 2015</t>
  </si>
  <si>
    <t>[Clinical Outcomes of the Application of Platelet-Rich Fibrin during Anatomic Anterior Cruciate Ligament Reconstruction: Results of Prospective Randomised Study].</t>
  </si>
  <si>
    <t>Kasl J; Zeman P; Pavelka T; CibulkovÃ¡ J; PilnÃ½ J; MatÄ›jka J</t>
  </si>
  <si>
    <t>PURPOSE OF THE STUDY It was a prospective, randomised, unblinded study. Effects of the application of platelet-rich fibrin (PRF) on the anatomic anterior ligament reconstruction were examined. MATERIAL AND METHODS A total of 40 patients who underwent a surgery between 2012 and 2014 were enrolled in the study. The patients were randomised into two groups: the group with PRF application (n=20) and the group without PRF application (n=20, control group). The study included 11 women and 29 men, with the mean age at the time of inclusion into the study 29.1 years. Vivostat Â® PRF was obtained perioperatively from the patient s blood and applied intraoperatively to the hamstring tendon graft. The ACL graft healing was assessed through magnetic resonance (MRI) at 6 and 12 months postoperatively. The clinical outcomes (the Lysholm score and the IKDC Subjective score, return to pre-injury sport levels, Pivot-shift test, graft failure) as well as standardised laxity measurements using GenouRob arthrometer were performed preoperatively and 12 months after surgery. RESULTS The study was completed by thirty-three (33) patients (17 in the PRF group and 16 in the control group). In two cases, postoperative graft failure was reported (both cases in the control group). No significant differences were found in the process of graft ligamentization evaluated through MRI (p=0.07). No significant difference between the groups was identified with respect to return to pre-injury sport levels (p=0.232), or the Lysholm score and IKDC Subjective score (p=0.259, and p=0.364 respectively). The postoperative knee laxity measurement using Genourob arthrometer did not reveal any significant differences between the PRF group and the control group. DISCUSSION Results similar to those arrived at by our study have recently been published also by other authors worldwide. We can therefore assume that the application of PRF can be of benefit, especially at the early stage of healing. The results still need to be verified on a larger study group, the study design should focus on the development in the early postoperative period. CONCLUSIONS In our study group, no significant difference was observed in the evaluated subjective and objective clinical parameters. Only the parameter regarding the ACL graft failure fell just short of statistical significance, namely to the disadvantage of the group without the PRF application. Key words: anterior cruciate ligament, arthroscopy, anatomic ACL reconstruction, magnetic resonance imaging of the graft, platelet-rich fibrin, graft healing, MRI signal intensity of the graft.</t>
  </si>
  <si>
    <t>Acta Chir Orthop Traumatol Cech</t>
  </si>
  <si>
    <t>#121</t>
  </si>
  <si>
    <t>Kasl 2022</t>
  </si>
  <si>
    <t>A comparison of ACL reconstruction using patellar tendon versus hamstring autograft in female patients: a prospective randomised study.</t>
  </si>
  <si>
    <t>Kautzner J; Kos P; Hanus M; Trc T; Havlas V</t>
  </si>
  <si>
    <t>PURPOSE: The incidence of an anterior cruciate ligament (ACL) tear is highest in female patients; however, it is not apparent whether graft choice affects clinical results. The aim of this prospective randomised study was to evaluate clinical results of an ACL reconstruction using patellar tendon [bone-patellar tendon-bone (BTB)] or hamstring graft (HS) in female patients. METHODS: Inclusion criteria were traumatic instability, no signs of osteoarthritis, no previous instability and no contralateral knee instability. Inclusion criteria were met in 150 patients, mean age 26Â (17-47)Â years. Patients were randomised into two groups of 75 patients according to graft type; all had the same rehabilitation protocol. Tegner Lysholm knee score and stability were evaluated pre-operatively and one and twoÂ years postoperatively. The difference between groups was statistically evaluated using unpaired t test. RESULTS: Of the 150 patients, all completed oneÂ year follow-up; three were lost to follow-up at twoÂ years. There was no significant difference in functional scores and knee stability between groups. The HS group had significantly less anterior knee pain in the first sixÂ months postoperatively. CONCLUSION: ACL reconstruction significantly improves clinical results and stability of the knee. Difference in Lysholm score and stability between groups was not significant. Neither group showed higher tendency to graft failure within twoÂ years. Graft choice for reconstruction in female patients should be surgeon specific and individualised, as both grafts studied achieved comparable results.</t>
  </si>
  <si>
    <t>Int Orthop</t>
  </si>
  <si>
    <t>#348</t>
  </si>
  <si>
    <t>Pretensioning of quadruple flexor tendon grafts in two types of femoral fixation: quasi-randomised controlled pilot study.</t>
  </si>
  <si>
    <t>Kawano CT; de Moraes Barros Fucs PM; Severino NR</t>
  </si>
  <si>
    <t>Pretensioning of the flexor tendon graft of the knee is used to improve the stability of anterior cruciate ligament (ACL) reconstructions. The objective was to demonstrate the pretensioning of grafts of the semitendinosus and gracilis in situ with range of flexion and extension of 0-110Â°, and determine the appropriate number of cycles in two types of femoral fixation. ACL reconstruction was performed in 60 patients, aged 16-48 years, 90% male, with 50% right knees and 50% left knees, divided into two groups of 30 patients: One with the femur fixed using interference screws (direct form) and the other with the transcondylar cross-pin screw (from a distance). Total length of the grafts, their circumference and the measurements on the radiographs of length of the grafts submitted to pretensioning and the measurements with ten, 25 and 50 cycles of flexion and extension were determined. There was no significant difference in relation to the total tendon lengths and their circumferences. The lengths of the portions submitted to pretensioning were significantly different: 7.90 cm for the interference and 10.92 cm for the transcondylar (mean). After tensioning, in the interference and transcondylar groups, respectively, lengthening was 3.57 mm/3.97 mm with ten, 6.30 mm/7.03 mm with 25, and 6.83 mm/7.7 mm with 50 cycles. The greater the length of the graft, the greater the lengthening on pretensioning throughout the substance; the shorter the length, the earlier the end of the lengthening was achieved, close to 25 cycles; more than ten cycles were necessary, 25 being sufficient.</t>
  </si>
  <si>
    <t>10.1007/s00264-010-1036-2</t>
  </si>
  <si>
    <t>#451</t>
  </si>
  <si>
    <t>Kawano 2011</t>
  </si>
  <si>
    <t>Effects on Lower Extremity Neuromuscular Control Exercises on Knee Proprioception, Muscle Strength, and Functional Level in Patients with ACL Reconstruction.</t>
  </si>
  <si>
    <t>Kaya D; Guney-Deniz H; Sayaca C; Calik M; Doral MN</t>
  </si>
  <si>
    <t>OBJECTIVE: The purpose of this study was to determine the effects of lower extremity motor control exercises on knee proprioception, muscle strength, and functional level in patients with anterior cruciate ligament reconstruction (ACL-R). MATERIALS AND METHODS: Thirty-two of the 57 patients with ACL-R using tibialis anterior allografts were divided into two groups. Group I: lower extremity motor control exercises were added to the standard rehabilitation program. Group II: standard rehabilitation program was applied. Effects of lower extremity motor control exercises on quadriceps and hamstring muscles strength, knee joint position sense, and hop test were evaluated. RESULTS: There were no differences in muscle strength and endurance of the quadriceps and hamstring between the operative and nonoperative sides in Group I (p &gt; 0.05) while there were significant differences in strength of the quadriceps and hamstring between the operative and nonoperative sides in Group II (p &lt; 0.05). There were significant differences in the endurance of the quadriceps and hamstring and knee joint position sense at 15Â°, 45Â°, and 75Â° between the operative sides of the patients in both groups (p &lt; 0.05). CONCLUSIONS: The neuromuscular control exercises program was found to be more effective in reducing the difference in strength while the standard program was found to be more effective in reducing the difference in endurance between the operated knee and the other knee. This study revealed that neuromuscular control exercises should also be used to improve knee proprioception sense following ACL-R.</t>
  </si>
  <si>
    <t>Biomed Res Int</t>
  </si>
  <si>
    <t>10.1155/2019/1694695</t>
  </si>
  <si>
    <t>#205</t>
  </si>
  <si>
    <t>Kaya 2019</t>
  </si>
  <si>
    <t>Efficacy of the Adductor Canal Approach to Saphenous Nerve Block for Anterior Cruciate Ligament Reconstruction With Hamstring Autograft: A Randomized Controlled Trial.</t>
  </si>
  <si>
    <t>Kejriwal R; Cooper J; Legg A; Stanley J; Rosenfeldt MP; Walsh SJ</t>
  </si>
  <si>
    <t>BACKGROUND: For reconstruction of the anterior cruciate ligament (ACL) with hamstring autograft, perioperative analgesia can be achieved with multimodal analgesia and intra-articular local anesthesia infiltration with or without additional regional blocks. Saphenous nerve block (SNB) via the adductor canal is commonly used in our practice, but its benefit has not been well established in the literature. PURPOSE: To assess the efficacy of SNB in ACL reconstruction with hamstring autograft. STUDY DESIGN: Randomized controlled trial; Level of evidence, 1. METHODS: Consecutive patients undergoing arthroscopic ACL reconstruction with hamstring autograft were randomized into a control group (no SNB) and an intervention group (SNB). All patients received standardized anesthetic induction and maintenance agents with perioperative analgesia, per study protocol, with local anesthetic infiltration of the graft harvest site and intra-articular infiltration. RESULTS: Sixty patients were randomized into the 2 groups (n = 30 each). There was no statistically significant difference in total opiate consumption between the groups (control, 34 mg; SNB, 31 mg; P = .40). There was no statistically significant difference in visual analog scale scores for pain at 0, 8, and 24 hours postsurgery, and no difference in overall satisfaction score. The control group had a significantly higher visual analog scale score at 4 hours postsurgery (3.0 vs 1.9, P = .04). CONCLUSION: SNB has a minimal effect on postsurgical care for ACL reconstruction with hamstring autograft in the presence of multimodal analgesia and local anesthetic infiltration.</t>
  </si>
  <si>
    <t>10.1177/2325967118800948</t>
  </si>
  <si>
    <t>#235</t>
  </si>
  <si>
    <t>Kejriwal 2018</t>
  </si>
  <si>
    <t>Prospective, randomized study comparing clinical outcomes when reconstructing ACL with either semitendinosus autograft or the Jewel synthetic standalone device in two separate patient cohorts.</t>
  </si>
  <si>
    <t>Kentel M; Krupa S; Reichert P; Korolczuk K; Kentel K; Daszkiewicz M</t>
  </si>
  <si>
    <t>AIM OF THE STUDY: This prospective study aimed to compare the clinical outcomes of ACL reconstruction using either a JewelACL synthetic ligament or a Semitendinosus (ST) autograft, with a minimum follow-up period of 2Â years. PATIENTS AND METHODS: This study enrolled 50 sports-active patients with anteromedial bundle injuries for primary standalone ACL reconstruction. In group I (20 patients with a BMI of 24.36Â Â±Â 2.32, and a mean age of 40.65Â Â±Â 11.43) the Jewel ACL synthetic graft was implemented, while in group II (30 patients with a BMI of 24.82Â Â±Â 3.25, and a mean age of 35.57Â Â±Â 7.18) the ST autograft was used, both with the same surgical technique. Pre- and postoperative assessments included ROM, Lachman, pivot_shift, KT 1000, IKDC 2000, Cincinnati, Lysholm, Tegner scores, and time to return to sport. RESULTS: There was no statistical difference between the JewelACL and ST groups in ROM or scores. The JewelACL group returned earlier to participation at 2.6Â months and to sports at 4.65Â months, compared to 5.2 and 10.87Â months for the ST group. On the day of surgery, 25Â % of the JewelACL group and 37Â % of the ST group had positive pivot_shift tests. At 24Â months, all JewelACL patients had negative results, while 10Â % of the ST group remained positive. Three cases of hematoma at the donor site were noted in the ST group but none in the JewelACL group. CONCLUSIONS: ACL reconstruction with both the ST autograft and JewelACL synthetic ligament provided similarly positive outcomes across nearly all measured scores. The JewelACL technique allows for a faster return to training and sports activities. In contrast, the ST group experienced donor site complications after harvesting, leading to delayed healing and a slower rehabilitation process.</t>
  </si>
  <si>
    <t>10.1016/j.knee.2025.07.024</t>
  </si>
  <si>
    <t>#41</t>
  </si>
  <si>
    <t>Kentel 2025</t>
  </si>
  <si>
    <t>The effect of incorporating whole body vibration into exercise therapy on the corticomotor excitability of the quadriceps in athletes following anterior cruciate ligament reconstruction.</t>
  </si>
  <si>
    <t>Khanmohammadi R; Zare S; Musavi A; Ahmadi M</t>
  </si>
  <si>
    <t>Previous studies have shown that athletes recovering from anterior cruciate ligament (ACL) reconstruction experience a decline in motor cortex excitability and injury-related cortical reorganization, potentially leading to ongoing complications and a higher risk of subsequent injuries. Therefore, incorporating an intervention that consistently delivers sensory inputs to the central nervous system and enhances excitability at both spinal and supra-spinal levels, in addition to exercise therapy, may offer greater benefits. The purpose of this study was to explore whether combining whole body vibration (WBV) with exercise therapy enhances motor cortical excitability in athletes undergoing ACL reconstruction more effectively than exercise therapy alone. Additionally, it aimed to assess whether this combination improves quadriceps strength and reduces functional limitations in daily activities. This study is a randomized, single-blinded, controlled trial. Twenty-six participants were assigned to either the WBV plus exercise therapy group (intervention group) or the exercise therapy-only group (control group). Outcome measures, assessed before and after treatment, included motor cortex excitability [active motor threshold (AMT) and motor-evoked potential amplitude of the quadriceps], isometric peak torque of the quadriceps, and daily functional disabilities using the knee outcome survey activities of daily living scale (KOS-ADL scale). The treatment period consisted of 12 sessions (4Â weeks, with 3 sessions per week). A two-way mixed ANOVA was conducted to examine the main effects of group, time and their interactions. The results showed that in the intervention group (WBV plus exercise therapy), AMT significantly decreased (F(1, 12)â€‰=â€‰11.35, Pâ€‰=â€‰0.006, Î·(2)â€‰=â€‰0.486), while the control group (exercise therapy only) showed no significant change (F(1, 12)â€‰=â€‰0.252, Pâ€‰=â€‰0.625, Î·(2)â€‰=â€‰0.021). In the intervention group, AMT decreased by 19.47% post-treatment. Both groups showed significant improvements in isometric peak torque and KOS-ADL scores (Pâ€‰&lt;â€‰0.001), with large effect sizes for these parameters. The study concluded that adding WBV to exercise therapy is more effective in increasing motor cortex excitability compared to exercise therapy alone. However, since both groups showed significant improvements in quadriceps peak torque and KOS-ADL scores, it suggests that the addition of WBV did not provide substantial added benefits in enhancing quadriceps strength and improving daily functional abilities. The observed improvements may primarily be attributed to exercise therapy. Nonetheless, it is important to consider the small sample size and low statistical power when interpreting these results.RCT registration: On the Iranian Registry of Clinical Trials (IRCT20220220054078N1).</t>
  </si>
  <si>
    <t>10.1038/s41598-025-98134-5</t>
  </si>
  <si>
    <t>#49</t>
  </si>
  <si>
    <t>Khanmohammadi 2025</t>
  </si>
  <si>
    <t>Letter to Editor: Comparative Evaluation of Peroneus Longus Tendon and Hamstring Tendon Autografts in Primary Anterior Cruciate Ligament Reconstruction: A Randomized Controlled Trial.</t>
  </si>
  <si>
    <t>Khatun A; Sharma S; Singh RR</t>
  </si>
  <si>
    <t>J Orthop Case Rep</t>
  </si>
  <si>
    <t>10.13107/jocr.2026.v16.i07.7762</t>
  </si>
  <si>
    <t>#2</t>
  </si>
  <si>
    <t>Khatun 2026</t>
  </si>
  <si>
    <t>Four-Week Application of Kinesiotaping Improves Proprioception, Strength, and Balance in Individuals With Complete Anterior Cruciate Ligament Rupture.</t>
  </si>
  <si>
    <t>KielÄ— D; Solianik R</t>
  </si>
  <si>
    <t>KielÄ—, D and Solianik, R. Four-week application of kinesiotaping improves proprioception, strength, and balance in individuals with complete anterior cruciate ligament rupture. J Strength Cond Res 37(1): 213-219, 2023-Kinesiotaping (KT) is common in musculoskeletal rehabilitation, but whether it is efficacious for surgically untreated anterior cruciate ligament (ACL) ruptures is unknown. Therefore, we evaluated whether a strategy of physiotherapy plus KT would be superior to a strategy of physiotherapy alone on subsequent proprioception and motor function. Men aged 28.1 Â± 6.7 years with complete ACL ruptures were randomized to either a control (physiotherapy) or an experimental group (physiotherapy + KT) for a 4-week period. Changes in balance were assessed on the injured leg using a force platform. Knee angle reproduction, maximal voluntary contraction (MVC), and rate of force development (RFD) were measured using dynamometry, and pain was recorded using a visual analog scale. Decreases in knee pain and improvements in angle reproduction were observed in both groups ( p &lt; 0.05), with a greater effect on angle reproduction in the experimental group ( p &lt; 0.05). Both groups demonstrated increased isometric knee flexor MVC and RFD values ( p &lt; 0.05), but an increase in RFD of the knee extensors was observed only in the experimental group ( p &lt; 0.05). Furthermore, the MVC of concentric knee flexors at 60Â°Â·s -1 increased only in the experimental group ( p &lt; 0.05), whereas concentric MVC at 180Â°Â·s -1 -resulting in greater hamstring-to-quadriceps ratios-increased in both groups ( p &lt; 0.05). Balancing ability on the injured leg increased only in the experimental group ( p &lt; 0.05). Thus, KT plus physiotherapy was beneficial in the treatment of proprioception, strength, and static balance in these individuals with an ACL rupture.</t>
  </si>
  <si>
    <t>10.1519/JSC.0000000000004245</t>
  </si>
  <si>
    <t>#135</t>
  </si>
  <si>
    <t>KielÄ— 2023</t>
  </si>
  <si>
    <t>A Comparison between Modified Robert Jones Bandage and Intermittent Cold Pack in Arthroscopic Anterior Cruciate Ligament Reconstruction: A Prospective Randomized Controlled Trial.</t>
  </si>
  <si>
    <t>Kijkunasathian C; Limitlaohaphan C; Saengpetch N; Chanasit P; Sundarathiti P; Waratanarat P</t>
  </si>
  <si>
    <t>BACKGROUND: Modified Robert Jones bandage and intermittent cold pack are commonly used for postoperative care in arthroscopic anterior cruciate ligament reconstruction (ACLR). However, no study has been done to compare the postoperative pain and functional outcome of both methods in ACLR. OBJECTIVE: To compare the postoperative pain and functional outcome of a modified Robert Jones bandage and intermittent cold pack in ACLR. MATERIAL AND METHOD: Forty patients scheduled for ACLR were included. Computer-generated randomization allocated patients into either modified Robert Jones bandage group (MRJ) or intermittent cold pack group (ICT). Visual analog scale and morphine usage were assessed postoperatively. Blinded assessors assessed functional outcome, knee swelling, and patientâ€™s satisfaction. RESULTS: There were 19 patients in each group. Two groups were well comparable for the prognostic variables. The postoperative VAS and total morphine usage in both groups were not statistically different. Postoperative knee swelling increment was significantly lower in ICT than MRJ group (p-value = 0.04). The patientâ€™s satisfaction and positive quadriceps set test were significantly higher in the ICT group than the MRJ group (p-value &lt;0.01). CONCLUSION: Intermittent cold pack has not demonstrated the benefit of pain reduction or morphine usage when compared to the modified Robert Jones bandage, but it had significantly less knee swelling, a significantly higher patientâ€™s satisfaction and trend to have better functional outcome. We recommend intermittent cold pack for postoperative care in ACLR.</t>
  </si>
  <si>
    <t>#275</t>
  </si>
  <si>
    <t>Kijkunasathian 2017</t>
  </si>
  <si>
    <t>The effect of initial graft tension on postoperative clinical outcome in anterior cruciate ligament reconstruction with semitendinosus tendon.</t>
  </si>
  <si>
    <t>Kim SG; Kurosawa H; Sakuraba K; Ikeda H; Takazawa S</t>
  </si>
  <si>
    <t>INTRODUCTION: The goal of this study is to establish the influence of tensioning the graft during anterior cruciate ligament (ACL) reconstruction, with a semitendinosus tendon graft, on postoperative stability. TYPE OF STUDY: Prospective controlled clinical trial. MATERIAL AND METHODS: Forty-eight patients were randomly allocated to three groups in which three different tensions, 8, 12, or 15 kg force, was applied on the reconstructed ACL during the operation. The patients were observed for 1 year or more after surgery (min. 1 year, max. 2 years 8 months). Clinical outcome was evaluated using the visual analogue scale, anterior knee laxity (using the KT2000 arthrometer) and the torque of the knee extensor. RESULTS: Postoperatively, the average side-to-side differences in anterior laxity were 1.3 mm in the 8 kg group, 2.1 mm in the 12 kg, and 2.4 mm in the 15 kg group. The visual analogue scale averaged 84, 83, and 79 mm, respectively. There were no significant differences among the three groups. There were also no significant differences between the groups for muscle strength recovery during isokinetic and isometric contraction at 1 year postoperatively. CONCLUSION: There were no significant differences among the groups in subjective clinical results, anterior laxity, and knee extensor strength in the ACL reconstructions that used the autogenous semitendinosus tendon graft.</t>
  </si>
  <si>
    <t>10.1007/s00402-005-0045-x</t>
  </si>
  <si>
    <t>#559</t>
  </si>
  <si>
    <t>Kim 2006</t>
  </si>
  <si>
    <t>Home-based rehabilitation using smart wearable knee exercise device with electrical stimulation after anterior cruciate ligament reconstruction: A study protocol for a randomized controlled trial.</t>
  </si>
  <si>
    <t>Kim G; Kim WS; Kim TW; Lee YS; Lee H; Paik NJ</t>
  </si>
  <si>
    <t>INTRODUCTION: Rehabilitation after anterior cruciate ligament (ACL) reconstruction is critical to patient outcome. Despite its importance; however, hospital-based rehabilitation is limited, with barriers, including distance and cost. With recent technological advancements, wearable devices have actively been used to address these barriers. In this study, we propose a randomized controlled trial protocol investigating the efficacy and feasibility of home-based rehabilitation after ACL reconstruction using a smart wearable device providing electrical stimulation that allows knee exercise. METHODS AND ANALYSIS: This is a protocol proposal for a prospective, single-center, randomized, controlled study. We plan to recruit adults discharged after ACL reconstruction; the recruited subjects will be randomly allocated to 1 of 2 groups, using a computer-generated randomization method: the intervention (nâ€Š=â€Š20) or control group (nâ€Š=â€Š20). The intervention group will receive a 6-week home-based rehabilitation program using smart wearable device. The control group will undergo a 6-week self-exercise program as normal. The following outcomes will be assessed at baseline, 2 weeks, and 6 weeks post the 6-week intervention program: quadriceps strength of the affect side as measured by a dynamometer (primary outcome); range of motion; root mean square of quadriceps muscle using surface electromyography; knee function using questionnaire; quality of life; subject's satisfaction score using questionnaire; frequency and duration of exercise; and knee pain. An intention-to-treat analysis will be conducted for the primary outcome. DISCUSSION: This study is a prospective, single-center, randomized, controlled study. This study aims to research the feasibility and efficacy of a 6-week, structured home-based rehabilitation program for patients after ACL reconstruction using a smart wearable device. The findings of this study will help to establish a home-based rehabilitation program to better recovery in patients with ACL reconstruction. TRIAL REGISTRATION NUMBER: This protocol was registered in ClinicalTrials.gov, under the number NCT04079205.</t>
  </si>
  <si>
    <t>Medicine (Baltimore)</t>
  </si>
  <si>
    <t>10.1097/MD.0000000000020256</t>
  </si>
  <si>
    <t>#191</t>
  </si>
  <si>
    <t>Kim 2020</t>
  </si>
  <si>
    <t>Bicruciate-stabilized TKA Does Not Result in Improved Patient-reported Outcomes Compared With Posterior-stabilized TKA: A Randomized Controlled Trial in Bilateral Simultaneous TKA.</t>
  </si>
  <si>
    <t>Kim MS; Choi KY; Na JW; In Y</t>
  </si>
  <si>
    <t>BACKGROUND: Traditional posterior-stabilized implants use a cam-post mechanism as a substitute for the PCL, aiming to enhance stability and ROM. Bicruciate-stabilized TKA has been developed to mimic the function of both the ACL and PCL using a dual-cam mechanism. Despite these theoretical advantages, improvements in actual clinical and functional outcomes of bicruciate-stabilized implants compared with posterior-stabilized implants, if any, remain unproven. QUESTIONS/PURPOSES: (1) Does bicruciate-stabilized TKA result in improved posterior offset ratio and patellar tendon angle (AP position and translation of the femur in relation to sagittal plane parameters) compared with posterior-stabilized TKA? (2) Are postoperative patient-reported outcomes (PROs) superior in knees treated with bicruciate-stabilized TKA than those treated with posterior-stabilized TKA? METHODS: A prospective, single-center, patient-blinded, parallel-group randomized controlled trial was performed in 50 patients (100 knees) undergoing simultaneous bilateral TKA for primary osteoarthritis between November 2019 and April 2020. All patients underwent same-day bilateral TKAs using a bicruciate-stabilized implant (bicruciate-stabilized group) in one knee and a posterior-stabilized implant (posterior-stabilized group) in the other. Fifty patients were screened and enrolled, but two patients were lost to follow-up, so 48 patients (96 knees) were analyzed. The mean Â± SD patient age was 75 Â± 6 years, and 96% (46) of patients were women. Preoperatively, there were no between-group differences in terms of clinical parameters, including ROM, hip-knee-ankle angle, Knee Society Score (KSS), and WOMAC score. Radiographic measurements, including the posterior offset ratio, patellar tendon angle, joint line orientation angle, and static AP laxity, were obtained at 2 years postoperatively. Also at 2 years postoperatively, PROs were compared using the KSS, WOMAC score, and Forgotten Joint score (FJS); in addition, patients were asked which knee was their "preferred" knee. To address the challenge of evaluating PROs for a single patient with bilateral TKA, patients were instructed to independently evaluate each knee while performing daily activities, including distance walked and stair climbing, based on their subjective perception of comfort and functionality in each knee. RESULTS: The radiographic results showed that at 2 years, knees treated with the bicruciate-stabilized device had greater patellar tendon angles than those treated with the posterior-stabilized device (patellar tendon angle: 15Â° Â± 4Â° versus 9Â° Â± 4Â°; mean difference -6Â° [95% confidence interval (CI) -7Â° to -5Â°]; p &lt; 0.001). The knees treated with the bicruciate-stabilized device had a smaller posterior offset ratio than those treated with the posterior-stabilized device (5% Â± 4% versus 18% Â± 4%, mean difference 13% [95% CI 11% to 15%]; p &lt; 0.001). The increase in posterior offset ratio was less in the bicruciate-stabilized group compared with the posterior-stabilized group (1% Â± 12% versus 14% Â± 12%, mean difference 13% [95% CI 11% to 15%]; p &lt; 0.001). The decrease in patellar tendon angle was less in the bicruciate-stabilized group compared with the posterior-stabilized group (patellar tendon angle: 1Â° Â± 6Â° versus 7Â° Â± 5Â°, mean difference 6Â° [95% CI 4Â° to 7Â°]; p &lt; 0.001). There were no differences in 2-year PROs, including the KSS and WOMAC, in the bicruciate-stabilized and posterior-stabilized groups (KSS: 145 Â± 23 versus 144 Â± 24, mean difference -1 [95% CI -5 to 3]; p = 0.57, WOMAC: 28 Â± 13 versus 30 Â± 17, mean difference 2 [95% CI -1 to 6]; p = 0.21). Likewise, the FJS did not differ between groups (51 Â± 20 in the bicruciate-stabilized group versus 50 Â± 22 in the posterior-stabilized group, mean difference -1 [95% CI -5 to 2]; p = 0.44), reflecting an absence of differences between implant designs in terms of patient awareness of the knee. Additionally, at 2 years, 35% (17) of patients preferred the knee treated with the bicruciate-stabilized device whereas 25% (12) of patients preferred the knee treated with the posterior-stabilized device (p = 0.54). Thus, the patients did not express a clear preference for either device. CONCLUSION: Although the bicruciate-stabilized implant demonstrated better replication of static radiographic implant positions, these findings did not translate into superior PROs compared with the posterior-stabilized TKA. Until or unless further well-designed RCTs substantiate the superiority of bicruciate-stabilized TKA in terms of endpoints that patients can perceive (such as pain, function, or implant longevity), we recommend against the wide adoption of this device in clinical practice. LEVEL OF EVIDENCE: Level â… , therapeutic study.</t>
  </si>
  <si>
    <t>10.1097/CORR.0000000000003423</t>
  </si>
  <si>
    <t>#55</t>
  </si>
  <si>
    <t>Kim 2025</t>
  </si>
  <si>
    <t>[The new "Marburg rehabilitation concept". "On the status of exercise equipment within the scope of rehabilitation of patients after surgery of the anterior cruciate ligament"].</t>
  </si>
  <si>
    <t>Knaepler H; Schenk C</t>
  </si>
  <si>
    <t>The surgical treatment of acute and chronic injuries of the anterior cruciate ligament (ACL) is still incontinous. Different techniques and materials are used to reconstruct and repair this important structure. This causes that the kind of postoperative treatment is even inhomogeneous. Concepts of "early mobilization" correspond to the results of basic research on pathobiomechanical effects of joint immobilization. There is a large variety on the information concerning method, success and length of rehabilitation. The final aim of our research was the development of a new rehabilitation strategy for patients in addition to out-patient physiotherapy. The reconstruction and repair of ACL is in our hospital done by an autograft of patellar tendon, "bone-tendon-bone", in augmentation with a "3-mm-Trevira cruciate ligament prosthesis". In our prospective, controlled and randomized clinical study "group A" (n = 20) practiced in addition to their out-patient physiotherapy twice a week under the direction of a medical doctor and the control of a physiotherapist with the equipment of a fitness-center. "Group B" (n = 20) passed only the out-patient physiotherapy. Both groups were examined regularly with special regard to the active motion of the knee joint, the power and the circumference of the leg. Also the "Marschall-Tegner" and the "Lysholm-Gilquist-Score" were determined. In our study we found that the "New-Marburg-rehabilitation-concept" is an useful supplement to the out-patient physiotherapy. All examined data showed a clear increase in "group A" in comparison to "group B".</t>
  </si>
  <si>
    <t>Aktuelle Traumatol</t>
  </si>
  <si>
    <t>#688</t>
  </si>
  <si>
    <t>Knaepler 1994</t>
  </si>
  <si>
    <t>Tibial fixation comparison of semitendinosus-bone composite allografts fixed with bioabsorbable screws and bone-patella tendon-bone grafts fixed with titanium screws.</t>
  </si>
  <si>
    <t>Kocabey Y; Klein S; Nyland J; Caborn D</t>
  </si>
  <si>
    <t>Tibial fixation remains the weak link of ACL reconstruction over the first 8-12 weeks postoperatively. This study compared the biomechanical properties of tibial fixation for a bone-patellar tendon-bone (BPTB) graft and a novel semitendinosus-bone composite (SBC) allograft with mixed cortical-cancellous bone dowels at each end. Seven paired, fresh frozen cadaveric knees (20-45 years) were stripped of all soft tissue attachments and randomly assigned to receive either the BPTB graft or SBC allograft. Grafts were placed into tibial tunnels via a standard protocol and secured with either a 10 mmx28 mm bioabsorbable (SBC) or titanium (BPTB) screw. Grafts were cycled ten times in a servo hydraulic device from 10-50 N prior to pull to failure testing at a rate of 20 mm/min with the force vector aligned with the tibial tunnel ("worst case scenario"). Wilcoxon Signed Rank Tests were used to evaluate biomechanical differences between graft types ( p&lt;0.05). Tibial bone mineral density and interference screw insertion torque were statistically equivalent between graft types. The mode of failure for all constructs was direct screw and graft construct pullout from the tibial tunnel. Significant differences were not observed between graft types for maximum load at failure strength (BPTB=620.8+/-209 N vs. SBC=601.2+/-140 N, p=0.74) or stiffness (BPTB=69.8 N/mm+/-29 N/mm vs SBC=47.1+/-31.6 N/mm, p=0.24). The SBC allograft yielded significantly more displacement prior to failure than the BPTB graft (15.1+/-4.9 mm vs 9.2+/-1.3 mm, p=0.04). Increased construct displacement appeared to be due to fixation failure, with some evidence of graft tissue tearing around the sutures: Bioabsorbable screw (10 x 28 mm) fixation of the SBC allograft produced unacceptable displacement levels during testing. Further study is recommended using a titanium interference screw or a longer bioabsorbable screw for SBC graft fixation under cyclic loading conditions.</t>
  </si>
  <si>
    <t>10.1007/s00167-003-0370-y</t>
  </si>
  <si>
    <t>#596</t>
  </si>
  <si>
    <t>Kocabey 2004</t>
  </si>
  <si>
    <t>Effect of posterolateral bundle graft fixation angles on clinical outcomes in double-bundle anterior cruciate ligament reconstruction: a randomized controlled trial.</t>
  </si>
  <si>
    <t>Koga H; Muneta T; Yagishita K; Watanabe T; Mochizuki T; Horie M; Nakamura T; Otabe K; Sekiya I</t>
  </si>
  <si>
    <t>BACKGROUND: In double-bundle (DB) anterior cruciate ligament (ACL) reconstruction, no consensus exists on an optimal setting for the posterolateral bundle (PLB) graft fixation angles. HYPOTHESIS: Different PLB fixation angles would affect clinical outcomes in DB ACL reconstruction. STUDY DESIGN: Randomized controlled trial; Level of evidence, 1. METHODS: This study prospectively included 90 patients who underwent primary DB ACL reconstruction with an autologous semitendinosus tendon. The PLB fixation angles were randomly set as follows: 0Â° of flexion (P0; n=30), 20Â° (P20; n=30), and 45Â° (P45; n=30). In all groups, the anteromedial bundle was fixed at 20Â° of flexion. The following evaluation methods were used at the preoperative period and at 3, 6, and 9 months and 1 and 2 years after the surgery: clinical examination, KT-1000 arthrometer measurement, muscle strength, Tegner score, Lysholm score, and subjective rating scale regarding patient satisfaction and sports performance levels. Graft retear, contralateral ACL tear, and additional meniscus surgery were also recorded. RESULTS: Seventy-five patients (P0, n=25; P20, n=26; P45, n=24) who were followed for 2 years were evaluated. Preoperatively, there were no differences among the groups. Postoperatively, pivot-shift test results in the P0 and P20 groups were better than those in the P45 group (P0, n=23 graded negative and 2 graded 1+; P20, n=23 and 2; P45, n=15 and 7, respectively; P0 vs P45: P=.038 and P20 vs P45: P=.038). Average KT-1000 arthrometer laxity measurements were better in the P20 group than in the P45 group (P0, 0.4 mm; P20, 0.3 mm; P45, 1.3 mm; P20 vs P45: P=.048), and there were more patients with graft failure (KT-1000 measurement, â‰¥4 mm) in the P45 group (n=3) than the P0 and P20 groups (each, n=0). There were no significant differences in range of motion, other laxity tests, muscle strength, Tegner score, Lysholm score, subjective rating scale, or additional surgery. CONCLUSION: In DB ACL reconstruction, when the anteromedial bundle was fixed at 20Â° of flexion, fixation of the PLB at 45Â° was worse than fixation at 0Â° and 20Â° with respect to anterior and rotational stability during the 2-year follow-up. KT-1000 arthrometer measurements and pivot-shift test results were significantly worse, and there were more patients with graft failure in the P45 group. There were no differences among groups in other findings.</t>
  </si>
  <si>
    <t>10.1177/0363546514567069</t>
  </si>
  <si>
    <t>#335</t>
  </si>
  <si>
    <t>Koga 2015</t>
  </si>
  <si>
    <t>Mid- to long-term results of single-bundle versus double-bundle anterior cruciate ligament reconstruction: randomized controlled trial.</t>
  </si>
  <si>
    <t>PURPOSE: To evaluate the mid-to long-term results of a randomized controlled trial of single-bundle (SB) versus double-bundle (DB) anterior cruciate ligament (ACL) reconstruction using a semitendinosus tendon. METHODS: Seventy-eight patients who underwent primary ACL reconstruction with an autologous semitendinosus tendon were prospectively randomized into 2 groups: SB reconstruction (n = 39) and DB reconstruction (n = 39). In both groups, grafts were fixed at 30Â° of flexion with a total tension of 80 N. The following evaluation methods were used: clinical examination, KT-1000 arthrometer (MEDmetric, San Diego, CA) measurement, muscle strength, Tegner activity score, Lysholm score, subjective rating scale regarding patient satisfaction and sports performance level, graft retear, contralateral ACL tear, and additional meniscus surgery. RESULTS: Fifty-three patients (25 in SB group and 28 in DB group) who were followed up for a minimum of 3 years (mean, 69 months; range, 36 to 140 months) were evaluated. Preoperatively, there were no differences between the groups. Postoperatively, the Lachman and pivot-shift test results were better in the DB group (P = .024 and P &lt; .0001, respectively). KT measurements were better in the DB group (mean, 1.4 mm v 2.7 mm; P = .0023). The Tegner score was also better in the DB group (P = .033). There were no significant differences in range of motion, muscle strength, Lysholm score, subjective rating scale, graft retear, and secondary meniscal tear. CONCLUSIONS: In ACL reconstruction using the transtibial approach, DB reconstruction was significantly better than SB reconstruction regarding anterior and rotational stability during the 3- to 12-year follow-up. The results of KT measurements and the Lachman and pivot-shift tests were significantly better in the DB group, whereas there was no difference in the anterior drawer test results. The Tegner score was also better in the DB group; however, there were no differences in the other subjective findings. LEVEL OF EVIDENCE: Level II, lesser-quality prospective randomized trial.</t>
  </si>
  <si>
    <t>10.1016/j.arthro.2014.07.020</t>
  </si>
  <si>
    <t>#345</t>
  </si>
  <si>
    <t>Pain management by periarticular multimodal drug injection after anterior cruciate ligament reconstruction: a randomized, controlled study.</t>
  </si>
  <si>
    <t>Koh IJ; Chang CB; Seo ES; Kim SJ; Seong SC; Kim TK</t>
  </si>
  <si>
    <t>PURPOSE: We aimed to determine the efficacy of periarticular (PA) multimodal drug cocktail (MDC) infiltration for pain control after anterior cruciate ligament reconstruction with an autogenous bone-patellar tendon-bone graft. METHODS: We randomly assigned 100 patients to five study groups (20 per group): control group, no injection; intra-articular (IA) ropivacaine group, IA injection of ropivacaine alone; IA MDC group, IA injection of MDC; PA MDC group, PA injection of MDC; and IA + PA MDC group, IA and PA injections of MDC. The MDC consisted of ropivacaine, morphine, ketorolac, epinephrine, and cefuroxime. The five groups were compared in terms of pain levels during the first night after surgery and on postoperative days 1, 2, and 14; patient satisfaction was assessed on postoperative day 14. RESULTS: The PA MDC and IA + PA MDC groups had less pain during the first night than patients in the other three groups (P &lt; .001) and were more likely to have the same amount of pain or less pain on postoperative day 1 than their preoperative expectation (P = .05). However, there were no group differences in patient satisfaction on postoperative day 14. No MDC-related side effect was reported. CONCLUSIONS: The MDC injection, particularly when delivered periarticularly, provides an effective, safe means of reducing early postoperative pain after anterior cruciate ligament reconstruction at minimal cost. In addition, a single IA injection would have no value in pain relief, regardless of types of drugs. LEVEL OF EVIDENCE: Level I, randomized controlled trial.</t>
  </si>
  <si>
    <t>10.1016/j.arthro.2011.10.015</t>
  </si>
  <si>
    <t>#421</t>
  </si>
  <si>
    <t>Koh 2012</t>
  </si>
  <si>
    <t>Arthroscopic evaluation of anterior cruciate ligament reconstruction using a free patellar tendon autograft. A prospective, randomized study.</t>
  </si>
  <si>
    <t>Kohn D</t>
  </si>
  <si>
    <t>In a prospective study, follow-up arthroscopy was performed (with the informed consent of the patient) after anterior cruciate ligament reconstruction using a free patellar tendon autograft. Nineteen of 21 consecutive patients agreed to arthroscopy. Time between operation and arthroscopy ranged from six to 25 months (average, 15 months) and was distributed at random among the patients. In evaluating knee stability and functional performance, the arthroscopic findings were disappointing. The Lysholm score improved from 68 +/- 8 points preoperatively to 84 +/- 8 points postoperatively. KT-1000 measurement on the day before follow-up arthroscopy showed only a slightly increased anterior laxity of 6.2 mm compared to 4.7 mm on the uninjured side. When the arthroscopic results were graded from 0 (ruptured) to 3 (excellent), four patients had a Grade 3 result, ten patients had a Grade 2 (moderate) result, and five patients had a Grade 1 (poor) result. No graft was ruptured. These findings indicate that, in the majority of patients, reconstruction of the anterior cruciate ligament using a free patellar tendon autograft will not result in an arthroscopically normal substitute for the anterior cruciate ligament.</t>
  </si>
  <si>
    <t>#699</t>
  </si>
  <si>
    <t>Kohn 1990</t>
  </si>
  <si>
    <t>Donor-site morbidity after harvest of a bone-tendon-bone patellar tendon autograft.</t>
  </si>
  <si>
    <t>Kohn D; Sander-Beuermann A</t>
  </si>
  <si>
    <t>The effects of closure of the peritendineum and bone grafting of the patellar defect after harvest of the bone-tendon-bone patellar tendon autograft was investigated prospectively in two groups of 25 patients. Anterior cruciate ligament (ACL) reconstruction was performed with minimally invasive techniques either arthroscopically or via mini-arthrotomy. Patellar height, size of bony and tendon defects, and overall result were followed up for 2 years postoperatively. The results showed that closure of the peritendineum enhances healing of the patellar tendon defect and restores a normal appearance of the tendon within 2 years. We have stopped bone grafting the patellar defect with cancellous bone because of the risk of formation of painful spurs at the inferior pole of the patella which occurred in 36% of patients.</t>
  </si>
  <si>
    <t>10.1007/BF01845591</t>
  </si>
  <si>
    <t>#689</t>
  </si>
  <si>
    <t>Kohn 1994</t>
  </si>
  <si>
    <t>Tourniquet-induced enmg changes in arthroscopic anterior cruciate ligament reconstruction. A comparison of low and high-pressure tourniquet systems.</t>
  </si>
  <si>
    <t>Kokki H; VÃ¤Ã¤tÃ¤inen U; Miettinen H; Parviainen A; KÃ¶nÃ¶nen M; Partanen J</t>
  </si>
  <si>
    <t>BACKGROUND AND AIMS: The use of a tourniquet during surgery is associated with a risk of neurological disorders. We compared whether a new tourniquet system using low pressure (250 mmHg) is safer than a standard tourniquet system using higher inflation pressure (350 mmHg). MATERIALS AND METHODS: Thirty-one patients (ASA I-II), ages 16-48 years, were studied with ENMG preoperatively and 3 weeks postoperatively following arthroscopic anterior cruciate ligament reconstruction. Tourniquet times varied between 30 and 146 min. RESULTS: Postoperative slowing of motor and sensory conduction was observed, as well as an increase of the minimum peroneal F-response and tibial H-reflex latencies. The sensory amplitude of the sural nerve decreased. Vastus medialis of the quadriceps femoris muscle showed a reduced interference pattern in ENMG in maximal voluntary effort postoperatively. No differences were found in measured results between the low and high pressure tourniquet systems. CONCLUSIONS: Slight postoperative ENMG alterations were demonstrated but the use of both tourniquet systems is safe within the limit of tourniquet times of less than 2 h.</t>
  </si>
  <si>
    <t>Ann Chir Gynaecol</t>
  </si>
  <si>
    <t>#636</t>
  </si>
  <si>
    <t>Kokki 2000</t>
  </si>
  <si>
    <t>In vivo knee rotational stability 2Â years after the ACL reconstruction using a quadriceps tendon graft with bone block and bone-patellar tendon-bone graft.</t>
  </si>
  <si>
    <t>KomzÃ¡k M; Hart R; NÃ¡hlÃ­k D; VysokÃ½ R</t>
  </si>
  <si>
    <t>INTRODUCTION: The aim of this prospective randomised study was to evaluate clinical results and rotational stability at least 2Â years after single-bundle anatomic anterior cruciate ligament reconstruction using a quadriceps tendon graft with bone block (BT) and bone-patellar tendon-bone graft (BTB). MATERIALS AND METHODS: In both groups (BT and BTB), 40 patients selected prospectively at random were evaluated. The mean follow-up after the surgery was 28Â months (range 24-33Â months). A navigation system was used to measure rotational stability of the knee joint. Cincinnati, Lysholm, and IKDC scores and visual analog score (VAS) were used to evaluate clinical results and the non-parametric Wilcoxon test was used for the statistical analysis. RESULTS: After the BT reconstruction, the mean internal rotation of the tibia (IR) was 9.5Â°. In the contralateral healthy knee joint, IR was 8.6Â° at average. After the BTB reconstruction, the mean IR was 9.9Â°. In the contralateral healthy knee joint, IR was 8.7Â° at average. We did not find any statistically significant difference in IR stability between BT and BTB reconstruction. In terms of clinical results, regarding the VAS, patients perceive significantly more pain after the BTB reconstruction (pâ€‰&lt;â€‰0.05). Kneeling was reported more difficult and painful after BTB reconstruction. CONCLUSIONS: The BT reconstruction of the ACL provides similar clinical results, less pain, better flexion and the same rotational stability of the knee in comparison with the BTB reconstruction.</t>
  </si>
  <si>
    <t>#150</t>
  </si>
  <si>
    <t>Neuromuscular electrical stimulation after anterior cruciate ligament reconstruction.</t>
  </si>
  <si>
    <t>Kong DH; Jang J; Cho SI; Yang SJ; Lee DW; Kim JG; Park HY</t>
  </si>
  <si>
    <t>This randomized controlled trial examined the effects of adding neuromuscular electrical stimulation (NMES) to rehabilitation exercise on quadriceps muscle strength (primary outcome) and secondary exploratory outcomes after anterior cruciate ligament reconstruction. Twenty-four male participants were randomly allocated to rehabilitation exercise alone or combined with NMES. Both groups performed range of motion exercises during weeks 1 to 3, followed by progressive quadriceps strengthening three times weekly for 9 weeks. Both groups improved in isokinetic muscle function, with larger effect sizes in the RE+NMES group (d = 0.883-1.488) than in the RE group. Patient-reported outcomes improved in both groups for the Lysholm score (d = 1.527 vs. 0.653), whereas changes in the IKDC score were greater in RE+NMES (d = 1.006 vs. 0.034). Balance improved with larger effects in RE+NMES under stable (d = 0.710 vs. 0.160) and unstable conditions (d = 1.988 vs. 0.029), while Y-balance showed similar changes. Muscle morphology showed greater increases in RE+NMES for cross-sectional area (d = 1.127 vs. 0.070) and thickness (d = 0.737 vs. 0.203). Biomarker responses were also larger in RE+NMES. Overall, NMES was associated with favorable trends across several functional and clinical outcomes.</t>
  </si>
  <si>
    <t>Int J Sports Med</t>
  </si>
  <si>
    <t>10.1055/a-2903-1345</t>
  </si>
  <si>
    <t>#4</t>
  </si>
  <si>
    <t>Kong 2026</t>
  </si>
  <si>
    <t>No significant difference in clinical outcome and knee stability between patellar tendon and semitendinosus tendon in anterior cruciate ligament reconstruction.</t>
  </si>
  <si>
    <t>Konrads C; Reppenhagen S; Plumhoff P; Hoberg M; Rudert M; Barthel T</t>
  </si>
  <si>
    <t>INTRODUCTION: ACL reconstruction with either patellar tendon or semitendinosus tendon autografts are standard procedures. Between these two grafts might be differences in stability, morbidity, or long-term changes. This study investigates outcomes of ACL reconstruction with patellar tendon versus semitendinosus tendon autografts. We hypothesize no significant differences in clinical outcome and knee stability between both groups. METHODS: In a randomized prospective trial, we operated 62 ACL-deficient patients, 45 males and 17 females with a mean age of 29.8Â years (min. 18, max. 44). We reconstructed the ligament using either autologous patellar tendon (nÂ =Â 31) or semitendinosus tendon (nÂ =Â 31). After 10Â years of follow-up, we investigated 47 patients of the study. For evaluation we used a standard clinical examination including one-leg jump test and KT-1000 instrumental translation measure, visual analog pain scale, IKDC subjective knee form, Lysholm score, Tegner activity scale, and standard X-rays of the knee. RESULTS: The data did not show any significant differences between the two groups. Between 5 and 10Â years after ACL reconstruction both groups started to develop degenerative arthritic changes, which were detectable in standard radiographs of the knee. At 10-year follow-up mean IKDC for the BPTB group was 1.8 (min. 1, max. 3) and for the ST group it was 2.2 (min 1, max. 4), pÂ =Â 0.35. Regarding Tegner activity scale after 10Â years, the BPTB group showed a mean score of 5.9 (min. 4, max. 9) versus 5.1 (min. 3, max. 7) in the ST group, pÂ =Â 0.53. For the Lysholm score the BPTB group reached a mean of 92.0 (min. 63, max. 98) and the ST group 91.8 (min. 62, max. 98) points, pÂ =Â 0.66. There is a tendency for higher donor site morbidity in the BPTB group than in the ST group, pÂ =Â 0.07. CONCLUSIONS: Both, patellar tendon and semitendinosus tendon are safe autografts for ACL reconstruction. Regarding graft selection, individual patient-dependent factors should be considered. ACL reconstruction cannot fully restore pre-injury status of knee joint function in the majority of cases.</t>
  </si>
  <si>
    <t>#318</t>
  </si>
  <si>
    <t>Reconstruction of the anterior cruciate ligament using poly-L-lactide interference screws or titanium screws: a comparative study.</t>
  </si>
  <si>
    <t>Kotani A; Ishii Y</t>
  </si>
  <si>
    <t>In the present clinical trial, interference screws, made of poly-L-lactic acid and applied in 46 knees, were compared to titanium screws employed in 45 knees for reconstructing the anterior cruciate ligament using bone-patellar tendon-bone. An identical surgical technique was applied to both groups; and neither group disclosed apparent side effects such as synovitis caused by hydrolysis of the PLLA or abnormal biochemical findings in the blood. There was no significant difference in the postoperative outcome between the two groups.</t>
  </si>
  <si>
    <t>10.1016/s0968-0160(01)00087-4</t>
  </si>
  <si>
    <t>#619</t>
  </si>
  <si>
    <t>Kotani 2001</t>
  </si>
  <si>
    <t>Superior knee flexor strength at 2Â years with all-inside short-graft anterior cruciate ligament reconstruction vs a conventional hamstring technique.</t>
  </si>
  <si>
    <t>Kouloumentas P; Kavroudakis E; Charalampidis E; Kavroudakis D; Triantafyllopoulos GK</t>
  </si>
  <si>
    <t>PURPOSE: To compare the "all-inside technique" for anterior cruciate ligament (ACL) reconstruction using a short, quadrupled semitendinosus tendon (ST4) autograft and suspensory cortical fixation on both the femoral and tibial side vs the "conventional technique" using a semitendinosus/gracilis (ST/G) autograft fixed with a suspensory device on the femoral side and with an interference screw on the tibial side, in terms of clinical and functional outcomes. METHODS: A total of 90 patients were enrolled, randomised into two groups, and prospectively followed. Group A comprised 45 patients treated with the all-inside technique and Group B included 45 patients treated with the conventional ACL technique (55 males, 35 females; mean age 28.7â€‰Â±â€‰11.3Â years). Patients completed the Lysholm knee score, the International Knee Documentation Committee (IKDC) score, the Knee Injury and Osteoarthritis Score (KOOS), and the Knee Society Score (KSS) preoperatively and at 2Â years postoperatively. Anterior tibial translation measurement (KT-1000 arthrometer) and isokinetic testing of the operative vs non-operative limb were also conducted and the limb symmetry index (LSI) was determined. RESULTS: At 24 months, the Lysholm, IKDC, KOOS, and KSS scores between the two groups were similar (n.s.). Anterior tibial translation between the operative and non-operative knee was also similar among the two groups (n.s.). Patients of Group A had significantly higher mean LSIs in terms of flexor peak torque (1.0â€‰Â±â€‰0.1 vs 0.9â€‰Â±â€‰0.1; pâ€‰&lt;â€‰0.001), time-to-peak (0.9â€‰Â±â€‰0.1 vs 0.8â€‰Â±â€‰0.1; pâ€‰&lt;â€‰0.001) and total work (0.9â€‰Â±â€‰0.1 vs 0.8â€‰Â±â€‰0.1; pâ€‰&lt;â€‰0.001) at 180Â°/s, and significantly better mean LSI for isometric flexor/extensor ratio at 90Â° (1.1â€‰Â±â€‰0.3 vs 0.8â€‰Â±â€‰0.2; pâ€‰&lt;â€‰0.001). CONCLUSION: The all-inside ACL reconstruction with an ST4 autograft and cortical button fixation on both ends is a viable alternative to the conventional technique. It affords preservation of knee flexor strength, which is of advantage, especially when treating athletes with ACL injury. LEVEL OF EVIDENCE: I.</t>
  </si>
  <si>
    <t>10.1007/s00167-019-05456-9</t>
  </si>
  <si>
    <t>#226</t>
  </si>
  <si>
    <t>Kouloumentas 2019</t>
  </si>
  <si>
    <t>Preoperative cryotherapy use in anterior cruciate ligament reconstruction.</t>
  </si>
  <si>
    <t>Koyonos L; Owsley K; Vollmer E; Limpisvasti O; Gambardella R</t>
  </si>
  <si>
    <t>Unrelieved postoperative pain may impair rehabilitation, compromise functional outcomes, and lead to patient dissatisfaction. Preemptive multimodal analgesic techniques may improve outcomes after surgery. We hypothesized that patients using preoperative cryotherapy plus a standardized postoperative treatment plan will have lower pain scores and require less pain medication compared with patients receiving a standardized postoperative treatment plan alone after arthroscopically assisted anterior cruciate ligament reconstruction (ACLR). A total of 53 consecutive patients undergoing arthroscopically assisted ACLR performed by one of seven surgeons were randomly assigned to one of two groups. Group 1 received no preoperative cryotherapy and group 2 received 30 to 90 minutes of preoperative cryotherapy to the operative leg using a commercial noncompressive cryotherapy unit. Visual analog scale pain scores and narcotic use were recorded for the first 4 days postoperatively. Total hours of cold therapy and continuous passive motion (CPM) use and highest degree of flexion achieved were recorded as well. Group 1 consisted of 26 patients (15 allograft Achilles tendon and 11 autograft bone patellar tendon bone [BPTB]), and group 2 consisted of 27 patients (16 allograft Achilles tendon and 11 autograft BPTB). Group 2 patients reported less pain (average 1.3 units, pâ€‰&lt;â€‰0.02) and used less narcotic use (average 1.7 tablets, pâ€‰&lt;â€‰0.02) for the first 36 hours compared with group 1. No statistically significant differences were identified between the two groups with regard to demographics, hours of postoperative cryotherapy, hours of CPM use, or maximum knee flexion achieved. Complications did not occur in either group. This is the first report we are aware of showing the postoperative effects of preoperative cryotherapy. Our results support the safety and efficacy of preoperative cryotherapy in a multimodal pain regimen for patients undergoing ACL reconstruction.</t>
  </si>
  <si>
    <t>10.1055/s-0034-1367730</t>
  </si>
  <si>
    <t>#363</t>
  </si>
  <si>
    <t>Koyonos 2014</t>
  </si>
  <si>
    <t>Use of the 5-Strand Hamstring Autograft Technique in Increasing Graft Size in Anterior Cruciate Ligament Reconstruction.</t>
  </si>
  <si>
    <t>Krishna L; Panjwani T; Mok YR; Lin Wong FK; Singh A; Toh SJ</t>
  </si>
  <si>
    <t>BACKGROUND: To determine the extent to which a strategy of routinely preparing a 5-strand hamstring autograft would increase graft size in anterior cruciate ligament (ACL) reconstruction. METHODS: A total of 64 patients were enrolled in a prospective randomized controlled study comparing 5-strand and quadrupled semitendinosus-gracilis autografts in single-bundle ACL reconstruction (5-strand group, nÂ = 32; 4-strand group, nÂ = 32). In the 5-strand group, the diameter of the 4-strand construct and the subsequent 5-strand graft used were measured, whereas in the 4-strand group, the diameter of the quadrupled graft used was measured. Quadrupled graft diameter and hamstring tendon lengths were correlated with patient gender, height, weight, and body mass index (BMI). RESULTS: The mean diameter of the final graft used in the 5-strand group was 8.8 Â± 0.8Â mm, whereas that in the 4-strand group was 7.8 Â± 0.7Â mmÂ (P &lt; .001). The mean increase in graft size achieved with the use of the 5-strand technique was 1.4 Â± 0.3Â mm. In the 5-strand group, 24 of 32 (75%) patients had graft diameters exceeding 8Â mm compared with 9 of 32 (28%) patients in the 4-strand group (P &lt; .001). Quadrupled graft diameter was significantly correlated with patient height and BMI, whereas the gracilis and semitendinosus lengths were significantly correlated with patient height. CONCLUSIONS: The 5-strand hamstring autograft provides a significantly larger diameter graft compared with the quadrupled hamstring autograft in ACL reconstruction. Graft sizes exceeding 8Â mm are achievable in 75% of patients with the routine application of this technique. This is significantly more than that obtained with the standard quadrupled hamstring graft. Hamstring tendon length and quadrupled hamstring graft diameter are also significantly correlated with patient height. LEVEL OF EVIDENCE: Level 1, prospective randomized controlled trial.</t>
  </si>
  <si>
    <t>10.1016/j.arthro.2018.03.026</t>
  </si>
  <si>
    <t>#244</t>
  </si>
  <si>
    <t>Krishna 2018</t>
  </si>
  <si>
    <t>Five-Strand Versus Four-Strand Hamstring Autografts in Anterior Cruciate Ligament Reconstruction-A Prospective Randomized Controlled Study.</t>
  </si>
  <si>
    <t>Krishna L; Chan CX; Lokaiah L; Chinnasamy D; Goyal S; Wang M; Singh A</t>
  </si>
  <si>
    <t>PURPOSE: To compare the clinical outcomes of the routine use of 5-strand hamstring grafts (where possible) with those of 4-strand grafts in primary anterior cruciate ligament (ACL) reconstruction. METHODS: A total of 64 patients were enrolled in a prospective randomized controlled study comparing the use of 5-strand and 4-strand semitendinosus-gracilis autografts in single bundle ACL reconstruction (nÂ = 32 in each group). Four participants in each group were lost to follow-up and were excluded from the outcome analysis. The outcomes of 28 patients in the 5-strand group and 28 patients in the 4-strand group were analyzed. The diameters of all grafts were measured intraoperatively. Patients were assessed postoperatively at 2 years with objective assessments (anterior knee laxity using the KT-2000 arthrometer, Lachman test, pivot-shift test, hop test) and patient-reported outcome scores (Lysholm knee score, Knee Injury and Osteoarthritis Outcome Score, International Knee Documentation Committee subjective knee score, SF-36 physical and mental components, Tegner activity scale). Postoperative graft ruptures were also noted. RESULTS: There were improvements in all outcome measures postoperatively regardless of the number of graft strands. When we compared the study and control groups, there were no significant differences in all subjective and objective outcome measures except the Knee Injury and Osteoarthritis Outcome Score symptoms score (5-strand group 93.3 Â± 9.2 vs 4-strand group 86.2 Â± 14.7, PÂ = .04). The KT-2000 side-to-side difference was 2.79 Â± 2.11 mm in the 5-strand group and 2.54 Â± 1.75 mm in the 4-strand group (PÂ =Â .63). The 5-strand study group had 2 graft ruptures at 1 year, whereas the 4-strand control group had one partial graft rupture at 6 months. CONCLUSIONS: At 2-year follow-up, the routine use of the 5-strand hamstring tendon autograft was not superior to that of the quadrupled or 4-strand graft in primary ACL reconstruction. LEVEL OF EVIDENCE: Level I, prospective randomized controlled trial.</t>
  </si>
  <si>
    <t>10.1016/j.arthro.2020.08.012</t>
  </si>
  <si>
    <t>#180</t>
  </si>
  <si>
    <t>Krishna 2021</t>
  </si>
  <si>
    <t>Effect of knee angle on quadriceps strength and activation after anterior cruciate ligament reconstruction.</t>
  </si>
  <si>
    <t>Krishnan C; Theuerkauf P</t>
  </si>
  <si>
    <t>Quadriceps strength and activation deficits after anterior cruciate ligament (ACL) injury or surgery are typically evaluated at joint positions that are biomechanically advantageous to the quadriceps muscle. However, the effect of knee joint position and the associated changes in muscle length on strength and activation is currently unknown in this population. Here, we examined the effect of knee angle on quadriceps strength, activation, and electrically evoked torque in individuals with ACL reconstruction. Furthermore, we evaluated whether knee angle mediated the relationship between quadriceps weakness and functional performance after ACL reconstruction. Knee strength and activation were tested bilaterally at 90Â° and 45Â° of knee flexion in 11 subjects with ACL reconstruction using an interpolated triplet technique. The magnitude of electrically evoked torque at rest was used to quantify peripheral muscle contractile property changes, and the single-leg hop for distance test was used to evaluate functional performance. The results indicated that although quadriceps strength deficits were similar between knee angles, voluntary activation deficits were significantly higher in the reconstructed leg at 45Â° of knee flexion. On the contrary, the side-to-side evoked torque at rest ratio [i.e., (reconstructed/nonreconstructed) Ã— 100] was significantly lower at 90Â° than at 45Â° of knee flexion. The association between quadriceps strength and functional performance was stronger at 45Â° of knee flexion. The results provide novel evidence that quadriceps activation is selectively affected at 45Â° of knee flexion and emphasize the importance of assessing quadriceps strength and activation at this position when feasible because it better captures activation deficits.</t>
  </si>
  <si>
    <t>J Appl Physiol (1985)</t>
  </si>
  <si>
    <t>10.1152/japplphysiol.01044.2014</t>
  </si>
  <si>
    <t>#329</t>
  </si>
  <si>
    <t>Krishnan 2015</t>
  </si>
  <si>
    <t>Local infiltration analgesia is comparable to femoral nerve block after anterior cruciate ligament reconstruction with hamstring tendon graft: a randomised controlled trial.</t>
  </si>
  <si>
    <t>Kristensen PK; Pfeiffer-Jensen M; Storm JO; Thillemann TM</t>
  </si>
  <si>
    <t>PURPOSE: Arthroscopic anterior cruciate ligament (ACL) reconstruction is a painful procedure requiring intensive postoperative pain management. Femoral nerve block is widely used in ACL surgery. However, femoral nerve block does not cover the donor site of the hamstring tendons. Local infiltration analgesia is a simple technique that has proven effective in postoperative pain management after total knee arthroplasty. Further, local infiltration analgesia covers the donor site and is associated with few complications. It was hypothesised that local infiltration analgesia at the donor site and wounds would decrease pain and opioid consumption after ACL reconstruction with hamstring tendon graft. METHODS: Sixty patients undergoing primary ACL surgery with hamstring tendon graft were randomised to receive either local infiltration analgesia or femoral nerve block. Pain was scored on the numeric rating scale, and use of opioid, range of motion and adverse effects were assessed at the postoperative recovery unit (0 h), 3, 24 and 48 h, postoperatively. RESULTS: There were no significant differences between the groups in pain intensity or total opioid consumption at any of the follow-up points. Further, there were no differences between groups concerning side effects and range of motion. CONCLUSIONS: Local infiltration analgesia and femoral nerve block are similar in the management of postoperative pain after ACL reconstruction with hamstring tendon graft. Until randomised studies have investigated femoral nerve block combined with infiltration at the donor site, we recommend local infiltration analgesia in ACL reconstruction with hamstring tendon graft.</t>
  </si>
  <si>
    <t>10.1007/s00167-013-2399-x</t>
  </si>
  <si>
    <t>#388</t>
  </si>
  <si>
    <t>Kristensen 2014</t>
  </si>
  <si>
    <t>Anterior Cruciate Ligament Reconstruction Using a 4-Strand Semitendinosus Tendon Graft or a Doubled Semitendinosus and Gracilis Tendon Graft: A 4.5-Year Prospective, Randomized, Double-Blind, Parallel-Group Study.</t>
  </si>
  <si>
    <t>KuliÅ„ski K; WaÅ›ko MK; TramÅ› E; Malesa K; Pomianowski S; KamiÅ„ski R</t>
  </si>
  <si>
    <t>BACKGROUND: Hamstring tendon grafts are the most common choice for anterior cruciate ligament (ACL) reconstruction (ACLR). Previous studies have provided evidence that offers conflicting opinions concerning the most favorable graft choice. PURPOSE: To identify whether the use of a quadrupled semitendinosus tendon (ST) or doubled semitendinosus tendon and gracilis tendon (ST/G) graft provides comparable anterior tibial translation (ATT) with similar functional results and similar donor site morbidity. STUDY DESIGN: Randomized controlled trial; Level of evidence, 1. METHODS: This was a prospective, patient- and surgeon-blinded, randomized trial set in a busy orthopaedic and traumatology department at a university hospital. Between 2015 and 2017, a total of 162 patients with ACL lesions were randomized to undergo ACLR with either a quadrupled ST or doubled ST/G graft. The primary endpoint was ATT assessed with the KT-1000 arthrometer. Clinical outcomes were assessed using the patient-reported outcome measures (PROMs) of the visual analog scale (VAS), International Knee Documentation Committee (IKDC) subjective evaluation form, Knee injury and Osteoarthritis Outcome Score (KOOS), Tegner activity scale, and Lysholm knee scoring scale. RESULTS: Preoperative demographic data, ATT, and PROM scores showed no significant differences. At 4.5 years, no significant differences were found between the ST and ST/G groups with respect to PROM scores and KT-1000 arthrometer, Lachman test, and pivot-shift test findings. Differences in functional results between groups were significant (muscle strength). Subgroup analysis revealed significantly increased ATT in female patients undergoing ACLR with a quadrupled ST graft during the 4.5-year observation period, as assessed by the KT-1000 arthrometer, as well as inferior KOOS, IKDC, Lysholm, and VAS scores. CONCLUSION: This study showed a significant increase in ATT as well as inferior results on PROMs during a 4.5-year observation period in female patients undergoing ACLR with a quadrupled ST graft. In male patients, the study provided evidence of the noninferiority of ACLR with an ST graft, with no influence on donor site morbidity. TRIAL REGISTRATION: clinicaltrials.gov: NCT03626883.</t>
  </si>
  <si>
    <t>10.1177/03635465221149738</t>
  </si>
  <si>
    <t>#106</t>
  </si>
  <si>
    <t>KuliÅ„ski 2023</t>
  </si>
  <si>
    <t>Original study: early patient-reported functional outcome of all-inside ACL reconstruction as compared to anteromedial portal technique.</t>
  </si>
  <si>
    <t>Kulshrestha V; Sood M; Kumar S; Kawale A</t>
  </si>
  <si>
    <t>BACKGROUND: Anteromedial portal technique (AMP) using hamstring autograft is a popular technique of arthroscopic ACL reconstruction allowing anatomical placement of femoral. In this technique, a cortical suspensory fixation of graft is used on the femoral side and interference screw fixation on the tibial side using a complete bone tunnel. All-inside translateral technique is a recently introduced technique which uses a closed loop of quadrupled semitendinosus graft with an adjustable cortical suspensory fixation on both sides allowing optimum tensioning of graft and near-complete filling of retrosockets created by the flip cutter on both femoral and tibial sides. With its proposed but unproven benefits, our study was planned to compare the two techniques. METHODS: A total of 80 young active males requiring ACL reconstruction surgery were equally randomized to AMP and All-inside technique. The primary objective of the study was to compare the ability to return to pre-injury level of activity using Tegner activity scale and patient-reported outcome using new Knee Society Score (KSS) at two years of follow-up. RESULTS: The mean improvement in Tegner score was significantly better (pâ€‰=â€‰0.0005) in all-inside group (2.34â€‰Â±â€‰0.97) as compared to AMP group (1.5â€‰Â±â€‰1.30). Among components of new KSS, patient satisfaction was better in all-inside group. CONCLUSION: All-inside ACL reconstruction provides a better chance of return to pre-injury level of activity with accompanied patient satisfaction as compared to AMP technique at two years of follow-up. LEVEL OF EVIDENCE: Level I, therapeutic study.</t>
  </si>
  <si>
    <t>10.1007/s00590-021-02912-6</t>
  </si>
  <si>
    <t>#164</t>
  </si>
  <si>
    <t>Kulshrestha 2021</t>
  </si>
  <si>
    <t>Comparison of short-term results of bone tunnel enlargement between EndoButton CL and cross-pin fixation systems after chronic anterior cruciate ligament reconstruction with autologous quadrupled hamstring tendons.</t>
  </si>
  <si>
    <t>Kuskucu SM</t>
  </si>
  <si>
    <t>We performed arthroscopic anterior cruciate ligament (ACL) reconstructions of chronic ACL rupture with autologous hamstring tendon grafts in males (mean age 23.9 years). Thirty-two cross-pin fixations and 24 EndoButton CL fixations were performed on the femoral side. Distal fixations on the tibial side were maintained with interference screws plus a staple. Tunnel enlargement was evaluated using X-rays. Femoral and tibial tunnels were measured at three levels 5 mm apart, and average enlargement was calculated after correction for magnification. Tunnel enlargement 12 months after surgery was greater for the EndoButton CL system (femoral side 43.71%, tibial side 51.11%) than for the cross-pin system (femoral side 32.61%, tibial side 25.62%); the difference was significant only on the tibial side. Both proximal fixation techniques were judged clinically successful (follow-up 16 - 36 months). The far fixation point in the EndoButton CL group may be related to mechanical loosening.</t>
  </si>
  <si>
    <t>J Int Med Res</t>
  </si>
  <si>
    <t>10.1177/147323000803600104</t>
  </si>
  <si>
    <t>#511</t>
  </si>
  <si>
    <t>Kuskucu 2008</t>
  </si>
  <si>
    <t>Anterior positioning of tibia during motion after anterior cruciate ligament injury.</t>
  </si>
  <si>
    <t>Kvist J; Gillquist J</t>
  </si>
  <si>
    <t>PURPOSE: The purpose of this study was to describe the sagittal tibial translation and EMG activity of muscles v. medialis and lateralis, gastrocnemius, and hamstrings, during common locomotion, in patients with an anterior cruciate ligament deficiency (ACL-def) and uninjured controls. METHODS: In 12 ACL-def patients and 17 controls, sagittal tibial translation was registered with the CA-4000 electrogoniometer during level walking, cutting, and stair walking. Tibial position at each flexion angle was expressed relative to the femuro-tibial position at passive knee extension. EMG activity, measured with ME-4000, was normalized to the individual maximum isometric voluntary contraction for each muscle. RESULTS: During the weight-bearing phase of motion, the tibia was anteriorly positioned in all legs. In the injured leg, the tibia translated more rapidly to an anterior position that was maintained for a longer time during the gait cycle. In the noninjured knees, motions with increased load lead to an increased anterior tibial translation in contrast to the injured knees, where the maximum displacement was already reached during level walking. The quadriceps and gastrocnemius muscles were simultaneously active during stance phase. Hamstrings were mainly active when the knee was close to extension and translation increased in spite of this activity. CONCLUSIONS: The mechanism of the anterior positioning of tibia is qualitatively similar in the normal and the injured knee, but that position is obtained much further forward in the ACL deficient knee. Quadriceps and gastrocnemius muscles seem to work synergistically to stabilize the knee by maintaining the anterior position of tibia during weight-bearing motion. The role of hamstrings to restrict anterior translation is questioned.</t>
  </si>
  <si>
    <t>10.1097/00005768-200107000-00001</t>
  </si>
  <si>
    <t>#624</t>
  </si>
  <si>
    <t>Kvist 2001</t>
  </si>
  <si>
    <t>Efficacy and Tolerability of Progen, a Nutritional Supplement Based on Innovative Plasma Proteins, in ACL Reconstruction: A Multicenter Randomized Controlled Trial.</t>
  </si>
  <si>
    <t>LÃ³pez-Vidriero E; OlivÃ©-Vilas R; LÃ³pez-CapapÃ© D; Varela-Sende L; LÃ³pez-Vidriero R; Til-PÃ©rez L</t>
  </si>
  <si>
    <t>BACKGROUND: New biologic strategies are arising to enhance healing and improve the clinical outcome of anterior cruciate ligament (ACL) reconstruction. PURPOSE: To evaluate the efficacy of a new oral nutritional supplement (Progen) that contains hydrolyzed collagen peptides and plasma proteins, a hyaluronic acid-chondroitin sulfate complex, and vitamin C. STUDY DESIGN: Randomized controlled trial; Level of evidence, 2. METHODS: The study included patients who underwent ACL reconstruction with hamstring autografts using the same fixation method. All patients received the same analgesia and physical therapy (PT) protocol and were randomized to receive either the nutritional supplement (supplemented group) or no additional therapy (control group). Patients were followed up at days 7, 30, 60, and 90. Pain was assessed by use of a visual analog scale (VAS) and by analgesic consumption. Clinical outcome was assessed via International Knee Documentation Committee (IKDC) score and the number of PT sessions. Perceived efficacy and tolerability were rated on a 5-point Likert scale. Graft maturation was assessed by a blinded musculoskeletal radiologist using magnetic resonance imaging. The number of adverse events (AEs) was recorded. RESULTS: The intention-to-treat analysis included 72 patients, 36 allocated to the supplemented group and 36 to the control group, with no significant differences regarding demographic and preoperative characteristics. Both groups showed significant improvement in pain and function (measured by VAS and IKDC scores) during the 90-day follow-up period (P &lt; .001 for both), without significant differences between groups. The supplemented group had fewer patients that needed analgesics (8.5% vs 50.0%; P &lt; .05) and attended fewer PT sessions (38.0 vs 48.4 sessions; P &lt; .001) at 90 days and had a higher IKDC score at 60 days (62.5 vs 55.5; P = .029) compared with the control group. Patient- and physician-perceived efficacy was considered significantly higher in the supplemented group at 60 and 90 days (P &lt; .05). Perceived tolerability of the overall intervention was better in the supplemented group at 30, 60, and 90 days (P &lt; .05). Graft maturation showed more advanced degrees (grades 3 and 4) in the supplemented group at 90 days (61.8% vs 38.2%; P &lt; .01). No intolerance or AEs associated with the nutritional supplement treatment were reported. CONCLUSION: The combination of the nutritional supplement and PT after ACL reconstruction improved pain, clinical outcome, and graft maturation. Nutritional supplementation showed higher efficacy during the second month of recovery, without causing AEs. REGISTRATION: NCT03355651 (ClinicalTrials.gov identifier).</t>
  </si>
  <si>
    <t>10.1177/2325967119827237</t>
  </si>
  <si>
    <t>#228</t>
  </si>
  <si>
    <t>LÃ³pez-Vidriero 2019</t>
  </si>
  <si>
    <t>Neuromuscular Electrical Stimulation Superimposed on Movement Early after ACL Surgery.</t>
  </si>
  <si>
    <t>Labanca L; Rocchi JE; Laudani L; Guitaldi R; Virgulti A; Mariani PP; Macaluso A</t>
  </si>
  <si>
    <t>PURPOSE: Quadriceps weakness and asymmetrical loading of lower limbs are two major issues after anterior cruciate ligament reconstruction (ACLR). The aim of this study was to evaluate the effectiveness of a 6-wk training protocol involving neuromuscular electrical stimulations (NMES) of the quadriceps muscle superimposed on repeated sit-to-stand-to-sit exercises (STSTS), as an additional treatment to standard rehabilitation, from the 15th to the 60th day after ACLR. METHODS: Sixty-three ACLR patients were randomly allocated to one of the three treatment groups: NMES superimposed on STSTS (NMES + STSTS), STSTS only, or no additional treatment (NAT) to standard rehabilitation. Maximal isometric strength of the knee extensor and flexor muscles was measured 60 and 180 d after surgery. Asymmetry in lower extremity loading was measured during a sit-to-stand movement at 15, 30, 60, and 180 d after surgery and during a countermovement jump 180 d after surgery by means of two adjacent force platforms placed under each foot. RESULTS: The NMES + STSTS participants showed higher muscle strength of the knee extensors, which was accompanied by lower perception of pain and higher symmetry in lower extremity loading compared with STSTS-only and NAT participants after both 60 and 180 d from surgery. Participants in the STSTS-only treatment group showed higher symmetry in lower extremity loading compared with those in the NAT group 60 d after surgery. CONCLUSIONS: These results suggest that an early intervention based on NMES superimposed to repeated STSTS exercises is effective for recovering quadriceps strength and symmetry in lower extremity loading by the time of return to sport.</t>
  </si>
  <si>
    <t>10.1249/MSS.0000000000001462</t>
  </si>
  <si>
    <t>#262</t>
  </si>
  <si>
    <t>Labanca 2018</t>
  </si>
  <si>
    <t>Early Superimposed NMES Training is Effective to Improve Strength and Function Following ACL Reconstruction with Hamstring Graft regardless of Tendon Regeneration.</t>
  </si>
  <si>
    <t>Labanca L; Rocchi JE; Giannini S; Faloni ER; Montanari G; Mariani PP; Macaluso A</t>
  </si>
  <si>
    <t>The study aimed at investigating the effects of neuromuscular electrical stimulation superimposed on functional exercises (NMES+) early after anterior cruciate ligament reconstruction (ACLr) with hamstring graft, on muscle strength, knee function, and morphology of thigh muscles and harvested tendons. Thirty-four participants were randomly allocated to either NMES+ group, who received standard rehabilitation with additional NMES of knee flexor and extensor muscles, superimposed on functional movements, or to a control group, who received no additional training (NAT) to traditional rehabilitation. Participants were assessed 15 (T1), 30 (T2), 60 (T3), 90 (T4) and at a mean of 380 days (T5) after ACLr. Knee strength of flexors and extensors was measured at T3, T4 and T5. Lower limb loading asymmetry was measured during a sit-to-stand-to-sit movement at T1, T2, T3, T4 and T5, and a countermovement-jump at T4 and T5. An MRI was performed at T5 to assess morphology of thigh muscles and regeneration of the harvested tendons. NMES+ showed higher muscle strength for the hamstrings (T4, T5) and the quadriceps (T3, T4, T5), higher loading symmetry during stand-to-sit (T2, T3, T4, T5), sit-to-stand (T3, T4) and countermovement-jump (T5) than NAT. No differences were found between-groups for morphology of muscles and tendons, nor in regeneration of harvested tendons. NMES+ early after ACLr with hamstring graft improves muscle strength and knee function in the short- and long-term after surgery, regardless of tendon regeneration.</t>
  </si>
  <si>
    <t>J Sports Sci Med</t>
  </si>
  <si>
    <t>10.52082/jssm.2022.91</t>
  </si>
  <si>
    <t>#137</t>
  </si>
  <si>
    <t>Labanca 2022</t>
  </si>
  <si>
    <t>The effectiveness of Kinesio Taping in improving pain and edema during early rehabilitation after Anterior Cruciate Ligament Reconstruction: A Prospective, Randomized, Control Study.</t>
  </si>
  <si>
    <t>Labianca L; Andreozzi V; Princi G; Princi AA; Calderaro C; Guzzini M; Ferretti A</t>
  </si>
  <si>
    <t>BACKGROUND AND AIM: The Kinesio Taping (KT) is being increasingly applied in physical therapy and rehabilitation. The aim of this study was to evaluate the effect of KT on an early rehabilitation program, in combination with the standard protocol after ACL reconstruction (ACLR). METHODS: This study enrolled 52 male patients, aged 18 to 45 years, who underwent ACLR with doubled gracilis and semitendinosus tendon (DGST) autograft. The patients were randomized into 2 groups: Group A (the control group) which received a standard rehabilitation protocol, and Group B (the experimental group), which had the same rehabilitation protocol plus the KT application. Pain intensity, range of motion, edema, thigh circumference, Tegner-Lysholm Scale and KOOS scale were measured at the second and fourth week follow-ups. RESULTS: Patients in the experimental group showed significant results during the second week for both pain and edema reduction compared to the control group (p&lt; 0.05). After 4 weeks of rehabilitation, pain intensity in the two groups was similar (n.s.), while edema reduction in the experimental group showed a significant result compared to the control groupÂ  (p&lt; 0.05). Nevertheless, the other outcomes did not show significant differences. CONCLUSIONS: The application of KT after ACLR contributed to relieve pain and reduce edema in the early postoperative rehabilitation period. Other potential benefits of KT on muscle activation and strength should be investigated through a longer follow-up and a targeted test.</t>
  </si>
  <si>
    <t>Acta Biomed</t>
  </si>
  <si>
    <t>10.23750/abm.v92i6.10875</t>
  </si>
  <si>
    <t>#140</t>
  </si>
  <si>
    <t>Labianca 2022</t>
  </si>
  <si>
    <t>[Comparison of two electrical stimulation protocols on quadriceps muscle after anterior cruciate ligament surgery. Feasability study].</t>
  </si>
  <si>
    <t>Laborde A; Rebai H; Coudeyre L; Boisgard S; Eyssette M; Coudert J</t>
  </si>
  <si>
    <t>OBJECTIVES: To evaluate the feasibility of a study comparing the effects of two protocols of electrical stimulation of the quadriceps femoris after anterior cruciate ligament surgery. MATERIAL: Seven sportsmen with a mean age of 26 yrs were randomly grouped in two: a 20 Hz stimulated group (4 patients) and a 80 Hz stimulated group (3 patients). After surgery all patients received electrical stimulation of the quadriceps femoris, five days a week, for 12 weeks, and had a standard program of voluntary contractions. The main outcome assessed before and three months after surgery were: quadriceps and hamstring peak torque at 90, 180 and 240 degrees /second, maximal isometric quadriceps at 75 degrees of flexion and muscle and subcutaneous fat volumes of the thigh using MRI. RESULTS: After 12 weeks of rehabilitation, the thigh muscle volume deficit of the operated limb was between 3 and 9% in the 20 Hz stimulated group and between 1 and 2% in the 80 Hz stimulated group. Quadriceps peak torque deficit was less than 30% except for two patients in the 20 Hz stimulated group. Maximal isometric quadriceps deficit of the operated limb was higher than 30% except for two patients in the 20 Hz stimulated group. CONCLUSION: The study showed that comparison of two protocols of electrical stimulation of the quadriceps femoris after anterior cruciate ligament surgery is possible if stimulation period is not more than four weeks.</t>
  </si>
  <si>
    <t>10.1016/j.annrmp.2003.09.007</t>
  </si>
  <si>
    <t>#582</t>
  </si>
  <si>
    <t>Laborde 2004</t>
  </si>
  <si>
    <t>[Interest of an iterative specialized rehabilitation after an anterior cruciate ligament reconstruction in high level sport athletes].</t>
  </si>
  <si>
    <t>Laboute E; Savalli L; Lefesvre T; Puig P; Trouve P</t>
  </si>
  <si>
    <t>PURPOSE OF THE STUDY: The aim of this work was to assess the usefulness of specialized rehabilitation sessions after anterior cruciate ligament reconstruction in high-level athletes participating in regional-, national-, or international-level sports. MATERIAL AND METHODS: We conducted a retrospective comparison between two populations: in the first, rehabilitation was limited to the early postoperative period (PO); in the second, rehabilitation sessions were repeated, once in the early postoperative period and again 90 days later (POR). The second rehabilitation period lasted two or three weeks and included an open and closed-chain muscle training program controlled by physical therapists using isokinetic devices. The sessions also included proprioceptive exercises and cardiovascular exercise reconditioning with a therapeutic project developed by the Physical Medicine and Rehabilitation physician in collaboration with other health professionals and taking into consideration the surgical recommendations and the patient's clinical status. A questionnaire was addressed to all patients one year after the operation. The response rate was 55 %. Two groups were created at random: 74 patients were in the PO group and 75 in the POR group. The two populations were comparable in terms of gender (64 men, 10 women in PO versus 57 men and 18 women in POR), sports level (regional, national, international), type of surgery (41 hamsting, 33 bone-patellar tendon-bone in PO and 43 hamstring and 32 bone-patellar tendon-bone in POR) and sports (generally rugby, soccer, handball or ski). RESULTS: Our results were statistically in favor of the group POR in terms of resumption of sports activities: time to return to training (7.6 versus 8.7 months, p=0.03) and time to return to competition (9.06 versus 10.84 months, p=0.007). They were also in favor of the group POR for resumption of sports activities at the former level (52.05 % versus 19.44 %, p=0.001), pain (numerical scale: 1.52 versus 2.03, p=0.021) and subjective impression (IKDC subjective score: 87.58 % versus 81.64 %, p=0.003). There was no significant difference for resumption of training (90.50 % versus 81.69 %, p=0.2) or competition (71.80 % versus 56.76 %, p=0.1) at one year, but the results were close to the level of significance. DISCUSSION: Adapted preparation before returning to sports activities using a scheme elaborated by specialists (physicians, physical therapists, trainers) provided a statistically significant improvement in time and quality of resumed activity (return to prior level, pain, subjective IKDC score) in this specific population of high-level competition athletes. A larger series would be interesting to check the statistical significance of return to training and competition at one year. Another follow-up beyond one year (1.5 or two years for example) would also provide information on the percentage of definitive return to sports in these two populations.</t>
  </si>
  <si>
    <t>10.1016/j.rco.2008.01.008</t>
  </si>
  <si>
    <t>#499</t>
  </si>
  <si>
    <t>Laboute 2008</t>
  </si>
  <si>
    <t>Application of 3D-Printed Personalized Guide for Lateral Femoral Positioning in Anterior Cruciate Ligament Reconstruction of the Knee.</t>
  </si>
  <si>
    <t>Lan X; Huang J; Tian F; Wang S; Liu C; Wang J</t>
  </si>
  <si>
    <t>OBJECTIVE: This research aims to investigate the effectiveness of 3D computer-assisted customized guided positioning of the lateral femoral tunnel compared to conventional methods for Anterior Cruciate Ligament (ACL) reconstruction surgery. METHODS: A total of 80 patients with a complete ACL tear who underwent arthroscopic reconstruction with autologous tendon transplantation (semitendinosus-gracilis tendon) were included in this study. The patients were admitted to our hospital between March 2020 and January 2022 and were randomly divided into two groups: the conventional group (n = 40) and the personalized guide group (n = 40), based on the positioning method. The conventional group underwent ACL restoration using standard surgical techniques, while the personalized guide group opted for the more precise computer-assisted personalized guide method. The lateral femoral tunnel times were compared between both groups. Additionally, the International Knee Documentation Committee (IKDC) and Lysholm scores were assessed, and the lateral femoral location was evaluated using X-ray imaging at 2 weeks postoperatively. RESULTS: After surgery, both groups showed a statistically significant increase (P &lt; .05) in Lysholm and IKDC scores compared to their pre-surgery scores. However, the two groups had no evident difference (P &gt; .05). X-ray evaluation at 2 weeks post-surgery revealed no significant difference between the two groups in NL/ML, AL/BL, Î±, and Î² angles (P &gt; .05). The preparation time for the femoral tunnel was significantly shorter in the personalized guide group (6.18 Â± 0.92 min) compared to the traditional group (15.94 Â± 3.12 min) (P &lt; .05). CONCLUSIONS: The computer-assisted 3D personalized guide positioning method is more effective in locating the lateral femoral tunnel for ACL reconstruction of the knee and can substantially reduce the positioning time. This study provides valuable insights for clinicians when selecting surgical methods.</t>
  </si>
  <si>
    <t>Altern Ther Health Med</t>
  </si>
  <si>
    <t>#95</t>
  </si>
  <si>
    <t>Lan 2023</t>
  </si>
  <si>
    <t>Clinical comparison between six-strand hamstring tendon and patellar tendon autograft in arthroscopic anterior cruciate ligament reconstruction: a prospective, randomized clinical trial.</t>
  </si>
  <si>
    <t>Laoruengthana A; Pattayakorn S; Chotanaputhi T; Kosiyatrakul A</t>
  </si>
  <si>
    <t>OBJECTIVE: Many randomized clinical trials demonstrated that 4-strand hamstring tendon grafts have comparable results both subjectively and objectively with the patellar tendon grafts. The authors hypothesized that the increment of hamstring tendons strength with 6-strand graft could improve the knee stability compared to the result from using the gold standard patellar tendon. MATERIAL AND METHOD: Thirty-four patients were prospectively randomized into two groups for arthroscopic anterior cruciate ligament reconstruction. Seventeen patients underwent reconstruction with 6-strand hamstring tendons and the remaining seventeen were treated with bone-patellar tendon-bone graft. Patients were followed-up under the similar rehabilitation protocol for at least 12 months. At the time of final follow-up, all the patients in both groups were evaluated in terms of patient's satisfaction, activity level, and knee stability. RESULTS: Fifteen patients in bone-patellar tendon-bone graft (two lost to follow-up) and thirteen patients used 6-strand hamstring tendons (four were converted to 4-strand hamstring tendons) were evaluated at a mean of 19 months (range 12-31 months). The mean of KT-2000 side-to-side laxity measurement in 6-strand hamstring group (0.96 mm) is less than BPTB group (1.22 mm) significantly (p &lt; 0.05). Eleven of 13 patients (84.62%) that received the 6-strand hamstring tendons could return to sport activities compared to 10 of 15 patients (66.67%) that received BPTB graft. Hamstring group have a lower prevalence of donor-site morbidity resulting in less difficult in kneeling. CONCLUSION: The authors concluded that using 6-strand hamstring tendons could improve knee stability in the early clinical outcomes. With no difference in subjective assessment, anterior cruciate ligament reconstruction used hamstring tendons have less donor-site morbidity, which is more compatible to Asian life-style.</t>
  </si>
  <si>
    <t>#481</t>
  </si>
  <si>
    <t>Anterior Cruciate Ligament Reconstruction Augmentation With Bone Marrow Aspirate Concentrate, Demineralized Bone Matrix, and Suture Tape Shows No Difference in Outcomes-But Faster Functional Recovery-Versus Non-augmented Anterior Cruciate Ligament Reconst</t>
  </si>
  <si>
    <t>Lavender CD; Schaver AL; Taylor S; Peluso R; Berdis G; Singh V; Cipriani K; Lycans D; Jasko J; Hewett TE</t>
  </si>
  <si>
    <t>PURPOSE: To compare outcomes after anterior cruciate ligament reconstruction (ACLR) with bone marrow aspirate concentrate (BMAC), demineralized bone matrix (DBM), and suture tape augmentation (STA) versus ACLR without biological augmentation or STA. METHODS: We performed a prospective randomized controlled trial at a single institution to compare ACLR with BMAC, DBM, and STA (group A) versus ACLR without biological augmentation or STA (group NA). The study sought to include 100 patients. Skeletally mature patients younger than 25 years received quadriceps tendon autograft, whereas patients aged 25 years or older underwent allograft ACLR with an all-inside technique. Patients with concomitant meniscal pathologies were included. The primary outcomes compared were range of motion (ROM), limb symmetry, and patient-reported outcomes. Secondary outcomes included radiographic outcomes and surgical complications. Univariate and mixed-model regression analyses were used to compare outcomes. RESULTS: Fifty-nine patients were included (29 patients in group A [11 female patients, 38%] and 30 patients in group NA [15 female patients, 50%]). Early ROM at 6 weeks (125Â° of flexion vs 109Â° of flexion, P &lt; .0001) and limb symmetry at 12 weeks (80.6% vs 36.7% [delta, 43.9%], P &lt; .001) were significantly improved in group A. At 2 years, International Knee Documentation Committee scores were similar (91.1 Â± 12.7 vs 85.3 Â± 10.8, PÂ = .109). Quality-of-life subscores of the Knee Injury and Osteoarthritis Outcome Score were significantly enhanced in group A (85.2 Â± 20.9 vs 72.1 Â± 20.4, PÂ = .042). In 22 patients (12 in group A and 10 in group NA), computed tomography scans were obtained at 6 months to compare bone tunnel healing. Overall, the mean increase in bone tunnel diameter was significantly smaller in group A than in group NA. No difference in graft rerupture or reoperation rate was observed. Reoperations were performed for stiffness in 7 of 59 patients (11.9%) (3 [10%] in group A vs 4 [13%] in group NA; P &gt; .999). CONCLUSIONS: There were no differences in International Knee Documentation Committee scores between groups at 2-year follow-up. Functional outcomes including early ROM and limb symmetry were significantly improved in patients who received ACLR with BMAC, DBM, and STA. LEVEL OF EVIDENCE: Level II, randomized controlled trial.</t>
  </si>
  <si>
    <t>10.1016/j.arthro.2024.06.042</t>
  </si>
  <si>
    <t>#75</t>
  </si>
  <si>
    <t>Lavender 2025</t>
  </si>
  <si>
    <t>The effect of graft tissue on anterior cruciate ligament outcomes: a multicenter, prospective, randomized controlled trial comparing autograft hamstrings with fresh-frozen anterior tibialis allograft.</t>
  </si>
  <si>
    <t>Lawhorn KW; Howell SM; Traina SM; Gottlieb JE; Meade TD; Freedberg HI</t>
  </si>
  <si>
    <t>PURPOSE: To compare the results and outcome of anterior cruciate ligament (ACL) reconstruction using autogenous hamstring tendon versus fresh-frozen allograft anterior tibialis tendon. METHODS: A prospective randomized study was conducted from September 2002 to October 2006. We randomized 147 patients to undergo ACL reconstruction with either autogenous hamstring or fresh-frozen allograft anterior tibialis tendon. Of these patients, 102 (69%) completed a minimum of 2 years' follow-up. There were 54 patients in the hamstring group (73% of those originally enrolled in the group) and 48 patients in the allograft group (66%). All patients underwent standardized subjective and objective evaluation with functional outcome assessments (International Knee Documentation Committee [IKDC]), and standardized radiographs were also obtained. RESULTS: The mean age was 32.0 years for the autograft group and 33.3 years for the allograft group. There was no difference in stability between the 2 groups (P &gt; .05). The mean IKDC subjective score was 91.0 for the autograft group and 90.9 for the allograft group (P &gt; .05). The functional IKDC scores for the autograft group were normal in 46 patients (85%), nearly normal in 7 patients (13%), and severely abnormal in 1 patient. For the allograft group, the functional IKDC scores were normal in 43 patients (90%) and nearly normal in 5 (10%) (P &gt; .05). There were 4 reoperations in the allograft group and 3 reoperations in the autograft group. No patient underwent revision ACL surgery or planned to undergo revision surgery because of instability in either group during the study period despite the 1 patient in the autograft group with a pivot_shift and a maximum manual KT measurement (MEDmetric, San Diego, CA) of 5 mm. CONCLUSIONS: The use of fresh-frozen anterior tibialis allograft (non-treated) for ACL reconstruction produced similar subjective and functional outcomes at 24 months' minimal follow-up compared with patients undergoing ACL reconstruction with autograft hamstring tendon. LEVEL OF EVIDENCE: Level II, prospective comparative study.</t>
  </si>
  <si>
    <t>#408</t>
  </si>
  <si>
    <t>A semitendinosus with adjustable button graft construct in patients undergoing hamstring ACL reconstruction results in improved knee flexor strength symmetry and less donor site pain and morbidity: Outcomes from the DOSTAR randomized controlled trial.</t>
  </si>
  <si>
    <t>Lawless AM; Ebert JR; Edwards PK; Malik SS; Davies PSE; D'Alessandro PA</t>
  </si>
  <si>
    <t>PURPOSE: To compare donor site morbidity and patient-reported outcome measures (PROMs), knee laxity and early strength and functional outcomes, following anterior cruciate ligament reconstruction (ACLR) using a semitendinosus (ST) tendon autograft with suspensory adjustable button tibial fixation or semitendinosus-gracilis (STG) autograft with tibial screw fixation. METHODS: While 153 patients were prospectively recruited and randomized to an ST or STG autograft, 131 (62 ST and 69 STG) were retained following ACLR and followed post-surgery. Standardized surgical techniques were employed, varying only in graft selection and fixation. The primary study outcomes were early hamstring pain, donor site morbidity and strength recovery. However, several outcomes were assessed pre-surgery and at 3 and 6 months, encompassing the Donor-site-related Functional Problems following Anterior Cruciate Ligament Reconstruction (DFPACLR) score, Visual Analogue Scale (VAS) for hamstring pain and other commonly employed PROMs, anteroposterior laxity (KT-1000), isokinetic hamstring and quadriceps strength, hop testing, complications and re-operations. Intention-to-treat analysis was performed using linear mixed models for continuous data and Mann-Whitney U tests where appropriate. RESULTS: At 6 months, ST patients reported significantly lower hamstring pain (pâ€‰&lt;â€‰0.001) and DFPACLR (pâ€‰&lt;â€‰0.001) scores. A significantly higher (pâ€‰&lt;â€‰0.001) peak knee flexor strength limb symmetry index (LSI) was observed for the ST group, though no other group differences in side-to-side laxity, hop tests or other normalized strength measures or LSIs were observed. CONCLUSIONS: ACLR using an ST autograft resulted in less donor site pain and morbidity, and improved knee flexor strength symmetry at 6 months, while demonstrating comparable functional outcomes to the STG autograft. LEVEL OF EVIDENCE: Level 1 prospective, double-blinded, randomized controlled trial.</t>
  </si>
  <si>
    <t>10.1002/ksa.12698</t>
  </si>
  <si>
    <t>#46</t>
  </si>
  <si>
    <t>Lawless 2026</t>
  </si>
  <si>
    <t>A prospective randomized comparison of bone-patellar tendon-bone and hamstring grafts for anterior cruciate ligament reconstruction.</t>
  </si>
  <si>
    <t>Laxdal G; Kartus J; Hansson L; Heidvall M; Ejerhed L; Karlsson J</t>
  </si>
  <si>
    <t>PURPOSE: The aim of this study was to compare the results after arthroscopic anterior cruciate ligament (ACL) reconstruction using central-third, bone-patellar tendon-bone (BPTB group), 3-strand semitendinosus (ST group), or 4-strand semitendinosus/gracilis (ST/G group) autografts. TYPE OF STUDY: Prospective randomized trial. METHODS: A randomized series of 134 patients, all with unilateral ACL rupture was included in the study. In all 3 groups, interference screw fixation of the graft was used at both ends and 125 of 134 (93%) of the patients returned for the follow-up examination after 26 months (range, 20 to 43 months). The preoperative assessments in all 3 groups were similar in terms of gender, Tegner activity level, Lysholm score, KT-1000 measurements, 1-leg hop test, and the knee-walking test. RESULTS: At follow-up, the knee-walking test was significantly worse in the BPTB group than in the ST group (P = .0004) and ST/G group (P &lt; .0001). Furthermore, the knee-walking test was significantly worse at follow-up than preoperatively in the BPTB group (P &lt; .0001). The corresponding findings were not made in the other 2 groups. A significant reduction in knee laxity and an increase in activity level compared with the preoperative assessments were found in all 3 groups, without any significant differences between the groups. CONCLUSIONS: Two years after ACL reconstruction, the use of ST and ST/G autografts rendered significantly less discomfort during the knee-walking test than the use of BPTB autografts. However, in terms of functional outcome and knee laxity, the groups displayed no significant differences. LEVEL OF EVIDENCE: Level I.</t>
  </si>
  <si>
    <t>#573</t>
  </si>
  <si>
    <t>Biodegradable and metallic interference screws in anterior cruciate ligament reconstruction surgery using hamstring tendon grafts: prospective randomized study of radiographic results and clinical outcome.</t>
  </si>
  <si>
    <t>Laxdal G; Kartus J; Eriksson BI; FaxÃ©n E; Sernert N; Karlsson J</t>
  </si>
  <si>
    <t>BACKGROUND: The use of biodegradable screws in anterior cruciate ligament reconstruction has grown in popularity. PURPOSE: To compare the clinical and radiographic results in arthroscopically assisted anterior cruciate ligament reconstruction using 4-strand hamstring tendon grafts and either metallic (metal group) or biodegradable (PLLA group) interference screw fixation. STUDY DESIGN: Randomized controlled trial; Level of evidence, 1. METHODS: A randomized series of 77 patients, all with a unilateral anterior cruciate ligament rupture, was included in the study. The preoperative assessments in both groups were similar in gender, Tegner activity level, Lysholm score, KT-1000 arthrometer measurements, and single-legged hop test results. In both groups, interference screw fixation of the graft was used at both ends, and 68 of 77 (88%) patients returned for a radiographic examination at 6 and 24 months, respectively. RESULTS: At follow-up, no significant differences were found between the 2 groups in KT-1000 arthrometer laxity measurements, Tegner activity level, or Lysholm score. The PLLA group had a significantly better outcome in the single-legged hop test and the final International Knee Documentation Committee classification (P = .007 and P = .03, respectively). At 6 and 24 months after the index operation, the PLLA group displayed significantly larger drill holes on the radiographs than did the metal group on both the tibial (8.1 vs 6.6 mm at 6 months [P = .0007]; 6.0 vs 3.2 mm at 24 months [P &lt; .0001]) and femoral sides (7.8 vs 5.6 mm at 6 months [P &lt; .0001]; 6.3 vs 1.9 mm at 24 months [P &lt; .0001]). CONCLUSION: There were significantly larger radiographically visible drill holes on both the tibial and femoral sides in the PLLA group compared with the metal group at 6 and 24 months. Clinical examination at 2 years revealed no major differences between the groups. The larger drill holes in the PLLA group did not correlate with inferior clinical results.</t>
  </si>
  <si>
    <t>10.1177/0363546506288014</t>
  </si>
  <si>
    <t>#547</t>
  </si>
  <si>
    <t>Laxdal 2006</t>
  </si>
  <si>
    <t>Increased muscle activation following motor imagery during the rehabilitation of the anterior cruciate ligament.</t>
  </si>
  <si>
    <t>Lebon F; Guillot A; Collet C</t>
  </si>
  <si>
    <t>Motor imagery (MI) is the mental representation of an action without any concomitant movement. MI has been used frequently after peripheral injuries to decrease pain and facilitate rehabilitation. However, little is known about the effects of MI on muscle activation underlying the motor recovery. This study aimed to assess the therapeutic effects of MI on the activation of lower limb muscles, as well as on the time course of functional recovery and pain after surgery of the anterior cruciate ligament (ACL). Twelve patients with a torn ACL were randomly assigned to a MI or control group, who both received a series of physiotherapy. Electromyographic activity of the quadriceps, pain, anthropometrical data, and lower limb motor ability were measured throughout a 12-session therapy. The data provided evidence that MI elicited greater muscle activation, even though imagery practice did not result in pain decrease. Muscle activation increase might originate from a redistribution of the central neuronal activity, as there was no anthropometric change in lower limb muscles after imagery practice. This study confirmed the effectiveness of integrating MI in a rehabilitation process by facilitating muscular properties recovery following motor impairment. MI may thus be considered a reliable adjunct therapy to help injured patients to recover motor functions after reconstructive surgery of ACL.</t>
  </si>
  <si>
    <t>Appl Psychophysiol Biofeedback</t>
  </si>
  <si>
    <t>10.1007/s10484-011-9175-9</t>
  </si>
  <si>
    <t>#423</t>
  </si>
  <si>
    <t>Lebon 2012</t>
  </si>
  <si>
    <t>Intraoperative correlation analysis between tunnel position and translational and rotational stability in single- and double-bundle anterior cruciate ligament reconstruction.</t>
  </si>
  <si>
    <t>Lee S; Kim H; Jang J; Seong SC; Lee MC</t>
  </si>
  <si>
    <t>PURPOSE: To determine the relation between the tunnel positions and the kinematic improvement of the knee joint after single-bundle (SB) and double-bundle (DB) anterior cruciate ligament (ACL) reconstructions. METHODS: The study included 42 patients who underwent either SB (n = 21) or DB (n = 21) ACL reconstruction using hamstring tendon autograft. Anterior tibial translation and rotational laxity were measured by a navigation system before and after graft fixation. Three-dimensional computed tomography measurement was conducted for evaluation of tunnel placements. Regression analysis was carried out to determine the association between the postoperative kinematic change and the tunnel position. RESULTS: The average tunnel location was mostly different between the SB and posterolateral bundle (PLB) tunnels, as well as between the anteromedial bundle (AMB) and PLB tunnels of DB ACL reconstructions, whereas the SB and AMB tunnels were similar in the tibial mediolateral and femoral deep-shallow positions. A regression curve showed that the PLB femoral tunnel position was correlated with rotation whereas both the SB and AMB femoral tunnel locations were mostly correlated with anterior tibial translation. CONCLUSIONS: The PLB tunnel location in DB ACL reconstruction had a considerable effect on rotational laxity, whereas the SB and AMB tunnel locations mostly influenced anterior tibial translation. LEVEL OF EVIDENCE: Level III, case-control study.</t>
  </si>
  <si>
    <t>10.1016/j.arthro.2012.03.027</t>
  </si>
  <si>
    <t>#410</t>
  </si>
  <si>
    <t>Lee 2012</t>
  </si>
  <si>
    <t>Comparison of anterior and rotatory laxity using navigation between single- and double-bundle ACL reconstruction: prospective randomized trial.</t>
  </si>
  <si>
    <t>PURPOSE: To prospectively assess the anterior tibial translation and rotational kinematics of the knee joint as well as the clinical outcome after single-bundle (SB) and double-bundle (DB) anterior cruciate ligament (ACL) reconstruction. METHODS: Forty-two patients randomly underwent single-bundle (Group SB, nÂ =Â 21) or double-bundle (Group DB, nÂ =Â 21) ACL reconstruction using hamstring tendon autografts. Anterior tibial translation and rotatory laxity were measured prior to and after fixation of the graft during reconstruction under the guidance of a navigation system. Clinical outcome measurements included the evaluation of the joint stability and functional status. RESULTS: Anterior tibial translation and rotatory laxity were improved significantly at all degrees of knee flexion in both groups. The postoperative total rotation (sum of internal and external rotation) at 30Â° and 60Â° (26.6Â° vs. 24.0Â°; 28.7Â° vs. 25.1Â°) as well as postoperative change in external rotation at 60Â° (-1.4Â° vs. -4.6Â°), and a change in total rotation at 30Â° and 60Â° (-7.0Â° vs. -11.5Â°; -6.1Â° vs. -8.9Â°) differed between the two groups, with better stability in the DB group. At 2Â years follow-up, IKDC subjective satisfaction score was significantly different between two groups (70.9 vs. 79.6), while manual and instrumented laxity, pivot_shift tests, modified Lysholm score, Tegner activity score, thigh muscle strengths were not different. Correlation analysis showed little correlations between anterior laxity tests at follow-up, and the kinematic variables measured by navigation during surgery while pivot_shift test, IKDC subjective satisfaction score, modified Lysholm score, and Tegner activity score were mainly correlated with navigation-measured rotations in both groups. CONCLUSIONS: The kinematic tests in this study found evidence suggesting that the DB ACL reconstruction improved rotatory laxity better than the SB ACL reconstruction at 30Â° and 60Â° of flexion, but there was no difference in functional outcome at 2Â years follow-up between SB and DB groups. LEVEL OF EVIDENCE: Prospective comparative study, Level II.</t>
  </si>
  <si>
    <t>10.1007/s00167-012-1880-2</t>
  </si>
  <si>
    <t>#422</t>
  </si>
  <si>
    <t>Intra-articular Administration of Tranexamic Acid Has No Effect in Reducing Intra-articular Hemarthrosis and Postoperative Pain After Primary ACL Reconstruction Using a Quadruple Hamstring Graft: A Randomized Controlled Trial.</t>
  </si>
  <si>
    <t>Lee JW; Kim SG; Kim SH; Cho HW; Bae JH</t>
  </si>
  <si>
    <t>BACKGROUND: Insufficient data are available to support the routine use of tranexamic acid (TXA) in anterior cruciate ligament (ACL) surgeries with respect to administration method and frequency, exposure duration, dose, and adverse effects. PURPOSE: To investigate whether intra-articular (IA) administration of TXA could reduce hemarthrosis and postoperative pain in patients after ACL reconstruction. STUDY DESIGN: Randomized controlled trial; Level of evidence, 1. METHODS: A total of 47 patients were included in this study, which was performed between July 2017 and May 2019. Single-bundle reconstructions using autologous hamstring tendon grafts were performed in all patients. The patients were randomized into 2 groups: the TXA group (received the index procedure with 100-mL IA injection of TXA [30 mg/mL]) and a control group (did not receive IA injection of TXA). No patients received a drain. Blood loss was calculated on the basis of hemoglobin balance at postoperative day (PD) 2. The visual analog scale (VAS) for pain score was assessed at PD 3. The midpatellar circumference was measured at PD 2 and PD 5. Knee range of motion (ROM) was evaluated 6 weeks after surgery. RESULTS: The mean Â± SD blood loss was 467 Â± 242 mL in the TXA group and 558 Â± 236 mL in the control group. No significant differences were found for blood loss (P = .20), VAS pain scores (P = .28), ROM at postoperative week 6 (P = .61), or patellar circumference at PD 2 (P = .75) and PD 5 (P = .84). CONCLUSION: This study showed that IA administration of 3.0 g of TXA had no effect in reducing blood loss and postoperative pain after primary anatomic single-bundle ACL reconstruction using quadruple hamstring autografts. REGISTRATION: NCT04042688 (ClinicalTrials.gov identifier).</t>
  </si>
  <si>
    <t>10.1177/2325967120933135</t>
  </si>
  <si>
    <t>#181</t>
  </si>
  <si>
    <t>Lee 2020</t>
  </si>
  <si>
    <t>The Effect of Graft Harvest and Skin Incision Angle on Sensory Disturbance in ACL Reconstruction With Semitendinosus-Gracilis Tendon Graft: A Randomized Controlled Trial and Cadaveric Study.</t>
  </si>
  <si>
    <t>Leiter J; Peeler J; McRae S; Wiens S; Hammond A; Froese W; MacDonald P</t>
  </si>
  <si>
    <t>BACKGROUND: Injury to the inferior branch of the saphenous nerve (IBSN) and the subsequent loss of skin sensation after anterior cruciate ligament (ACL) reconstruction are common. The literature suggests that the incision angle may affect the incidence and area of loss of skin sensation. PURPOSE: To determine whether there is a difference in the incidence and area of altered sensory loss on the tibia between vertical (VI) and oblique (OI) incisions for semitendinosus-gracilis tendon graft harvest during ACL reconstruction. The cadaveric component was designed to determine whether there is a "safe zone" for incision by identifying the location and number of branches of the IBSN. STUDY DESIGN: Randomized controlled trial; Level of evidence, 2. METHODS: Patients (n = 37) were randomized to receive either VI or OI. Incidence and area of altered skin sensation were documented during at least 1 postoperative visit. In addition, 18 cadaveric knees were dissected. RESULTS: The presence or absence of hypoesthesia did not differ between groups postoperatively. Although no statistical differences between groups were seen in the total area of perceived altered skin sensation at 3 (P = .57), 6 (P = .08), 12 (P = .65), and 24 months (P = .27), data demonstrated a trend toward VI participants having a larger area of hypoesthesia at every time point. Among the 18 cadaveric specimens, 4 variations in the distribution of IBSN were noted: 18 (100%) had 1 branch, 14 (78%) had 2 branches, 6 (33%) had 3 branches, and 1 (6%) had 4 branches. No safe zone for incision could be identified. CONCLUSION: No difference was found between a vertical and an oblique incision with respect to incidence or area of sensory loss. Furthermore, it was not possible to identify a safe zone that would prevent transection of all nerves branches of the IBSN based on the cadaveric component of this study.</t>
  </si>
  <si>
    <t>10.1177/2325967120948954</t>
  </si>
  <si>
    <t>#178</t>
  </si>
  <si>
    <t>Leiter 2020</t>
  </si>
  <si>
    <t>Primary anterior cruciate ligament reconstruction in athletes: a 5-year follow up comparing patellar tendon versus hamstring tendon autograft.</t>
  </si>
  <si>
    <t>Leitgeb J; KÃ¶ttstorfer J; Schuster R; Kovar FM; Platzer P; Aldrian S</t>
  </si>
  <si>
    <t>INTRODUCTION: ACL reconstruction with quadruple hamstring graft (HT) as well as bone-patellar tendon-bone autograft (PT) is a frequent procedure in athletes after ACL rupture. Both techniques are reported to provide for satisfying results but only few articles compare both techniques. MATERIAL AND METHODS: Prospective evaluation was performed on 96 patients with isolated ACL rupture undergoing reconstruction with a HT or PT autograft by a single surgeon at our institution. Long time follow-up after five years included the IKDC and KOOS evaluation form as well as clinical assessment (ROM, Lachmann testing, KT-2000). RESULTS: Comparing both methods revealed no significant differences regarding IKDC and KOOS. The KT-2000 arthrometer testing showed a slightly increased mean laxity in the HT group. There were no differences regarding harvest side symptoms comparing HT and PT as well as one and two incision technique. Kneeling pain was significantly less common after HT autograft. HT as well as PT autograft achieve equally good clinical results in athletes at five year follow-up with no significant difference regarding knee stability. Although no difference concerning the harvest site was identified, HT seems to be favorable for patients who work in a kneeling position.</t>
  </si>
  <si>
    <t>Wien Klin Wochenschr</t>
  </si>
  <si>
    <t>10.1007/s00508-014-0550-4</t>
  </si>
  <si>
    <t>#353</t>
  </si>
  <si>
    <t>Comparing low volume saphenous-obturator block with placebo and femoral-obturator block for anterior cruciate ligament reconstruction.</t>
  </si>
  <si>
    <t>Lenz K; Jensen K; Tanggaard K; Vazin M; Bendtsen TF; Chan V; Krogsgaard MR; Strube ML; BÃ¸rglum J</t>
  </si>
  <si>
    <t>BACKGROUND: Anterior cruciate ligament reconstruction (ACL-RC) is often associated with moderate to severe postoperative pain even with a multimodal analgesic regimen. We aimed to compare the analgesic efficacy of low volume saphenous-obturator block with placebo and femoral-obturator block in patients undergoing ACL-RC. METHODS: In a randomized controlled trial eighty-two patients undergoing ACL-RC with hamstring autograft were allocated to either low volume saphenous-obturator block, placebo block or femoral-obturator block. Ropivacaine 0.75% was used for active blocks and saline for placebo. Primary outcome was pain-scores at rest quantified as area-under-the-curve 0-6 hr postoperatively. Secondary outcomes were postoperative opioid consumption and pain localization in the knee. RESULTS: No statistical difference existed between groups in area-under-the-curve 6 hr pain-scores. However, pain-scores were significantly lower in the two ropivacaine groups compared to placebo at emergence t=0 (P&lt;0.018), at t=5 (P&lt;0.042) and at t=6 hours (P&lt;0.002) postoperatively. Furthermore, ropivacaine blocks exhibited significantly reduced total opioid consumption (15.81 and 18.44 mg) postoperatively compared with placebo (26.38 mg) (P&lt;0.018). Patients receiving ropivacaine blocks localized pain in the posterolateral knee, whereas placebo block patients reported anteromedial and central pain. Other secondary outcomes were similar between groups. CONCLUSIONS: Low volume saphenous-obturator block is significantly more effective than placebo in reducing both early and late pain-scores as well as postoperative opioid consumption in patients undergoing ACL-RC. No statistical difference existed when comparing low volume saphenous-obturator block to femoral-obturator block regarding early and late pain-scores and postoperative opioid consumption.</t>
  </si>
  <si>
    <t>Minerva Anestesiol</t>
  </si>
  <si>
    <t>10.23736/S0375-9393.17.11718-9</t>
  </si>
  <si>
    <t>#270</t>
  </si>
  <si>
    <t>Lenz 2018</t>
  </si>
  <si>
    <t>A Prospective Randomized Study of Anterior Cruciate Ligament Reconstruction With Autograft, Î³-Irradiated Allograft, and Hybrid Graft.</t>
  </si>
  <si>
    <t>Li J; Wang J; Li Y; Shao D; You X; Shen Y</t>
  </si>
  <si>
    <t>PURPOSE: To compare the results of patients who underwent anterior cruciate ligament (ACL) reconstruction with autograft, Î³-irradiated allograft, or hybrid graft in a prospective randomized study with a minimum clinical follow-up period of 5 years. METHODS: In this prospective, randomized, comparative study, 102 patients with ACL tears underwent ACL reconstruction with autograft (gracilis and semitendinosus tendons), Î³-irradiated allograft (tibialis anterior tendons), or hybrid graft (Î³-irradiated tibialis anterior tendon allograft and semitendinosus tendon autograft). Laboratory testing of the erythrocyte sedimentation rate and C-reaction protein level were performed; clinical results were evaluated with the KT-1000 arthrometer (MEDmetric, San Diego, CA), Lachman test, Lysholm score, Tegner activity score, and International Knee Documentation Committee evaluation (both objective and subjective). RESULTS: There were 32 patients in the autograft group, 31 in the hybrid graft group, and 32 in the Î³-irradiated allograft group at last follow-up. No differences were found among the 3 groups regarding patient demographic data and the duration from injury to operation (P &gt; .05). The C-reaction protein and erythrocyte sedimentation rate values were statistically higher in the Î³-irradiated allograft group than in the other 2 groups on the third, seventh, and fourteenth days (P &lt; .05). No significant differences were found between the autograft and hybrid graft groups (P &gt; .05). The KT-1000 examination showed more anterior laxity in the Î³-irradiated allograft group than in the other 2 groups (P &lt; .05). No significant differences in the Lachman test and pivot-shift test findings were found among the 3 groups (P &gt; .05). The Lysholm score, Tegner activity score, and International Knee Documentation Committee evaluation (subjective and objective) showed no differences among the 3 groups (P &gt; .05). CONCLUSIONS: Patients undergoing primary ACL reconstruction with hybrid graft or autograft had satisfactory and similar objective and subjective clinical results. On KT-1000 measurement of anteroposterior knee laxity, both the autograft and hybrid graft groups showed statistically significant differences compared with the Î³-irradiated allograft group. LEVEL OF EVIDENCE: Level II, prospective comparative study.</t>
  </si>
  <si>
    <t>#330</t>
  </si>
  <si>
    <t>Effect of quadriceps training at different levels of blood flow restriction on quadriceps strength and thickness in the mid-term postoperative period after anterior cruciate ligament reconstruction: a randomized controlled external pilot study.</t>
  </si>
  <si>
    <t>Li X; Li J; Qing L; Wang H; Ma H; Huang P</t>
  </si>
  <si>
    <t>BACKGROUND: More than 2Â million anterior cruciate ligament (ACL) injuries occur worldwide each year. Most surgeons suggest that athletes and active persons with significant knee functional demands, including cutting motions, require and should be offered ligament reconstruction surgery. Despite concentrated rehabilitation efforts, deficits in quadriceps size and strength can persist for years after surgery. Blood flow restriction (BFR) training can help overcome disuse muscular atrophy in the mid-term postoperative period after anterior cruciate ligament reconstruction (ACLR) surgery. The purpose of this study was to evaluate the effects of quadriceps training with different levels of blood flow restriction on quadriceps strength and thickness of participants after ACLR. METHODS: In this study, 30 post-ACL reconstruction participants were randomly divided into three groups (control, 40% Arterial Occlusion Pressure [AOP] and 80% AOP groups). All patients were subjected to different levels of BFR, combined with conventional quadriceps rehabilitation, for 8 weeks. Assessments included scaled maximal isokinetic knee extension strength at 60Â°/s and 180Â°/s, the sum of the thickness of the affected femoris rectus and vastus intermedius, Y-balance test performance, and International Knee Documentation Committee questionnaire responses before and after the intervention. RESULTS: In total, 23 participants completed the entire study. The 80% AOP compression group showed an increase in quadriceps femoris muscle strength and muscle thickness (pâ€‰&lt;â€‰0.01). As compared with the control group, outcome indicators in the 40% AOP and 80% AOP group were improved (pâ€‰&lt;â€‰0.05). After 8 weeks of experimental BFR intervention, the results were better for the 80% AOP compression group than for the 40% AOP compression group in quadriceps peak torque to body weight at 60Â°/s and 180Â°/s angular velocity, as well as the sum of the thickness of the rectus femoris and vastus intermedius. CONCLUSION: The combination of BFR and low-intensity quadriceps femoris training can effectively improve the muscle strength and thickness of knee extensors in participants with ACLR and help reduce the difference between the healthy and surgical sides of the knee joint while improving knee-joint function. Choosing quadriceps training with 80% AOP compression intensity could provide the most benefits. Meanwhile, BFR can accelerate the rehabilitation process of patients and allow early entry into the next rehabilitation cycle. REGISTRATION: Trial registration Chinese Clinical Trial Registry, registration number ChiCTR2100050011, date of registration: 15/08/2021.</t>
  </si>
  <si>
    <t>10.1186/s12891-023-06483-x</t>
  </si>
  <si>
    <t>#101</t>
  </si>
  <si>
    <t>Li 2023</t>
  </si>
  <si>
    <t>The effect of neuromuscular electrical stimulation superimposed on quadriceps training on gait dynamics after anterior cruciate ligament reconstruction.</t>
  </si>
  <si>
    <t>Li S; Lu B; Zhang Y; Liu J; Xu W; Li Q</t>
  </si>
  <si>
    <t>BACKGROUND: Abnormal gait dynamics are an important risk factor responsible for the high incidence of traumatic knee osteoarthritis in patients undergoing anterior cruciate ligament (ACL) reconstruction. OBJECTIVE: To evaluate the effect of neuromuscular electrical stimulation (NMES) superimposed quadriceps training on gait dynamics. METHODS: A total of 32 postoperative patients were randomly allocated to the NMES and conventional training (CT) groups, with 16 patients per group. Patients in the CT group received the standardized conventional training for 60 min per day, 3 days per week for 6 weeks, while those in the NMES group received the same conventional training, but with NMES superimposed on the conventional open chain training of the quadriceps. The amount of time for training was equal between the two groups. Patients were evaluated at 8 and 14 weeks after surgery. The outcome measurements were maximum voluntary isometric contraction (MVIC) of the quadriceps used to assess the quadriceps strength, Lysholm score used to assess knee function and peak vertical ground reaction force (PvGRF), heel medial (HM) peak pressure and heel lateral (HL) peak pressure used to assess gait dynamics. RESULTS: Compared to the CT group, the NMES group had greater improvements in quadriceps strength (p&lt;0.001, effect sizeâ€‰=â€‰2.93), knee function (pâ€‰=â€‰0.049, effect sizeâ€‰=â€‰2.06), and gait loading (including HL peak pressure (Pâ€‰=â€‰0.007, effect sizeâ€‰=â€‰0.89) and PvGRF (Pâ€‰=â€‰0.019, effect sizeâ€‰=â€‰0.62)). After the intervention, participants in both groups had a significantly lower rearfoot impulse and significantly higher forefoot impulse. CONCLUSIONS: The NMES superimposed on conventional quadriceps open chain training has shown additional improvements in gait loading in patients after ACL reconstruction, which suggests it may contribute to delaying the onset of early postoperative traumatic knee osteoarthritis. In addition, changes in foot impulse may suggest a progressive trend in quadriceps avoidance gait in the early postoperative period.</t>
  </si>
  <si>
    <t>J Back Musculoskelet Rehabil</t>
  </si>
  <si>
    <t>10.1177/10538127241296376</t>
  </si>
  <si>
    <t>#56</t>
  </si>
  <si>
    <t>Li 2025</t>
  </si>
  <si>
    <t>Patellar tendon or semitendinosus tendon autografts for anterior cruciate ligament reconstruction: a prospective, randomized study with a 7-Year follow-up.</t>
  </si>
  <si>
    <t>LidÃ©n M; Ejerhed L; Sernert N; Laxdal G; Kartus J</t>
  </si>
  <si>
    <t>BACKGROUND: The aim of the study was to compare the results after arthroscopic anterior cruciate ligament (ACL) reconstruction using central-third bone-patellar tendon-bone (BTB) autografts and triple/quadruple semitendinosus (ST) autografts. HYPOTHESIS: In the long-term, ACL reconstruction using BTB autografts will render more donor-site problems than ST autografts. STUDY DESIGN: Randomized controlled trial; Level of evidence, 1. METHODS: A randomized series of 71 patients (22 women and 49 men) with a unilateral ACL rupture who underwent reconstructive surgery were included in the study. The BTB graft was used in 34 patients (BTB group) and the ST-tendon graft was used in 37 patients (ST group). The patients were examined a median of 86 months (range, 68 to 114 months) after the reconstruction. RESULTS: Sixty-eight of 71 patients (96%) were examined at follow-up. The clinical assessments at follow-up revealed no significant differences between the BTB group and the ST group in terms of the Lysholm score, Tegner activity level, International Knee Documentation Committee evaluation system, 1-legged hop test, KT-1000 arthrometer laxity measurements, manual Lachman test, and range of motion. A significant improvement was seen in both groups compared with the preoperative values in terms of most clinical assessments. Donor-site morbidity in the form of knee-walking ability, kneeling ability, and area of disturbed anterior knee sensitivity revealed no significant differences between the groups. CONCLUSION: Seven years after ACL reconstruction, the subjective and objective outcomes were similar after using the central-third BTB autograft and triple/quadruple ST autograft. Furthermore, no difference in terms of donor-site morbidity was found between the 2 groups.</t>
  </si>
  <si>
    <t>#529</t>
  </si>
  <si>
    <t>Equal effectiveness of electrical and volitional strength training for quadriceps femoris muscles after anterior cruciate ligament surgery.</t>
  </si>
  <si>
    <t>Lieber RL; Silva PD; Daniel DM</t>
  </si>
  <si>
    <t>Neuromuscular electrical stimulation and voluntary muscle contraction are two exercise modes widely used in rehabilitation to strengthen skeletal muscle. Since there is no debate as to which mode is most effective, we compared electrical stimulation with voluntary contraction performed at matched intensities following reconstructive surgery of the anterior cruciate ligament. Forty men and women, aged 15-44, were randomly assigned to either an electrical stimulation or a voluntary contraction group. None of the subjects had a previous history of neuromuscular injury. The subjects received treatment for 30 minutes a day, 5 days a week, for 4 weeks. Knee extension torque was monitored during treatment to try to match the absolute muscular tensions (quantified as "activity") achieved during therapy. To match the activity of the subjects in the electrical stimulation group, who were treated at the highest stimulation intensity they could tolerate, the subjects in the voluntary contraction group were paced at progressively increasing intensities corresponding to 15, 25, 35, and 45% of the injured limb's maximum voluntary torque during weeks 1, 2, 3, and 4, respectively. We found no significant difference between the groups in terms of maximum voluntary knee extension torque throughout the study period. In addition, 1 year after surgery, there was still no significant difference between groups with regard to knee extension torque (p &gt; 0.4). These data suggest that neuromuscular electrical stimulation and voluntary muscle contraction treatments, when performed at the same intensity, are equally effective in strengthening skeletal muscle that has been weakened by surgical repair of the anterior cruciate ligament.</t>
  </si>
  <si>
    <t>10.1002/jor.1100140121</t>
  </si>
  <si>
    <t>#673</t>
  </si>
  <si>
    <t>Lieber 1996</t>
  </si>
  <si>
    <t>Effects of sports injury prevention training on the biomechanical risk factors of anterior cruciate ligament injury in high school female basketball players.</t>
  </si>
  <si>
    <t>Lim BO; Lee YS; Kim JG; An KO; Yoo J; Kwon YH</t>
  </si>
  <si>
    <t>BACKGROUND: Female athletes have a higher risk of anterior cruciate ligament injury than their male counterparts who play at similar levels in sports involving pivoting and landing. HYPOTHESIS: The competitive female basketball players who participated in a sports injury prevention training program would show better muscle strength and flexibility and improved biomechanical properties associated with anterior cruciate ligament injury than during the pretraining period and than posttraining parameters in a control group. STUDY DESIGN: Controlled laboratory study. METHODS: A total of 22 high school female basketball players were recruited and randomly divided into 2 groups (the experimental group and the control group, 11 participants each). The experimental group was instructed in the 6 parts of the sports injury prevention training program and performed it during the first 20 minutes of team practice for the next 8 weeks, while the control group performed their regular training program. Both groups were tested with a rebound-jump task before and after the 8-week period. A total of 21 reflective markers were placed in preassigned positions. In this controlled laboratory study, a 2-way analysis of variance (2 x 2) experimental design was used for the statistical analysis (P &lt; .05) using the experimental group and a testing session as within and between factors, respectively. Post hoc tests with Sidak correction were used when significant factor effects and/or interactions were observed. RESULTS: A comparison of the experimental group's pretraining and posttraining results identified training effects on all strength parameters (P = .004 to .043) and on knee flexion, which reflects increased flexibility (P = .022). The experimental group showed higher knee flexion angles (P = .024), greater interknee distances (P = .004), lower hamstring-quadriceps ratios (P = .023), and lower maximum knee extension torques (P = .043) after training. In the control group, no statistical differences were observed between pretraining and posttraining findings (P = .084 to .873). At pretraining, no significant differences were observed between the 2 groups for any parameter (P = .067 to .784). However, a comparison of the 2 groups after training revealed that the experimental group had significantly higher knee flexion angles (P = .023), greater knee distances (P = .005), lower hamstring-quadriceps ratios (P = .021), lower maximum knee extension torques (P = .124), and higher maximum knee abduction torques P (= .043) than the control group. CONCLUSION: The sports injury prevention training program improved the strength and flexibility of the competitive female basketball players tested and biomechanical properties associated with anterior cruciate ligament injury as compared with pretraining parameters and with posttraining parameters in the control group. CLINICAL RELEVANCE: This injury prevention program could potentially modify the flexibility, strength, and biomechanical properties associated with ACL injury and lower the athlete's risk for injury.</t>
  </si>
  <si>
    <t>10.1177/0363546509334220</t>
  </si>
  <si>
    <t>#472</t>
  </si>
  <si>
    <t>Lim 2009</t>
  </si>
  <si>
    <t>Effectiveness of In-Home, Augmented Reality-Based Telerehabilitation After Anterior Cruciate Ligament Reconstruction: A Randomized Controlled Trial.</t>
  </si>
  <si>
    <t>Lim JY; Yu HJ; Kim SH; Lee JI; Wang JH; Hwang JH</t>
  </si>
  <si>
    <t>BACKGROUND: New digital technology-based rehabilitation may be a viable option for patients after anterior cruciate ligament reconstruction (ACLR), with advantages such as easy access to treatment and learning as well as cost-effectiveness. PURPOSE: To investigate the effects of an augmented reality (AR)-based, telerehabilitation system in patients after ACLR compared with a brochure-based rehabilitation program in terms of patient-reported outcomes and functional performance measures. STUDY DESIGN: Randomized controlled trial; Level of evidence, 2. METHODS: This was a multicenter, assessor-blinded study. Enrolled participants were allocated randomly to either the intervention group, who underwent AR-based telerehabilitation system, or to the control group, who underwent a brochure-based rehabilitation program with a self-log. Both groups performed the same postoperative rehabilitation exercise protocol. Subjective knee function was assessed using the International Knee Documentation Committee (IKDC) as the primary outcome; secondary outcomes were a numeric rating scale for pain, the EuroQol 5-Dimension 5-Level, isometric knee strength, range of motion, and the single-leg hop test. The intervention group also completed a satisfaction survey. Follow-up was conducted at 2, 6, 12, and 24 weeks postoperatively. RESULTS: A total of 28 patients were enrolled in each group; 1 patient in the control group was lost to follow-up. Patients in both groups demonstrated improvement on all outcomes over time. There were no significant between-group differences in the IKDC score from baseline to 12 weeks postoperatively. The intervention group saw a greater increase in the relative isometric strength of the quadriceps on the involved limb at 6, 12, and 24 weeks postoperatively (P &lt; .05 for all). No significant group differences were observed in the remaining secondary outcomes. CONCLUSION: Study findings indicated that patients who underwent AR-based telerehabilitation in the early rehabilitation phase after ACLR demonstrated similar improvements as those who followed a brochure-based rehabilitation program and had a quicker recovery of knee extensor strength. REGISTRATION: NCT04513327 (ClinicalTrials.gov identifier).</t>
  </si>
  <si>
    <t>10.1177/23259671241271729</t>
  </si>
  <si>
    <t>#69</t>
  </si>
  <si>
    <t>Lim 2024</t>
  </si>
  <si>
    <t>Quadriceps tendon grafts does not cause patients to have inferior subjective outcome after anterior cruciate ligament (ACL) reconstruction than do hamstring grafts: a 2-year prospective randomised controlled trial.</t>
  </si>
  <si>
    <t>Lind M; Nielsen TG; Soerensen OG; Mygind-Klavsen B; FaunÃ¸ P</t>
  </si>
  <si>
    <t>OBJECTIVE: We performed a randomised controlled trial (RCT) in patients undergoing ACL reconstruction (ACLR) using either quadriceps tendon graft (QT) or semitendinosus/gracilis hamstring (STG) graft. We compared subjective outcome (primary outcome) and knee stability, donor site morbidity and function (secondary outcomes). METHODS: From 2013 to 2015, we included 99 adults with isolated ACL injuries in the RCT. Fifty patients were randomised to QT grafts and 49 to STG grafts and followed for 2â€‰years. Patient evaluated outcomes were performed by subjective International Knee Documentation Committee, Knee Injury and Osteoarthritis Outcome Score, Kujala and Tegner activity scores. Knee laxity was measured with a KT-1000 arthrometer. Donor site morbidity was evaluated by the 'donor site-related functional problems following ACLR score'. One-leg hop test tested limp strength symmetry. RESULTS: At 2-year follow-up, there was no difference between the two graft groups regarding subjective patient outcome, knee stability and reoperations. Also, at 2 years, donor site symptoms were present in 27% of patients in the QT group and 50% of patients in the STG group. The donor site morbidity score was 14 and 22 for the QT and STG, respectively. Hop test demonstrated lower limp symmetry for QT graft than STG graft of 91% and 97%â€‰respectively. CONCLUSION: QT graft for ACLR did not result in inferior subjective outcome compared with STG graft. However, QT graft was associated with lower donor site morbidity than STG grafts but resulted in more quadriceps muscle strength deficiency than hamstring grafts. Both graft types had similar knee stability outcome. TRIAL REGISTRATION NUMBER: NCT02173483.</t>
  </si>
  <si>
    <t>#207</t>
  </si>
  <si>
    <t>Post-operative bracing after ACL reconstruction has no effect on knee joint effusion. A prospective, randomized study.</t>
  </si>
  <si>
    <t>LindstrÃ¶m M; Wredmark T; Wretling ML; Henriksson M; FellÃ¤nder-Tsai L</t>
  </si>
  <si>
    <t>BACKGROUND: It is unclear what factors contribute to knee joint effusion after anterior cruciate ligament (ACL) injury and reconstruction. Knee homeostasis after injury and surgery is crucial for rehabilitation and knee well-being. We examined if effusion was affected by post-operative bracing, and if patients with effusion fit into a common profile. METHODS: Patients were randomized to wearing or not wearing a post-operative brace for three weeks after ACL reconstruction with semitendinosus-gracilis tendons. Knee joint effusion was detected by computed tomography in 60 patients (22 women), before and three and 12 months after surgery. Joint effusion, clinical and subjective tests were analyzed. RESULTS: This is the first prospective, randomized study on post-operative bracing for patients with a semitendinosus-gracilis graft showed that bracing had no effect on three-months presence of joint effusion. Excessive joint effusion was present in 68% of the patients three months after surgery and was associated to prior meniscus injury (p=0.05) and higher prior Tegner activity level (p=0.006). We found a positive association between longer time from injury to surgery and joint effusion three months post-operatively (rho=0.29, p&lt;0.05). Twelve months post-operatively, joint effusion had diminished to baseline levels. Subjective scores and activity levels were lower for women. Three-months joint effusion predicted lower final outcome scores in women. CONCLUSION: Prior meniscus injury and pre-injury Tegner activity levels are predictive significant variables for excessive knee joint effusion after ACL reconstruction. Post-operative bracing had no effect. A larger clinical cohort is needed to confirm findings of this logistic regression.</t>
  </si>
  <si>
    <t>10.1016/j.knee.2015.04.015</t>
  </si>
  <si>
    <t>#328</t>
  </si>
  <si>
    <t>LindstrÃ¶m 2015</t>
  </si>
  <si>
    <t>[Comparative study on reconstruction of anterior cruciate ligaments with allografts and hamstring tendon under arthroscopy].</t>
  </si>
  <si>
    <t>Liu HG; Chen SX; Zhao CD; Ding LJ; Situ J</t>
  </si>
  <si>
    <t>OBJECTIVE: To evaluate the effect of reconstruction of anterior cruciate ligaments (ACL) with allogeneic tendon or autologous hamstring tendon under arthroscopy. METHODS: Thirty-two cases of ACL injury (3 cases compound with PCL injury) were reviewed. All the patients were divided into two groups randomly. Fifteen cases were reconstructed with hamstring tendon, including 12 male and 3 female with the age ranging from 23 to 61 years. Seventeen cases were reconstructed with allograft, including 11 male and 6 female with the age ranging from 17 to 57 years. The tendons were fixed with absorbable or Ti screws. All patients were recorded symptoms,physical signs and Lysholm Scores two weeks after operation,and functional rehabilitation of knee six months after operation. RESULTS: All cases were followed up from 6 to 8 months. Pain and clinical symptoms disappeared and the function of knee joint was improved in all patients. Five patients of allograft with positive Lachman test result,one with severe graft rejection was found complete absorption of allograft under arthroscopy. No significant differences were seen in Lysholm Score between the two groups,average (88.5 +/- 7.2), (93.2 +/- 8.5) after operation (P &gt; 0.05). CONCLUSION: The effects of reconstruction of cruciate ligaments with allogeneic tendon or autologous hamstring tendon under arthroscopy are more satisfying. But there are more symptoms and obvious individual differences in the earlier stage of rehabilitation. So reconstruction of cruciate ligaments under arthroscopy using autologous hamstring tendon should be performed as far as possible.</t>
  </si>
  <si>
    <t>Zhongguo Gu Shang</t>
  </si>
  <si>
    <t>#492</t>
  </si>
  <si>
    <t>Liu 2008</t>
  </si>
  <si>
    <t>Comparison Between Single- and Double-Bundle Anterior Cruciate Ligament Reconstruction With 6- to 8-Stranded Hamstring Autograft: A Prospective, Randomized Clinical Trial.</t>
  </si>
  <si>
    <t>Liu Y; Cui G; Yan H; Yang Y; Ao Y</t>
  </si>
  <si>
    <t>BACKGROUND: Whether double-bundle (DB) anterior cruciate ligament (ACL) reconstruction with 6- to 8-stranded hamstring autograft (HG) is better than single-bundle (SB) ACL reconstruction remains debatable, as long-term follow-up data are lacking. PURPOSE: To prospectively investigate and compare the long-term results of DB and SB ACL reconstruction with a 6- to 8-stranded HG. STUDY DESIGN: Randomized controlled clinical trial; LEVEL OF EVIDENCE: 1. METHODS: A total of 80 patients with chronic ACL rupture were randomized to SB or DB ACL reconstruction with a 6- to 8-stranded HG. In the SB group, both the semitendinosus tendon (ST) and the gracilis tendon (GT) were prepared in 3 or 4 strands, with a total of 6 to 8 strands. In the DB group, the ST was prepared in 3 or 4 strands used for the anteromedial bundle, and the GT was prepared in the same manner for the posterolateral bundle. Each graft was fixed with an EndoButton, a bioabsorbable interference screw, and a staple. Outcome assessment was performed by a blinded independent observer using International Knee Documentation Committee (IKDC), Tegner, and Lysholm scores, as well as range of motion (ROM), Lachman test, pivot-shift test, KT-2000 arthrometer side-to-side difference, and return-to-sport data. RESULTS: A total of 68 patients (DB group, 34; SB group, 34) were observed for a mean of 80 months (range, 74-86 months). There were 2 traumatic instability failures and two 5Â° extension restrictions in the DB group, while no failures or 5Â° extension restrictions were observed in the SB group. The mean Lysholm, Tegner, and IKDC scores improved significantly in both groups compared with preoperation scores (P &lt; .05). No patient had a positive Lachman test result. No significant differences were found between groups in functional scores, incidence of pivot_shift, ROM, Lachman test, KT-2000 arthrometer anterior laxity, or time and level of return to sport. CONCLUSION: Both SB and DB ACL reconstruction with 6- to 8-stranded HG showed satisfactory results in subjective scores and anteroposterior and rotational stability over a nearly 7-year follow-up; neither technique was superior.</t>
  </si>
  <si>
    <t>10.1177/0363546516650876</t>
  </si>
  <si>
    <t>#300</t>
  </si>
  <si>
    <t>Liu 2016</t>
  </si>
  <si>
    <t>[A prospective randomized control trial of arthroscopic surgery for stable ramp lesion of the medial meniscus].</t>
  </si>
  <si>
    <t>Liu X; Feng H; Hong L; Zhang H</t>
  </si>
  <si>
    <t>Objective: To evaluate the necessity of arthroscopic suture repair for the stable ramp lesion. Methods: From August 2008 to April 2012, 91 patients of consecutive cases were diagnosed as anterior cruciate ligament (ACL) injury associated with stable ramp lesion in Department of Sports Medicine Service of Beijing Jishuitan Hospital. All of the diagnosis was confirmed during arthroscopic surgeries. The patients were randomized into suture repair group and control group. The ACL was reconstructed using auto grafts of hamstring. MRI was used for evaluation of the healing of the ramp lesion during the follow-up period. The stability of the knee joint was evaluated using KT-1000 device. The clinical functional outcomes were analyzed with Lysholm and International Knee Documentation Committee(IKDC) score. t test and Ï‡(2) test were used to analyze the data, respectively. Results: There were 73 patients (80%) were available for final follow-up. The follow-up period was 24 to 72 months (mean (38.9Â±16.1) months). The suture repair group included 40 patients, while the control group included 33 patients. There were no statistically difference in age(t=0.458, P&gt;0.05), gender(Ï‡(2)=0.222, P&gt;0.05), time interval from injury(t=0.643, P&gt;0.05) and associated injuries(Ï‡(2)=0.658, P&gt;0.05). At the final follow-up, the healing rate of ramp lesion in suture repair group was 97.5% (95% of complete healed, 2.5% of partial healed, and 2.5% of non-healed), in control group the healing rate was 93.9% (87.8% of complete healed, 6.1% of partial healed, and 6.1% of non healed), there were no significant differences between the two groups (Ï‡(2)=0.446, P&gt;0.05). There was no statistically significant difference of postoperative knee stability (t=-0.510, P&gt;0.05). The healing status of ramp area from MRI evaluation had statistically significant correlation with the ACL stability (Ï‡(2)=11.919, P&lt;0.01). For the analysis of postoperative Lysholm scores and IKDC scores, there was no significant difference between the two groups (t=-0.166, P&gt;0.05; t=0.032, P&gt;0.05). Conclusions: Stable ramp lesion could be well healed after arthroscopic treatment of all-inside suture repair as well as refreshment only. For patients with ACL injury and stable ramp lesion, there was no significant difference between the results of MRI evaluation in the early postoperative stage.The postoperative healing status of ramp area had statistically significant correlation with the stability of knee joint.</t>
  </si>
  <si>
    <t>10.3760/cma.j.issn.0529-5815.2017.03.001</t>
  </si>
  <si>
    <t>#277</t>
  </si>
  <si>
    <t>Liu 2017</t>
  </si>
  <si>
    <t>A Randomized Clinical Trial to Evaluate Attached Hamstring Anterior Cruciate Ligament Graft Maturity With Magnetic Resonance Imaging.</t>
  </si>
  <si>
    <t>Liu S; Li H; Tao H; Sun Y; Chen S; Chen J</t>
  </si>
  <si>
    <t>BACKGROUND: The hamstring tendons are commonly harvested for anterior cruciate ligament (ACL) reconstruction with detachment of the tibial insertion. Retaining the insertion may help to preserve vascularity and viability of the graft and bypass the stages of avascular necrosis and revascularization, which might be beneficial to graft maturity. PURPOSE: To investigate and compare graft maturity by magnetic resonance imaging (MRI) after ACL reconstruction with preservation or detachment of hamstring tendon tibial insertion at up to 2 years. STUDY DESIGN: Randomized controlled trial; Level of evidence, 2. METHODS: Forty-five patients (age range, 18-45 years) undergoing isolated ACL reconstruction with hamstring tendon were enrolled and randomized to 2 groups. The tibial insertion of the hamstring tendon was preserved in the study group (n = 21) and detached in the control group (n = 24). Patients had follow-up at 3, 6, 12, and 24 months, which consisted of the following: (1) clinical examination and (2) MRI evaluation of graft signal intensity based on signal/noise quotient (SNQ) values. Finally, 18 patients in the study group and 19 in the control group received full follow-up evaluation (ie, at all 4 time points). RESULTS: All knees acquired full range of motion at 24 months without significant laxity. At each time point, the KT-1000 arthrometer revealed no significant difference between groups; the clinical scores significantly improved in both groups, although the difference between groups was not significant. In the control group, the SNQ value increased from 3 months, peaked at 6 months, and then decreased (3 months, 21.4 Â± 12.7; 6 months, 25.6 Â± 12; 12 months, 18.3 Â± 7.7; 24 months, 15.3 Â± 6.3). However, the insertion-preserved graft in the study group maintained relatively lower and unchanged signal intensity throughout all time points (3 months, 15.0 Â± 11.2; 6 months, 14.9 Â± 6.3; 12 months, 12.6 Â± 7.0; 24 months, 14.6 Â± 7.0). Between groups, there was no significant difference at 3 or 24 months ( P = .11 and .75, respectively), while the SNQ values were significantly lower in the study group versus the control group at 6 and 12 months ( P = .002 and .02, respectively). CONCLUSION: The insertion-detached hamstring tendon grafts underwent a significantly increasing change in signal intensity during the first 2 years after ACL reconstruction, while the insertion-preserved grafts kept a relatively lower and unchanged signal intensity. The difference was most significant at 6 and 12 months postoperatively.</t>
  </si>
  <si>
    <t>10.1177/0363546517752918</t>
  </si>
  <si>
    <t>#255</t>
  </si>
  <si>
    <t>Liu 2018</t>
  </si>
  <si>
    <t>[Effect of isokinetic training of thigh muscle group on graft remodeling after anterior cruciate ligament reconstruction].</t>
  </si>
  <si>
    <t>Liu H; Lu W; Liang D; Geng H; Zhu W; Ouyang K; Li H; Peng L; Feng W; Zhong M; Chen K; Li Y; Deng Z; Wang D</t>
  </si>
  <si>
    <t>OBJECTIVE: To investigate the effect of isokinetic training of thigh muscle group on graft remodeling after anterior cruciate ligament (ACL) reconstruction, and summarize the relevant rules to guide the clinic. METHODS: Between August 2016 and December 2016, forty patients underwent arthroscopic ACL reconstruction using hamstring tendon were randomly divided into isokinetic group and control group ( n=20). The two groups of patients underwent staged rehabilitation treatment. The isokinetic group replaced the traditional intervention with the corresponding isokinetic strength training from 3 to 6 months after operation, and the traditional rehabilitation intervention was used in the control group. Finally, 12 cases of isokinetic group and 12 cases of control group with complete follow-up were enrolled in study. There was no significant difference in gender, age, body mass index, side of injury, the interval between injury and operation, and preoperative International Knee Documentation Committee (IKDC) score between the two groups ( P&gt;0.05). The peak torque (PT) of knee extension and flexion and hamstring quadriceps ratio (H/Q) were measured at 3 months, 6 months, 12 months, and the second-look arthroscopy. The MRI examination was performed at the same time to evaluate graft remodeling. The shape, tension, and degree of vascularization of grafts were observed under arthroscopy. The grafts were harvested and observed by HE staining. RESULTS: The invertal between ACL reconstruction and the second-look arthroscopy was (23.57Â±3.23) months in isokinetic group and (23.22Â±3.56) months in control group, showing no significant difference between the two groups ( P&gt;0.05). At the second-look arthroscopy, the IKDC score was 90.45Â±4.73 in isokinetic group and 89.32Â±4.54 in control group, showing significant differences when compared with preoperative scores in the two groups ( P&lt;0.05). But there was no significant difference between the two groups ( t=0.868ï¼Œ P=0.404). At 3 months after operation, there was no significant difference in the PT of knee extension and flexion between the two groups ( P&gt;0.05). At 6 months, 12 months, and the second-look arthroscopy, the PT of knee extension and flexion in isokinetic group were higher than those in control group ( P&lt;0.05). The H/Q at 6 months and 12 months were higher in isokinetic group than in control group, and the differences were significant ( P&lt;0.05). There was no significant difference in MRI score between the two groups at 3 months, 6 months, and the second-look arthroscopy ( P&gt;0.05). The MRI score at 12 months was significantly higher in isokinetic group than in control group ( P&lt;0.05). At the second-look arthroscopy, there was no significant difference in the arthroscopic score between the two groups ( P&gt;0.05), and the histological score of the isokinetic group was superior to the control group ( P&lt;0.05). CONCLUSION: On the basis of regular rehabilitation training, using the isokinetic training system to develop a suitable post-surgical isokinetic rehabilitation training program is helpful in early muscle strength recovery, early graft remodeling, and even long-term histological results after ACL reconstruction.</t>
  </si>
  <si>
    <t>Zhongguo Xiu Fu Chong Jian Wai Ke Za Zhi</t>
  </si>
  <si>
    <t>10.7507/1002-1892.201902059</t>
  </si>
  <si>
    <t>#212</t>
  </si>
  <si>
    <t>Liu 2019</t>
  </si>
  <si>
    <t>Cross-education effects of healthy-side lower-limb strength training on neuromuscular function recovery following anterior cruciate ligament reconstruction: a randomized controlled trial.</t>
  </si>
  <si>
    <t>Liu C; Sun Z; Jiang X; Liu B; Zhao Y</t>
  </si>
  <si>
    <t>OBJECTIVE: Based on cross-education theory, this study aimed to investigate whether Healthy-Side Lower-Limb Strength Training could promote neuromuscular function recovery of the injured limb in patients following anterior cruciate ligament reconstruction (ACLR) through central nervous system-mediated contralateral adaptive mechanisms. METHODS: A single-masked, randomized controlled trial was conducted with 40 patients at 5-6 weeks post-ACLR, who were randomly allocated to intervention and control groups (nâ€‰=â€‰20). The control group received conventional rehabilitation, while the intervention group received conventional rehabilitation plus Healthy-Side Lower-Limb Strength Training for 6 weeks. The Lysholm knee function score was used to assess knee joint function at baseline and post-intervention. A wireless surface electromyography system was used to measure root mean square (RMS) values of bilateral rectus femoris, semitendinosus, tibialis anterior, and lateral gastrocnemius muscles during maximal voluntary contraction and level walking. The activation ratios of the flexor and extensor muscle groups were calculated to evaluate muscle synergy patterns. The effects of Healthy-side strength training on bilateral lower limb muscle activation patterns and knee joint function were assessed through within-group pre- and post-intervention comparisons and between-group analyses. RESULTS: Following the 6-week intervention, Lysholm knee function scores improved significantly in both groups, with the intervention group demonstrating a significantly greater magnitude of improvement than the control group (Pâ€‰&lt;â€‰0.01). At baseline, the RMS values of all recorded muscles on the affected side were significantly lower than those on the unaffected side during both MVC and level walking in both groups (Pâ€‰&lt;â€‰0.01). Following the intervention, the intervention group demonstrated significant reductions in affected-to-unaffected limb asymmetry across all four muscle groups during both MVC and level walking (Pâ€‰&lt;â€‰0.01), whereas the control group exhibited significant asymmetry reductions in only a limited number of muscle groups during MVC alone (Pâ€‰&lt;â€‰0.01). In the intervention group, the RMS values of the bilateral rectus femoris, semitendinosus, tibialis anterior, and lateral gastrocnemius increased significantly during both MVC and level walking relative to baseline (Pâ€‰&lt;â€‰0.05). In contrast, the control group demonstrated significant improvements in only a limited subset of muscle groups. Between-group post-intervention comparisons revealed that the intervention group achieved significantly higher activation levels in the unaffected-side rectus femoris, bilateral semitendinosus, and unaffected-side tibialis anterior than the control group (Pâ€‰&lt;â€‰0.05). Both groups exhibited a declining trend in flexor-extensor co-contraction ratios; however, neither between-group nor within-group differences reached statistical significance (Pâ€‰&gt;â€‰0.05). CONCLUSION: Healthy-Side Lower-Limb Strength Training effectively promoted knee joint function recovery and enhanced bilateral lower limb muscle activation in patients following ACLR through cross-education mechanisms. These findings validate the clinical utility of cross-education theory and support Healthy-side strength training as an innovative rehabilitation strategy for early post-ACLR recovery. TRIAL REGISTRATION: Chinese Clinical Trial Registry ChiCTR2400087325. Registered on 25/07/2024.</t>
  </si>
  <si>
    <t>10.1186/s13018-026-06776-6</t>
  </si>
  <si>
    <t>#18</t>
  </si>
  <si>
    <t>Liu 2026</t>
  </si>
  <si>
    <t>Effects of Aquatic Therapy on Gait Symmetry and Muscle Properties Following Anterior Cruciate Ligament Reconstruction: A Pilot Randomized Controlled Trial.</t>
  </si>
  <si>
    <t>Liu Z; Zhang X; Yan S; Zhang C; Chen D; Zhang T; Liu X; Sun Y; Cui L; Hou S; Song L</t>
  </si>
  <si>
    <t>The objective of this pilot study was to compare the effects of aquatic therapy and land-based rehabilitation on gait symmetry and muscle properties following anterior cruciate ligament reconstruction (ACLR). The study comprised 20 postoperative ACLR patients in a pilot randomized controlled trial. Participants were divided into 2 groups: an aquatic therapy group (n = 10) and a land-based rehabilitation group (n = 10). Both rehabilitation programs were tailored to individual patient needs. Gait parameters were assessed using a high-speed camera before and after the intervention, while muscle tone and stiffness were measured using MyotonPRO. The study findings reveal a significant difference in step length symmetry between the 2 groups postintervention. Within-group analysis showcased noteworthy improvements in the aquatic therapy group, including enhanced single-support phase duration symmetry, reduced vastus lateralis muscle tone on the affected side, and enhanced hamstring muscle tone on the affected side. Conversely, the land-based rehabilitation group demonstrated significant increases in stiffness solely within the affected vastus lateralis. The study suggests aquatic therapy as a viable postoperative option following ACLR. While land-based rehabilitation has its benefits, aquatic therapy shows superior effectiveness in normalizing gait symmetry and restoring muscle properties.</t>
  </si>
  <si>
    <t>10.1123/jsr.2024-0128</t>
  </si>
  <si>
    <t>#43</t>
  </si>
  <si>
    <t>The effects of proprioceptive or strength training on the neuromuscular function of the ACL reconstructed knee: a randomized clinical trial.</t>
  </si>
  <si>
    <t>Liu-Ambrose T; Taunton JE; MacIntyre D; McConkey P; Khan KM</t>
  </si>
  <si>
    <t>OBJECTIVES: The purpose of this study was to determine the effects of a proprioceptive training program (PT) vs. a strength training (ST) program on neuromuscular function after anterior cruciate ligament (ACL) reconstruction. The second purpose was to establish the determinants of functional ability for the operated limb. METHODS: Ten participants with unilateral ACL reconstructions were randomly assigned to one of the following 12-week training protocols: (1) isotonic ST, and (2) PT. The outcome measures were: (1) peak torque time of the hamstring muscles (PeakTT), (2) average concentric and eccentric torques of the quadriceps and hamstring muscles, (3) one-legged single hop for distance (SLHD), (4) one-legged time hop (TH), and (5) subjective scores. RESULTS: : There was a significant group by time interaction effect for PeakTT (P = 0.017). The PT group demonstrated greater percent change in isokinetic torques than the ST group at the end of the 12 weeks (P &lt; or = 0.05). Participants in both groups demonstrated similar significant gains in functional ability and subjective scores (P &lt; or = 0.014). Quadriceps strength is a determinant of functional ability for the operated limb (R2 = 0.72). CONCLUSIONS: : Both training protocols influenced PeakTT. The beneficial effects of ST on PeakTT appear to be load-dependent, while sufficient practice may be crucial in maintaining PeakTT improvements induced by PT. Proprioceptive training alone can induce isokinetic strength gains. Restoring and increasing quadriceps strength is essential to maximize functional ability of the operated knee joint.</t>
  </si>
  <si>
    <t>10.1034/j.1600-0838.2003.02113.x</t>
  </si>
  <si>
    <t>#602</t>
  </si>
  <si>
    <t>Liu-Ambrose 2003</t>
  </si>
  <si>
    <t>Performance of 5-Strand Hamstring Autograft Anterior Cruciate Ligament Reconstruction in the STABILITY Study: A Subgroup Analysis.</t>
  </si>
  <si>
    <t>Lodhia P; Nazari G; Bryant D; Getgood A; McCormack R; Getgood AMJ; Bryant DM; Litchfield R; Willits K; Birmingham T; Hewison C; Firth AD; Wanlin S; Pinto R; Martindale A; O'Neill L; Jennings M; Daniluk M; McCormack RG; Boyer D; Zomar M; Moon K; Moon R; Fan B; Mohan B; Payne K; Heard M; Buchko GM; Hiemstra LA; Kerslake S; Tynedal J; MacDonald PB; Stranges G; Mcrae S; Gullett L; Brown H; Legary A; Longo A; Christian M; Ferguson C; Rezansoff A; Mohtadi N; Barber R; Chan D; Campbell C; Garven A; Pulsifer K; Mayer M; Peterson D; Simunovic N; Duong A; Robinson D; Levy D; Skelly M; Shanmugaraj A; Bardana D; Howells F; Tough M; Spalding T; Thompson P; Metcalfe A; Asplin L; Dube A; Clarkson L; Brown J; Bolsover A; Bradshaw C; Belgrove L; Milan F; Turner S; Verdugo S; Lowe J; Dunne D; McGowan K; Suddens CM; Verdonk PCM; Declerq G; Vuylsteke K; Van Haver M</t>
  </si>
  <si>
    <t>BACKGROUND: Anterior cruciate ligament (ACL) reconstructions (ACLRs) with graft diameters &lt;8mm have been shown to have higher revision rates. The 5-strand (5S) hamstring autograft configuration is a proposed option to increase graft diameter. PURPOSE: To investigate the differences in clinical outcomes between 4-strand (4S) and 5S hamstring autografts for ACLR in patients who underwent ACLR alone or concomitantly with a lateral extra-articular tenodesis (LET) procedure. STUDY DESIGN: Cohort study; Level of evidence, 2. METHODS: Data from the STABILITY study were analyzed to compare a subgroup of patients undergoing ACLR alone or with a concomitant LET procedure (ACLR + LET) with a minimum graft diameter of 8mm that had either a 4S or 5S hamstring autograft configuration. The primary outcome was clinical failure, a composite of rotatory laxity and/or graft failure. The secondary outcome measures consisted of 2 patient-reported outcome scores (PROs)-namely, the ACL Quality of Life Questionnaire (ACL-QoL) and the International Knee Documentation Committee (IKDC) score at 24 months postoperatively. RESULTS: Of the 618 patients randomized in the STABILITY study, 399 (228 male; 57%) fit the inclusion criteria for this study. Of these, 191 and 208 patients underwent 4S and 5S configurations of hamstring ACLR, respectively, with a minimum graft diameter of 8mm. Both groups had similar characteristics other than differences in anthropometric factors-namely, sex, height, and weight, and Beighton scores. The primary outcomes revealed no difference between the 2 groups in rotatory stability (odds ratio [OR], 1.19; 95% CI, 0.77-1.84; P = .42) or graft failure (OR, 1.13; 95% CI, 0.51-2.50; P = .76). There was no significant difference between the groups in Lachman (P = .46) and pivot-shift (P = .53) test results at 24 months postoperatively. The secondary outcomes revealed no differences in the ACL-QoL (P = .67) and IKDC (P = .83) scores between the 2 subgroups. CONCLUSION: At the 24-month follow-up, there were no significant differences in clinical failure rates and PROs in an analysis of patients with 4S and 5S hamstring autografts of â‰¥8mm diameter for ACLR or ACLR + LET. The 5S hamstring graft configuration is a viable option to produce larger-diameter ACL grafts.</t>
  </si>
  <si>
    <t>10.1177/03635465221128581</t>
  </si>
  <si>
    <t>#116</t>
  </si>
  <si>
    <t>Lodhia 2022</t>
  </si>
  <si>
    <t>Higher rates of anatomical insertion of medial hamstring tendon regeneration post-anterior cruciate ligament reconstruction with stump preservation graft harvesting technique: A prospective, randomised, double-blinded clinical trial with magnetic resonanc</t>
  </si>
  <si>
    <t>Low CA; Teo SH</t>
  </si>
  <si>
    <t>OBJECTIVE(S): The purpose of this study was to compare the regeneration of semitendinosus and gracilis tendons from two different graft harvesting techniques, which are the stump preservation and conventional graft harvesting techniques. We hypothesised that the stump preservation graft harvesting technique, which preserved the distal attachment of tendons at their insertion, would facilitate anatomical regeneration to the pes anserinus. METHODS: This is a prospective, randomised, double-blinded study whereby thirty consecutive patients who underwent single bundle anterior cruciate ligament reconstruction with ipsilateral semitendinosus and gracilis autografts were recruited. The patients were randomly assigned to the stump preservation group (14 patients) or conventional group (16 patients). Magnetic resonance imaging (MRI) evaluation was performed preoperatively and at six months post-operatively. RESULTS: At 6-month follow-up, MRI evaluations showed a higher percentage of insertion of regenerated semitendinosus and gracilis at the pes anserinus in the stump preservation group (75.0%) than that in the conventional group (68.8%). There was a significantly higher proximal shift of the musculotendinous junction of semitendinosus (5.70Â â€‹cm versus 3.36Â â€‹cm, pÂ â€‹=Â â€‹0.029) and gracilis (5.28Â â€‹cm versus 3.16Â â€‹cm, pÂ â€‹=Â â€‹0.045) in the conventional group post-operatively. CONCLUSION: The stump preservation technique yields a higher percentage of anatomical insertion of regenerated tendons and a lesser amount of proximal shift of the musculotendinous junction. LEVEL OF EVIDENCE: III - Prospective study with up to two negative criteria.</t>
  </si>
  <si>
    <t>10.1016/j.jisako.2024.04.013</t>
  </si>
  <si>
    <t>#82</t>
  </si>
  <si>
    <t>Low 2024</t>
  </si>
  <si>
    <t>Long-term Outcomes After Anterior Cruciate Ligament Reconstruction With 3 Different Surgical Techniques: A Prospective Randomized Clinical and Radiographic Evaluation at a Minimum of 20 Years' Follow-up.</t>
  </si>
  <si>
    <t>Lucidi GA; Agostinone P; Di Paolo S; Dal Fabbro G; Serra M; Viotto M; Grassi A; Zaffagnini S</t>
  </si>
  <si>
    <t>BACKGROUND: In recent years, lateral extra-articular tenodesis (LET) has been shown to be promising in reducing the graft failure rate at short-term follow-up. However, there is a lack of studies investigating the incidence of complications and lateral osteoarthritis (OA) after this procedure, and only a few studies have reported long-term results after anterior cruciate ligament (ACL) reconstruction. PURPOSE/HYPOTHESIS: This study aimed to compare the failure rate, clinical outcomes, and OA incidence of 3 different ACL reconstruction techniques: single-bundle quadrupled hamstring tendon (HT), bone-patellar tendon-bone (BPTB), and over-the-top HT plus LET (HT + LET). The authors hypothesized that the 3 techniques would have comparable clinical and radiographic outcomes at long-term follow-up. STUDY DESIGN: Randomized controlled trial; Level of evidence, 1. METHODS: A total of 75 patients were included in this prospective study and randomized to undergo 1 of 3 ACL reconstruction techniques. At the last follow-up (minimum of 20 years), patient-reported outcome measure (PROM) scores, complications, and reoperations were collected, and an objective clinical evaluation was performed, including the measurement of anteroposterior (AP) laxity using an arthrometer and the quantification of the pivot_shift (PS) using a triaxial accelerometer. Clinical failure was considered in patients with evidence of a graft rupture or those with a side-to-side difference in AP laxity &gt;5 mm or with a side-to-side difference in the PS &gt;1.5 mm/s(2). At the last follow-up, patients also underwent a radiographic evaluation to assess the incidence of tibiofemoral and patellofemoral OA. RESULTS: PROM scores were collected from 61 patients (81%) at a mean follow-up of 23.0 Â± 1.1 years. Of the 75 patients, 37 (49%) completed the clinical evaluation, and 35 (47%) had radiographs obtained. Regarding the PROMs, the HT + LET group showed a slightly higher Tegner score than the BPTB group (P = .023). All other PROM scores were not significantly different between groups. The revision and clinical failure rates were 16% and 37%, respectively, for the BPTB group, 10% and 25%, respectively, for the HT group, and 5% and 19%, respectively, for the HT + LET group, with no statistical difference between the groups. The side-to-side difference in AP laxity was lower in the BPTB group than in the HT group (P = .049). The BPTB group showed a higher patellofemoral OA rate than the HT + LET group (P = .029). There was no difference in the incidence of lateral OA between the 3 techniques. CONCLUSION: The 3 different surgical techniques achieved satisfactory clinical outcomes after ACL reconstruction at long-term follow-up. However, the BPTB group was associated with an increased incidence of patellofemoral OA. Also, the HT + LET group was associated with a slightly increased Tegner score at long-term follow-up, but there was no evidence of an increased risk of lateral OA for the HT + LET group.</t>
  </si>
  <si>
    <t>#60</t>
  </si>
  <si>
    <t>A randomized controlled trial comparing bone mineral density changes of three different ACL reconstruction techniques.</t>
  </si>
  <si>
    <t>Lui PP; Cheng YY; Yung SH; Hung AS; Chan KM</t>
  </si>
  <si>
    <t>INTRODUCTION: This study aimed to compare the changes in bone mineral density (BMD) of three different ACL reconstruction (ACLR) techniques and its association with early clinical and functional outcomes. METHODS: Sixty-two male adult patients undergoing primary ACLR were prospectively parallel randomized to bone-patellar tendon-bone graft (BPTB), single-bundle (HT-SB) or double-bundle (HT-DB) hamstring graft. BMD (primary outcome) at the proximal tibia, distal femur, femoral neck and trochanteric region was measured blindly at day 1, 3 months, 5 months and 1 year after surgery. KT-1000, Lysholm, IKDC, one-leg hop test and Lachman test were performed blindly at baseline and 1 year post-reconstruction. RESULTS: There was a significant bone loss at the injured knee and hip at 3 and 5 months which was reversible at the knee, but not at the hip, at 1 year post-operation. There was a significant improvement of early clinical and functional outcomes at 1 year. No significant differences in bone loss was detected among different surgical techniques, except BMD loss at the femoral neck, though a trend of greater BMD loss in the HT-SB group at 5 months after reconstruction was observed. There was a significant positive correlation between BMD at the distal femur and the single-leg hop distance at 1 year. CONCLUSION: In conclusion, the three surgical techniques were similar in transient bone loss at the knee region, irreversible bone loss at the hip, early clinical and functional outcomes up to 1 year post-reconstruction. BMD at the distal femur was positively associated with the single-leg hop distance at 1 year post-reconstruction.</t>
  </si>
  <si>
    <t>#417</t>
  </si>
  <si>
    <t>Is quadriceps tendon a better graft choice than patellar tendon? a prospective randomized study.</t>
  </si>
  <si>
    <t>Lund B; Nielsen T; FaunÃ¸ P; Christiansen SE; Lind M</t>
  </si>
  <si>
    <t>PURPOSE: The purpose of this randomized controlled study was to compare knee stability, kneeling pain, harvest site pain, sensitivity loss, and subjective clinical outcome after primary anterior cruciate ligament (ACL) reconstruction with either bone-patellar tendon-bone (BPTB) or quadriceps tendon-bone (QTB) autografts in a noninferiority study design. METHODS: From 2005 to 2009, a total of 51 patients were included in the present study. Inclusion criteria were isolated ACL injuries in adults. Twenty-five patients were randomized to BPTB grafts and 26 to QTB grafts. An independent examiner performed follow-up evaluations 1 and 2 years postoperatively. Anteroposterior knee laxity was measured with a KT-1000 arthrometer (MEDmetric, San Diego, CA). Anterior knee pain was assessed clinically and by knee-walking ability. Knee Injury and Osteoarthritis Outcome Score (KOOS) and subjective International Knee Documentation Committee (IKDC) score were used for patient-evaluated outcome. RESULTS: Anterior knee laxity was equal between the 2 groups with KT-1000 values of 1.1 Â± 1.4 mm and 0.8 Â± 1.7 mm standard deviation (SD) at follow-up in QTB and BPTB groups, respectively (P = .65), whereas positive pivot_shift test results were seen less frequently (14% compared with 38%, respectively; P = .03). Anterior kneeling pain, evaluated by the knee walking ability test, was significantly less in the QTB group, with only 7% of patients grading knee walking as difficult or impossible compared with 34% in the BPTB group. At 1 and 2 years' follow-up, there was no difference between the 2 groups in subjective patient-evaluated outcome. The IKDC score was 75 Â± 13 patients and 76 Â± 16 SD at 1-year follow-up in QTB and BPTB groups, respectively (P = .78). At 2 years, 12 patients were lost to follow-up, resulting in 18 in the BPTB group and 21 in the QTB group. CONCLUSIONS: The use of the QTB graft results in less kneeling pain, graft site pain, and sensitivity loss than seen with BPTB grafts; however, similar anterior knee stability and subjective outcomes are seen. The results of this study show that QTB is a viable option for ACL reconstruction. LEVEL OF EVIDENCE: Level II, randomized controlled clinical trial.</t>
  </si>
  <si>
    <t>#358</t>
  </si>
  <si>
    <t>Adductor Canal Block Versus Femoral Nerve Block for Pain Control After Anterior Cruciate Ligament Reconstruction: A Prospective Randomized Trial.</t>
  </si>
  <si>
    <t>Lynch JR; Okoroha KR; Lizzio V; Yu CC; Jildeh TR; Moutzouros V</t>
  </si>
  <si>
    <t>BACKGROUND: Femoral nerve block (FNB) is a commonly performed technique that has been proven to provide effective regional analgesia after anterior cruciate ligament (ACL) reconstruction. The adductor canal block (ACB) uses a similar sensory block around the knee while avoiding motor blockade of the quadriceps muscles. PURPOSE/HYPOTHESIS: The purpose of our study was to compare the efficacy of FNB versus ACB for pain control after ACL reconstruction. It was hypothesized that there would be no difference in pain levels or opioid requirements between the 2 groups. STUDY DESIGN: Randomized controlled trial; Level of evidence, 1. METHODS: We performed a prospective, double-blinded, randomized controlled trial. Sixty patients undergoing primary ACL reconstruction with bone-patellar tendon-bone autograft were randomized to receive either an ACB or an FNB preoperatively. The primary outcomes assessed were pain levels (visual analog scale) and narcotic requirements for 4 days after surgery. Secondary outcomes included ability to perform a straight leg raise in the recovery room and difference in thigh circumference between the operative and nonoperative leg measured at 7 days postoperatively. RESULTS: Morphine requirements were less in the ACB group in the first 4 hours postoperatively ( P = .02). Aside from this time interval, no differences were found between the 2 groups with regard to opioid requirements and pain scores at any other time. Similarly, no differences were noted in patients' ability to perform a straight leg raise in the recovery room ( P = .13) or in thigh circumference at the first postoperative visit ( P = .09). CONCLUSION: The results of our study suggest similar efficacy in perioperative pain control with the use of an ACB for ACL reconstruction when compared with FNB. The potential long-term benefit of quadriceps preservation with the ACB is worthy of future study. REGISTRATION: NCT03033589 (ClinicalTrials.gov identifier).</t>
  </si>
  <si>
    <t>10.1177/0363546518815874</t>
  </si>
  <si>
    <t>#232</t>
  </si>
  <si>
    <t>Lynch 2019</t>
  </si>
  <si>
    <t>Two-stage ligament reconstruction with remnant preservation as treatment of knee dislocation.</t>
  </si>
  <si>
    <t>Ma W; Yang Y; Ha X</t>
  </si>
  <si>
    <t>OBJECTIVE: The purpose of this study was to evaluate the clinical outcomes of two-stage reconstruction (peripheral reconstruction in phase I and central anterior cruciate ligament (ACL) / posterior cruciate ligament (PCL) reconstruction in phase II) with remnant preservation for patients with knee dislocation. METHODS: A total of 70 patients (10 IIIM, 17 IIIL, and 43 IV) with knee dislocation were randomly divided into the remnant-preserved group and the simple reconstruction group. Patients underwent two-stage reconstruction, including the reconstruction of collateral ligament in phase I and the reconstruction of ACL/PCL in phase II (12 weeks after phase I). Grafts were harvested from the semitendinosus and gracilis tendons from both lower limbs. After the surgery, the joint flexion and extension, bone tunnel and ligament healing, and joint stability were evaluated. RESULTS: After the surgery, the lateral stability recovered in all patients, and X-ray revealed a good position of bone tunnel. Follow-up was performed at 12 months postoperatively and ranged from 24 to 91 months. At the final follow-up, knee flexion angle, IKDC, Lysholm, and Tegner scores were all higher in both groups compared to the preoperative period. Notably, the remnant-preserved group showed superior results in these parameters compared to the simple reconstruction group. There was statistical significance between the two groups in terms of the Lachman test. CONCLUSION: The knee function was well recovered after two-stage ligament reconstruction with remnant preservation.</t>
  </si>
  <si>
    <t>BMC Surg</t>
  </si>
  <si>
    <t>10.1186/s12893-023-02271-5</t>
  </si>
  <si>
    <t>#87</t>
  </si>
  <si>
    <t>Ma 2023</t>
  </si>
  <si>
    <t>Intraoperative Periarticular Injection May Improve Postoperative Pain Scores and Reduce Opioid Consumption in Arthroscopic Anterior Cruciate Ligament Reconstruction Surgery.</t>
  </si>
  <si>
    <t>Ma HH; Chen KH; Chiang ER; Ma HL</t>
  </si>
  <si>
    <t>PURPOSE: To evaluate efficacy of an intraoperative periarticular injection (PAI) in improving postoperative outcomes, including pain relief and reducing opioid consumption in patients undergoing arthroscopic anterior cruciate ligament reconstruction (aACLR) with hamstring tendon autograft. METHODS: This prospective, assessor-blinded, two-surgeon clinical trial was conducted from March 20, 2022, to June 20, 2022. A total of 320 patients were initially included, and after screening and exclusions, 300 patients undergoing aACLR were randomized to receive either PAI or were assigned to the nPAI group. Inclusion criteria consisted of patients aged 18 years or older undergoing primary aACLR, with or without a concomitant meniscus procedure for knee instability, who agreed to participate and provided informed consent for randomization into the PAI or nPAI group. The minimum follow-up period was 2 weeks postoperatively. The primary outcome was decreased visual analog scale (VAS) scores and cumulative morphine milligram equivalents (MME). The secondary outcome parameters included decrease in narcotic-related adverse effects. RESULTS: A total of 142 patients in the PAI group and 146 patients in the nPAI group were analyzed. In the PAI group, a lower VAS score at immediate postoperative period and postoperative 4-hour and 24-hour period was observed compared with the nPAI group. Proportions of patients achieving MCID were higher in the PAI group at all time points compared to nPAI. Cumulative morphine consumption was significantly reduced in the PAI group (P &lt; .001). CONCLUSIONS: PAI during aACLR with hamstring autograft significantly improved pain scores and reduced opioid consumption compared to nPAI. Although statistical differences were found, cohort-specific MCID analysis showed a clinically relevant benefit at 24 hours, with 54.2% of the PAI group achieving meaningful pain relief versus 23.3% in the nPAI group. These results suggest that PAI offers time-dependent, patient-specific benefits and supports its role in multimodal analgesia. LEVEL OF EVIDENCE: Level II, randomized controlled trials.</t>
  </si>
  <si>
    <t>10.1016/j.arthro.2025.03.014</t>
  </si>
  <si>
    <t>#53</t>
  </si>
  <si>
    <t>Ma 2025</t>
  </si>
  <si>
    <t>No clinical differences between anteromedial portal and transtibial technique for femoral tunnel positioning in anterior cruciate ligament reconstruction: a prospective randomized, controlled trial.</t>
  </si>
  <si>
    <t>MacDonald P; Kim C; McRae S; Leiter J; Khan R; Whelan D</t>
  </si>
  <si>
    <t>PURPOSE: The anteromedial (AMP) portal technique was introduced to position the femoral tunnel in anterior cruciate ligament (ACL) reconstruction to more closely replicate the original ACL footprint compared to the transtibial (TT) approach. Few randomized trials have evaluated differences in these techniques with respect to clinical outcomes. The purpose of this study was to determine if there are any differences in clinical outcome between the AMP and TT approaches. METHODS: This is a single-blinded, prospective, randomized controlled trial. Participants were randomized to undergo ACL reconstruction using the AMP or TT approach. The primary outcome measure was the ACL quality of life (ACL-QOL), and secondary outcomes were the IKDC knee assessment, side-to-side difference in anterior-posterior knee laxity (KT-1000) and tunnel orientation (X-ray findings) at preoperative, 3, 6, 12, and 24Â months postoperative. Statistical comparisons were performed using a series of t tests for independent groups with equal variance. RESULTS: Ninety-six participants were consented and randomized between 2007 and 2011 with eight excluded postrandomization. Mean (SD) preoperative ACL-QOL was 33 (13) for TT and 36 (17) for AMP and improved significantly (pÂ &lt;Â 0.001) in both groups to 79 (18) and 78 (18) at 24Â months postoperative, respectively. The preoperative median IKDC grade for both groups was C and improved similarly in both groups at 24Â months (n.s.). There was no side-to-side difference in knee laxity based on KT-1000 measurements with a mean (SD) 1 (3) mm between affected and unaffected limbs in the TT group compared to 1 (3) mm for the AMP group. A significant difference was found in femoral tunnel orientation with the AMP group at 43Â° (7) and the TT group 58Â° (8) in the coronal plane (pÂ &lt;Â 0.001). CONCLUSION: No differences in clinical outcome were found when comparing AMP to TT in primary ACL reconstruction using a STG graft. This prospective randomized controlled trial suggests surgeons can use either method without significantly compromising clinical outcome. LEVEL OF EVIDENCE: I.</t>
  </si>
  <si>
    <t>10.1007/s00167-017-4664-x</t>
  </si>
  <si>
    <t>#269</t>
  </si>
  <si>
    <t>MacDonald 2018</t>
  </si>
  <si>
    <t>Femoral Nerve Block after Anterior Cruciate Ligament Reconstruction.</t>
  </si>
  <si>
    <t>Magnussen RA; Pottkotter K; Stasi SD; Paterno MV; Wordeman SC; Schmitt LC; Flanigan DC; Kaeding CC; Hewett TE</t>
  </si>
  <si>
    <t>Femoral nerve block (FNB) has been proposed for pain control following anterior cruciate ligament (ACL) reconstruction. Although numerous studies have assessed the efficacy of FNBs, there has been little to no research into the effect of such blocks on postoperative strength and patient-reported outcomes. We hypothesized that performance of an FNB would result in decreased quadriceps strength and poorer patient-reported outcome scores within the first 6 months following ACL reconstruction. A total of 30 patients scheduled to undergo hamstring autograft ACL reconstruction following an acute ACL injury were randomized to a single-shot FNB group or a control group. Preoperatively, patients completed a Knee Injury and Osteoarthritis Outcome Score (KOOS) and isokinetic quadriceps strength testing at 60 degrees/second. At 6 weeks postoperative, 29 of 30 patients completed a KOOS and isometric quadriceps strength testing at 90 degrees. At 6 months postoperative, 23 of 30 patients completed a KOOS and isokinetic strength testing. Quadriceps femoris strength limb symmetry indices (QF-LSI) were calculated at all time points. Repeated measures analysis of variance (ANOVA) models were then utilized to model the effect of FNB and time on QF-LSI as well as KOOS subscales for activities of daily living, pain, and symptoms. QF-LSI and all KOOS subscales demonstrated improvement with time following ACL reconstruction. Repeated measures ANOVA demonstrated that patients who underwent FNB had a mean QF-LSI that was 13.4% lower than the control group (pâ€‰=â€‰0.005) and poorer KOOS symptoms subscale scores (10.4 point difference, pâ€‰=â€‰0.032) at 6 weeks postoperative compared with controls. At 6 months postoperative, no differences were noted in QF-LSI or any of the KOOS subscales based on block status. FNB resulted in decreased strength and poorer KOOS symptom subscale score at 6 weeks following ACL reconstruction compared with controls. These differences resolved by 6 months postoperative. The long-term effect of delayed quadriceps recovery on movement patterns and functional outcome remains unknown and requires further study. The study is a randomized controlled trial with level of evidence 1.</t>
  </si>
  <si>
    <t>10.1055/s-0036-1584538</t>
  </si>
  <si>
    <t>#298</t>
  </si>
  <si>
    <t>Magnussen 2017</t>
  </si>
  <si>
    <t>Analgesic Impact of a Popliteal Plexus Block to Standard Adductor Canal Block in Arthroscopic Anterior Cruciate Ligament Reconstruction: A Randomized Blind Clinical Trial.</t>
  </si>
  <si>
    <t>Mahmoud A; Boules M; Botros J; Mostafa M; Ragab S; Alsaeid M</t>
  </si>
  <si>
    <t>BACKGROUND: Damage to the anterior cruciate ligament (ACL) is crippling and often requires an arthroscopic outpatient surgery. Nevertheless, many patients experience severe pain during the first day after ACL reconstruction (ACLR). The adductor canal block (ACB) has yielded conflicting results for post-ACLR pain relief. This research investigated the effect of a supplemental popliteal plexus block on postoperative pain outcomes compared to a sole ACB. METHODS: Following a randomized design, 60 cases scheduled for knee arthroscopy with ACLR using an ipsilateral hamstring graft were separated into two categories. Subjects in group A (nâ€‰=â€‰30) received an ACB only, while subjects in group B (nâ€‰=â€‰30) received combined ACB and popliteal plexus block (PPB). RESULTS: We found significant differences between the two groups. The time of the first analgesic request (TFR) was later for the combined ACB and PPB (median 8â€‰h) compared to the ACB only group (median 0.5â€‰h). Morphine consumption was lower for patients who received combined ACB and PPB (median 12â€‰mg) compared to ACB only (median 30â€‰mg). The number of the requested doses was lower for the combined ACB and PPB group (median 3 doses) compared to the ACB only group (median 7 doses). CONCLUSIONS: The addition of PPB to ACB was associated with improved analgesia and a reduced need for opioid-based sedatives following ACLR with an ipsilateral hamstring graft (https://clinicaltrials.gov/ct2/show/NCT04020133).</t>
  </si>
  <si>
    <t>Pain Res Manag</t>
  </si>
  <si>
    <t>10.1155/2021/1723471</t>
  </si>
  <si>
    <t>#143</t>
  </si>
  <si>
    <t>Mahmoud 2021</t>
  </si>
  <si>
    <t>A prospective randomized study of anterior cruciate ligament reconstruction: a comparison of patellar tendon and quadruple-strand semitendinosus/gracilis tendons fixed with bioabsorbable interference screws.</t>
  </si>
  <si>
    <t>Maletis GB; Cameron SL; Tengan JJ; Burchette RJ</t>
  </si>
  <si>
    <t>BACKGROUND: Debate exists regarding the optimal graft for anterior cruciate ligament reconstruction. Few studies have compared the differences in outcome after reconstruction using similar fixation methods. HYPOTHESIS: Similar outcomes will be seen after anterior cruciate ligament reconstruction with bone-patellar tendon-bone or quadruple-strand semitendinosus/gracilis tendons fixed with bioabsorbable interference screws. STUDY DESIGN: Randomized controlled trial; Level of evidence, 1. METHODS: Ninety-nine patients were prospectively randomized to bone-patellar tendon-bone (46 patients) or quadruple-strand semitendinosus/gracilis (53 patients) reconstruction groups. The bone-patellar tendon-bone group had slightly lower preinjury Tegner scores (6.7 vs 7.1, P = .03); otherwise, the groups were similar. All surgeries were performed by a single surgeon using an endoscopic technique with bioabsorbable interference screw fixation. Patients were evaluated at 3, 6, 12, and 24 months. RESULTS: Forty-six bone-patellar tendon-bone and 50 quadruple-strand semitendinosus/gracilis patients were available at 24 months (97%). No differences in International Knee Documentation Committee grade, Lysholm score, Tegner activity level, range of motion, single-legged hop test, KT-1000 arthrometer manual maximum difference, Short Form-36, or patient knee rating were found. The bone-patellar tendon-bone group had better flexion strength in the operated leg than in the nonoperated leg (102% vs 90%, P = .0001), fewer patients complaining of difficulty jumping (3% vs 17%, P = .03), and a greater number of patients returning to preinjury Tegner level (51% vs 26%, P = .01). The quadruple-strand semitendinosus/gracilis group had better extension strength in the operated leg than in the nonoperated leg (92% vs 85%, P = .04), fewer patients with sensory deficits (14% vs 83%, P = .0001), and fewer patients with difficulty kneeling (6% vs 20%, P = .04). Both groups showed significant improvement in KT-1000 arthrometer manual maximum difference, Lysholm score, Tegner activity level, International Knee Documentation Committee grade, and patient knee rating score. CONCLUSIONS: Good outcomes were seen in both the bone-patellar tendon-bone and quadruple-strand semitendinosus/gracilis groups. Subtle differences were noted between the groups, which may help guide optimal graft choice.</t>
  </si>
  <si>
    <t>10.1177/0363546506294361</t>
  </si>
  <si>
    <t>#536</t>
  </si>
  <si>
    <t>Comparative Evaluation of Peroneus Longus Tendon and Hamstring Tendon Autografts in Primary Anterior Cruciate Ligament Reconstruction: A Randomized Controlled Trial.</t>
  </si>
  <si>
    <t>Malik S; Biswas G; Singh SK; Sundaresan N; Bera AP; Kyada M</t>
  </si>
  <si>
    <t>INTRODUCTION: Anterior cruciate ligament (ACL) injury remains one of the most common causes of functional knee instability among young and active individuals. Autografts, especially hamstring tendon (HT) grafts, have long been considered the standard of care; however, concerns regarding variable graft diameter, harvest-related muscle weakness, and donor-site morbidity have led to interest in alternative grafts. The peroneus longus tendon (PLT) has gained attention due to its adequate length, favorable biomechanical strength, and minimal functional deficit at the donor site. This randomized controlled trial compared the clinical, functional, and stability outcomes of PLT autografts with HT autografts in primary ACL reconstruction. MATERIALS AND METHODS: A prospective randomized controlled trial was conducted on 50 patients undergoing primary ACL reconstruction. Participants were randomized into two equal groups: Group A received PLT autograft (n = 25), and Group B received HT autograft (n = 25). Baseline characteristics, intraoperative parameters, post-operative pain, knee stability, donor-site morbidity, and functional outcomes were assessed using International Knee Documentation Committee (IKDC), Lysholm, and Tegner scores at 3 and 6 months. KT-1000 arthrometer measurements, Lachman and pivot-shift tests were used for objective stability assessment. Data were analyzed using the Statistical Package for the Social Sciences, with P &lt; 0.05 considered statistically significant. RESULTS: Baseline demographic variables were comparable between groups. PLT grafts demonstrated significantly larger mean graft diameter (8.9 Â± 0.6 mm) compared to HT grafts (8.1 Â± 0.7 mm; P = 0.001). Operative time was significantly shorter in the PLT group (78.6 Â± 11.3 min vs. 86.2 Â± 12.7 min; P = 0.02). Early post-operative pain scores were lower in the PLT group (P &lt; 0.05). At 6 months, the PLT group showed significantly higher IKDC (82.6 Â± 6.3 vs. 78.9 Â± 7.4; P = 0.04) and Lysholm scores (89.4 Â± 5.8 vs. 85.1 Â± 6.4; P = 0.03). Knee stability outcomes, including Lachman grade, pivot_shift, and KT-1000 measurements, were comparable across groups. Donor-site morbidity was significantly lower in the PLT group, with minimal ankle strength deficit compared to notable hamstring weakness in the HT group. Complication rates were low and similar across both groups. CONCLUSION: PLT autograft demonstrated larger graft diameter, reduced post-operative pain, better early functional outcomes, and lower donor-site morbidity compared with the traditional hamstring autograft while maintaining equivalent knee stability. PLT appears to be a reliable and effective graft option for primary ACL reconstruction, especially in individuals where preservation of hamstring strength is desirable.</t>
  </si>
  <si>
    <t>#10</t>
  </si>
  <si>
    <t>Transcondylar screw fixation in anterior cruciate ligament reconstruction.</t>
  </si>
  <si>
    <t>Mariani PP; Camillieri G; Margheritini F</t>
  </si>
  <si>
    <t>PURPOSE: The purpose of this study was to investigate the outcomes of 2 different methods of femoral fixation for arthroscopically assisted anterior cruciate ligament (ACL) reconstruction. TYPE OF STUDY: Double-blind prospective study. METHODS: Fifty-five patients were prospectively evaluated at 2-year follow-up. In group A, 24 patients underwent arthroscopic ACL reconstruction with bone-patellar tendon-bone and interference screw fixation. In group B, 31 patients underwent arthroscopic ACL reconstruction with bone-patellar tendon-bone and transcondylar screw fixation. Patients were evaluated by using the IKDC form, Lysholm-II form, Tegner scoring system, and KT-2000 arthrometer. RESULTS: In group A, final IKDC clinical evaluation achieved 0% grade A, 62.5% grade B, 25% grade C, and 12.5% grade D. In group B, 29.1% achieved grade A, 54.8% grade B, 12.9% grade C, and 3.2% grade D. The difference was statistically significant (P &lt;.05). The injured versus normal side-to-side KT-2000 difference at maximum manual loading was 3.68 mm (SD, 1.71) in group A and 1.64 (SD, 2.05) in group B (P &lt;.0001). CONCLUSIONS: This prospective study could not provide significant data suggesting that 1 method of fixation is superior to the other. Therefore, we consider both methods comparable in terms of stability and functional outcome at short-term follow-up. Transcondylar fixation offers the following advantages: fixation without intra-articular hardware, greater bone-to-bone fixation, and the possibility of fixation with breakage of the posterior femoral tunnel wall. Moreover, this method may be a useful alternative in revision ACL surgery.</t>
  </si>
  <si>
    <t>10.1053/jars.2001.25277</t>
  </si>
  <si>
    <t>#621</t>
  </si>
  <si>
    <t>Mariani 2001</t>
  </si>
  <si>
    <t>Validation of a Risk Calculator to Personalize Graft Choice and Reduce Rupture Rates for Anterior Cruciate Ligament Reconstruction.</t>
  </si>
  <si>
    <t>Marmura H; Getgood AMJ; Spindler KP; Kattan MW; Briskin I; Bryant DM</t>
  </si>
  <si>
    <t>BACKGROUND: Anterior cruciate ligament reconstructions (ACLRs) fail at an alarmingly high rate in young active individuals. The Multicenter Orthopaedic Outcomes Network (MOON) knee group has developed an autograft risk calculator that uses patient characteristics and lifestyle to predict the probability of graft rupture if the surgeon uses a hamstring tendon (HT) or a bone-patellar tendon-bone (BPTB) graft to reconstruct the ligament. If validated, this risk calculator can be used during the shared decision-making process to make optimal ACLR autograft choices and reduce rupture rates. The STABILITY 1 randomized clinical trial offers a large, rigorously collected data set of similar young active patients who received HT autograft with or without lateral extra-articular tenodesis (LET) for ACLR. PURPOSE/HYPOTHESIS: The purpose was to validate the ACLR graft rupture risk calculator in a large external data set and to investigate the utility of BPTB and LET for ACLR. We hypothesized that the risk calculator would maintain adequate discriminative ability and calibration in the external STABILITY 1 data set when compared with the initial MOON development data set. STUDY DESIGN: Cohort study (diagnosis); Level of evidence, 1. METHODS: The model predictors for the risk calculator include age, sex, body mass index, sport played at the time of injury, Marx Activity Score, preoperative knee laxity, and graft type. The STABILITY 1 trial data set was used for external validation. Discriminative ability, calibration, and diagnostic test validity of the model were assessed. Finally, predictor strength in the initial and validation samples was compared. RESULTS: The model showed acceptable discriminative ability (area under the curve = 0.73), calibration (Brier score = 0.07), and specificity (85.3%) to detect patients who will experience a graft rupture. Age, high-grade preoperative knee laxity, and graft type were significant predictors of graft rupture in young active patients. BPTB and the addition of LET to HT were protective against graft rupture versus HT autograft alone. CONCLUSION: The MOON risk calculator is a valid predictor of ACLR graft rupture and is appropriate for clinical practice. This study provides evidence supporting the idea that isolated HT autografts should be avoided for young active patients undergoing ACLR. REGISTRATION: NCT00463099 (MOON); NCT02018354 (STABILITY 1) (ClinicalTrials.gov identifiers).</t>
  </si>
  <si>
    <t>10.1177/03635465211010798</t>
  </si>
  <si>
    <t>#158</t>
  </si>
  <si>
    <t>Marmura 2021</t>
  </si>
  <si>
    <t>Combination of femoral triangle block and infiltration between the popliteal artery and the capsule of the posterior knee (iPACK) versus local infiltration analgesia for analgesia after anterior cruciate ligament reconstruction: a randomized controlled tr</t>
  </si>
  <si>
    <t>Martin R; Kirkham KR; Ngo THN; Gonvers E; Lambert J; Albrecht E</t>
  </si>
  <si>
    <t>BACKGROUND AND OBJECTIVES: Femoral triangle block and local infiltration analgesia are two effective analgesic techniques after anterior cruciate ligament reconstruction. Recently, the iPACK block (infiltration between the popliteal artery and the capsule of the posterior knee) has been described to relieve posterior knee pain. This randomized controlled triple-blinded trial tested the hypothesis that the combination of femoral triangle block and iPACK provides superior analgesia to local infiltration analgesia after anterior cruciate ligament reconstruction. METHODS: Sixty patients undergoing anterior cruciate ligament reconstruction received general anesthesia and were randomly allocated to two groups: femoral triangle block and iPACK under ultrasound guidance or local infiltration analgesia. For each group, a total of 160 mg of ropivacaine was injected. Postoperative pain treatment followed a predefined protocol with intravenous morphine patient-controlled analgesia, acetaminophen, and ibuprofen. The primary outcome was cumulative intravenous morphine consumption at 24 hours postoperatively. Secondary pain-related outcomes included pain scores (Numeric Rating Scale out of 10) measured at 2 and 24 hours postoperatively. Functional outcomes, such as range of motion and quadriceps strength, were also recorded at 24 postoperative hours, and at 4 and 8 postoperative months. RESULTS: Cumulative intravenous morphine consumption at 24 hours postoperatively was significantly reduced in the femoral triangle block and iPACK group (femoral triangle block and iPACK: 9.7 mg (95% CI: 6.7 to 12.7); local infiltration analgesia: 17.0 mg (95% CI: 11.1 to 23.0), p=0.03). Other pain-related and functional-related outcomes were similar between groups. CONCLUSIONS: The combination of femoral triangle block and iPACK reduces intravenous morphine consumption during the first 24 hours after anterior cruciate ligament reconstruction, when compared with local infiltration analgesia, without effect on other pain-related, early, or late functional-related outcomes. TRIAL REGISTRATION NUMBER: ClinicalTrials.gov Registry (NCT03680716).</t>
  </si>
  <si>
    <t>10.1136/rapm-2021-102631</t>
  </si>
  <si>
    <t>#156</t>
  </si>
  <si>
    <t>Martin 2021</t>
  </si>
  <si>
    <t>External validation of the Norwegian anterior cruciate ligament reconstruction revision prediction model using patients from the STABILITY 1 Trial.</t>
  </si>
  <si>
    <t>Martin RK; Marmura H; Wastvedt S; Pareek A; Persson A; Moatshe G; Bryant D; Wolfson J; Engebretsen L; Getgood A</t>
  </si>
  <si>
    <t>PURPOSE: A machine learning-based anterior cruciate ligament (ACL) revision prediction model has been developed using Norwegian Knee Ligament Register (NKLR) data, but lacks external validation outside Scandinavia. This study aimed to assess the external validity of the NKLR model (https://swastvedt.shinyapps.io/calculator_rev/) using the STABILITY 1 randomized clinical trial (RCT) data set. The hypothesis was that model performance would be similar. METHODS: The NKLR Cox Lasso model was selected for external validation owing to its superior performance in the original study. STABILITY 1 patients with all five predictors required by the Cox Lasso model were included. The STABILITY 1 RCT was a prospective study which randomized patients to receive either a hamstring tendon autograft (HT) aloneÂ or HT plus a lateral extra-articular tenodesis (LET). Since all patients in the STABILITY 1 trial received HTâ€‰Â±â€‰LET, three configurations were tested: 1: all patients coded as HT, 2: HTâ€‰+â€‰LET group coded as bone-patellar tendon-bone (BPTB) autograft, 3: HTâ€‰+â€‰LET group coded as unknown/other graft choice. Model performance was assessed via concordance and calibration. RESULTS: In total, 591/618 (95.6%) STABILITY 1 patients were eligible for inclusion, with 39 undergoing revisions within 2 years (6.6%). Model performance was best when patients receiving HTâ€‰+â€‰LET were coded as BPTB. Concordance was similar to the original NKLR prediction model for 1- and 2-year revision prediction (STABILITY: 0.71; NKLR: 0.68-0.69). Concordance 95% confidence interval (CI) ranged from 0.63 to 0.79. The model was well calibrated for 1-year prediction while the 2-year prediction demonstrated evidence of miscalibration. CONCLUSION: When patients in STABILITY 1 who received HTâ€‰+â€‰LET were coded as BPTB in the NKLR prediction model, concordance was similar to the index study. However, due to a wide 95% CI, the true performance of the prediction model with this Canadian and European cohort is unclear and a larger data set is required to definitively determine the external validity. Further, better calibration for 1-year predictions aligns with general prediction modelling challenges over longer periods. While not a large enough sample size to elicit the true accuracy and external validity of the prediction model when applied to North American patients, this analysis provides more support for the notion that HT plus LET performs similarly to BPTB reconstruction. In addition, despite the wide confidence interval, this study suggests optimism regarding the accuracy of the model when applied outside of Scandinavia. LEVEL OF EVIDENCE: Level 3, cohort study.</t>
  </si>
  <si>
    <t>10.1002/ksa.12031</t>
  </si>
  <si>
    <t>#86</t>
  </si>
  <si>
    <t>Martin 2024</t>
  </si>
  <si>
    <t>Strength recovery after anterior cruciate ligament reconstruction with quadriceps tendon versus hamstring tendon autografts in soccer players: A randomized controlled trial.</t>
  </si>
  <si>
    <t>Martin-Alguacil JL; Arroyo-Morales M; MartÃ­n-Gomez JL; Monje-Cabrera IM; AbellÃ¡n-GuillÃ©n JF; Esparza-Ros F; Lozano ML; Cantarero-Villanueva I</t>
  </si>
  <si>
    <t>BACKGROUND: The comparison between HT and QT grafts in strength recovery and function after an ACLR is scarce in the literature. METHODS: A total of 56 participants were enrolled in this randomized controlled trial and placed into two groups: HT or QT. The hamstring/quadriceps (H/Q) ratio was the primary end-point measured with a Genu-3 dynamometer. Peak torque, functional assessment (Lysholm knee scoring scale and Cincinnati Knee Rating System), and anteroposterior laxity (KT-2000â„¢ arthrometer) were also assessed. An intention-to-treat analysis was performed. RESULTS: The results of the H/Q ratio analysis of the participants over time revealed significant differences at 60, 180, and 300Â°/s at three, six, and 12months of follow-up (60Â°/s: F=5.3, p=0.005; 180Â°/s: F=5.5, p=0.004; 300Â°/s: F=5.1, p=0.005). Furthermore, they revealed significant differences at 60Â°/s, 180Â°/s, and 300Â°/s in the participants over time for peak torque in the extensor muscle strength at three and six months of follow-up, with higher values in the hamstring tendon group but not at 12months of follow-up. There were no significant differences in functional endpoints or arthrometer assessments at 24months of follow-up. CONCLUSION: An ACLR with a QT graft showed similar functional results with a better isokinetic H/Q ratio compared to an ACLR with the HT at 12months of follow-up in soccer players. This higher H/Q ratio observed with the QT could be an advantage of this graft over the HT for an ACLR.</t>
  </si>
  <si>
    <t>10.1016/j.knee.2018.03.011</t>
  </si>
  <si>
    <t>#246</t>
  </si>
  <si>
    <t>Martin-Alguacil 2018</t>
  </si>
  <si>
    <t>Comparison of knee sonography and pressure pain threshold after anterior cruciate ligament reconstruction with quadriceps tendon versus hamstring tendon autografts in soccer players.</t>
  </si>
  <si>
    <t>Martin-Alguacil JL; Arroyo-Morales M; Martin-GÃ³mez JL; Lozano-Lozano M; Galiano-Castillo N; Cantarero-Villanueva I</t>
  </si>
  <si>
    <t>OBJECTIVE: The aim of this study was to compare the pressure pain threshold and muscle architecture after an anatomic single bundle reconstruction with quadriceps tendon and hamstring tendon autografts of the anterior cruciate ligament in competitive soccer players. We hypothesized that both procedures will obtain similar outcomes. METHODS: Fifty-one participants were enrolled in this secondary analysis of a randomized controlled trial and were categorised into two groups: quadriceps tendon (QT) group (23 men and 3 women; mean age 18.7Â Â±Â 3.6; BMI 23.0Â Â±Â 2.2) or hamstring tendon (HT) group (16 men and 9 women; mean age 19.2Â Â±Â 3.6 BMI 23.5Â Â±Â 3.5). Both groups followed the same rehabilitation staged protocol. Pressure pain threshold (PPT), as a measure of perceived pain, was obtained in several points of quadriceps and hamstring muscles. Ultrasound imaging measurements were obtained in quadriceps tendon and knee cartilage thickness. Four measurements were taken in this study: baseline, 1, 3, 6, and 12 months after the anterior cruciate ligament (ACL) reconstruction. RESULTS: The analysis of PPT did not find significant differences in both groupsÂ Ã—Â interaction time in the points evaluated: epicondyle (QTÂ =Â 421.1Â Â±Â 184.1 vs HTÂ =Â 384.7Â Â±Â 154.1Â kPa), vastus lateralis (QTÂ =Â 576.2Â Â±Â 221.3 vs HTÂ =Â 560.1Â Â±Â 167.7Â kPa), vastus medialis (QTÂ =Â 544.7Â Â±Â 198.8 vs HTÂ =Â 541.1.1Â Â±Â 181.77Â kPa), patellar tendon (QTÂ =Â 626.3Â Â±Â 221.1 vs HTÂ =Â 665.0Â Â±Â 205.5Â kPa), QT (QTÂ =Â 651.1Â Â±Â 276.9 vs HTÂ =Â 660.0Â Â±Â 195.2Â kPa). (QTÂ =Â 667.8Â Â±Â 284.7 vs HTÂ =Â 648.2Â Â±Â 193.4Â kPa) injured knee (all PÂ &gt;Â 0.05). The results of ultrasound imaging did not show significant differences in both groupsÂ Ã—Â interaction time in the thickness of the QT (QTÂ =Â 9.9Â Â±Â 2.4 vs HTÂ =Â 9.4Â Â±Â 1.7Â kPa) and patellar cartilage (QTÂ =Â 3.2Â Â±Â 0.6 vs HTÂ =Â 3.2Â Â±Â 0.4Â kPa) (PÂ &gt;Â 0.05). CONCLUSION: A QT autograft produces similar results to a HT autograft in ACL reconstructions in terms of pressure pain threshold and ultrasound muscle architecture during the 1-year follow-up. LEVEL OF EVIDENCE: Level I, Therapeutic Study.</t>
  </si>
  <si>
    <t>10.1016/j.aott.2019.04.012</t>
  </si>
  <si>
    <t>#221</t>
  </si>
  <si>
    <t>Martin-Alguacil 2019</t>
  </si>
  <si>
    <t>Similar results with quadrupled semitendinosus and semitendinosus-gracilis graft in anterior cruciate ligament reconstruction: A randomised controlled trial with 2-year follow-up.</t>
  </si>
  <si>
    <t>Martinez-Cano JP; Gallego A; Cuadros J; Ibarra L; MejÃ­a FM; Velasquez-Hammerle MV; Martinez-Rondanelli A</t>
  </si>
  <si>
    <t>PURPOSE: to compare quadrupled semitendinosus (STx4) with semitendinosus-gracilis graft in anterior cruciate ligament (ACL) reconstruction surgery. METHODS: Parallel randomised controlled trial with two groups of treatment (nâ€‰=â€‰42) in primary ACL reconstruction surgery. Follow-up during 2 years after surgery with visits at 3, 6, 12 and 24 months. Primary outcome: quadriceps and hamstrings strength in newtons (N). Secondary outcomes: ACL re-rupture, additional surgeries, return to sport and patient-reported outcomes (PROMs): knee injury and osteoarthritis outcome score (KOOS), International Knee Documentation Committee (IKDC) and Tegner-Lysholm. RESULTS: There was 1/21 ACL re-rupture for STx4 and 2/21 for the control group (pâ€‰=â€‰0.9). One additional surgery for each group: ACL revision (control group) and meniscectomy (STx4). There were no other complications and no differences in PROMs between grafts, except for Tegner-Lysholm at 3 months, that favoured the STx4 group (76.0, confidence interval [CI]: 56.0-86.0 vs. 85.0, CI: 77.0-93.0), pâ€‰=â€‰0.04. The median surgery satisfaction was good in both groups STx4 (95%, interquartile range (IQR): 90%-98%) and ST-G (98%, IQR: 95%-100%) (pâ€‰=â€‰0.13). Return to sport was 90% (nâ€‰=â€‰19) for the STx4 group and 81% (nâ€‰=â€‰17) for the ST-G group (pâ€‰=â€‰0.37). Quadriceps strength recovered sooner (6 months) than hamstrings (24 months) in both groups. There were no statistically significant differences in strength between STx4 and ST-G at final follow-up (hamstrings in flexion [meanâ€‰Â±â€‰SD]: 173â€‰Â±â€‰53â€‰N vs. 166â€‰Â±â€‰51â€‰N, pâ€‰=â€‰0.7; hamstrings in extension: 204â€‰Â±â€‰61â€‰N vs. 199â€‰Â±â€‰64â€‰N, pâ€‰=â€‰0.8; quadriceps in flexion: 217â€‰Â±â€‰42â€‰N vs. 209â€‰Â±â€‰47â€‰N, pâ€‰=â€‰0.6; quadriceps in extension: 193â€‰Â±â€‰51â€‰N vs. 191â€‰Â±â€‰46â€‰N, pâ€‰=â€‰0.9). CONCLUSIONS: This study found no statistically significant differences at 2 years between a STx4 and a ST-G graft configuration for primary ACL reconstruction regarding strength, PROMs, return to sport, failure rates and complications; larger studies are required to confirm noninferiority. Clinical Trials number: NCT03433170. LEVEL OF EVIDENCE: Level I.</t>
  </si>
  <si>
    <t>J Exp Orthop</t>
  </si>
  <si>
    <t>10.1002/jeo2.70399</t>
  </si>
  <si>
    <t>#35</t>
  </si>
  <si>
    <t>Martinez-Cano 2025</t>
  </si>
  <si>
    <t>Patellar bone defect grafting does not reduce anterior knee pain after bone-patellar tendon-bone anterior cruciate ligament reconstruction.</t>
  </si>
  <si>
    <t>Martorell-de Fortuny L; Torres-Claramunt R; SÃ¡nchez-Soler JF; Perelli S; Hinarejos P; Monllau JC</t>
  </si>
  <si>
    <t>PURPOSE: Donor site morbidity is the main drawback to using bone-patellar tendon-bone (BPTB) as a graft in anterior cruciate ligament (ACL) reconstruction. The objective of the study was to determine whether refilling the patellar bone defect after BPTB harvesting with autograft bone decreased kneeling pain to a greater degree when compared with a group in which bone defect is left unaddressed. METHODS: This is a randomised single-blinded controlled study. Forty patients were randomised into two groups; group 1: Patellar bone defect filled with autologous bone; group 2: Bone defect left undressed. Pain was measured by means of pressure algometry (PA). Functional outcomes were measured with the Kujala and Victorian Institute of Sport Assessment-Patella (VISA-P) score. Magnetic resonance imaging (MRI) was done to measure bone buildup between groups at the 1-year follow-up. RESULTS: No differences were observed in the different algometry measurements and the scores were assessed at 3, 6 and 12 months postoperatively. The ratio of void filled remained consistently higher (pâ€‰=â€‰0.003) in group 1 when compared to group 2. CONCLUSIONS: Although refilling the lower pole of the patella with autologous bone from the harvested BPTB autograft loads the bone defect, it does not reduce pain at the donor site 1 year after surgery. LEVEL OF EVIDENCE: Level 1, therapeutic study.</t>
  </si>
  <si>
    <t>10.1002/ksa.12449</t>
  </si>
  <si>
    <t>#74</t>
  </si>
  <si>
    <t>Martorell-deFortuny 2025</t>
  </si>
  <si>
    <t>A biomechanical comparison between the central one-third patellar tendon and the residual tendon.</t>
  </si>
  <si>
    <t>Matava MJ; Hutton WC</t>
  </si>
  <si>
    <t>The purpose of this study was to compare the tensile strength of the central one third patellar tendon--as used for reconstruction of the anterior cruciate ligament--to that of the residual patellar tendon. Ten matched pairs of human cadaveric knees were used for this study, each specimen consisting of an intact patella-patellar tendon-proximal tibial unit. One knee from each pair was randomly selected for removal of both the medial and lateral one third of the patellar tendon, leaving the central one third intact. The contralateral knee of each pair underwent removal of the central one third of the patellar tendon, leaving the residual two thirds intact. Each specimen was then mounted in a materials testing machine and tensile tested to failure at a strain rate of 100%.s-1. The most important result to emerge from these experiments was that there was no significant difference in maximum force to failure for the residual patellar tendon compared to the central one third. Thus any thought that removal of the central one third as a graft still leaves a tendon twice as wide and therefore twice as strong as a graft is dispelled by these experiments.</t>
  </si>
  <si>
    <t>10.1136/bjsm.29.3.178</t>
  </si>
  <si>
    <t>#677</t>
  </si>
  <si>
    <t>Matava 1995</t>
  </si>
  <si>
    <t>Femoral nerve blockade as a preemptive anesthetic in patients undergoing anterior cruciate ligament reconstruction: a prospective, randomized, double-blinded, placebo-controlled study.</t>
  </si>
  <si>
    <t>Matava MJ; Prickett WD; Khodamoradi S; Abe S; Garbutt J</t>
  </si>
  <si>
    <t>BACKGROUND: Femoral nerve blockade has been purported to be an effective regional anesthetic in patients undergoing various procedures to lower extremities. HYPOTHESIS: Femoral nerve blockade will provide improved postoperative pain control over a local anesthetic in the knee joint alone in patients undergoing endoscopic patellar tendon anterior cruciate ligament reconstruction. STUDY DESIGN: Randomized, controlled trial; Level of evidence, 1. METHODS: Fifty-six adult patients undergoing an endoscopic patellar tendon anterior cruciate ligament reconstruction under general anesthesia were prospectively randomized to receive either a bupivacaine femoral nerve blockade (block) or a saline placebo injection (control). Both groups received local bupivacaine injection and intravenous ketorolac at wound closure. Outcomes included postoperative pain measured on a validated visual analog scale at postoperative intervals for 72 hours, intraoperative and postoperative narcotic consumption, admission rates, hospital charges, patient satisfaction, and complications related to the femoral nerve block. RESULTS: There were 31 block patients and 25 control patients. No significant differences between groups for postoperative pain scores, intraoperative or postoperative narcotic consumption, readiness for discharge, duration of hospitalization, admission rates, hospital charges, or patient satisfaction were observed. There were no complications related to the femoral nerve block. CONCLUSION: A preemptive femoral nerve blockade, although safe, does not provide significant clinical benefit in this patient population to justify its routine use.</t>
  </si>
  <si>
    <t>10.1177/0363546508324311</t>
  </si>
  <si>
    <t>#498</t>
  </si>
  <si>
    <t>Matava 2009</t>
  </si>
  <si>
    <t>A comparison of bone-patellar tendon-bone and bone-hamstring tendon-bone autografts for anterior cruciate ligament reconstruction.</t>
  </si>
  <si>
    <t>Matsumoto A; Yoshiya S; Muratsu H; Yagi M; Iwasaki Y; Kurosaka M; Kuroda R</t>
  </si>
  <si>
    <t>BACKGROUND: Most of the previous comparative studies between patellar tendon and hamstring tendon anterior cruciate ligament grafts compared grafts of different constructs fixed with different methods. PURPOSE: To compare patellar tendon and hamstring tendon grafts with the same fixation method used to reconstruct the anterior cruciate ligament. STUDY DESIGN: Randomized controlled trial; Level of evidence, 1. METHODS: During the reconstructive procedure, the hamstring tendon graft was prepared as a bone-hamstring-bone graft; both bone-patellar tendon-bone and bone-hamstring-bone grafts were fixed with interference screws. Eighty consecutive patients who underwent anterior cruciate ligament reconstruction were randomly assigned to either bone-patellar tendon-bone or bone-hamstring-bone groups. Follow-up examinations were performed for at least 5 years postoperatively. Seventy-two of the 80 patients (37 patients in the bone-patellar tendon-bone group and 35 in the bone-hamstring-bone group) were evaluated, with a mean follow-up period of 87.0 and 80.8 months, respectively. Follow-up examinations were performed using the International Knee Documentation Committee knee ligament standard and subjective knee forms. RESULTS: The mean KT-1000 arthrometer evaluation results showed no significant difference between the bone-patellar tendon-bone and bone-hamstring-bone groups (1.2 +/- 2.1 mm and 1.7 +/- 1.4 mm, respectively; P = .24). However, symptoms related to graft harvest (anterior kneeling pain) were more frequently observed in the bone-patellar tendon-bone group, and unsatisfactory results were correlated with severe kneeling pain in 3 patients from this group (P = .0056). Significant hamstring muscle weakness without complaint of functional deficit was found in the bone-hamstring-bone group (P = .0045). CONCLUSION: Bone-hamstring-bone grafts were shown to reduce the risk of problems at the graft harvest site compared to bone-patellar tendon-bone grafts, with comparable results in the remaining clinical parameters tested.</t>
  </si>
  <si>
    <t>#558</t>
  </si>
  <si>
    <t>Reduction of tunnel enlargement with use of autologous ruptured tissue in anterior cruciate ligament reconstruction: a pilot clinical trial.</t>
  </si>
  <si>
    <t>Matsumoto T; Kuroda R; Matsushita T; Araki D; Hoshino Y; Nagamune K; Kurosaka M</t>
  </si>
  <si>
    <t>PURPOSE: To compare the tunnel enlargement of double-bundle (DB) anterior cruciate ligament reconstruction (ACLR) with and without suturing of autologous ruptured tissue to hamstring graft in patients with subacute anterior cruciate ligament injury. METHODS: Ten patients with subacute (â‰¤3 months after injury) anterior cruciate ligament rupture were randomly allocated to undergo DB ACLR with suturing of the ruptured tissue to hamstring graft (nÂ = 5) or conventional DB ACLR (nÂ = 5). When autologous ruptured tissue was used, remnant ruptured tissue was then harvested, divided into 4 pieces, placed between the loops at the distal and proximal portions of the graft, and secured with the suture. As the primary endpoint, tunnel volume assessment by 3-dimensional multi-detector row computed tomography (MDCT) was performed 1 year after ACLR. To assessÂ the efficacy of these procedures, the Lysholm score, anterior tibial translation (measured with a KT-1000 arthrometer [MEDmetric, San Diego, CA]), and rotational instability (measured by the pivot-shift test) were evaluated after 2 years. RESULTS: Tunnel volume enlargement between 3 weeks and 1 year after ACLR as assessed by 3-dimensional MDCT was significantly less for ACLR using ruptured tissue than for conventional ACLR, especially at the femoral site (P &lt; .05). However, the postoperative Lysholm score, anterior stability of the knee measured with the KT-1000 arthrometer, and rate of negative manual pivot-shift test results did not differÂ significantly between the 2 groups. There was no correlation to the clinical outcomes in terms of tunnel size. CONCLUSIONS: The Lysholm score, anterior laxity measured with the KT-1000 arthrometer, and rotational instability according to the pivot-shift test did not differ significantly between ACLR using ruptured tissue and the conventional technique. However, ACLR using ruptured tissue produced less femoral tunnel enlargement as assessed by MDCT, warranting further long-term follow-up to elucidate its effectiveness. LEVEL OF EVIDENCE: Level II, prospective comparative study.</t>
  </si>
  <si>
    <t>10.1016/j.arthro.2013.12.014</t>
  </si>
  <si>
    <t>#359</t>
  </si>
  <si>
    <t>Matsumoto 2014</t>
  </si>
  <si>
    <t>Brace or no-brace after ACL graft? Four-year results of a prospective clinical trial.</t>
  </si>
  <si>
    <t>Mayr HO; StÃ¼eken P; MÃ¼nch EO; Wolter M; Bernstein A; Suedkamp NP; Stoehr A</t>
  </si>
  <si>
    <t>PURPOSE: A controversial discussion is held on using stabilizing knee braces after anterior cruciate ligament (ACL) surgery. The current study investigated the influence of a stabilizing knee brace on results after ACL reconstruction using patellar tendon autografts. METHODS: A prospective randomized study was started including 64 patients divided into two equal groups and treated with or without a stabilizing knee brace for 6 weeks post-operatively. A follow-up examination 4 years after operation comprised IKDC 2000, KT1000 measurement, a visual analogue pain scale (VAS; scores 0-10) and radiographic evaluation. The t test for independent and paired samples and the Pearson's Chi-square test were used for statistical analysis (p &lt; 0.05). The primary endpoint was the difference in IKDC classification. RESULTS: Eighty-one per cent of the patients were examined 4 years post-operatively. IKDC 2000 subjective (brace group 90.5 Â± 8.9, braceless group 93.2 Â± 6.1) and objective results (brace A 30%, B 56%, C 16%; braceless A 32%, B 48%, C 20%) and instrumental measurement of anteroposterior laxity with KT1000 (brace 0.6 Â± 2.4 mm, braceless 1.8 Â± 3.4 mm) showed no significant differences. VAS pain results were significantly better in the braceless group at 1.0 Â± 1.2 versus 1.9 Â± 1.4 under sports activity or heavy physical work (p = 0.015). There were no radiographic differences concerning osteoarthritic findings and tunnel widening between the groups. CONCLUSION: Post-operative treatment with a stabilizing knee brace after ACL replacement showed no advantage over treatment without a brace at 4-year follow-up. The use of a knee-stabilizing brace after isolated ACL reconstruction with autologous patellar tendon graft is not recommended. LEVEL OF EVIDENCE: II.</t>
  </si>
  <si>
    <t>10.1007/s00167-013-2564-2</t>
  </si>
  <si>
    <t>#377</t>
  </si>
  <si>
    <t>Mayr 2014</t>
  </si>
  <si>
    <t>Single-Bundle Versus Double-Bundle Anterior Cruciate Ligament Reconstruction: A Comparative 2-Year Follow-up.</t>
  </si>
  <si>
    <t>Mayr HO; Benecke P; Hoell A; Schmitt-Sody M; Bernstein A; Suedkamp NP; Stoehr A</t>
  </si>
  <si>
    <t>PURPOSE: To compare anatomic single-bundle (SB) versus double-bundle (DB) anterior cruciate ligament (ACL) reconstruction and to determine possible differences in clinical outcomes. METHODS: In this prospective randomized study, 64 patients were divided into 2 equal groups. Anatomic SB and DB ACL reconstructions were performed using hamstring tendons. A follow-up examination 2Â years after surgery comprised International Knee Documentation Committee (IKDC) 2000 assessment, Laxitester (ORTEMA Sport Protection, MarkgrÃ¶ningen, Germany) measurement of anteroposterior translation regarding rotational stability, and radiographic evaluation. Statistical analysis and power calculation were performed (P &lt; .05). RESULTS: We examined 62 patients at a mean of 26Â months (range, 23.3 to 32.7Â months) after surgery. IKDC subjective and objective scores showed no significant differences when both groups were compared. The Laxitester measurements showed no significant differences regarding anteroposterior translation in the neutral position, internal rotation, and external rotation. However, there was a significant improvement in rotational laxity in external rotation in the DB group (PÂ = .02). No differences were seen between the groups regarding osteoarthritic changes and tunnel widening. CONCLUSIONS: There were no differences in IKDC subjective and objective scores between patients who underwent anatomic SB ACL reconstruction and those who underwent anatomic DB ACL reconstruction. LEVEL OF EVIDENCE: Level I, prospective, randomized controlled clinical trial.</t>
  </si>
  <si>
    <t>10.1016/j.arthro.2015.06.029</t>
  </si>
  <si>
    <t>#323</t>
  </si>
  <si>
    <t>Mayr 2016</t>
  </si>
  <si>
    <t>Tunnel widening after ACL reconstruction with aperture screw fixation or all-inside reconstruction with suspensory cortical button fixation: Volumetric measurements on CT and MRI scans.</t>
  </si>
  <si>
    <t>Mayr R; Smekal V; Koidl C; Coppola C; Fritz J; Rudisch A; Kranewitter C; Attal R</t>
  </si>
  <si>
    <t>BACKGROUND: Tunnel widening after anterior cruciate ligament reconstruction (ACLR) is influenced by the surgical and fixation techniques used. Computed tomography (CT) is the most accurate image modality for assessing tunnel widening, but magnetic resonance imaging (MRI) might also be reliable for tunnel volume measurements. In the present study tunnel widening after ACLR using biodegradable interference screw fixation was compared with all-inside ACLR using button fixation, with tunnel volume changes being measured on CT and MRI scans. STUDY DESIGN: Randomized controlled trial; Level of evidence, 2. METHODS: Thirty-three patients were randomly assigned to hamstring ACLR using a biodegradable interference screw or all-inside cortical button fixation. CT and MRI scanning were done at the time of surgery and six months after. Tunnel volume changes were calculated and compared. RESULTS: On CT, femoral tunnel volumes changed from the postoperative state (100%) to 119.8% with screw fixation and 143.2% with button fixation (P=0.023). The changes in tibial tunnel volumes were not significant (113.9% vs. 117.7%). The changes in bone tunnel volume measured on MRI were comparable with those on CT only for tunnels with interference screws. Tibial tunnels with button fixation were significantly underestimated on MRI scanning (P=0.018). CONCLUSIONS: All-inside ACLR using cortical button fixation results in increased femoral tunnel widening in comparison with ACLR with biodegradable interference screw fixation. MRI represents a reliable imaging modality for future studies investigating tunnel widening with interference screw fixation.</t>
  </si>
  <si>
    <t>10.1016/j.knee.2017.06.007</t>
  </si>
  <si>
    <t>#271</t>
  </si>
  <si>
    <t>Mayr 2017</t>
  </si>
  <si>
    <t>Single-Bundle Versus Double-Bundle Anterior Cruciate Ligament Reconstruction-5-Year Results.</t>
  </si>
  <si>
    <t>Mayr HO; Bruder S; Hube R; Bernstein A; Suedkamp NP; Stoehr A</t>
  </si>
  <si>
    <t>PURPOSE: To compare anatomic single-bundle (SB) with double-bundle (DB) anterior cruciate ligament reconstruction (ACL-R) and to evaluate the respective clinical outcome results. METHODS: In a prospective randomized study, 64 patients were included and separated into 2 groups. Anatomic SB and DB ACL-Rs were performed with hamstring tendons. Five years after surgery, the follow-up (FU) examination comprised International Knee Documentation Committee (IKDC) 2000, Laxitester (ORTEMA Sport Protection, Markgroeningen, Germany) measurement, and radiograph evaluation. Power calculation was performed to achieve a 95% confidence interval and 80% power on the base of 7-point IKDC subjective difference between the groups. RESULTS: A total of 53 patients (83% FU) were examined at 63.2 Â± 4.7Â months after surgery: 28 patients in the DB group and 25 patients in the SB group. IKDC subjective (SB: 92.8 Â± 6.2, DB: 91.6 Â± 7.1; PÂ = .55) and objective scores (grade A SB/DB 20%/25%, B SB/DB 72%/57%, C SB/DB 8%/18%, D SB/DB 4%/0%; PÂ = .45) showed no differences comparing both groups. The Laxitester measurements showed no significant difference in regard to anterior-posterior translation in neutral, internal, and external rotation or to rotation angles (PÂ = .79). No difference was seen between the groups regarding osteoarthritic changes and tunnel widening. CONCLUSIONS: At the 5-year FU, no advantage for either the DB or SB technique in ACL-R can be seen with regard to patient-related and objective outcome measures. LEVEL OF EVIDENCE: Level I, prospective randomized controlled clinical trial.</t>
  </si>
  <si>
    <t>10.1016/j.arthro.2018.03.034</t>
  </si>
  <si>
    <t>#242</t>
  </si>
  <si>
    <t>Mayr 2018</t>
  </si>
  <si>
    <t>Does intraarticular morphine improve pain control with femoral nerve block after anterior cruciate ligament reconstruction?</t>
  </si>
  <si>
    <t>McCarty EC; Spindler KP; Tingstad E; Shyr Y; Higgins M</t>
  </si>
  <si>
    <t>In a prospective, randomized, double-blinded manner, we compared the effects of a preoperative intraarticular injection of morphine (5 mg) or a placebo, combined with a postoperative femoral nerve block, on postoperative pain. Sixty-two patients underwent an arthroscopically assisted anterior cruciate ligament reconstruction using patellar tendon autograft under general anesthesia. No statistical difference between the two groups was evident in terms of age, sex, weight, operative time, volume of bupivacaine received with the femoral nerve block, or tourniquet use or tourniquet time. Comparison of visual analog scale pain scores revealed no statistical difference between the groups at any point after the operation. Both groups had a significant decrease in visual analog scale scores after the femoral nerve block, with the lowest mean values 4 hours after the operation (morphine group, 1.7; placebo group, 1.4), and continuing to be significantly less through 24 hours (morphine, 2.6; placebo, 2.9). No significant difference in postoperative narcotic medication use was evident in the recovery room or at home. A post hoc power analysis revealed that the study power reached 87%, with a significance level of 5%. The postoperative femoral nerve block was effective, and intraarticular morphine provided no additional benefit.</t>
  </si>
  <si>
    <t>10.1177/03635465010290031301</t>
  </si>
  <si>
    <t>#626</t>
  </si>
  <si>
    <t>McCarty 2001</t>
  </si>
  <si>
    <t>Intra-articular drain versus no drain after arthroscopic anterior cruciate ligament reconstruction: a randomized, prospective clinical trial.</t>
  </si>
  <si>
    <t>McCormack RG; Greenhow RJ; Fogagnolo F; Shrier I</t>
  </si>
  <si>
    <t>PURPOSE: A significant proportion of surgeons use intra-articular drains after arthroscopic anterior cruciate ligament (ACL) reconstruction. The usual reason given to justify the use of a drain is to minimize patient pain and stiffness of the knee joint. The purpose of this study was to assess the validity of this approach. METHODS: In this study 118 consecutive ACL reconstruction patients were randomized to no drain or a postoperative intra-articular suction drain. Inclusion criteria included a successful ACL reconstruction via either 4-strand hamstrings or bone-patellar tendon-bone autograft as a graft source. The primary outcomes were defined as pain (assessed by pain scores and analgesic counts) and range of motion (ROM) (assessed by loss of flexion and extension compared with the nonoperative leg). An independent statistical analysis was performed. RESULTS: The 2 groups were comparable with respect to patient demographics, surgical findings, and procedures performed. There were no differences between the treatment groups for the primary outcomes of pain and ROM during the 8-week follow-up period. The study had adequate power to detect a clinically significant difference. Regarding the secondary outcomes, there was a difference in the grade of hemarthrosis between the groups at week 1 but not at week 4 or 8. However, the difference in subjective grade of hemarthrosis at 1 week did not have any effect on the primary outcomes of pain and ROM. During the study period, there were no complications in either group. CONCLUSIONS: The routine use of intra-articular drains after arthroscopic ACL surgery was not supported by this study. LEVEL OF EVIDENCE: Level II, randomized controlled trial without narrow confidence intervals.</t>
  </si>
  <si>
    <t>10.1016/j.arthro.2006.05.004</t>
  </si>
  <si>
    <t>#545</t>
  </si>
  <si>
    <t>McCormack 2006</t>
  </si>
  <si>
    <t>Bioabsorbable interference screws for graft fixation in anterior cruciate ligament reconstruction.</t>
  </si>
  <si>
    <t>McGuire DA; Barber FA; Elrod BF; Paulos LE</t>
  </si>
  <si>
    <t>The central one third of the patellar tendon autograft is popular because the bone-tendon-bone (BTB) construct provides several graft fixation options, robust graft incorporation, and a mechanically sufficient substitute. Interference screw fixation is one method used to secure the graft. Bioabsorbable interference screws may offer advantages over metal interference screws. Bioabsorbable screws are made from poly L-lactic acid (PLLA) and are absorbed by the body. This prospective, randomized study compared the safety and efficacy of the PLLA screw with that of the metal cannulated interference screw for anterior cruciate ligament reconstruction. There were 204 patients randomly assigned to the Bioscrew (Linvatec, Largo, FL) (n = 103) or the metal interference screw (n = 101) groups at four sites. The mean age was 30 years. There were 66 women and 138 men. Mean follow-up was 30 months for Bioscrews and 28 months for metal screws; the average follow-up interval was 2.4 years. The Lysholm mean scores at 4 years for the 32 patients seen at this interval were 95.0 and 97.2 for the Bioscrew and metal screw group, respectively. Ligament laxity comparisons made with an instrumented arthrometer at manual maximum force resulted in side-to-side mean score differences of B = 1.8mm and M = 1.6mm. The Tegner activity level score means were B = 6.1 and M = 5.8. Other variables examined included pain, thigh size, meniscal tests, Lachman's test, range of motion, anterior drawer, pivot_shift, patellofemoral crepitus and tenderness, and joint effusion. None of these variables showed a statistically significant difference between groups. No radiographic evidence of osteolytic change or bone resorption around the Bioscrews was observed. There were no complications related to loss of fixation, toxicity, allergenicity, or other evidence of osteolytic or inflammatory reaction. In every assessment between groups there was no difference found. There were 12 PLLA screws that broke during insertion without any adverse effects. The PLLA headless cannulated interference fit screws produce equal results to similarly designed metal screws.</t>
  </si>
  <si>
    <t>10.1053/ar.1999.v15.015046001</t>
  </si>
  <si>
    <t>#648</t>
  </si>
  <si>
    <t>McGuire 1999</t>
  </si>
  <si>
    <t>Assessment of Interrater Reliability for Interpretation of Musculoskeletal Ultrasound Imaging of the Quadriceps Femoris.</t>
  </si>
  <si>
    <t>McGurren DP; Glattke KE; Chhabra A; Boddu SP; Poon SK; Flug JA; Brinkman JC; Goetzinger S; Lee JE; Nocella A; Rogge J; De Luigi AJ</t>
  </si>
  <si>
    <t>OBJECTIVE: The aim of the study was to assess the interrater reliability between seven individuals assessing quadriceps femoris cross-sectional area, echo intensity, and corrected echo intensity. DESIGN: A retrospective subanalysis of data collected in a randomized controlled clinical trial (IRB 19-008473. NCT ID NCT04302558). Patients aged 13-50 yrs with an anterior cruciate ligament tear requiring surgical reconstruction were assessed for cross-sectional area of the rectus femoris, vastus intermedius, vastus lateralis, vastus medialis, and vastus medialis obliquis, and echo intensity of the rectus femoris. Musculoskeletal ultrasound imaging of the quadriceps was performed by one physical therapist, and quantitative assessments were performed by four physicians and three physical therapists. RESULTS: Physicians and physical therapists had good reliability for cross-sectional area of the rectus femoris (median interclass correlation 0.86 doctor of medicine (MD) and 0.84 physical therapist), cross-sectional area of the vastus medialis obliquis (0.82 and 0.82), and echo intensity mean (0.92 and 0.92). Rectus femoris cross-sectional area had the smallest coefficient of variation (26.512.7%), whereas subcutaneous fat had the largest coefficient of variation (93.3% left, 86.4% middle, 86.1% right). CONCLUSIONS: These findings demonstrate reliability between physicians and physical therapists in interpretation of ultrasound images of the quadriceps. The inconsistency demonstrates the need for a consistent training across disciplines to ensure accurate image interpretation.</t>
  </si>
  <si>
    <t>Am J Phys Med Rehabil</t>
  </si>
  <si>
    <t>10.1097/PHM.0000000000002731</t>
  </si>
  <si>
    <t>#52</t>
  </si>
  <si>
    <t>McGurren 2025</t>
  </si>
  <si>
    <t>Ipsilateral versus contralateral hamstring grafts in anterior cruciate ligament reconstruction: a prospective randomized trial.</t>
  </si>
  <si>
    <t>McRae S; Leiter J; McCormack R; Old J; MacDonald P</t>
  </si>
  <si>
    <t>BACKGROUND: Benefits of graft harvest from the side contralateral to the anterior cruciate ligament (ACL)-deficient leg have been identified when using bone-patellar tendon-bone autografts in ACL reconstruction (ACLR). As hamstring tendon autografts are becoming more commonly used, a study examining the effect of contralateral graft harvest of semitendinosus gracilis (STG) tendons on patient quality of life was conducted. PURPOSE: To evaluate if ACLR using a hamstring tendon autograft results in better patient quality of life if the graft is harvested from the leg contralateral to the ACL rupture compared with the ipsilateral leg. STUDY DESIGN: Randomized controlled trial; Level of evidence, 1. METHODS: A total of 100 participants between 16 and 50 years of age with a complete ACL tear were randomly assigned to undergo ACLR using either the ipsilateral or contralateral leg as the STG graft donor. Primary outcome measures were the ACL Quality of Life questionnaire (ACL-QOL), concentric knee flexion and extension strength at 60 and 240 deg/s, International Knee Documentation Committee (IKDC) knee assessment form, early postoperative pain and diary of analgesic use, and rate of reruptures. Outcome measures were evaluated before surgery and at 3, 6, 12, and 24 months after surgery. RESULTS: The ACL-QOL score improved over time for both groups (P &lt; .001), and there were no significant differences between groups at any time point (P = .528). Significant differences in knee flexion and extension strength were found at 3 months after surgery. There were no differences between groups in IKDC knee assessment scores or rerupture rates. CONCLUSION: There does not appear to be any measurable benefit or drawback in quality of life to the use of an STG graft from the unaffected limb. In light of this finding, further research to examine other possible effects on agility and balance as well as time and ability to return to sport should be conducted. Longer term follow-up beyond 2 years would allow for a more thorough evaluation of the risk of reruptures or contralateral reruptures using this novel approach.</t>
  </si>
  <si>
    <t>10.1177/0363546513499140</t>
  </si>
  <si>
    <t>#369</t>
  </si>
  <si>
    <t>McRae 2013</t>
  </si>
  <si>
    <t>Double-layer versus single-layer bone-patellar tendon-bone anterior cruciate ligament reconstruction: a prospective randomized study with 3-year follow-up.</t>
  </si>
  <si>
    <t>Mei X; Zhang Z; Yang J</t>
  </si>
  <si>
    <t>PURPOSE: To evaluate the clinical results of a randomized controlled trial of single-layer versus double-layer bone-patellar tendon-bone (BPTB) anterior cruciate ligament (ACL) reconstruction. METHODS: Fifty-eight subjects who underwent primary ACL reconstruction with a BPTB allograft were prospectively randomized into two groups: single-layer reconstruction (nÂ =Â 31) and double-layer reconstruction (nÂ =Â 27). The following evaluation methods were used: clinical examination, KT-1000 arthrometer measurement, muscle strength, Tegner activity score, Lysholm score, subjective rating scale regarding patient satisfaction and sports performance level, graft retear, contralateral ACL tear, and additional meniscus surgery. RESULTS: Forty-eight subjects (24 in single-layer group and 24 in double-layer group) who were followed up for 3Â years were evaluated. Preoperatively, there were no differences between the groups. At 3-year follow-up, the Lachman and pivot-shift test results were better in the double-layer group (PÂ =Â 0.019 and PÂ &lt;Â 0.0001, respectively). KT measurements were better in the double-layer group (mean 2.9 versus 1.5Â mm; PÂ =Â 0.0025). The Tegner score was also better in the double-layer group (PÂ =Â 0.024). There were no significant differences in range of motion, muscle strength, Lysholm score, subjective rating scale, graft retear, and secondary meniscal tear. CONCLUSIONS: In ACL reconstruction, double-layer BPTB reconstruction was significantly better than single-layer reconstruction regarding anterior and rotational stability at 3-year follow-up. The results of KT measurements and the Lachman and pivot-shift tests were significantly better in the double-layer group, whereas there was no difference in the anterior drawer test results. The Tegner score was also better in the double-layer group; however, there were no differences in the other subjective findings.</t>
  </si>
  <si>
    <t>10.1007/s00402-016-2548-z</t>
  </si>
  <si>
    <t>#292</t>
  </si>
  <si>
    <t>Mei 2016</t>
  </si>
  <si>
    <t>Outcome after reconstruction of the anterior cruciate ligament in athletic patients. A comparison of early versus delayed surgery.</t>
  </si>
  <si>
    <t>Meighan AA; Keating JF; Will E</t>
  </si>
  <si>
    <t>We randomised 31 patients with acute tears of the anterior cruciate ligament (ACL) to receive either early (within 2 weeks) or delayed (8 to 12 weeks) reconstruction using a quadruple hamstring graft in order to determine if there was any functional advantage to early reconstruction. Outcome measures included return of knee movement, muscle dynamometry, International Knee Documentation Committee (IKDC) scores and Tegner activity levels. Two cases of symptomatic deep-venous thrombosis occurred in the early group. The mean range of movement was significantly greater at two weeks in the delayed group. Quadriceps muscle power was significantly better in the delayed group at 12 weeks (p &lt; 0.05). These trends were evident at later time points, but were not statistically significant. One patient in each group had clinically significant knee stiffness at 52 weeks. IKDC scores and Tegner activity levels were not significantly different at 52 weeks. We conclude that there is no functional advantage to be gained by early reconstruction of the ACL.</t>
  </si>
  <si>
    <t>10.1302/0301-620x.85b4.13743</t>
  </si>
  <si>
    <t>#597</t>
  </si>
  <si>
    <t>Meighan 2003</t>
  </si>
  <si>
    <t>The Use of Recombinant Human Growth Hormone to Protect Against Muscle Weakness in Patients Undergoing Anterior Cruciate Ligament Reconstruction: A Pilot, Randomized Placebo-Controlled Trial.</t>
  </si>
  <si>
    <t>Mendias CL; Enselman ERS; Olszewski AM; Gumucio JP; Edon DL; Konnaris MA; Carpenter JE; Awan TM; Jacobson JA; Gagnier JJ; Barkan AL; Bedi A</t>
  </si>
  <si>
    <t>BACKGROUND: Anterior cruciate ligament (ACL) tears are common knee injuries. Despite undergoing extensive rehabilitation after ACL reconstruction (ACLR), many patients have persistent quadriceps muscle weakness that limits their successful return to play and are also at an increased risk of developing knee osteoarthritis (OA). Human growth hormone (HGH) has been shown to prevent muscle atrophy and weakness in various models of disuse and disease but has not been evaluated in patients undergoing ACLR. HYPOTHESIS: Compared with placebo treatment, a 6-week perioperative treatment course of HGH would protect against muscle atrophy and weakness in patients undergoing ACLR. STUDY DESIGN: Randomized controlled trial; Level of evidence, 2. METHODS: A total of 19 male patients (aged 18-35 years) scheduled to undergo ACLR were randomly assigned to the placebo (n = 9) or HGH (n = 10) group. Patients began placebo or HGH treatment twice daily 1 week before surgery and continued through 5 weeks after surgery. Knee muscle strength and volume, patient-reported outcome scores, and circulating biomarkers were measured at several time points through 6 months after surgery. Mixed-effects models were used to evaluate differences between treatment groups and time points, and as this was a pilot study, significance was set at P &lt; .10. The Cohen d was calculated to determine the effect size. RESULTS: HGH was well-tolerated, and no differences in adverse events between the groups were observed. The HGH group had a 2.1-fold increase in circulating insulin-like growth factor 1 over the course of the treatment period (P &lt; .05; d = 2.93). The primary outcome measure was knee extension strength, and HGH treatment increased normalized peak isokinetic knee extension torque by 29% compared with the placebo group (P = .05; d = 0.80). Matrix metalloproteinase-3 (MMP3), which was used as an indirect biomarker of cartilage degradation, was 36% lower in the HGH group (P = .05; d = -1.34). HGH did not appear to be associated with changes in muscle volume or patient-reported outcome scores. CONCLUSION: HGH improved quadriceps strength and reduced MMP3 levels in patients undergoing ACLR. On the basis of this pilot study, further trials to more comprehensively evaluate the ability of HGH to improve muscle function and potentially protect against OA in patients undergoing ACLR are warranted. REGISTRATION: NCT02420353 ( ClinicalTrials.gov identifier).</t>
  </si>
  <si>
    <t>10.1177/0363546520920591</t>
  </si>
  <si>
    <t>#190</t>
  </si>
  <si>
    <t>Mendias 2020</t>
  </si>
  <si>
    <t>A prospective comparison of 3 hamstring ACL fixation devices-rigidfix, bioscrew, and intrafix-randomized into 4 groups with a minimum follow-up of 5Â years.</t>
  </si>
  <si>
    <t>Metso L; Bister V; Sandelin J; Harilainen A</t>
  </si>
  <si>
    <t>BACKGROUND: ACL (anterior cruciate ligament) reconstruction remains the gold standard surgical option for patients with ACL tears. There are many fixation devices available for ACL reconstruction. Recent ACL reconstruction strategies are aiming to reproduce the native anatomy and normal kinematics of the knee. This is a five years follow-up report of some of the new devices for graft fixation. A two years follow-up data was published previously. METHODS: 120 patients were randomized into four different groups (30 each) for ACL reconstruction with hamstring tendons: group I femoral Rigidfix cross-pin and Intrafix tibial extension sheath with a tapered expansion screw; group II Rigidfix femoral and BioScrew interference screw tibial fixation; group III BioScrew femoral and Intrafix tibial fixation; group IV BioScrew fixation into both tunnels. The evaluation methods were clinical examination, knee scores, and instrumented laxity measurements. RESULTS: In this 5Â years follow-up there were 102/120 (85%) patients available, but only 77 (64,2%) attended the clinical examinations. No significant difference between the groups in the clinical results was detected. Between the 2 and 5Â years follow-up there were 6 additional procedures in group I and one in group II. There was a significant difference in additional procedures between group I and the other groups (Pâ€‰=â€‰.041). CONCLUSION: There was a statistically significant difference in the additional procedures, most in group I (six). The ACL grafts were intact. Other statistically or clinically significant differences in the 5Â years follow-up results were not found. STUDY DESIGN: Randomized controlled clinical trial; Level of evidence, 1. Trial registration ISRCTN registry with study ID ISRCTN34011837. Retrospectively registered 17.4.2020.</t>
  </si>
  <si>
    <t>10.1186/s12893-022-01685-x</t>
  </si>
  <si>
    <t>#127</t>
  </si>
  <si>
    <t>Metso 2022</t>
  </si>
  <si>
    <t>Efficacy of stairclimber versus cycle ergometry in postoperative anterior cruciate ligament rehabilitation.</t>
  </si>
  <si>
    <t>Meyers MC; Sterling JC; Marley RR</t>
  </si>
  <si>
    <t>OBJECTIVE: To examine the effective use of stair climbing as an alternative to cycling for knee rehabilitation in an actual injured sport population. DESIGN: Repeated-measures multivariate analyses with data collected during anterior cruciate ligament (ACL) rehabilitation. SETTING: Clinical rehabilitation setting following ACL reconstruction. PARTICIPANTS: 46 athletes with ACL reconstruction (32 males, 14 females; age 25.5 +/- 8.9 yrs) were randomly assigned to either cycle or stairclimber programs previously matched by metabolic equivalents (METs) and heart rate. MAIN OUTCOME MEASURES: Isokinetic testing was performed at 4 and 12 weeks postoperatively on the uninjured knee to safely determine mean and peak concentric quadriceps, eccentric quadriceps, concentric hamstring, and eccentric hamstring peak torques. Pre/post leg girths were also measured bilaterally (+7.6, +15.2, +22.9, -7.6, -15.2, -22.9 cm) proximal/distal to the patella. RESULTS: Multivariate analysis of variance indicated no differences (Wilks' Lambda F(8,37) = 1.461; p = 0.21; eta(2) = 0.240; Power = 0.556) in strength gains (NM) between cycle and stair climbing groups, respectively, in mean concentric quadriceps (58.4 +/- 12.0 vs. 37.1 +/- 13.2), peak concentric quadriceps (77.0 +/- 14.7 vs. 36.8 +/- 16.2), mean eccentric quadriceps (57.2 +/- 12.7 vs. 79.2 +/- 14.0), peak eccentric quadriceps (78.6 +/- 19.3 vs. 105.5 +/- 21.3), mean concentric hamstring (14.3 +/- 3.9 vs. 6.5 +/- 4.3), peak concentric hamstring (24.0 +/- 6.7 vs. 22.2 +/- 7.4), mean eccentric hamstring (22.6 +/- 8.6 vs. 23.8 +/- 9.5), or peak eccentric hamstring (23.5 +/- 11.2 vs. 36.7 +/- 12.3) response. A significant stair climbing effect (Wilks' Lambda F(6,37) = 2.95; p = 0.02; eta(2) = 0.324; Power = 0.843) was observed in gastrocnemius girth (-15.2 cm) in both injured (0.5 +/- 0.1 cm vs. 0.3 +/- 0.1 cm, p &lt; 0.04) and non-injured (0.3 +/- 0.1 cm vs. 0.0 +/- 0.1 cm, p &lt; 0.008) legs. CONCLUSIONS: In conclusion, the results of the data suggest no deleterious effect of stair climbing on knee isokinetic performance or limb girth measurements, and confirms the use of stair climbing as a viable adjunct/alternative to cycle ergometry in ACL-injured athletes.</t>
  </si>
  <si>
    <t>10.1097/00042752-200203000-00004</t>
  </si>
  <si>
    <t>#614</t>
  </si>
  <si>
    <t>Meyers 2002</t>
  </si>
  <si>
    <t>Closed kinetic chain alone compared to combined open and closed kinetic chain exercises for quadriceps strengthening after anterior cruciate ligament reconstruction with respect to return to sports: a prospective matched follow-up study.</t>
  </si>
  <si>
    <t>Mikkelsen C; Werner S; Eriksson E</t>
  </si>
  <si>
    <t>Rehabilitation after anterior cruciate ligament (ACL) reconstruction has focused over the past decade on closed kinetic chain (CKC) exercises due to presumably less strain on the graft than with isokinetic open kinetic chain exercises (OKC); however, recent reports suggest that there are only minor differences in ACL strain values between some CKC and OKC exercises. We studied anterior knee laxity, thigh muscle torque, and return to preinjury sports level in 44 patients with unilateral ACL; group 1 carried out quadriceps strengthening only with CKC while group 2 trained with CKC plus OKC exercises starting from week 6 after surgery. Anterior knee laxity was determined with a KT-1000 arthrometer; isokinetic concentric and eccentric quadriceps and hamstring muscle torque were studied with a Kin-Com dynamometer before and 6 months after surgery. At an average of 31 months after surgery the patients answered a questionnaire regarding their current knee function and physical activity/sports to determine the extent and timing of their recovery. No significant differences in anterior knee laxity were noted between the groups 6 months postsurgery. Patients in group 2 increased their quadriceps torque significantly more than those in group 1, but no differences were found in hamstring torque between the groups. A significantly higher number of patients in group 2 (n = 12) than in group 1 (n = 5) returned to sports at the same level as before the injury (P &lt; 0.05). Patients from group 2 who returned to sports at the same level did so 2 months earlier than those in group 1. Thus the addition of OKC quadriceps training after ACL reconstruction results in a significantly better improvement in quadriceps torque without reducing knee joint stability at 6 months and also leads to a significantly higher number of athletes returning to their previous activity earlier and at the same level as before injury.</t>
  </si>
  <si>
    <t>10.1007/s001670000143</t>
  </si>
  <si>
    <t>#637</t>
  </si>
  <si>
    <t>Mikkelsen 2000</t>
  </si>
  <si>
    <t>Can a post-operative brace in slight hyperextension prevent extension deficit after anterior cruciate ligament reconstruction? A prospective randomised study.</t>
  </si>
  <si>
    <t>Mikkelsen C; Cerulli G; Lorenzini M; Bergstrand G; Werner S</t>
  </si>
  <si>
    <t>It has been our observation that post-operative anterior cruciate ligament (ACL) braces together with the post-operative bandages do not always allow the knee to reach full extension. In ten uninjured knees with known hyperextension, the knees were bandaged in the same way as after an ACL-reconstruction. The knees were then studied radiologically in a Hypex brace set at 0 degrees, -5 degrees and -10 degrees of knee extension. Not a single knee was found to be straight in the brace set at 0 degrees. At -5 degrees most of the knees were straight or in slight hyperextension. It took -10 degrees to get all knees straight or in hyperextension. In a prospective randomised study 44 patients who underwent an arthroscopic ACL-reconstruction with a bone patellar tendon bone graft were randomised to use either a brace set at -5 degrees or a straight brace (0 degrees ) for at least the first three postoperative weeks. Before and three months after surgery range of motion was determined, using a goniometer with long arms, and sagittal knee laxity was measured with a KT-2000 arthrometer at manual max. Pre- and post-operative pain was evaluated with the Visual Analogue Scale (VAS). The same examiner (blindfolded to what type of brace was used) performed all the measurements. At three months, two of the 22 patients with the brace set at -5 degrees and twelve of the 22 patients with the straight brace had a loss of full extension of 2 degrees or more ( p&lt;0.001). No significant differences were found between the groups in terms of knee flexion, sagittal knee laxity or post-operative pain. Although extension deficit after ACL-reconstruction can be prevented also in other ways, a Hypex brace set at -5 degrees seems to be an easy way of ensuring full knee extension.</t>
  </si>
  <si>
    <t>10.1007/s00167-003-0406-3</t>
  </si>
  <si>
    <t>#592</t>
  </si>
  <si>
    <t>Mikkelsen 2003</t>
  </si>
  <si>
    <t>A Randomized Controlled Trial of Eccentric Versus Concentric Cycling for Anterior Cruciate Ligament Reconstruction Rehabilitation.</t>
  </si>
  <si>
    <t>Milandri G; Sivarasu S</t>
  </si>
  <si>
    <t>BACKGROUND: Persistent strength and biomechanical deviations remain after anterior cruciate ligament reconstruction (ACLR). Eccentric training may reduce these and associated reinjury or osteoarthritis risks. HYPOTHESIS: For male patients who have undergone ACLR, eccentric training is more effective than concentric training at improving knee flexion angle and other biomechanical deviations, as well as strength and patient-reported outcomes, using a matched perceived exertion dose. STUDY DESIGN: Randomized controlled trial; Level of evidence, 1. METHODS: A total of 26 men, 10-16 weeks after hamstring tendon graft ACLR, were randomized to an eccentric training group or a concentric control group. Both groups trained 3 times a week for 8 weeks using the same isokinetic cycle ergometer in a matched studio environment. Exercise dose was matched in training frequency, time, progression, and intensity using a target rating of perceived exertion. Baseline and follow-up testing included questionnaires, dynamometer strength testing, and walk/run gait analysis. RESULTS: Eccentric training increased knee (+2.1Â°; P = .022) and hip (+2.1Â°; P = .010) flexion angles more than concentric training but not more than the minimal clinically important difference of 3Â°. Very large asymmetries in baseline knee abduction moment (walk, -0.10 NÂ·m/kg/m; run, -0.54 NÂ·m/kg/m) had not changed in either group by follow-up. Knee valgus angle effects were mixed. Tibial rotation angle increased in both groups, but concentric training was more effective at promoting symmetry (P &lt; .001). Both groups had similar increases in affected limb quadriceps strength and knee flexion moments during walk/run gait (by 20% to 33%). Hamstring strength increased in the eccentric group (+15.4%) but not the concentric group. Eccentric group limb forces were 33% to 70% higher than those of the concentric group, with a lower heart rate. Both groups had low pain scores throughout. CONCLUSION: For rehabilitation after ACLR, progressive eccentric cycle training was not more clinically effective than concentric training at a matched perceived intensity dose in male patients. This can guide exercise prescription for reducing gait and strength deviations of these patients. REGISTRATION: PACTR201602001449365 (Pan African Clinical Trials Registry), NHREC 4344 (South African).</t>
  </si>
  <si>
    <t>10.1177/0363546520987566</t>
  </si>
  <si>
    <t>#169</t>
  </si>
  <si>
    <t>Milandri 2021</t>
  </si>
  <si>
    <t>Contralateral strength training attenuates muscle performance loss following anterior cruciate ligament (ACL) reconstruction: a randomised-controlled trial.</t>
  </si>
  <si>
    <t>Minshull C; Gallacher P; Roberts S; Barnett A; Kuiper JH; Bailey A</t>
  </si>
  <si>
    <t>PURPOSE: To investigate the effects of cross-education (CE) exercise on strength and performance at 10 and 24Â weeks post anterior cruciate ligament (ACL) surgery. METHODS: Design: randomised controlled trial. Nâ€‰=â€‰44 ACL-reconstruction patients, randomly-allocated into: CE: strength training of the non-operative limb, or CON: sham exercise of upper limb stretching. Each patient underwent standardised ACL rehabilitation, plus 8Â weeks of thrice weekly CE or CON, commencing at 2Â weeks post surgery. The primary outcome was quadriceps peak force (QPF) of the ACL-reconstructed limb at 10Â weeks post surgery. Secondary measures were hamstrings peak force (HPF), rate of force development (RFD) and International Knee Documentation Committee score (IKDC) at 10 and 24Â weeks; QPF and hop for distance (HOP) at 24Â weeks post surgery. RESULTS: CE significantly attenuated the decline in QPF of the ACL-reconstructed limb at 10Â weeks compared to CON (16.6% decrease vs. 32.0%, respectively); that advantage was not retained at 24Â weeks. A training effect was observed in the trained limb for HPF and QPF, which was retained at 24Â weeks. No significant differences were observed for IKDC, HOP, RFD, or HPF of the reconstructed limb. Inter-limb symmetry (ILS) ranged from 0.78 to 0.89 and was not significantly different between groups. CONCLUSION: High-intensity CE strength training attenuated the post-operative decline in QPF and should be considered in early-phase ACL rehabilitation. ILS data showed good symmetry, but it masked significantly inferior performance between groups and should be used with caution. TRIAL REGISTRATION NUMBER: NCT02722876.</t>
  </si>
  <si>
    <t>10.1007/s00421-021-04812-3</t>
  </si>
  <si>
    <t>#151</t>
  </si>
  <si>
    <t>Minshull 2021</t>
  </si>
  <si>
    <t>Comparison of short term clinical outcomes between transtibial and transportal TransFixÂ® femoral fixation in hamstring ACL reconstruction.</t>
  </si>
  <si>
    <t>Mirzatolooei F</t>
  </si>
  <si>
    <t>OBJECTIVE: The aim of this study was to compare the clinical results of transtibial and transportal TransFixÂ® methods in ACL reconstruction. METHODS: One hundred and sixty-eight patients were randomized into either transtibial TransFixÂ® (n = 88) or transportal TransFixÂ® (n = 80) femoral fixation groups for hamstring ACL reconstruction. Patients were clinically evaluated through history and physical examination as well as the International Knee Documentation Committee (IKDC) and Lysholm scores and a rolimeter over an 18-month time frame. RESULTS: According to the IKDC score, there were more normal knees in the transportal group than the transtibial group (37 vs. 25). Mean Lysholm score was 78.32 Â± 10.7 in the transtibial group and 81.41 Â± 8.2 in the transportal group (p = 0.037). Mean rolimeter value was 2.2 Â± 1.13 mm in the transtibial group and 1.73 Â± 0.85 mm in the transportal group (p = 0.002). At the final follow-up, 20 patients in the transtibial group and 10 in the transportal group had a Lachman test grade of 2 or 3. More intraoperative complications in terms of graft passage difficulties and posterior wall blow-up were seen in the transportal group. CONCLUSION: Transportal TransFixÂ® technique appears to produce better clinical results than the traditional transtibial technique.</t>
  </si>
  <si>
    <t>10.3944/aott.2012.2679</t>
  </si>
  <si>
    <t>#395</t>
  </si>
  <si>
    <t>Mirzatolooei 2012</t>
  </si>
  <si>
    <t>Impact of exploration of sensory branches of saphenous nerve in anterior cruciate ligament reconstructive surgery.</t>
  </si>
  <si>
    <t>Mirzatolooei F; Pisoodeh K</t>
  </si>
  <si>
    <t>BACKGROUND: Post-operative sensory disturbances following anterior cruciate ligament (ACL) reconstruction using the quadruple hamstring tendon is a prevalent complication. This study evaluates the impact of exploration and salvage of superficial branches of the saphenous nerve on the incidence of post-operative sensory loss. METHODS: In a prospective descriptive study, 98 out of 120 patients with ACL reconstruction operated by the transfix method were followed 2 weeks and 6 months post-surgery. Hamstring tendon autograft was harvested through a 2-3 cm anteromedial oblique incision just over the pes anserinus. Meticulous dissection was done to find and save the superficial sensory branches of the saphenous nerve through the incision. Sensory changes were evaluated by physical examination for light touch; patients were requested to complete a specific diagram to evaluate sensory loss.Â  RESULTS: In 44 patients at least one nerve was located and saved. The rate of hypoesthesia in this group of patients was 20.5%. In 54 patients we were unable to locate the nerve. The rate of hyposthesia in this group was 72%, which was statistically significant (P &lt; 0.005). The overall rate of sensory disturbance in 98 patients was 48.9%. A total of 10 patients developed hyposthesia over the anteromedial part of the Mid-leg. CONCLUSION: Exploration and salvage of the sensory branches of the saphenous nerve has a tremendous effect on the rate of sensory deficit.</t>
  </si>
  <si>
    <t>Arch Iran Med</t>
  </si>
  <si>
    <t>#418</t>
  </si>
  <si>
    <t>The impact of platelet-rich plasma on the prevention of tunnel widening in anterior cruciate ligament reconstruction using quadrupled autologous hamstring tendon: a randomised clinical trial.</t>
  </si>
  <si>
    <t>Mirzatolooei F; Alamdari MT; Khalkhali HR</t>
  </si>
  <si>
    <t>The use of platelet-rich plasma (PRP) as an adjuvant to tissue repair is gaining favour in orthopaedic surgery. Tunnel widening after anterior cruciate ligament (ACL) reconstruction is a recognised phenomenon that could compromise revision surgery. The purpose of this study was to determine whether PRP might prevent tunnel widening in ACL reconstruction.Patients undergoing ACL reconstruction using a hamstring graft were randomly allocated either to have PRP introduced into the tunnels peri-operatively or not. CT scanning of the knees was carried out on the day after surgery and at three months post-operatively and the width of the tunnels was measured. Patients were also evaluated clinically at three months, when laxity was also measured.Each group comprised 25 patients, and at three months post-operatively all were pain-free with stable knees, a negative Lachman test and a good range of movement. Arthrometric results had improved significantly in both groups (p &lt; 0.001). Despite slightly less tunnel widening in the PRP group, there was no significant difference between the groups at the femoral opening or the mid-tunnel (p = 0.370 and p = 0.363, respectively) nor at the tibial opening or mid-tunnel (p = 0.333 and p = 0.177, respectively).We conclude that PRP has no significant effect in preventing tunnel widening after ACL reconstruction.</t>
  </si>
  <si>
    <t>Bone Joint J</t>
  </si>
  <si>
    <t>10.1302/0301-620X.95B1.30487</t>
  </si>
  <si>
    <t>#389</t>
  </si>
  <si>
    <t>Mirzatolooei 2013</t>
  </si>
  <si>
    <t>ACL Reconstruction Using Quadrupled Semitendinosus Versus Double-Stranded Semitendinosus and Gracilis Autograft: 2-Year Results From a Prospective Randomized Controlled Study.</t>
  </si>
  <si>
    <t>Mo IF; Harlem T; Faleide AGH; Strand T; Vindfeld S; Solheim E; Inderhaug E</t>
  </si>
  <si>
    <t>BACKGROUND: A disadvantage of using hamstring tendon autograft consisting of the semitendinosus and gracilis tendons for anterior cruciate ligament reconstruction is pain from tendon harvesting and persistent hamstring weakness. In the tendon-sparing all-inside technique, a quadrupled semitendinosus graft and adjustable-loop cortical fixation are suggested to give less postoperative flexion deficits while displaying overall similar clinical results to the traditional hamstring technique. However, there are a limited number of high-quality studies comparing these techniques with inconsistent results. PURPOSE: To investigate differences between the all-inside (quadrupled semitendinosus) and traditional hamstring (double-stranded semitendinosus and gracilis) technique regarding (1) self-reported function, (2) hamstring strength, and (3) knee laxity. STUDY DESIGN: Randomized controlled trial; Level of evidence, 1. METHODS: A total of 98 patients were randomized to either the all-inside or the traditional hamstring technique. Perioperatively, duration of surgery and graft size were obtained. The International Knee Documentation Committee 2000 Subjective Knee Form score, Knee injury and Osteoarthritis Outcome Score, Tegner Activity Scale score, knee laxity (KT-1000 arthrometer side-to-side difference and pivot_shift), range of motion, isokinetic knee strength, and hop test score were collected preoperatively and 2 years postoperatively. Return-to-sport readiness was evaluated 9 months postoperatively. RESULTS: A total of 89 patients completed 2-year follow-up, 45 patients with the all-inside technique and 44 patients with the traditional hamstring technique. There were no significant differences between groups in any of the outcome measures 2 years after surgery, but there was a tendency in the all-inside group toward having increased anterior translation (mean, 3.6 mm vs 2.7 mm), a higher number of revision surgeries (5 patients vs 2 patients), and more patients having +1 and +2 pivot-shift values (29 vs 18 patients) when compared with the traditional group. CONCLUSION: The all-inside technique yields equivalent results to the traditional hamstring technique 2 years after surgery and should be considered a reliable technique to use for ACL reconstruction. Sparing the gracilis tendon does not lead to less persistent hamstring weakness. Long-term follow-up is needed to further determine whether the tendency of increased anterior translation seen at 2 years postoperatively will lead to a higher risk of graft failure.</t>
  </si>
  <si>
    <t>10.1177/03635465241254048</t>
  </si>
  <si>
    <t>#78</t>
  </si>
  <si>
    <t>Mo 2024</t>
  </si>
  <si>
    <t>Comparable Mid- to Long-term Outcomes of Semitendinosus and Semitendinosus/Gracilis Grafts in ACL Reconstruction: Median 8-Year (Range, 5-10 Years) Results From a Randomized Controlled Study.</t>
  </si>
  <si>
    <t>Mo IF; Harlem T; Faleide AGH; Strand T; Vindfeld S; Solheim E; Randsborg PH; Inderhaug E</t>
  </si>
  <si>
    <t>BACKGROUND: The hamstring tendon autograft used for anterior cruciate ligament reconstruction commonly entails both the semitendinosus and gracilis (ST/G) tendons for sufficient graft thickness, but they may impair function. To mitigate this, a tendon-sparing ST-only graft has been explored. However, less is known of the mid- to long-term outcomes comparing these configurations. PURPOSE/HYPOTHESIS: The purpose was to investigate differences between the quadrupled ST tendon graft and the doubled ST/G graft configuration. The primary hypothesis was that there would be no difference in the International Knee Documentation Committee 2000 Subjective Knee Form (IKDC-SF) outcomes between groups. The secondary hypothesis was that there would be no differences in knee flexion strength, KT-1000 arthrometer side-to-side measurements, or need for secondary surgery (including revision) between the 2 techniques. STUDY DESIGN: Randomized controlled trial; Level of evidence, 1. METHODS: At baseline, 98 patients were randomized to receive either the quadrupled ST tendon graft or the doubled ST/G graft configuration. Preoperatively and after 2 and median 8 years (range, 5-10 years) postoperatively, the investigators collected results for the IKDC-SF, Knee injury and Osteoarthritis Outcome Score, Tegner Activity Scale, a sports and activity participation questionnaire, knee laxity (KT-1000 arthrometer) side-to-side measurements, Lachman test, and flexion rotation drawer test. Need for secondary knee surgery was evaluated 5 to 10 years postoperatively. RESULTS: Seventy-seven patients completed median 8-year follow-up (range, 5-10 years): 38 patients in the ST group and 39 patients in the ST/G group. No statistically significant differences were observed between the ST and ST/G groups in IKDC-SF scores (81.7 vs 82.1; P = .93), knee stability, or revision rates. Both groups demonstrated statistically significant improvements in self-reported function (P &lt; .001) until final follow-up. The overall anterior cruciate ligament revision rate was 10.4%, and no increased risk of graft failure or excessive residual laxity was associated with the ST-only graft. CONCLUSION: No statistically significant differences were found between the ST group and the ST/G group in terms self-reported function, knee laxity, or need for secondary surgery at median 8 years (range, 5-10 years) after surgery. The ST-only graft configuration did not increase the risk of graft failure or excessive residual laxity compared with the ST/G graft configuration.</t>
  </si>
  <si>
    <t>10.1177/03635465251344106</t>
  </si>
  <si>
    <t>#45</t>
  </si>
  <si>
    <t>Mo 2025</t>
  </si>
  <si>
    <t>Comparison of functional outcome measures after ACL reconstruction in competitive soccer players: a randomized trial.</t>
  </si>
  <si>
    <t>Mohammadi F; Salavati M; Akhbari B; Mazaheri M; Mohsen Mir S; Etemadi Y</t>
  </si>
  <si>
    <t>BACKGROUND: The choice of graft for anterior cruciate ligament (ACL) reconstruction remains controversial. Although many outcome studies comparing bone-patellar tendon-bone and semitendinosus and gracilis tendon grafts have been performed, most have not included tests of functional outcomes that challenge the graft. The objective of the current study was to compare the functional performances of soccer players after ACL reconstruction that was performed with either a bone-patellar tendon-bone or a semitendinosus and gracilis tendon graft. METHODS: Forty-two soccer players with unilateral ACL injury were prospectively randomized to a bone-patellar tendon-bone group (BPTB group; twenty-one subjects) or a semitendinosus and gracilis tendon group (STG group; twenty-one subjects) and followed a rehabilitation protocol. At the time of return to sports, the patients were asked to execute strength, hop, and jump tests and the results were compared between the groups. Twenty-one healthy athletes were recruited as the control group to evaluate their performance of the same tests. RESULTS: The limbs with the ACL reconstruction in the STG group had greater values for quadriceps torque as well as on the triple-hop, crossover-hop, and jump-landing test (p &lt; 0.01), but the STG and BPTB groups showed similar results in terms of hamstrings peak torque and the results of two other hop tests (p &gt; 0.05). Moreover, the subjects with ACL reconstruction had significantly lower values with regard to quadriceps and hamstrings peak torques and the results of the hop and jump tests compared with the healthy athletes (p &lt; 0.01). CONCLUSIONS: At the time of return to sports, the STG group had better performance in terms of quadriceps strength and the results of the triple-hop, crossover-hop, and jump-landing tests compared with the BPTB group. Compared with controls, soccer players who had undergone ACL reconstruction had less quadriceps and hamstrings strength and inferior hop performance and jump-landing strategy.</t>
  </si>
  <si>
    <t>10.2106/JBJS.L.00724</t>
  </si>
  <si>
    <t>#374</t>
  </si>
  <si>
    <t>Mohammadi 2013</t>
  </si>
  <si>
    <t>A Randomized Clinical Trial Comparing Patellar Tendon, Hamstring Tendon, and Double-Bundle ACL Reconstructions: Patient-Reported and Clinical Outcomes at a Minimal 2-Year Follow-up.</t>
  </si>
  <si>
    <t>Mohtadi N; Chan D; Barber R; Oddone Paolucci E</t>
  </si>
  <si>
    <t>OBJECTIVE: To compare 3 anatomically positioned autografts for anterior cruciate ligament (ACL) reconstruction, by measuring patient-reported disease-specific quality of life at 2 years postoperatively. DESIGN: Double-blinded, randomized clinical trial with intraoperative computer-generated treatment allocation. Patients and an independent trained evaluator were blinded. SETTING: University-based orthopedic referral practice. PATIENTS: Three hundred thirty patients (14-50 years; 183 male patients) with isolated ACL deficiency were equally randomized to: (1) patellar tendon, PT: 28.7 years (SD = 9.7); (2) quadruple-stranded hamstring tendon, HT: 28.5 years (SD = 9.9); and (3) double bundle using HT, DB: 28.3 years (SD = 9.8); 322 patients completed 2-year follow-up. INTERVENTION: Anterior cruciate ligament reconstruction using PT, HT, or DB autografts. MAIN OUTCOME MEASURES: Measured at baseline, 1 and 2 years postoperatively-primary: anterior cruciate ligament quality-of-life scores; secondary: International Knee Documentation Committee (IKDC) scores, KT-1000 arthrometer, pivot_shift, range of motion, Tegner activity, Cincinnati Occupational Scale, and single-leg hop. Proportions of correct graft type guesses by the patients and evaluator assessed blinding effectiveness. RESULTS: Baseline characteristics were not different. Anterior cruciate ligament quality-of-life scores increased over time for all groups (P = 0.001) but were not different at 2 years (P = 0.591): PT = 84.6 (SD = 16.6, 95% confidence interval [CI] = 81.4-87.8), HT = 82.5 (SD = 17.7, 95% CI = 79.2-85.9), and DB = 82.4 (SD = 17.5, 95% CI = 79.1-85.7). Two-year KT-1000 side-to-side differences (PT = 1.86 mm; HT = 2.97 mm; DB = 2.65 mm) were statistically significant between PT-HT (P = 0.002) and PT-DB (P = 0.044). The remaining secondary outcomes were not statistically different. Correct graft type guesses occurred 51% of the time for patients and 46% for the evaluator. CONCLUSIONS: Two-year disease-specific quality-of-life outcome was not different between the ACL reconstruction techniques. The PT reconstructions had significantly lower side-to-side differences on static stability measures. Patient and evaluator blinding was achieved. LEVEL OF EVIDENCE: Level 1 (Therapeutic Studies). CLINICAL RELEVANCE: This high-quality, large, double-blind randomized clinical trial (RCT) addresses the insufficient evidence in the literature comparing PT, single-bundle hamstring, and DB hamstring reconstructions for ACL rupture in adults. In addition to the clinical and functional results, this RCT uniquely reports on the disease-specific, patient-reported quality-of-life outcome at 2 years postoperatively.</t>
  </si>
  <si>
    <t>10.1097/JSM.0000000000000165</t>
  </si>
  <si>
    <t>#338</t>
  </si>
  <si>
    <t>Mohtadi 2015</t>
  </si>
  <si>
    <t>Complications and Adverse Events of a Randomized Clinical Trial Comparing 3 Graft Types for ACL Reconstruction.</t>
  </si>
  <si>
    <t>Mohtadi N; Barber R; Chan D; Paolucci EO</t>
  </si>
  <si>
    <t>OBJECTIVE: Complications/adverse events of anterior cruciate ligament (ACL) surgery are underreported, despite pooled level 1 data in systematic reviews. All adverse events/complications occurring within a 2-year postoperative period after primary ACL reconstruction, as part of a large randomized clinical trial (RCT), were identified and described. DESIGN: Prospective, double-blind randomized clinical trial. Patients and the independent trained examiner were blinded to treatment allocation. SETTING: University-based orthopedic referral practice. PATIENTS: Three hundred thirty patients (14-50 years; 183 males) with isolated ACL deficiency were intraoperatively randomized to ACL reconstruction with 1 autograft type. Graft harvest and arthroscopic portal incisions were identical. INTERVENTION: Patients were equally distributed to patellar tendon (PT), quadruple-stranded hamstring tendon (HT), and double-bundle (DB) hamstring autograft ACL reconstruction. MAIN OUTCOME MEASURES: Adverse events/complications were patient reported, documented, and diagnoses confirmed. RESULTS: Two major complications occurred: pulmonary embolism and septic arthritis. Twenty-four patients (7.3%) required repeat surgery, including 25 separate operations: PT = 7 (6.4%), HT = 9 (8.2%), and DB = 8 (7.3%). Repeat surgery was performed for meniscal tears (3.6%; n = 12), intra-articular scarring (2.7%; n = 9), chondral pathology (0.6%; n = 2), and wound dehiscence (0.3%; n = 1). Other complications included wound problems, sensory nerve damage, muscle tendon injury, tibial periostitis, and suspected meniscal tears and chondral lesions. Overall, more complications occurred in the HT/DB groups (PT = 24; HT = 31; DB = 45), but more PT patients complained of moderate or severe kneeling pain (PT = 17; HT = 9; DB = 4) at 2 years. CONCLUSIONS: Overall, ACL reconstructive surgery is safe. Major complications were uncommon. Secondary surgery was necessary 7.3% of the time for complications/adverse events (excluding graft reinjury or revisions) within the first 2 years. LEVEL OF EVIDENCE: Level 1 (therapeutic studies). CLINICAL RELEVANCE: This article reports on the complications/adverse events that were prospectively identified up to 2 years postoperatively, in a defined patient population participating in a large double-blind randomized clinical trial comparing PT, single-bundle hamstring, and DB hamstring reconstructions for ACL rupture.</t>
  </si>
  <si>
    <t>10.1097/JSM.0000000000000202</t>
  </si>
  <si>
    <t>#331</t>
  </si>
  <si>
    <t>Reruptures, Reinjuries, and Revisions at a Minimum 2-Year Follow-up: A Randomized Clinical Trial Comparing 3 Graft Types for ACL Reconstruction.</t>
  </si>
  <si>
    <t>Mohtadi N; Chan D; Barber R; Paolucci EO</t>
  </si>
  <si>
    <t>OBJECTIVE: To evaluate the predictive factors for traumatic rerupture, reinjury, and atraumatic graft failure of anterior cruciate ligament (ACL) reconstruction at a minimum 2-year follow-up. DESIGN: Double-blind randomized clinical trial (RCT) with intraoperative computer-generated allocation. SETTING: University-based orthopedic referral practice. PATIENTS: Three hundred thirty patients with isolated ACL deficiency were equally randomized to (1) patellar tendon (PT; mean, 29.2 years), (2) quadruple-stranded hamstring tendon (HT; mean, 29.0 years), and (3) double bundle using HT (DB; mean, 28.8 years). Three hundred twenty-two patients completed 2-year follow-up. INTERVENTIONS: Anatomically positioned primary ACL reconstruction with PT, HT, and DB autografts. MAIN OUTCOME MEASURES: Proportions of complete traumatic reruptures, traumatic reinjuries (complete reruptures and partial tears), atraumatic graft failures, and contralateral ACL tears. Logistic regression assessed 5 a priori determined independent predictors: chronicity, graft type, age, sex, and Tegner level. RESULTS: More complete traumatic reruptures occurred in the HT and DB groups: PT = 3; HT = 7; DB = 7 (P = 0.37). Traumatic reinjuries statistically favored PT reconstructions: (PT = 3; HT = 12; DB = 11; P = 0.05). Atraumatic graft failures were not different: PT = 16; HT = 17; DB = 20 (P = 0.75). Younger age was a significant predictor of complete traumatic reruptures and traumatic reinjuries (P &lt; 0.01). Higher activity level, males, and patients with HT, DB, and acute reconstructions had greater odds of reinjury. None of these factors reached statistical significance. Contralateral ACL tears were not different between groups, but trends suggested that younger females were more likely to have a contralateral ACL tear. CONCLUSIONS: More traumatic reinjuries occurred with HT and DB grafts. Younger age was a predictor of complete traumatic rerupture and traumatic reinjury, irrespective of graft type. LEVEL OF EVIDENCE: Level 1 (Therapeutic Studies). CLINICAL RELEVANCE: This article describes the complete traumatic graft rerupture, partial traumatic ACL tear, atraumatic graft failure, and contralateral ACL tear rates observed at 2 years postoperatively in a large double-blind RCT comparing PT, single-bundle hamstring, and double-bundle hamstring ACL reconstructions. The odds and predictive factors of traumatic rerupture and reinjury are also evaluated.</t>
  </si>
  <si>
    <t>#326</t>
  </si>
  <si>
    <t>A Randomized Clinical Trial Comparing Patellar Tendon, Hamstring Tendon, and Double-Bundle ACL Reconstructions: Patient-Reported and Clinical Outcomes at 5-Year Follow-up.</t>
  </si>
  <si>
    <t>Mohtadi NG; Chan DS</t>
  </si>
  <si>
    <t>BACKGROUND: This randomized clinical trial evaluated the 5-year, disease-specific quality-of-life outcomes of patients treated for anterior cruciate ligament (ACL) deficiency with use of a patellar tendon, single-bundle quadruple-stranded hamstring, or double-bundle hamstring reconstruction. METHODS: Patients (n = 110 per group; 183 male; 14 to 50 years of age) were randomly allocated to anatomically positioned ACL reconstruction with use of a patellar tendon graft (patellar tendon group; mean age, 28.7 years), quadruple-stranded hamstring tendon construct (hamstring tendon group; mean age, 28.5 years), or double-bundle hamstring tendon construct (double-bundle group; mean age, 28.3 years). Computer-generated allocation with varied block randomization was performed intraoperatively. The 5-year primary outcome measure was the Anterior Cruciate Ligament-Quality of Life (ACL-QOL) score, and secondary outcome measures included the International Knee Documentation Committee (IKDC) subjective score and objective grades, pivot_shift assessment, range of motion, kneeling pain, Tegner activity scale, Cincinnati Occupational Rating Scale, complete traumatic reruptures, partial traumatic tears, total traumatic reinjuries, and atraumatic graft failures. RESULTS: Three hundred and fifteen patients (95%) completed the 5-year follow-up (4 withdrawals, and 11 lost to follow-up). ACL-QOL scores increased significantly from baseline for all groups (p &lt; 0.0001), but mean scores at 5 years did not differ among the groups (p = 0.548): mean (and standard deviation) of 82.5 Â± 17.9 (95% confidence interval [CI], 79.0 to 86.0) for patellar tendon, 83.9 Â± 18.2 (95% CI, 80.3 to 87.4) for hamstring tendon, and 81.1 Â± 19.3 (95% CI, 77.4 to 84.8) for double-bundle. The proportions of patients at 5 years with a pivot_shift grade of â‰¥2 (12% for patellar tendon, 16% for hamstring tendon, and 22% for double-bundle; p = 0.149) and with normal and nearly normal knees per IKDC grade (87%, 82%, and 75% for the 3 groups, respectively; p = 0.093) trended in favor of patellar tendon reconstruction. No differences were seen for the IKDC subjective scores, knee range of motion including passive extension deficits, the single leg hop test, Cincinnati Occupational Rating scores, and Tegner activity levels. Kneeling pain was more common with patellar tendon reconstruction (10% of patients compared with 4% for hamstring tendon and 2% for double-bundle; p = 0.029). For hamstring tendon and double-bundle reconstructions, there were trends toward more complete traumatic reruptures (4% for patellar tendon, 10% for hamstring tendon, and 10% for double-bundle; p = 0.145) and partial traumatic tears (0%, 5%, and 6%, respectively; p = 0.059), with significantly fewer combined traumatic reinjuries in the patellar tendon group (4 patients compared with 16 for hamstring tendon and 17 for double-bundle; p = 0.010). Atraumatic graft failure (pivot_shift grade of â‰¥2) was found for 10% of the patients. CONCLUSIONS: At 5 years, we found no significant difference in the quality-of-life outcome among the patellar tendon, hamstring tendon, and double-bundle techniques for ACL reconstruction. Significantly more patients in the hamstring tendon and double-bundle groups experienced traumatic graft reinjury compared with the patellar tendon group. There was a trend toward a higher percentage with normal and nearly normal IKDC grades in the patellar tendon group compared with hamstring tendon and double-bundle groups. LEVEL OF EVIDENCE: Therapeutic Level I. See Instructions for Authors for a complete description of levels of evidence.</t>
  </si>
  <si>
    <t>10.2106/JBJS.18.01322</t>
  </si>
  <si>
    <t>#222</t>
  </si>
  <si>
    <t>Comparison of the bioabsorbable and metal screw fixation after ACL reconstruction with a hamstring autograft in MRI and clinical outcome: a prospective randomized study.</t>
  </si>
  <si>
    <t>Moisala AS; JÃ¤rvelÃ¤ T; Paakkala A; Paakkala T; Kannus P; JÃ¤rvinen M</t>
  </si>
  <si>
    <t>There has never been an MRI study of tunnel widening comparing bioabsorbable to metal screw fixation in autologous hamstring anterior cruciate ligament (ACL) reconstruction. We randomized 62 patients to hamstring ACL reconstruction with either a bioabsorbable (n=31) or metal screw (n=31) fixation. The evaluation methods were clinical examination, KT-1000 arthrometric measurement, the International Knee Documentation Committee and Lysholm scores, and MRI. There were no differences between the groups preoperatively. Fifty-five patients (89%) were available at a minimum of 2-year follow-up (range 24-36 months). There was tunnel widening in both groups, but the increase was significantly greater in the AP dimension of the femoral tunnel in the bioabsorbable screw group compared to metal group (P=0.01). The tibial tunnels showed no intergroup difference. Ninety-four percent of the knees were normal or nearly normal according to the IKDC scores and the average Lysholm score was 91 with no intergroup difference. The follow-up AP tibial tunnel diameter was smaller with normal knee laxity compared to abnormal knee laxity. The graft failure rate in the bioabsorbable screw group was 23% (7/31 patients) and 6% (2/31 patients) in the metal screw group. The use of bioabsorbable screws resulted in more femoral tunnel widening, and more graft failures compared to metal screws. The tunnel widening in the tibia was associated with the knee laxity (P=0.02).</t>
  </si>
  <si>
    <t>10.1007/s00167-008-0593-z</t>
  </si>
  <si>
    <t>#501</t>
  </si>
  <si>
    <t>Moisala 2008</t>
  </si>
  <si>
    <t>Biologically enhanced anterior cruciate ligament reconstruction: Platelet-rich plasma or bone marrow aspirate concentrate does not lead to better clinical or radiological outcomes-A randomized controlled trial of 175 cases with 2 years of follow-up.</t>
  </si>
  <si>
    <t>Mokhtar AA; Gawish H; Abdelgawad A; Deghady A; Hassaan E; Matarawy K; Amer A; Soliman E; Hirschmann MT</t>
  </si>
  <si>
    <t>PURPOSE: To compare the clinical and radiological outcomes of anterior cruciate ligament reconstruction (ACLR) augmented with platelet-rich plasma (PRP) (1) or bone marrow aspirate concentrate (BMAC) (2) against a control group undergoing standard ACLR without biological additives. METHODS: One hundred seventy-five patients undergoing biologically enhanced ACLR using semitendinosus quadruple autograft were prospectively included in this randomized controlled trial. Patients were randomized to either the control group (no biological additives, nâ€‰=â€‰79) or ACLR plus application of PRP to the graft (nâ€‰=â€‰53) or ACLR plus BMAC application to the graft (nâ€‰=â€‰43). ACLR techniques were standardized for all patients, and all were performed by a senior surgeon. Biological additives were also standardized and prepared by a senior laboratory physician in the operating room. After an average of 2 years, patients were assessed clinically, and SI of the ACL graft was measured in the magnetic resonance imaging (MRI). RESULTS: There was no clinically significant difference in clinical outcomes (clinical examination [pâ€‰=â€‰0.867] and patients' reported outcome scores, Lysholm [pâ€‰=â€‰0.881], International Knee Documentation Committee [pâ€‰=â€‰0.864] and Marx activity return to sport scale [pâ€‰=â€‰0.666]). There was no significant difference in MRI SI of the intra-articular graft or the graft inside the tunnels (pâ€‰=â€‰0.898) after a mean of 2 years. Cases with BMAC addition to the graft showed poorer MRI SI. CONCLUSION: Biological ACL reconstruction enhanced with PRP or BMAC did not reveal any statistically significant clinical or radiological results; on the contrary, BMAC application may lead to poorer MRI SI. LEVEL OF EVIDENCE: Level I, randomized controlled trial.</t>
  </si>
  <si>
    <t>10.1002/ksa.70484</t>
  </si>
  <si>
    <t>#5</t>
  </si>
  <si>
    <t>Mokhtar 2026</t>
  </si>
  <si>
    <t>Anterior cruciate ligament reconstruction results in alterations in gait variability.</t>
  </si>
  <si>
    <t>Moraiti CO; Stergiou N; Vasiliadis HS; Motsis E; Georgoulis A</t>
  </si>
  <si>
    <t>INTRODUCTION: The temporal structure of gait variability has shown that healthy human gait exhibits long-range correlations and deterministic properties which allow the neuromuscular system to be flexible and adaptable to stresses. Pathology results in deterioration of these properties. We examined structure of gait variability after ACL reconstruction with either BPTB or quadrupled ST/G tendon autografts. METHODS: Six patients with BPTB reconstruction, six with ST/G reconstruction and six healthy controls walked on a treadmill at their self-selected pace. Two minutes of continuous kinematic data were recorded with a 6-camera optoelectronic system. The nonlinear measure of the largest Lyapunov Exponent (LyE) was estimated from the knee flexion-extension time series from 100 continuous walking strides to assess the structure of gait variability. RESULTS: The reconstructed limbs in both reconstructed groups exhibited significantly larger LyE values than the control limbs (p&lt;0.05), even though clinical outcomes indicated complete restoration. No significant differences were found between the two autografts. In addition, the intact contralateral leg produced significant higher LyE values as compared with the ACL-reconstructed leg in both groups. No interaction was found. DISCUSSION: The larger LyE values indicate that the reconstructed knees of both reconstructed groups exhibit more divergence in the movement trajectories during gait. The larger Lye values found in the intact leg in both reconstructed groups could be interpreted as a compensatory mechanism. However, the increased divergence found in both limbs may present an alternative explanation for the impaired neuromuscular performance and increased susceptibility to future pathology, which is supported by the increased amount of osteoarthritis found in ACL-reconstructed patients.</t>
  </si>
  <si>
    <t>Gait Posture</t>
  </si>
  <si>
    <t>#447</t>
  </si>
  <si>
    <t>Evaluation the results of anterior cruciate ligament reconstruction with or without using antibiotic solution during graft preparation.</t>
  </si>
  <si>
    <t>Mousavi SH; Radi M; Kazemi D; Izadpanah F; Shahrouzian A</t>
  </si>
  <si>
    <t>INTRODUCTION: Joint infection after Anterior Cruciate Ligament (ACL) reconstruction is an uncommon infection which can affect joint movement and function. In this study, the impact of using antibiotic during graft preparation on the results of ACL reconstruction was investigated to examine the negative effects of antibiotic solution on graft and clinical symptoms after the surgery. METHODS: In this randomized clinical trial study, 80 patients were enrolled. In one group, the graft was placed in vancomycin solution (500Â mg of vancomycin powder in 100Â ml of normal saline) for 10-15Â min during the surgery. In other group, the surgery was performed routinely and the graft was not placed in antibiotic solution. Intravenous antibiotic was given to both groups and they underwent ACL reconstruction surgery through arthroscopic transportal technique using their hamstring tendon. Symptoms and examinations of patients were evaluated for one year after the surgery. RESULTS: There was no difference between two groups in terms of knee dislocation, knee lock, pain, fever, positivity of Lachman test, Anterior drawer test and pivot-shift test, knee swelling, and movement restriction in flection and extension (Pâ€‰&gt;â€‰0.05). No infection was seen in patients. CONCLUSIONS: Placing grafts in vancomycin solution does not have negative effects on graft quality and results of ACL surgery.</t>
  </si>
  <si>
    <t>10.1007/s00590-023-03522-0</t>
  </si>
  <si>
    <t>#103</t>
  </si>
  <si>
    <t>Mousavi 2023</t>
  </si>
  <si>
    <t>Hip flexion strength remains decreased in anterior cruciate ligament reconstructed patients at one-year follow up compared to healthy controls.</t>
  </si>
  <si>
    <t>Mouzopoulos G; Siebold R; Tzurbakis M</t>
  </si>
  <si>
    <t>PURPOSE: The aim of this study was to evaluate hip muscle flexion strength in patients who underwent anterior cruciate ligament (ACL) reconstruction with patellar or hamstrings tendon graft and compare them with healthy controls. METHODS: Sixty-eight male ACL deficient patients who underwent reconstruction (36 patients with hamstrings tendon graft and 32 patients with patellar tendon graft; randomized selection of type of graft) in our department, between July 2011 and July 2012, were enrolled in this randomised prospective study. Also 64 healthy male weekend athletes participated in the study as a control group. Hip flexor strength was measured by isokinetic dynamometer (Biodex), pre-operatively and one year after reconstruction. The statistical packet STATA 8.0 was used and statistical significance was set at pâ€‰&lt;â€‰0.05. RESULTS: Hip flexion strength in ACL reconstructed patients either with patellar tendon or hamstrings grafts, one year after reconstruction is significantly decreased compared to healthy controls (pâ€‰&lt;â€‰0.0001). Patients reconstructed with patellar tendon have stronger hip flexors than those reconstructed with hamstrings graft (pâ€‰&lt;â€‰0.0001). CONCLUSION: Hip flexion strength remains decreased one year after ACL surgery compared to healthy controls. Patellar tendon could be the graft of choice for ACL reconstruction in athletes who must preserve stronger hip flexors.</t>
  </si>
  <si>
    <t>10.1007/s00264-014-2662-x</t>
  </si>
  <si>
    <t>#336</t>
  </si>
  <si>
    <t>Mouzopoulos 2015</t>
  </si>
  <si>
    <t>Effect of upper limb isometric training (ULIT) on hamstring strength in early postoperative anterior cruciate ligament reconstruction patients: Study protocol for a randomized controlled trial.</t>
  </si>
  <si>
    <t>Muhamad Hendri EN; Hamid MSA; Yusoff BAHM; Mohamad N; Yusof A</t>
  </si>
  <si>
    <t>Anterior cruciate ligament (ACL) injuries impact approximately 68.6 per 100,000 individuals annually, with ACL reconstruction (ACLR) being a common intervention for restoring knee stability in physically active individuals. Despite advancements in surgical techniques and rehabilitation protocols, patients often experience prolonged recovery, hamstring weakness, and neuromuscular deficits, increasing the risk of re-injury and osteoarthritis. Early-phase ACLR rehabilitation primarily focuses on managing pain, swelling, and quadriceps strength, frequently neglecting the critical role of hamstrings in knee stabilization. This leaves a gap in addressing imbalances that hinder functional recovery and return-to-sport timelines. Upper limb isometric training (ULIT) presents an innovative approach to enhance hamstring activation during the early rehabilitation phase. By leveraging the posterior myofascial kinetic chain (PMKC), ULIT indirectly stimulates hamstrings through bilateral static upper limb exercises, such as wall push up, shoulder extension and scapular retraction, promoting neuromuscular coordination and kinetic chain synergy. These exercises mitigate challenges associated with direct hamstring loading, such as arthrogenic muscle inhibition and graft protection needs. Preliminary research suggests upper limb resistance exercise at submaximal voluntary contraction facilitates inter-limb strength gains, improves core abdominals and hamstring activation, and reduces knee imbalances, supporting accelerated recovery and reduced re-injury risk. The ULIT demonstrates potential as an alternative warm-up exercise to promote hamstring activation and enhance overall readiness for physical activity. Emerging findings highlight ULIT as a safe and potentially effective supplementary intervention, but further research is essential to establish its role in ACLR rehabilitation and develop evidence-based protocols. This study aims to evaluate the effects of integrating ULIT into standard care rehabilitation on hamstring strength and physical function in early-phase postoperative ACLR patients with hamstring autograft. The findings could introduce a novel and effective strategy to optimize recovery, enhance functional outcomes, and support a safer return to sport. Trial registration number: ACTRN12624001445561 and available at https://www.anzctr.org.au/Trial/Registration/TrialReview.aspx?id=388441&amp;isReview=true.</t>
  </si>
  <si>
    <t>10.1371/journal.pone.0319724</t>
  </si>
  <si>
    <t>#40</t>
  </si>
  <si>
    <t>MuhamadHendri 2025</t>
  </si>
  <si>
    <t>A prospective randomized study of 4-strand semitendinosus tendon anterior cruciate ligament reconstruction comparing single-bundle and double-bundle techniques.</t>
  </si>
  <si>
    <t>Muneta T; Koga H; Mochizuki T; Ju YJ; Hara K; Nimura A; Yagishita K; Sekiya I</t>
  </si>
  <si>
    <t>PURPOSE: A randomized clinical study was conducted to compare the outcome between double-bundle (DB) and single-bundle (SB) anterior cruciate ligament (ACL) reconstructions with 4-strand semitendinosus tendon (ST). METHODS: We divided 68 patients with unilateral ACL injury into 2 groups according to their birth date, and they were followed up in person for a mean of 25 months (range, 18 to 41 months). Each group of 34 patients underwent either DB or SB ACL reconstruction using 4-strand ST with EndoButton femoral fixation (Smith &amp; Nephew Endoscopy, Andover, MA) and anchor staple tibial fixation. There was no difference between the 2 groups with regard to age at surgery, sex, follow-up period, period before surgery, combined meniscus injuries, and athletic activity level. All patients followed the same postoperative program. They were evaluated using manual knee laxity tests, instrumented anterior laxity measurements (KT-1000 arthrometer [MEDmetric, San Diego, CA]), knee extension and flexion strength testing, and so on. General knee condition was evaluated by use of the Lysholm knee score and subjective rating scale. RESULTS: There were no significant differences between the 2 groups with regard to range of motion, thigh girth, muscle strength, and Lysholm score. Manual knee laxity testing revealed that negative Lachman and pivot-shift test results were found in more patients in the DB group than in the SB group. KT measurements averaged 2.4 mm in the SB group and 1.4 mm in the DB group, which was statistically significantly different. Statistical analysis showed no significant difference regarding all of the modified International Knee Documentation Committee-categorized data between the 2 groups. CONCLUSIONS: This randomized controlled trial indicated that DB ACL reconstruction via 4-strand ST is superior to the SB technique with regard to anterior and rotational stability; however, it fails to show any subjective difference. LEVEL OF EVIDENCE: Level I, prospective randomized controlled clinical study.</t>
  </si>
  <si>
    <t>10.1016/j.arthro.2007.04.010</t>
  </si>
  <si>
    <t>#526</t>
  </si>
  <si>
    <t>Muneta 2007</t>
  </si>
  <si>
    <t>Reconstruction of old anterior cruciate ligament injuries. No difference between the Kennedy LAD-method and traditional patellar tendon graft in a prospective randomized study of 40 patients with 4-year follow-up.</t>
  </si>
  <si>
    <t>Muren O; Dahlstedt L; DalÃ©n N</t>
  </si>
  <si>
    <t>In a prospective randomized study we investigated 40 patients with functional instability due to old anterior cruciate ligament tears by using two different techniques for reconstruction of the ligament. 20 patients were randomized to reconstruction with use of a traditional medial bone-patellar tendon graft and 20 patients to a half-thickness patellar tendon graft augmented with the Kennedy Ligament Augmentation Device (LAD). At follow-up after 4 years, both groups were still improved concerning function scores and arthrometry. The use of the Kennedy LAD method, however, gave no more subjective or objective benefits than did the traditional method.</t>
  </si>
  <si>
    <t>Acta Orthop Scand</t>
  </si>
  <si>
    <t>10.3109/17453679508995503</t>
  </si>
  <si>
    <t>#679</t>
  </si>
  <si>
    <t>Muren 1995</t>
  </si>
  <si>
    <t>Reconstruction of acute anterior cruciate ligament injuries: a prospective, randomised study of 40 patients with 7-year follow-up. No advantage of synthetic augmentation compared to a traditional patellar tendon graft.</t>
  </si>
  <si>
    <t>BACKGROUND: In a prospective, randomised study, we compared the results of anterior cruciate ligament reconstruction using the conventional medial patellar tendon strip procedure with the Kennedy ligament augmentation device (LAD) over-the-top augmentation technique. The aim of the study was to see if the addition of this device, with its specific potential complications (infection, synovitis, mechanical failure) and increased costs, gave better functional stability and less donor site morbidity. METHODS: Forty patients ( n=20+20) with high physical demands, anterior cruciate ligament rupture less than 3 weeks old, and positive Lachman and pivot_shift tests were included in the study. They were randomised by instructions in a sealed envelope that was randomly chosen. Postoperatively, they were immobilised in a plaster of Paris cast for 2 weeks. Full weight-bearing was not allowed until 6 weeks after the operation. Strength training on the operated side started when movement was restored to nearly normal, usually after 8-10 weeks. Return to full sport activity was allowed 1 year after the operation. Clinical and arthrometric follow-up was performed yearly using the Lysholm functional score, Tegner activity score, KT-1000 testing, Lachman and pivot_shift tests. Follow-up lasted 3-9 years (mean 7 years). RESULTS AND CONCLUSIONS: At last follow-up we found no statistical difference in stability tests, functional or activity scores; both groups showed stable improvement concerning scores and arthrometry compared with the preoperative values. No advantages were associated with the use of the Kennedy LAD, and we do not recommend it or a similar device for uncomplicated cases. New augmentation devices are simply launched onto the market, and we recommend caution and thorough evaluation in prospective, randomised studies before they are adopted into use.</t>
  </si>
  <si>
    <t>10.1007/s00402-002-0457-9</t>
  </si>
  <si>
    <t>#600</t>
  </si>
  <si>
    <t>Muren 2003</t>
  </si>
  <si>
    <t>Bridge-Enhanced Anterior Cruciate Ligament Repair Is Not Inferior to Autograft Anterior Cruciate Ligament Reconstruction at 2 Years: Results of a Prospective Randomized Clinical Trial.</t>
  </si>
  <si>
    <t>Murray MM; Fleming BC; Badger GJ; Freiberger C; Henderson R; Barnett S; Kiapour A; Ecklund K; Proffen B; Sant N; Kramer DE; Micheli LJ; Yen YM</t>
  </si>
  <si>
    <t>BACKGROUND: Preclinical studies suggest that for complete midsubstance anterior cruciate ligament (ACL) injuries, a suture repair of the ACL augmented with a protein implant placed in the gap between the torn ends (bridge-enhanced ACL repair [BEAR]) may be a viable alternative to ACL reconstruction (ACLR). HYPOTHESIS: We hypothesized that patients treated with BEAR would have a noninferior patient-reported outcomes (International Knee Documentation Committee [IKDC] Subjective Score; prespecified noninferiority margin, -11.5 points) and instrumented anteroposterior (AP) knee laxity (prespecified noninferiority margin, +2-mm side-to-side difference) and superior muscle strength at 2 years after surgery when compared with patients who underwent ACLR with autograft. STUDY DESIGN: Randomized controlled trial; Level of evidence, 1. METHODS: One hundred patients (median age, 17 years; median preoperative Marx activity score, 16) with complete midsubstance ACL injuries were enrolled and underwent surgery within 45 days of injury. Patients were randomly assigned to receive either BEAR (n = 65) or autograft ACLR (n = 35 [33 with quadrupled semitendinosus-gracilis and 2 with bone-patellar tendon-bone]). Outcomes-including the IKDC Subjective Score, the side-to-side difference in instrumented AP knee laxity, and muscle strength-were assessed at 2 years by an independent examiner blinded to the procedure. Patients were unblinded after their 2-year visit. RESULTS: In total, 96% of the patients returned for 2-year follow-up. Noninferiority criteria were met for both the IKDC Subjective Score (BEAR, 88.9 points; ACLR, 84.8 points; mean difference, 4.1 points [95% CI, -1.5 to 9.7]) and the side-to-side difference in AP knee laxity (BEAR, 1.61 mm; ACLR, 1.77 mm; mean difference, -0.15 mm [95% CI, -1.48 to 1.17]). The BEAR group had a significantly higher mean hamstring muscle strength index than the ACLR group at 2 years (98.2% vs 63.2%; P &lt; .001). In addition, 14% of the BEAR group and 6% of the ACLR group had a reinjury that required a second ipsilateral ACL surgical procedure (P = .32). Furthermore, the 8 patients who converted from BEAR to ACLR in the study period and returned for the 2-year postoperative visit had similar primary outcomes to patients who had a single ipsilateral ACL procedure. CONCLUSION: BEAR resulted in noninferior patient-reported outcomes and AP knee laxity and superior hamstring muscle strength when compared with autograft ACLR at 2-year follow-up in a young and active cohort. These promising results suggest that longer-term studies of this technique are justified. REGISTRATION: NCT02664545 (ClinicalTrials.gov identifier).</t>
  </si>
  <si>
    <t>10.1177/0363546520913532</t>
  </si>
  <si>
    <t>#194</t>
  </si>
  <si>
    <t>Murray 2020</t>
  </si>
  <si>
    <t>[Intra-articular analgesia after anterior cruciate ligament reconstruction].</t>
  </si>
  <si>
    <t>Musil D; SadovskÃ½ P; StehlÃ­k J</t>
  </si>
  <si>
    <t>PURPOSE OF THE STUDY: In this double-blind prospective study, pain after reconstruction of the anterior cruciate ligament (ACL) was evaluated using the visual analogue scale (VAS). Comparisons were made between patients administered an intra-articular analgesic mixture of adrenaline, morphine and bupivacaine (Marcaine) and those without it, between patients surgically treated by the BTB technique and those undergoing hamstring tendon ACL reconstruction, and between men and women undergoing the same procedure. MATERIAL: Eighty-five randomly selected patients were allocated by five groups according to the surgery performed: 1. ACL reconstruction by the BTB technique, without administration of the analgesic mixture (20 patients); 2. hamstring tendon ACL reconstruction, without the analgesic mixture (20 patients); 3. ACL BTB technique with intra-operative, intra-articular analgesia (20 patients); 4. hamstring tendon ACL reconstruction, with intra-operative, intra-articular analgesia (20 patients), 5. ACL reconstruction using a cadaver graft, without intra-operative analgesia (5 patients). METHODS: ACL reconstruction was carried out, in tourniquet-induced ischemia, by one of the standard techniques mentioned above. An analgesic mixture of adrenaline (1 ml/1 mg), morphine (1 ml/10 mg) and Marcaine (0.5 %/20 ml) was administered into the joint under arthroscopic control before the procedure was terminated. In all cases, the drain was released at 30 min. after the end of surgery. The limb was immobilized in a brace and the joint was cooled with ice. When requested, intramuscular analgesics (Dolmina and Dipidolor) were given.VAS pain scores were recorded at 30 min, 1, 2, 4, 8, 12 and 24 h after surgery. The range was from 0 (no pain) to 10 (maximum pain) scores. In addition, the amount of intramuscular analgesics and the time of their administration after surgery were noted. RESULTS: VAS pain scores were lowest in the patients with ACL reconstruction by cadaver BTB grafting, the highest scores were reported by the patients with autologous BTB graft reconstruction. Women perceived the operation as more painful than men. When the intra-operative analgesic mixture was used, the amount of post-operative opiate analgesics was reduced by 29 % and 46 % in group 3 and group 4 patients, respectively, and in group 3 its administration was postponed (first administration after an interval 1.7-times longer than in group 4). The number of patients not requiring any opiate drugs increased markedly in both these groups. Intra-operative analgesia resulted in only a slight decrease in VAS pain scores, more in group 3 than group 4. DISCUSSION: Several analgesics are used for intra-articular administration in order to alleviate post-operative pain. The most frequently used drugs include bupivacaine, morphine or epinephrine, but their mixtures are more effective than any of the drug administered alone. The most apparent evidence of the effect was the reduced amount of opiate drugs required after surgery, which was significant in all patients treated with intra-articular analgesia (groups 3 and 4) and particularly in men. However, VAS pain scores in the two groups decreased only slightly. Since maximum pain is experienced at the graft donor site, the effect of the evaluated mixture is regarded as complementary and multi-modal analgesic therapy is recommended. CONCLUSIONS: The use of intra-articular analgesia has a significant effect on the reduction of opiate amounts administered to patients during the 24-hour post-operative period after ACL reconstruction, regardless of the surgical technique used. These patients also reported slightly lower perception of pain, as assessed by the VAS pain score. The effect was higher in men than in women.</t>
  </si>
  <si>
    <t>#523</t>
  </si>
  <si>
    <t>Musil 2007</t>
  </si>
  <si>
    <t>Effect of calcium phosphate-hybridized tendon graft in anterior cruciate ligament reconstruction: a randomized controlled trial.</t>
  </si>
  <si>
    <t>Mutsuzaki H; Kanamori A; Ikeda K; Hioki S; Kinugasa T; Sakane M</t>
  </si>
  <si>
    <t>BACKGROUND: The authors developed a novel technique to improve tendon-bone healing by hybridizing calcium phosphate (CaP) with a tendon graft using an alternating soaking process. HYPOTHESIS: Anterior cruciate ligament (ACL) reconstruction using the CaP-hybridized tendon graft would have a better clinical outcome and reduce the percentage of bone tunnel enlargement compared with a conventional method because of the enhanced anchoring between the tendon graft and the bone. STUDY DESIGN: Randomized controlled trial; Level of evidence, 1. METHODS: Patients (N = 64) with unilateral ACL rupture underwent arthroscopically assisted single-bundle ACL reconstruction using a 4-strand semitendinosus tendon or 4-strand semitendinosus and gracilis tendons with EndoButton femoral fixation and screw washer tibial fixation. These patients were equally randomized to undergo the CaP (n = 32) or conventional (n = 32) method using a transtibial tunnel approach according to the closed envelope method. In the CaP group, the tendon graft was hybridized with the CaP at both ends of the graft. One surgeon performed all reconstructions without knowing which graft was prepared. Patients' backgrounds regarding age at surgery, gender, period before surgery, and associated meniscal injuries were similar in the 2 groups. All patients followed the same postoperative protocol. At 1 and 2 years after surgery, they were evaluated with the manual knee laxity test, KT-1000 arthrometry, International Knee Documentation Committee (IKDC) examination form, Tegner scale, and Lysholm scale. Also, 1 year postoperatively, bone tunnel enlargement was analyzed using computed tomography, intensity of the tendon graft by magnetic resonance imaging (MRI), and tendon graft appearance by arthroscopic examination. All the examinations were performed blindly. RESULTS: All patients underwent a minimum 2-year follow-up. KT-1000 arthrometry data indicated statistically significant decreased average anterior tibial translation in the CaP group compared with the conventional method group: 1.0 Â± 2.0 mm versus 1.9 Â± 1.6 mm (P &lt; .05), respectively, at 1 year; 1.6 Â± 2.1 mm versus 2.6 Â± 2.4 mm (P &lt; .05), respectively, at 2 years. The Lysholm score was higher in the CaP group than in the conventional method group at 2 years (96.9 Â± 4.3 vs 91.7 Â± 13.3, P &lt; .05). The CaP-hybridized tendon graft reduced the percentage of bone tunnel enlargement of the anteroposterior diameter at the main joint aperture site 1 year postoperatively (femoral side: 15.5% Â± 13.4% vs 22.1% Â± 16.4%, P &lt; .05; tibial side: 19.3% Â± 17.1% vs 26.1% Â± 13.7%, P &lt; .05). The results of the pivot-shift test, IKDC grade, and Tegner score; the intensity of the tendon graft (MRI); and arthroscopic appearance were not significantly different at both follow-up periods in the 2 groups. CONCLUSION: The CaP-hybridized tendon graft improved anterior knee stability and Lysholm scores at the 2-year follow-up and improved anterior knee stability and reduced the percentage of bone tunnel enlargement in both tunnels at the 1-year follow-up compared with the conventional method for single-bundle ACL reconstruction. However, longer follow-up is needed to investigate the appearance of any increased instability.</t>
  </si>
  <si>
    <t>10.1177/0363546512449618</t>
  </si>
  <si>
    <t>#411</t>
  </si>
  <si>
    <t>Mutsuzaki 2012</t>
  </si>
  <si>
    <t>Bioabsorbable versus titanium interference screws with hamstring autograft in anterior cruciate ligament reconstruction: a prospective randomized trial with 2-year follow-up.</t>
  </si>
  <si>
    <t>Myers P; Logan M; Stokes A; Boyd K; Watts M</t>
  </si>
  <si>
    <t>PURPOSE: The purpose of this study was to prospectively assess the outcome of hamstring autograft anterior cruciate ligament (ACL) reconstruction by use of identically shaped bioabsorbable and titanium interference screws in a randomized trial. METHODS: One hundred patients were randomized to have either bioabsorbable or titanium interference screws used for graft tunnel fixation in hamstring autograft ACL reconstruction. Patients were objectively and subjectively assessed preoperatively and 3, 6, 12, and 24 months postoperatively. Radiographs at 12 months postoperatively were also assessed for tunnel width. RESULTS: There were no differences in clinical outcome by use of Lysholm and International Knee Documentation Committee scores between the 2 groups at any stage of follow-up to 2 years. Tibial tunnel widths were the same between the 2 groups. There was slightly more tunnel widening in the femur when bioabsorbable interference screws were used. CONCLUSIONS: Identically shaped bioabsorbable interference screws and titanium interference screws used for hamstring autograft ACL reconstruction are equally successful up to 2 years postoperatively. LEVEL OF EVIDENCE: Level I, prospective randomized trial with more than 80% follow-up.</t>
  </si>
  <si>
    <t>10.1016/j.arthro.2008.02.011</t>
  </si>
  <si>
    <t>#502</t>
  </si>
  <si>
    <t>Myers 2008</t>
  </si>
  <si>
    <t>Effects of localized vibration on knee joint position sense in individuals with anterior cruciate ligament reconstruction.</t>
  </si>
  <si>
    <t>Nagai T; Bates NA; Hewett TE; Schilaty ND</t>
  </si>
  <si>
    <t>BACKGROUND: Anterior cruciate ligament injury can disrupt one's mechanoreceptors and result in decreased proprioception such as joint position sense and ultimately altered motor function. The application of localized vibration has been used to investigate the integrity of the sensorimotor system and the mechanisms of quadriceps function after anterior cruciate ligament injury and reconstruction. The purpose of the study is to evaluate joint position sense with and without vibration and compare among anterior cruciate ligament reconstructed, contralateral, and control limbs. METHODS: Fourteen subjects with anterior cruciate ligament reconstruction (8 males and 6 females) and fourteen control subjects (7 males and 7 females) participated in the study. Subjects sat on an isokinetic dynamometer chair with localized vibration strapped on the quadriceps tendon while visual and auditory cues were removed. Subjects were asked to remember an active target position and replicate that position actively. The absolute difference between the target and replicated trial was used as joint position sense. There were three trials at three target positions (15, 45, and 75 degrees of knee flexion) with and without vibration. The order of testing conditions was randomized. One-way analysis of variance or non-parametric equivalent (Kruskal-Wallis test) was used to compare among limbs. Significance was set at Pâ€¯&lt;â€¯0.05 a priori. FINDINGS: There were no significant joint position sense differences among anterior cruciate ligament reconstructed, contralateral, and control limbs with or without vibration (Pâ€¯=â€¯0.207-0.914). INTERPRETATION: There are several potential reasons for the current findings: vibration-induced post effect, locations of vibration, types of vibration, and rehabilitation status. Future studies should expand the current investigation and explore both sensory and motor functions in anterior cruciate ligament reconstructed subjects.</t>
  </si>
  <si>
    <t>10.1016/j.clinbiomech.2018.04.011</t>
  </si>
  <si>
    <t>#251</t>
  </si>
  <si>
    <t>Nagai 2018</t>
  </si>
  <si>
    <t>Anatomic femoral tunnel placement is difficult by the transtibial technique: comparison of three different femoral tunnel drilling techniques in double-bundle anterior cruciate ligament reconstructions.</t>
  </si>
  <si>
    <t>Nakamura K; Nakamura T; Horie M; Katagiri H; Otabe K; Nakagawa Y; Amemiya M; Sekiya I; Muneta T; Koga H</t>
  </si>
  <si>
    <t>PURPOSE: To compare the position and direction of femoral and tibial tunnels for both the anteromedial bundle (AMB) and posterolateral bundle (PLB) among three different femoral tunnel drilling techniques, transtibial (TT), transportal (TP), and outside-in (OI) techniques, in anatomic double-bundle ACL reconstruction to clarify advantages and disadvantages of each technique. METHODS: One-hundred and thirty-nine patients underwent primary ACL reconstruction with an autologous semitendinosus tendon in our institution between 2014 and 2016. Thirteen patients were excluded according to the exclusion criteria. Of the 126 patients, 98 patients agreed to be included in this study. Patients were then randomized into three groups according to the femoral tunnel drilling technique; the TT, TP, and OI groups. Femoral and tibial tunnel angles and positions were measured using three-dimensional computed tomography. RESULTS: Of patients who agreed to be included in this study, eight patients (seven in TT and one in OI) were excluded since the femoral tunnel could not be created at the intended position. Eighty-six patients (29 in TT, 29 in TP, and 28 in OI) were included for the analyses. Tunnel angles, as well as tunnel lengths, had significant differences among different techniques depending on each technique's characteristics. In terms of tunnel position, femoral tunnel positions of both the AMB and PLB in the TT group were significantly higher than those in the TP group (AMB: pâ€‰=â€‰0.003, PLB: pâ€‰=â€‰0.001), and the PLB tunnel position in the TP group had significantly smaller vaciance than that in the TT group (pâ€‰=â€‰0.004) and OI group (0.002). CONCLUSIONS: The femoral tunnel positions created by the TT technique were significantly higher, with larger variance, than the TP technique in double-bundle ACL reconstruction, although the positions seemed to be within anatomical footprint. In addition, there were several cases in which femoral tunnels could not be created at the intended position by the TT technique. LEVEL OF EVIDENCE: I.</t>
  </si>
  <si>
    <t>10.1007/s00167-019-05740-8</t>
  </si>
  <si>
    <t>#210</t>
  </si>
  <si>
    <t>Nakamura 2020</t>
  </si>
  <si>
    <t>Quantitative MRI Analysis of Patellofemoral Joint Cartilage Health 2 Years After Anterior Cruciate Ligament Reconstruction and Lateral Extra-Articular Tenodesis.</t>
  </si>
  <si>
    <t>Nakanishi Y; Hegarty P; Vivacqua T; Firth A; Milner JS; Pritchett S; Willits K; Litchfield R; Bryant D; Getgood AMJ</t>
  </si>
  <si>
    <t>BACKGROUND: The addition of an iliotibial band-based lateral extra-articular tenodesis (LET) to anterior cruciate ligament (ACL) reconstruction (ACLR) has been shown to reduce failure rates. However, there are concerns as to the potential overconstraint of tibiofemoral kinematics that may increase the risk of cartilage degradation. To date, no clinical study has investigated the effect of LET on patellofemoral joint articular cartilage health. HYPOTHESIS: It was hypothesized that at 2 years postoperatively, (1) the addition of LET at the time of ACLR would have no effect on cartilage health on magnetic resonance imaging (MRI), and (2) higher cartilage relaxation values would be associated with worse patient-reported and functional outcomes. STUDY DESIGN: Cohort study; Level of evidence, 3. METHODS: A subset of patients from the STABILITY 1 randomized controlled trial were included. All patients underwent primary ACLR with a hamstring autograft. Patients were randomized to either LET augmentation or not. Cartilage status in the patellofemoral joint between the ACLR group and ACLR+LET group was compared using 2-year postoperative quantitative MRI and the ACL osteoarthritis scores of both the surgical and the contralateral nonsurgical knees. Objective functional outcomes and patient-reported outcome measures (PROMs) were attained. RESULTS: A total of 92 patients (43 patients in the ACLR group; mean age, 18.9 Â± 3.2 years; 60.5% female; and 49 patients in the ACLR+LET group; mean age, 18.7 Â± 3.2 years, 63.3% female) were included. No significant differences were seen in the mean values (ms) for adjusted T1Ï_x0081_/T2 relaxation times in the medial patella (47.8/42.2 vs 47.3/43.2), central patella (45.5/42.5 vs 44.1/42.7), lateral patella (48.2/43.5 vs 47.3/43.0), medial trochlea (54.7/50.9 vs 56.4/50.9), central trochlea (53.3/51.1 vs 53.1/52.0), and lateral trochlea (54.9/52.1 vs 53.9/52.6) between the ACLR and ACLR+LET groups. No difference in overall ACL osteoarthritis scores was observed (P = .99). An increase in medial patellar T2 relaxation times was associated with a decreasing International Knee Documentation Committee score (P = .046), Knee injury and Osteoarthritis Outcome Score (KOOS) Symptoms subscale score (P = .01), and total KOOS (P = .01). CONCLUSION: There was no statistical difference in patellofemoral cartilage health between knees 2 years after primary ACLR with hamstring tendon autograft with or without LET. Statistically significant correlations were found between quantitative MRI relaxation times, functional outcome scores, and PROMs; however, the correlations were weak and the clinical significance is unknown. REGISTRATION: NCT02018354 (ClinicalTrials.gov identifier).</t>
  </si>
  <si>
    <t>10.1177/03635465241248642</t>
  </si>
  <si>
    <t>#80</t>
  </si>
  <si>
    <t>Nakanishi 2024</t>
  </si>
  <si>
    <t>The effect of tourniquet use on operative performance and early postoperative results of anatomic double-bundle anterior cruciate ligament reconstruction.</t>
  </si>
  <si>
    <t>Nakayama H; Yoshiya S</t>
  </si>
  <si>
    <t>PURPOSE: The purpose of this study was to examine the effect of tourniquet use on operative performance and early postoperative results of anatomic double-bundle anterior cruciate ligament (ACL) reconstruction. METHODS: Fifty-one patients who underwent scheduled ACL reconstruction for unilateral ACL deficiency from June 2010 to October 2011 were included in this study. The mean age at surgery was 26.3 years (range 14-45 years). An anatomic bundle reconstructive procedure with an autogenous hamstring tendon graft was performed in all cases. These patients were randomly divided into two groups: the tourniquet group (T group) and no tourniquet group (NT group). The reconstructive procedure was performed with the use of a tourniquet for 28 patients in the T group, while a tourniquet was inflated only during the graft harvest for 23 patients in the NT group. The surgical procedure and postoperative management were identical for both groups. Inter-group comparison was conducted for intra- and peri-operative clinical parameters as well as early postoperative results (functional recovery at 3 months). RESULTS: The arthroscopic visual field during the procedure was not compromised even without the use of a tourniquet. There was no significant difference in operative time between the groups (P = 0.10). The amount of blood corrected through the intraarticular drain was significantly larger in the T group (P = 0.02), while total blood loss calculated by the postoperative reduction of the hemoglobin value was not significantly different between the groups (P = 0.74). Although the VAS value for postoperative numbness was significantly higher in the T group (P = 0.0002), the VAS value for pain was not significantly different (P = 0.30). Additionally, recovery of muscle strength at 3 months was not significantly different between the groups. CONCLUSION: This comparative study showed that arthroscopic procedures could be uneventfully performed without the use of a tourniquet. The clinical parameters when not using a tourniquet were not significantly different, but the use of a tourniquet resulted in an increase in postoperative intraarticular bleeding and VAS for numbness. LEVEL OF EVIDENCE: Prospective randomized study, Level II.</t>
  </si>
  <si>
    <t>J Orthop Sci</t>
  </si>
  <si>
    <t>10.1007/s00776-013-0405-2</t>
  </si>
  <si>
    <t>#379</t>
  </si>
  <si>
    <t>Nakayama 2013</t>
  </si>
  <si>
    <t>A new generation of artificial ligaments in reconstruction of the anterior cruciate ligament. Two-year follow-up of a randomised trial.</t>
  </si>
  <si>
    <t>Nau T; Lavoie P; Duval N</t>
  </si>
  <si>
    <t>We have undertaken a randomised clinical trial comparing two methods of reconstruction of the anterior cruciate ligament in patients with chronic instability. We used an ipsilateral bone-patellar-tendon-bone autograft in 27 patients and the Ligament Advancement Reinforcement System (LARS) artificial ligament in 26. Assessment before and at two, six, 12 and 24 months after surgery, included the history, physical examination, a modified International Knee Documentation Committee (IKDC) score, the Tegner score, the Knee Injury and Osteoarthritis Outcome Score (KOOS) and instrumented laxity testing. There were no cases of reactive synovitis or of infection of the knee, and there was no difference regarding the failure rate between the two groups. The IKDC showed no significant differences between the two groups at any stage of the follow-up. The KOOS evaluation showed consistently better results in all subscales for the LARS group during the first year of follow-up. After 24 months these differences were no longer evident. Instrument-tested laxity was greater in the LARS group at all stages of follow-up, but the differences were not significant at 24 months. Our findings suggest that at follow-up at 24 months the LARS ligament seems to be a satisfactory treatment option, especially when an early return to high levels of activity is demanded.</t>
  </si>
  <si>
    <t>10.1302/0301-620x.84b3.12400</t>
  </si>
  <si>
    <t>#613</t>
  </si>
  <si>
    <t>Nau 2002</t>
  </si>
  <si>
    <t>No Alterations in ACL Injury Risk Factors in Preadolescent Elite Female Handball Players Following an Eight-Week Targeted Training Intervention: A Randomised Controlled Trial.</t>
  </si>
  <si>
    <t>Nedergaard NJ; Bencke J; Egholm J; Nielsen AL; Karabanov AN; Lundbye-Jensen J; Zebis MK</t>
  </si>
  <si>
    <t>Adolescent female handball players are at elevated risk of anterior cruciate ligament (ACL) injury. Early interventions during preadolescence seem crucial for improving motor strategies and potentially preventing injuries. This randomised controlled trial on preadolescent female handball players investigated the effects of an 8-week ACL injury prevention program (ACL-IPP) targeting modifiable neuromuscular and biomechanical risk factors and assessed retention effects 8â€‰weeks post-intervention. Thirty-five elite preadolescent female handball players (11-13â€‰years old) were randomised to the ACL-IPP group (nâ€‰=â€‰18) or a control group that performed shoulder injury prevention exercises (nâ€‰=â€‰17), with supervised training conducted for 15â€‰min twice weekly. Biomechanical and neuromuscular assessments of participants' side-cutting manoeuvres were performed at baseline, immediately after the 8-week intervention (post-intervention) and at an 8-week follow-up (16â€‰weeks from baseline). The primary outcome was the between-group change in m. semitendinosus EMG preactivity, measured during the 50â€‰ms preceding initial contact of the side-cutting manoeuvre at 8â€‰weeks. There were no significant between-group differences in changes in semitendinosus preactivity (p = 0.950), isometric hip external rotation strength, hip flexion, knee internal rotation at initial contact or peak knee abduction moments of the handball-specific side-cut manoeuvre. Similarly, no retention effects were observed after 16â€‰weeks. These findings suggest that the implemented 8-week ACL-IPP was insufficient to elicit meaningful improvements in ACL injury risk factors in this population. Greater training volume, different exercise selection and/or extended intervention duration may be required to induce neuromuscular and biomechanical adaptations in preadolescent female handball players. Trial Registration: ClinicalTrials.gov identifier: NCT05955599.</t>
  </si>
  <si>
    <t>Transl Sports Med</t>
  </si>
  <si>
    <t>10.1155/tsm2/2570210</t>
  </si>
  <si>
    <t>#29</t>
  </si>
  <si>
    <t>Nedergaard 2026</t>
  </si>
  <si>
    <t>The effect on leg strength of tourniquet use during anterior cruciate ligament reconstruction: A prospective randomized study.</t>
  </si>
  <si>
    <t>Nicholas SJ; Tyler TF; McHugh MP; Gleim GW</t>
  </si>
  <si>
    <t>PURPOSE: The purpose of this study was to prospectively evaluate the effect of tourniquet use during endoscopic anterior cruciate ligament (ACL) reconstruction surgery on dorsiflexion strength, plantarflexion strength, quadriceps strength, and calf and thigh girth. TYPE OF STUDY: The study was a prospective, double-blind, randomized clinical trial. METHODS: Forty-eight patients were prospectively randomized into 2 groups: (1) tourniquet use during surgery (T) and, (2) no tourniquet use during surgery (NT). Within 1 week before ACL reconstruction, all patients were evaluated for isometric plantarflexion and dorsiflexion strength, thigh strength, and thigh and calf girth. These same measurements were repeated 3 weeks postoperatively. At 6 months, isokinetic quadriceps strength was evaluated at 60 degrees per second. All patients underwent ACL reconstruction using a patella-tendon autograft and a tourniquet was placed on the affected extremity. In all 25 T patients, the tourniquet was inflated to 300 mm Hg. The average tourniquet time was 85 +/- 7 minutes (range, 51 to 114 minutes). RESULTS: ACL reconstruction resulted in a significant decrease in thigh girth (P &lt;.01), calf girth (P &lt;.01), dorsiflexion strength (P &lt;.01), and plantarflexion strength (P &lt;.05) at 3 weeks postoperatively in both groups. The T group had a greater decrease in thigh girth than the NT group (P &lt;.05). Tourniquet use did not have an effect on calf girth (P =.53), dorsiflexion strength (P =.17), or plantarflexion strength (P =.32) at 3 weeks postoperatively. Tourniquet use also had no effect on quadriceps strength at 6 months postoperatively (P =.78). CONCLUSIONS: Tourniquet use of less than 114 minutes during ACL reconstruction had no effect on the strength of the lower extremity after surgery.</t>
  </si>
  <si>
    <t>10.1053/jars.2001.24854</t>
  </si>
  <si>
    <t>#623</t>
  </si>
  <si>
    <t>Nicholas 2001</t>
  </si>
  <si>
    <t>A prospectively randomized double-blind study on the effect of initial graft tension on knee stability after anterior cruciate ligament reconstruction.</t>
  </si>
  <si>
    <t>Nicholas SJ; D'Amato MJ; Mullaney MJ; Tyler TF; Kolstad K; McHugh MP</t>
  </si>
  <si>
    <t>BACKGROUND: No consensus exists on the amount of tension that should be applied to anterior cruciate ligament grafts to best facilitate graft incorporation and re-create normal knee mechanics. HYPOTHESIS: Differences in initial graft tension will affect postoperative knee stability. STUDY DESIGN: Prospective, randomized, double-blind clinical trial. METHODS: Forty-nine patients undergoing bone-patellar tendon-bone autograft anterior cruciate ligament reconstruction by a single surgeon were randomized into high-tension (n = 27) and low-tension (n = 22) groups. Grafts were set at 90 N or 45 N. Arthrometric measurements (KT-1000 arthrometer manual maximum) of anterior tibial displacement and knee range of motion were made before surgery and at 1 week and an average of 20 months after surgery. Knee outcome scores were collected before and after surgery, and a single-leg hop test was also performed at final follow-up. RESULTS: After anterior cruciate ligament reconstruction, anterior tibial displacement was significantly greater in the patients in the low-tension group (P &lt; .05). The side-to-side difference in anterior tibial displacement in the high-tension and low-tension groups was 1.1 +/- 1.7 mm versus 2.4 +/- 2.4 mm 1 week after surgery and 2.2 +/- 1.6 mm versus 3.0 +/- 2.2 mm at follow-up. Five patients had abnormal anterior tibial displacement (&gt;5 mm side-to-side difference), and all were in the low-tension group (P &lt;.05). Knee outcome scores improved with surgery (P &lt;.01), with similar results for low-tension and high-tension groups. Hop test deficits were not different between groups. CONCLUSIONS: Initial graft tension affects the restoration of knee stability. A graft tension of 45 N was not sufficient for restoring knee stability.</t>
  </si>
  <si>
    <t>10.1177/0363546504265924</t>
  </si>
  <si>
    <t>#576</t>
  </si>
  <si>
    <t>Nicholas 2004</t>
  </si>
  <si>
    <t>Effectiveness of a home-based re-injury prevention program on motor control, return to sport and recurrence rates after anterior cruciate ligament reconstruction: study protocol for a multicenter, single-blind, randomized controlled trial (PReP).</t>
  </si>
  <si>
    <t>Niederer D; Keller M; Achtnich A; Akoto R; Ateschrang A; Banzer W; BariÃ© A; Best R; Ellermann A; Fischer A; Guenther D; Herbort M; HÃ¶her J; Janko M; Jung TM; Krause M; Petersen W; Stoffels T; StÃ¶hr A; Welsch F; Stein T</t>
  </si>
  <si>
    <t>BACKGROUND: Although anterior cruciate ligament (ACL) tear-prevention programs may be effective in the (secondary) prevention of a subsequent ACL injury, little is known, yet, on their effectiveness and feasibility. This study assesses the effects and implementation capacity of a secondary preventive motor-control training (the Stop-X program) after ACL reconstruction. METHODS AND DESIGN: A multicenter, single-blind, randomized controlled, prospective, superiority, two-arm design is adopted. Subsequent patients (18-35â€‰years) with primary arthroscopic unilateral ACL reconstruction with autologous hamstring graft are enrolled. Postoperative guideline rehabilitation plus Classic follow-up treatment and guideline rehabilitation plus the Stop-X intervention will be compared. The onset of the Stop-X program as part of the postoperative follow-up treatment is individualized and function based. The participants must be released for the training components. The endpoint is the unrestricted return to sport (RTS) decision. Before (where applicable) reconstruction and after the clearance for the intervention (aimed at 4-8â€‰months post surgery) until the unrestricted RTS decision (but at least until 12â€‰months post surgery), all outcomes will be assessed once a month. Each participant is consequently measured at least five times to a maximum of 12 times. Twelve, 18 and 24â€‰months after the surgery, follow-up-measurements and recurrence monitoring will follow. The primary outcome assessementÂ (normalized knee-separation distance at the Drop Jump Screening Test (DJST)) is followed by the functional secondary outcomesÂ assessements. The latterÂ consist of quality assessments during simple (combined) balance side, balance front and single-leg hops for distance. All hop/jump tests are self-administered andÂ filmed from the frontal view (3-m distance). All videos are transferred using safe big content transfer and subsequently (and blinded) expertly video-rated. Secondary outcomes are questionnaires on patient-reported knee function, kinesiophobia, RTS after ACL injury and training/therapy volume (frequency - intensity -Â type and time). All questionnaires are completed online using the participants' pseudonym only. Group allocation is executed randomly. The training intervention (Stop-X arm) consists of self-administered home-based exercises. The exercises are step-wise graduated and follow wound healing and functional restoration criteria. The training frequency for both arms is scheduled to be three times per week, each time forÂ a 30â€‰min duration. The program follows current (secondary) prevention guidelines. Repeated measurements gain-score analyses using analyses of (co-)variance are performed for all outcomes. TRIAL REGISTRATION: German Clinical Trials Register, identification number DRKS00015313 . Registered on 1 October 2018.</t>
  </si>
  <si>
    <t>10.1186/s13063-019-3610-2</t>
  </si>
  <si>
    <t>#214</t>
  </si>
  <si>
    <t>Niederer 2019</t>
  </si>
  <si>
    <t>Has platelet-rich plasma any role in anterior cruciate ligament allograft healing?</t>
  </si>
  <si>
    <t>Nin JR; Gasque GM; AzcÃ¡rate AV; Beola JD; Gonzalez MH</t>
  </si>
  <si>
    <t>PURPOSE: The aim of this study was to evaluate and compare the clinical and inflammatory parameters with the addition of platelet-derived growth factor (PDGF) in primary anterior cruciate ligament (ACL) reconstruction with bone-patellar tendon-bone allograft. METHODS: We prospectively randomized 100 patients undergoing arthroscopic patellar tendon allograft ACL reconstruction to a group in whom platelet-enriched gel was used (n = 50) and a non-gel group (n = 50). The platelet concentration was 837 x 10(3)/mm(3), and the gel was introduced inside the graft and the tibial tunnel. Demographic data were comparable between groups. The mean follow-up was 24 months for both groups and included a history, clinical evaluation with the International Knee Documentation Committee score, radiographs, and magnetic resonance imaging. RESULTS: There were no differences in the number of associated injuries. The results did not show any statistically significant differences between the groups for inflammatory parameters (perimeters of the knee and C-reactive protein level), magnetic resonance imaging appearance of the graft, and clinical evaluation scores (visual analog scale, International Knee Documentation Committee, and KT-1000 arthrometer [MEDmetric, San Diego, CA]). CONCLUSIONS: At this time, the therapeutic role of PDGF in ACL reconstruction remains unclear. The use of PDGF, on the graft and inside the tibial tunnel, in patients treated with bone-patellar tendon-bone allografts has no discernable clinical or biomechanical effect at 2 years' follow-up. More clinical studies will be needed to show the efficacy and use of these factors in daily practice in ACL reconstruction. LEVEL OF EVIDENCE: Level I, prospective, randomized, double-blind study.</t>
  </si>
  <si>
    <t>10.1016/j.arthro.2009.06.002</t>
  </si>
  <si>
    <t>#463</t>
  </si>
  <si>
    <t>Nin 2009</t>
  </si>
  <si>
    <t>Improved ACL reconstruction outcome using double-layer BPTB allograft compared to that using four-strand hamstring tendon allograft.</t>
  </si>
  <si>
    <t>Niu Y; Niu C; Wang X; Liu J; Cao P; Wang F; Niu J</t>
  </si>
  <si>
    <t>BACKGROUND: This study compared the clinical outcomes of anterior cruciate ligament reconstruction using double-layer bone-patellar tendon-bone (DBPTB) allografts and four-strand hamstring (4SHS) grafts. METHODS: This prospective randomized controlled trial included 101 patients. Of these, 50 patients received DBPTB allografts, and 51 received 4SHS grafts. Evaluations included KT-1000 arthrometer measurements, Lachman tests, pivot-shift tests, the International Knee Documentation Committee (IKDC) classification and Lysholm scores at three year postoperative follow-up. RESULTS: Two DBPTB patients (four percent) and nine 4SHS patients (17.6%) had graft failures, which was significantly different (P=0.028). The DBPTB group had significantly better Lachman test, IKDC knee score and Lysholm score results than the 4SHS group (P&lt;0.05). However, these differences were below the threshold for clinical significance. CONCLUSIONS: DBPTB allografts had fewer graft failures at three years than 4SHS grafts for anterior cruciate ligament reconstruction; and there were statistically significant differences but not clinically significant differences between DBPTB and 4SHS grafts in terms of the KT1000 test, IKDC and Lysholm scores.</t>
  </si>
  <si>
    <t>10.1016/j.knee.2016.06.015</t>
  </si>
  <si>
    <t>#284</t>
  </si>
  <si>
    <t>Niu 2016</t>
  </si>
  <si>
    <t>Comparison between hamstring autograft and free tendon Achilles allograft: minimum 2-year follow-up after anterior cruciate ligament reconstruction using EndoButton and Intrafix.</t>
  </si>
  <si>
    <t>Noh JH; Yi SR; Song SJ; Kim SW; Kim W</t>
  </si>
  <si>
    <t>PURPOSE: This study is to compare the clinical and radiographic results of anterior cruciate ligament (ACL) reconstruction with four-stranded autogenous hamstring tendon and two-stranded free tendon Achilles allograft fixed with EndoButton in the femoral tunnel and Intrafix in the tibial tunnel. MATERIALS AND METHODS: 106 patients diagnosed with ACL rupture underwent ACL reconstruction. Autogenous hamstring tendon was used in 33 patients (group I) and free tendon Achilles allografts were used in 32 patients (group II). Median age was 23Â years old (20-51) in group I and 22Â years old (20-55) in group II. Range of motion, Lachman test, pivot_shift test, IKDC score, Lysholm score and side-to-side difference (SSD) were evaluated preoperatively and at the last follow-up. Tegner activity scale was evaluated before injury and at the last follow-up. RESULTS: The mean follow-up periods were 28.1Â months in group I and 31.6Â months in group II. Range of motion of the knee was not different from that of the unaffected side in most cases except one flexion deficit in group I and three in group II (n.s.). One in group I and three in group II showed grade two or three laxity on Lachman test at the last follow-up. One in group I and three in group II showed clear positive results on pivot_shift test at the last follow-up. Thirty in group I and 26 in group II were classified to IKDC A or B at the last follow-up (n.s.). Median Lysholm scores were 98 (85-100) in group I and 99 (85-100) in group II at the last follow-up (n.s.). Median Tegner activity scales were 6 (5-9) in group I and 6 (4-9) in group II at the last follow-up (n.s.). The mean SSD at the last follow-up were 1.4Â Â±Â 2.0Â mm in group I and 1.9Â Â±Â 2.4Â mm in group II (n.s.). CONCLUSION: Clinical and radiological outcomes of ACL reconstruction with two-stranded free tendon Achilles allograft were comparable to those of four-stranded autogenous hamstring tendon. This technique is reasonable to accomplish good results without some weaknesses when using allograft with bone block. LEVEL OF EVIDENCE: Therapeutic randomized controlled prospective study, Level I.</t>
  </si>
  <si>
    <t>#437</t>
  </si>
  <si>
    <t>Hybrid tibial fixation for anterior cruciate ligament reconstruction with Achilles tendon allograft.</t>
  </si>
  <si>
    <t>Noh JH; Yang BG; Yi SR; Roh YH; Lee JS</t>
  </si>
  <si>
    <t>PURPOSE: To compare clinical outcomes of tibial fixation between a biodegradable interference screw only and a biodegradable interference screw supplemented by a post-tie using a washer screw in single-bundle anterior cruciate ligament (ACL) reconstruction with 2-strand free tendon Achilles allograft in active young men. METHODS: A prospective study was performed in 80 subjects who underwent single-bundle ACL reconstruction. A 2-strand free tendon Achilles allograft fixed with an EndoButton (Smith &amp; Nephew, Andover, MA) in the femoral tunnel and with a Bio-Interference screw (Arthrex, Naples, FL) in the tibial tunnel was used in group I. Supplementary fixation was performed with a post-tie using a washer screw in group II. The Lachman test, pivot-shift test, International Knee Documentation Committee classification, Lysholm score, range of knee motion, and side-to-side difference were evaluated preoperatively and at the last follow-up. The Tegner activity scale was evaluated before injury and at the last follow-up. The 1-leg hop test was assessed at the last follow-up. RESULTS: Of the patients, 36 in group I and 35 in group II could be followed up for at least 2 years. At the last follow-up, 7 patients in group I and 1 in group II showed a 2+ or 3+ on the Lachman test (P = .027). The mean side-to-side difference was 2.9 Â± 2.3 mm in group I and 1.4 Â± 1.6 mm in group II at the last follow-up (P = .002). The other clinical outcomes were not significantly different between the 2 groups. CONCLUSIONS: Supplementary tibial fixation with a post-tie in ACL reconstruction using 2-strand free tendon Achilles allograft was more effective than a biodegradable interference screw only in restoration of the anterior stability of the tibia. LEVEL OF EVIDENCE: Level II, randomized controlled trial.</t>
  </si>
  <si>
    <t>10.1016/j.arthro.2012.03.012</t>
  </si>
  <si>
    <t>#409</t>
  </si>
  <si>
    <t>Noh 2012</t>
  </si>
  <si>
    <t>Femoral tunnel position on conventional magnetic resonance imaging after anterior cruciate ligament reconstruction in young men: transtibial technique versus anteromedial portal technique.</t>
  </si>
  <si>
    <t>Noh JH; Roh YH; Yang BG; Yi SR; Lee SY</t>
  </si>
  <si>
    <t>PURPOSE: The purpose of this study was to compare clinical outcomes after single-bundle anterior cruciate ligament (ACL) reconstruction with a free Achilles tendon allograft using either a transtibial or an anteromedial portal technique and then to quantify the difference in femoral tunnel position between these 2 approaches. This assessment was to be performed with a new method using conventional magnetic resonance imaging (MRI) with a digital imaging system. METHODS: In this prospective randomized comparative study, 53 young male patients with ACL rupture underwent ACL reconstruction with the transtibial technique (group 1) or the anteromedial portal technique (group 2). We assessed clinical outcomes with the Lachman test, pivot_shift test, International Knee Documentation Committee (IKDC) classification, Lysholm score, Tegner activity scale, and single leg hop (SLH) test. Radiologic assessments included the position of the femoral tunnel aperture and the posterior cruciate ligament (PCL) index on conventional MRI and the side-to-side difference (SSD) on stress radiographs. RESULTS: Sixty-one participants had follow-up. The mean follow-up period was 30.2 months. At the last follow-up, there were no significant differences between the 2 groups in results from the Lachman test, pivot_shift test, IKDC classification, Tegner activity scale, and SLH test. The Lysholm score and SSD results in group 2 were superior to those in group 1 (P &lt; .001). The femoral tunnel aperture was positioned more posteriorly in group 2 than in group 1 (P &lt; .001). Changes in the PCL index were greater in group 1 than in group 2 (P &lt; .001). CONCLUSIONS: The position of the femoral tunnel aperture created with the anteromedial portal technique was more posterior than that made with the transtibial technique. Knees reconstructed with the anteromedial portal technique were more stable in Telos testing, and were 3 points higher on the Lysholm score. However, there were no statistically significant differences in the Tegner activity scale or IKDC classification between the 2 groups. LEVEL OF EVIDENCE: Therapeutic level I, randomized controlled clinical trial.</t>
  </si>
  <si>
    <t>10.1016/j.arthro.2013.01.025</t>
  </si>
  <si>
    <t>#383</t>
  </si>
  <si>
    <t>Noh 2013</t>
  </si>
  <si>
    <t>Single-bundle anterior cruciate ligament reconstruction in active young men using bone-tendon achilles allograft versus free tendon achilles allograft.</t>
  </si>
  <si>
    <t>PURPOSE: The purpose was to prospectively compare the outcomes of anterior cruciate ligament (ACL) reconstruction using bone-tendon Achilles allograft with those of free tendon Achilles allograft in 2 groups of active young men. METHODS: We enrolled 72 subjects in the study. Of these, 33 subjects who had ACL reconstruction with Achilles allograft with calcaneal bone block on its end (group I) and 34 who had ACL reconstruction with free tendon Achilles allograft (group II) were followed up for a minimum of 2 years. The Lachman test, pivot-shift test, and 1-leg hop test were evaluated at the last follow-up. The International Knee Documentation Committee classification, Lysholm score, and side-to-side difference were assessed preoperatively and at the last follow-up. The Tegner activity scale was evaluated before injury and at the last follow-up. RESULTS: The mean follow-up period was 30.9 months (range, 26 to 38 months). At the last follow-up, there were no statistically significant differences between the 2 groups for the Lachman test, pivot-shift test, 1-leg hop test, International Knee Documentation Committee classification, Lysholm score, and side-to-side difference (PÂ &gt; .05). Three subjects in group I and three in group II showed an activity level 2 steps below the preinjury activity level. The rest of the subjects returned to the preinjury activity level or showed a level 1 step below the preinjury activity level. CONCLUSIONS: There were no significant differences in clinical outcomes of ACL reconstructions using Achilles allograft between the bone-tendon group and the free tendon group in active young men. Free tendon Achilles allograft may be considered an option for ACL reconstruction. LEVEL OF EVIDENCE: Level II, therapeutic study, randomized controlled trial.</t>
  </si>
  <si>
    <t>10.1016/j.arthro.2012.10.023</t>
  </si>
  <si>
    <t>#387</t>
  </si>
  <si>
    <t>Supplementary tibial fixation in anterior cruciate ligament reconstruction - Direct cortical fixation using spiked washer screw vs. post-tie using washer screw.</t>
  </si>
  <si>
    <t>Noh JH; Kyiung HS; Yoon KH; Roh YH</t>
  </si>
  <si>
    <t>We compare clinical outcomes of two different supplementary tibial fixation in anterior cruciate ligament (ACL) reconstruction using free tendon Achilles allograft. Eighty subjects underwent ACL reconstruction using Endobutton CL for femoral fixation and Bio-interference screw for tibial fixation. Supplementary tibial fixation was performed as direct -cortical fixation using spiked washer screw (group I) or as post-tie using washer screw (group II). -Lachman test, pivot_shift test, IKDC classification, Lysholm score, and side-to-side difference (SSD) were evaluated. Thirty six in group I and thirty five in group II could follow up for at least 2 years. At the last follow-up, 7 in group I and 1 in group II showed 2+ or 3+ in Lachman test (pâ€ˆ=â€ˆ0.027). Mean SSD was 2.4mm in group I and 1.4mm in group II (pâ€ˆ=â€ˆ0.048). Post-tie using washer screw was more effective than direct cortical fixation using spiked washer screw to restore stability. Level of evidenceâ€ˆ: Therapeutic Level Iâ€ˆ; Randomized controlled clinical trial.</t>
  </si>
  <si>
    <t>Acta Orthop Belg</t>
  </si>
  <si>
    <t>#290</t>
  </si>
  <si>
    <t>Noh 2016</t>
  </si>
  <si>
    <t>Recovery of Quadriceps Strength and Knee Function Using Adjuvant EMG-BF After Primary ACL Reconstruction.</t>
  </si>
  <si>
    <t>Norozian B; Arabi S; Marashipour SM; Khademi Kalantari K; Akbarzadeh Baghban A; Kazemi SM; Jamebozorgi AA</t>
  </si>
  <si>
    <t>Introduction: Immobility and limited usage of operated limbs lead to weakness and atrophy of the muscle after anterior cruciate ligament (ACL) reconstruction. However, training programs for preventing biomechanical risk factors such as lower limb alignment and increased muscular contraction are very limited. Thus, the current study was carried out to evaluate the recovery of quadriceps muscle strength and the improvement of knee function using adjuvant electromyographic biofeedback (EMG-BF) after ACL reconstruction. Methods: This prospective randomized controlled trial was conducted among 40 patients (20=EMG-BF group, 20=Control group) with ACL reconstruction, who were referred to Akhtar Hospital from 2021 to 2022. In the EMG-BF group, EMG BFB was added to the standard rehabilitation protocol, and in the control group, the standard rehabilitation protocol with full postoperative weight-bearing, knee brace (zero degree of extension, 90 degrees of flexion), and electrical stimulation with maximal voluntary isometric knee extension was performed. Each group was intervened for 4 weeks and three sessions of 30 minutes per week. It should be noted that each patient participated in 16 outpatient physiotherapy sessions after surgery. Nicholas Hand-Held Dynamometer (HHD) was used for measuring quadriceps strength, and Knee Outcome Survey-Activities of Daily Living (KOS-ADLs) and Knee Outcome Survey Sports Activities Scale (KOS-SAS) questionnaires were used for assessing the knee function. Results: Four weeks after the treatment, the EMG-BF group showed a significant increase in quadriceps strength (P=0.0001). Quadriceps strength had a significant difference before and after 4 weeks of intervention (P=0.0001), but in the control group, no significant difference was observed (P=0.368). The EMG-BF group had a significant increase in KOS-ADLs and KOS-SAS scores after 4 weeks of intervention (P=0.0001). Conclusion: In our study, isometric strengthening of quadriceps with adjuvant EMG-BF significantly increased the strength of quadriceps and knee function during 4 weeks. EMG-BF is a low risk, low cost, and less invasive intervention and has high safety and adjustment ability. It is a valuable adjuvant method for achieving better functional recovery in a shorter time.</t>
  </si>
  <si>
    <t>J Lasers Med Sci</t>
  </si>
  <si>
    <t>10.34172/jlms.2023.06</t>
  </si>
  <si>
    <t>#102</t>
  </si>
  <si>
    <t>Norozian 2023</t>
  </si>
  <si>
    <t>Four-week Nordic hamstring exercise intervention for individuals with ACL reconstruction via hamstrings tendon autograft: feasibility of a pilot randomized controlled trial.</t>
  </si>
  <si>
    <t>Norte GE; Glaviano NR; Sherman DA; Rush JL; Murray AM</t>
  </si>
  <si>
    <t>BACKGROUND: The Nordic hamstring exercise (NHE) has been widely used among uninjured, athletic populations to mitigate the risk of hamstring injury, yet little is known about its utility as an intervention for individuals who undergo ACL reconstruction with hamstring tendon autograft (ACLR-HT). Understanding the feasibility of NHE as a means of enhancing hamstring function may aid in the development of evidence-based recommendations to guide hamstring recovery. Our aim was to determine the feasibility of conducting a pilot NHE trial among individuals with ACLR-HT. METHODS: We used a single-blind randomized controlled trial with parallel arms to investigate individuals 18-35Â years with primary, unilateral ACLR-HT. Twenty-three participants were randomized to a standardized, 4-week (10 session) progressive NHE intervention (nâ€‰=â€‰17) or usual care control (nâ€‰=â€‰6) group at a 3:1 ratio. Those randomized to the control group were eligible to open-enroll in the intervention group at the completion of the original study period. Primary feasibility outcomes included recruitment uptake, protocol adherence, dose goal attainment, and retention. Exercise perceptions and safety were also assessed. Summary statistics were used to descriptively report all findings. RESULTS: Two control participants were open-enrolled in the intervention group after completing their original study period (nâ€‰=â€‰19). All participants (88.5% recruitment uptake) adhered to the exercise protocol (100%) and 18 participants (94.7%) attained the total exercise dosage goal. A 100% retention rate was observed, as all participants (intervention 17 randomized, 2 open-enrolled; control 6) returned for their follow-up assessment. CONCLUSIONS: A standardized, 4-week progressive NHE protocol is feasible for individuals with ACLR-HT. Positive perceptions of exercise, minimal exercise-related discomfort, and no reported adverse events further support the acceptability of this protocol and the likelihood of successful implementation in future efficacy trials. TRIAL REGISTRATION: ClinicalTrials.gov, NCT05738200. Registered 2 November 2022-retrospectively registered, https://clinicaltrials.gov/study/NCT05738200 .</t>
  </si>
  <si>
    <t>Pilot Feasibility Stud</t>
  </si>
  <si>
    <t>10.1186/s40814-025-01624-6</t>
  </si>
  <si>
    <t>#50</t>
  </si>
  <si>
    <t>Norte 2025</t>
  </si>
  <si>
    <t>Porcine tibia is a poor substitute for human cadaver tibia for evaluating interference screw fixation.</t>
  </si>
  <si>
    <t>Nurmi JT; SievÃ¤nen H; Kannus P; JÃ¤rvinen M; JÃ¤rvinen TL</t>
  </si>
  <si>
    <t>BACKGROUND: Animal tissues are commonly used in anterior cruciate ligament graft fixation studies. HYPOTHESIS: Porcine bones and tendons provide good surrogates for human cadaver tissues in the biomechanical evaluation of anterior cruciate ligament reconstruction. STUDY DESIGN: Randomized experimental study. METHOD: Three different tissue models-pure porcine (porcine graft fixed in porcine tibia, group 1), combination (human hamstring graft and porcine tibia, group 2), and pure human (human graft and tibia, group 3)-were compared using both cyclic-loading and subsequent single-cycle load-to-failure tests to assess the effect of graft and bone tissue source (porcine vs human) on the fixation strength of anterior cruciate ligament reconstruction. RESULTS: In the cyclic-loading test, the displacement (slippage) after 1500 cycles was 2.0 mm +/- 0.7 mm, 1.6 mm +/- 0.4 mm, and 4.4 mm +/- 1.9 mm for groups 1, 2, and 3, respectively (P &lt;.001 between 1 and 2 vs 3). In the subsequent single-cycle load-to-failure test, the corresponding average yield loads were 668 N +/- 157 N, 962 N +/- 238 N, and 448 N +/- 98 N, all differences being statistically significant. CONCLUSIONS: In comparison to young human cadaver tibia, porcine tibia underestimate graft slippage and overestimate the failure load of the soft tissue graft in anterior cruciate ligament reconstruction. CLINICAL RELEVANCE: Porcine tibia does not provide a reasonable surrogate for human cadaver tibia for evaluating ACL reconstructions.</t>
  </si>
  <si>
    <t>Apr-May</t>
  </si>
  <si>
    <t>10.1177/0363546503261732</t>
  </si>
  <si>
    <t>#581</t>
  </si>
  <si>
    <t>Nurmi 2004</t>
  </si>
  <si>
    <t>Interference screw fixation of soft tissue grafts in anterior cruciate ligament reconstruction: part 1: effect of tunnel compaction by serial dilators versus extraction drilling on the initial fixation strength.</t>
  </si>
  <si>
    <t>Nurmi JT; Kannus P; SievÃ¤nen H; JÃ¤rvelÃ¤ T; JÃ¤rvinen M; JÃ¤rvinen TL</t>
  </si>
  <si>
    <t>BACKGROUND: Compaction of the bone-tunnel walls by serial dilation is believed to enhance the interference screw fixation strength of the soft tissue grafts in anterior cruciate ligament (ACL) reconstruction. HYPOTHESIS: Serial dilation enhances the fixation strength of soft tissue grafts in ACL reconstruction over extraction drilling. STUDY DESIGN: Randomized experimental study. METHODS: Initial fixation strength of the doubled anterior tibialis tendon grafts (fixed with a bioabsorbable interference screw) was assessed in 21 pairs of human cadaver tibiae with either serially dilated or extraction-drilled bone tunnels. The specimens were subjected to a cyclic-loading test, and those surviving were then tested using the single-cycle load-to-failure test. RESULTS: During the cyclic-loading test, there were 3 fixation failures in the serially dilated and 6 failures in the extraction-drilled specimens but no significant stiffness or displacement differences between the groups. In the subsequent load-to-failure test, the average yield loads were 473 +/- 110 N and 480 +/- 115 N for the 2 groups respectively (P =.97) and no difference with regard to stiffness or mode of failure. CONCLUSIONS: Serial dilation does not increase the strength of interference fixation of soft tissue grafts in ACL reconstruction over extraction drilling. CLINICAL RELEVANCE: The results of this experiment do not support the use of serial dilators in ACL reconstruction.</t>
  </si>
  <si>
    <t>10.1177/0363546503261701</t>
  </si>
  <si>
    <t>#584</t>
  </si>
  <si>
    <t>Interference screw fixation of soft tissue grafts in anterior cruciate ligament reconstruction: part 2: effect of preconditioning on graft tension during and after screw insertion.</t>
  </si>
  <si>
    <t>BACKGROUND: Preconditioning of tendon grafts is believed to eliminate natural viscoelasticity of the tendons and prevent knee laxity after anterior cruciate ligament (ACL) reconstruction. HYPOTHESIS: Preconditioned ACL grafts maintain their initially set tension. STUDY DESIGN: Randomized experimental study. METHODS: Forty-two human anterior tibialis (AT) tendon grafts were subjected to either no preconditioning (group 1), cyclic preconditioning (group 2), or isometric preconditioning (group 3). The residual graft tension was then recorded immediately after the application of an initial graft tension of 80 N and fixation into tibia with an interference screw, as well as 10 minutes later. In another experiment, the residual graft tension was recorded 1, 10, and 60 minutes after 10 AT and quadrupled hamstring tendon (HT) grafts alone (no fixation) had been subjected to isometric preconditioning (80 N). RESULTS: Immediately after screw insertion, the residual (AT) graft tensions were 79 +/- 19 N, 100 +/- 17 N, and 102 +/- 15 N in groups 1 through 3, respectively. Ten minutes later, the corresponding values were 49 +/- 16 N, 60 +/- 11 N, and 64 +/- 12 N. For the AT and HT grafts alone, the residual graft tensions were 67 +/- 2 N and 67 +/- 2 N, 45 +/- 2 N and 46 +/- 4 N, and 29 +/- 3 N and 34 +/- 5 N at 1, 10, and 60 minutes, respectively. CONCLUSIONS: A steady decrease (-60% within 60 minutes after initial tensioning) occurs in the initially set tension of the soft tissue ACL grafts. CLINICAL RELEVANCE: Clinically applicable preconditioning protocols cannot eliminate the intrinsic viscoelasticity from ACL soft tissue grafts, and thus, the reasonableness of preconditioning per se is questioned in ACL reconstruction.</t>
  </si>
  <si>
    <t>10.1177/0363546503261703</t>
  </si>
  <si>
    <t>#583</t>
  </si>
  <si>
    <t>Tubularization of Bone-Tendon-Bone Grafts: Effects on Mechanical Strength and Postoperative Knee Stability in Anterior Cruciate Ligament Reconstruction.</t>
  </si>
  <si>
    <t>ObradoviÄ‡ M; NinkoviÄ‡ S; GvozdenoviÄ‡ N; ToÅ¡iÄ‡ M; Milinkov M; DuliÄ‡ O</t>
  </si>
  <si>
    <t>Background and Objectives: The study addresses a significant limitation in applying bone-patellar tendon-bone (BTB) grafts in anterior cruciate ligament (ACL) surgery. By exploring the tubularization of grafts, the study extends the understanding of this surgical technique. The dual approach of the study-focusing on biomechanical properties using an animal model and postoperative outcomes in humans-offers a comprehensive perspective. Materials and Methods: The experimental cohort encompassed ten pairs of fresh porcine bone-tendon-bone grafts. One graft in each pair underwent modification through sutures that transformed the flat graft into a cylindrical structure. Testing determined the force required for the modified graft to rupture mechanically, expressed as N/mm(2), compared to conventionally prepared bone-tendon-bone grafts. The second phase of the research involved a prospective randomized clinical trial comprising 120 patients undergoing operative ACL reconstruction. For half the cases, grafts were tubularized using a random selection process. Clinical evaluations preoperatively and 12 months postoperatively employed the Tegner, Lysholm, and IKDC scoring scales for knee assessment. Results: Experiments showed that ligaments made using the tubularized surgical technique have statistically significantly higher values of measured force and higher maximum elongation values than ligaments made using the classical method. The clinical study concluded that there was no significant difference between the two groups of patients in the average score on the Tegner, Lysholm, and IKDC scales before and after surgery. Conclusions: The study results showed that suturing the graft does not negatively affect its biomechanical properties, and tubularization significantly increases the values of force required to cause rupture and the values of maximum elongation during rupture. Given the possibility of the one-year follow-up period being insufficient, future investigations should extend this period to acquire objective functional insights post-surgery.</t>
  </si>
  <si>
    <t>Medicina (Kaunas)</t>
  </si>
  <si>
    <t>10.3390/medicina59101764</t>
  </si>
  <si>
    <t>#92</t>
  </si>
  <si>
    <t>ObradoviÄ‡ 2023</t>
  </si>
  <si>
    <t>Surgical or conservative treatment of the acutely torn anterior cruciate ligament. A randomized study with short-term follow-up observations.</t>
  </si>
  <si>
    <t>Odensten M; Hamberg P; Nordin M; Lysholm J; Gillquist J</t>
  </si>
  <si>
    <t>In a prospective study, 90 consecutive patients with total midstructural tears of the anterior cruciate ligament (ACL) were assigned at random to surgical (Group I) or conservative (Group II) treatment. Within 18.2 months of operation, 95% of the patients in Group I and 11% of those in Group II had a stable knee. The mean knee function score in Group I was 89 points, and 75% achieved more than 84 points (good or excellent). In Group II the mean score was 85; only 53% achieved more than 84 points (p less than .05). Group II patients showed greater mean quadriceps strength than those in Group I. The ability to perform a one-leg jump and to run a figure eight was similar in both groups. Early primary suture of the acutely torn ACL usually resulted in a stable knee, whereas conservatively treated patients showed knee instability. At the 18-month interval, however, the patients' functional performance seemed to be comparable in the two groups.</t>
  </si>
  <si>
    <t>#705</t>
  </si>
  <si>
    <t>Odensten 1985</t>
  </si>
  <si>
    <t>Quadriceps muscle strength recovery with the use of high tone power therapy after anterior cruciate ligament reconstruction: a randomized controlled trial.</t>
  </si>
  <si>
    <t>Ogrodzka-Ciechanowicz K; GÅ‚Ä…b G; Åšlusarski J; GÄ…dek A</t>
  </si>
  <si>
    <t>BACKGROUND: There are no scientific reports clearly describing the effectiveness of the High Tone Power Therapy in patients after ACL reconstruction. This caused that in own research an attempt was made to present the possibilities of using the selected method of electrical stimulation in the treatment of an orthopaedic patient. The aim was to assess the effectiveness of electro stimulation of the quadriceps muscle in patients after ACL reconstruction, with the use of High Tone Power Therapy. METHODS: In randomized controlled trial took part thirty-five men, aged 21-50, after ACL reconstruction. The tests were carried prior to and 6â€‰months following the ACL reconstruction. After the surgery, the patients were randomly divided into experimental group (17 patients) with the High Tone Power Therapy in rehabilitation and control group (18 patients) without the High Tone Power Therapy. Patients were subjected to 6-month rehabilitation. Research tools included the measurement of muscle strength torque, ROM, knee and thigh circumference measurements, the Lysholm and the VAS scale. RESULTS: After applying HiToP, the analysis showed a statistically significant improvement of muscle torque (pâ€‰=â€‰0.041, Esâ€‰=â€‰3.71), knee circumference (pâ€‰=â€‰0.039, Esâ€‰=â€‰1.65), thigh circumference (pâ€‰=â€‰0.049, Esâ€‰=â€‰1.26), knee extension (pâ€‰&lt;â€‰0.001, Esâ€‰=â€‰2.20) in Experimental group compared to the control group. Only the results of the VAS scale did not differ statistically significantly both within a given group and between groups. CONCLUSIONS: The results confirm the hypothesis that the use of HiToP in patients after ACLr have a beneficial effect on muscle strength, reduction of joint effusion, muscle mass gain and joint function. The assumption that HiToP significantly reduces pain levels is not supported - the results in both groups are statistically insignificant. TRIAL REGISTRATION: The research project was retrospectively registered in the Australian New Zealand Clinical Trials Registry (ANZCTR). Date of first registration 11.10.2016. Registration number: ACTRN12616001416482 .</t>
  </si>
  <si>
    <t>10.1186/s12891-021-04862-w</t>
  </si>
  <si>
    <t>#146</t>
  </si>
  <si>
    <t>Ogrodzka-Ciechanowicz 2021</t>
  </si>
  <si>
    <t>Femoral nerve versus adductor canal block for early postoperative pain control and knee function after anterior cruciate ligament reconstruction with hamstring autografts: a prospective single-blind randomised controlled trial.</t>
  </si>
  <si>
    <t>Ogura T; Omatsu H; Fukuda H; Asai S; Saito C; Takahashi T; Ichino Y; Omodani T; Sakai H; Yamaura I; Kawasaki Y; Tsuchiya A; Takahashi K</t>
  </si>
  <si>
    <t>INTRODUCTION: The optimal pain management strategy for postoperative pain after anterior cruciate ligament reconstruction (ACLR) remains unclear. This study compared femoral nerve block (FNB) and adductor canal block (ACB) for pain management of early postoperative pain, knee function, and recovery of activity of daily living (ADL) after ACLR using hamstring autografts. MATERIAL AND METHODS: In this prospective, single-blind, randomised controlled trial, 64 patients aged 12-56Â years who underwent anatomical double-bundle ACLR with a hamstring autograft between August 2019 and May 2020 were randomised to undergo preoperative FNB (nâ€‰=â€‰32) or ACB (nâ€‰=â€‰32). The peripheral nerve block was performed by a single experienced anaesthesiologist under ultrasound guidance. The primary outcomes were postoperative pain as evaluated using the visual analogue scale (VAS) at 3, 6, 12, 24, and 48Â h postoperatively and the need for pain relief. The secondary outcome was knee function, including the recovery of range of motion, contraction of the vastus medialis, and stable walking with a double-crutch (ADL), as evaluated by blinded physical therapists. RESULTS: There were no significant differences in patient demographics between the two groups. The VAS scores, need for pain relief, knee function, and ADL did not significantly differ between the groups. CONCLUSION: FNB and ACB provided comparable outcomes related to early postoperative pain, knee function, and ADL after double-bundle ACLR using hamstring autografts. Further research is necessary to evaluate the mid- to long-term effect of each block on recovery of knee function and ADL. LEVEL OF EVIDENCE: I.</t>
  </si>
  <si>
    <t>10.1007/s00402-021-03823-1</t>
  </si>
  <si>
    <t>#166</t>
  </si>
  <si>
    <t>Ogura 2021</t>
  </si>
  <si>
    <t>The effect of cryotherapy on intraarticular temperature and postoperative care after anterior cruciate ligament reconstruction.</t>
  </si>
  <si>
    <t>Ohkoshi Y; Ohkoshi M; Nagasaki S; Ono A; Hashimoto T; Yamane S</t>
  </si>
  <si>
    <t>The objective of this study was to elucidate how cryotherapy after anterior cruciate ligament reconstruction affects intraarticular temperature and clinical results. A prospective and randomized study was performed on 21 knees of 21 patients. The ligament reconstruction was performed by single-incision arthroscopy using autogenous hamstring tendon. On completion of the surgery, thermosensors were implanted in the suprapatellar pouch and the intracondylar notch, and the intraarticular temperature was monitored while the joint was cooled. Cooling was performed in one group at 5 degrees C (N = 7) and in another at 10 degrees C (N = 7), for 48 hours. A control group (N = 7) did not undergo cryotherapy. The cooled groups showed three temperature phases: a low-temperature phase immediately after the ligament reconstruction, followed by a temperature-rising phase and a thermostatic phase. The control group had no low-temperature phase and immediately entered a thermostatic phase. During the low-temperature phase in the treated groups, the temperature of the suprapatellar pouch and of the intercondylar notch were significantly lower than the body temperature. The pain score and the number of times an analgesic had to be administered were both significantly lower in the 10 degrees C group than in the control group. Blood loss was significantly less in the 5 degrees C group than in the control group.</t>
  </si>
  <si>
    <t>10.1177/03635465990270031601</t>
  </si>
  <si>
    <t>#649</t>
  </si>
  <si>
    <t>Ohkoshi 1999</t>
  </si>
  <si>
    <t>Liposomal Bupivacaine Versus Femoral Nerve Block for Pain Control After Anterior Cruciate Ligament Reconstruction: A Prospective Randomized Trial.</t>
  </si>
  <si>
    <t>Okoroha KR; Keller RA; Marshall NE; Jung EK; Mehran N; Owashi E; Moutzouros V</t>
  </si>
  <si>
    <t>PURPOSE: To compare femoral nerve block (FNB) versus local liposomal bupivacaine (LB) for pain control in patients undergoing anterior cruciate ligament (ACL) reconstruction. METHODS: Eighty-five patients undergoing primary ACL reconstruction were assessed for participation. We performed a prospective randomized trial in accordance with the CONSORT (Consolidated Standards of Reporting Trials) 2010 statement. The study arms included either intraoperative local infiltration of LB (20Â mL of bupivacaine/10Â mL of saline solution) or preoperative FNB with a primary outcome of postoperative pain levels (visual analog scale) for 4Â days. Secondary outcomes assessed included opioid consumption (intravenous morphine equivalents), hours slept, patient satisfaction, and calls to the physician. Randomization was by a computerized algorithm. The observer was blinded and the patient was not blinded to the intervention. RESULTS: One patient declined participation; 2 patients were excluded after randomization. A total of 82 patients were analyzed. Outcomes showed a significant increase in pain in the LB group between 5 and 8Â hours postoperatively (mean Â± standard deviation, 6.3 Â± 2.0 versus 4.8 Â± 2.6; PÂ = .01). There were no significant differences between the groups in mean daily pain levels, morphine equivalents, or patient satisfaction when we controlled for graft type, age, body mass index, and sex. Patients receiving an FNB had a nonsignificant increase in number of sleep disturbances on the day of surgery (mean Â± standard deviation, 4.4 Â± 3.7 v 3.1 Â± 2.1; PÂ = .09) and were more likely to call their doctor the following day because of pain (29% v 8%, PÂ = .04). Six patients in the FNB group had either prolonged quadriceps inhibition or sensory disturbance. One patient in the LB group required reoperation for a flexion contracture. CONCLUSIONS: An increase in acute postoperative pain was found with LB compared with FNB for post-ACL reconstruction pain control. After the acute postoperative period, there were no significant differences in opioid consumption or pain control. The occurrence of nerve irritation postoperatively was found to be higher in the FNB group. LEVEL OF EVIDENCE: Level I, prospective randomized trial.</t>
  </si>
  <si>
    <t>10.1016/j.arthro.2016.05.033</t>
  </si>
  <si>
    <t>#299</t>
  </si>
  <si>
    <t>Okoroha 2016</t>
  </si>
  <si>
    <t>Single-Shot Femoral Nerve Block Does Not Cause Long-Term Strength and Functional Deficits Following Anterior Cruciate Ligament Reconstruction.</t>
  </si>
  <si>
    <t>Okoroha KR; Khalil L; Jung EK; Keller RA; Marshall NE; Abouljoud M; Chan D; Moutzouros V</t>
  </si>
  <si>
    <t>PURPOSE: To determine if patients treated with a single-shot femoral nerve block have strength and functional deficits at 9-month follow-up. METHODS: Forty-three patients who underwent primary anterior cruciate ligament reconstructions were randomized to receive either a preoperative single-shot femoral nerve block or local infiltration anesthesia for primary pain control. All patients underwent a standardized comprehensive rehabilitation program postoperatively. Isokinetic strength and function was tested using a Biodex machine at 9Â months or more postoperatively comparing the operative and nonoperative extremity. RESULTS: No significant difference in strength was found at an average of 10.6Â months postoperatively (range, 9-15Â months) between the femoral nerve block and control groups. In comparing strength deficits, we found no difference in slow isokinetic extension strength (22.4% vs 27.8%, PÂ = .51), fast isokinetic extension strength (18.5% vs 12.5%, PÂ = .41), slow isokinetic flexion strength (11.0% vs 15.1%, PÂ = .55), and fast isokinetic flexion strength (8.2% vs 4.9%, PÂ = .56) in the femoral nerve block versus control groups, respectively. In terms of functional outcomes, there also was no difference in deficits for single-leg hop distance (PÂ = .12), timed single-leg hop (PÂ = .74), and single-leg triple hop distance (PÂ = .94). Maximal strength noted to be within 15% of the contralateral limb was achieved in 40% of patients and maximal function in 63% of patients at an average of 10.6Â months postoperatively. A 13% complication rate was found in patients who received a femoral nerve block (1 with prolonged quadriceps inhibition and 2 with prolonged sensory disturbances). CONCLUSIONS: Our study found a 13% motor/sensory complication rate in patients who underwent femoral nerve block for pain control after anterior cruciate ligament reconstruction. Although these deficits may persist, they are not permanent and are not different when compared with controls at 9-month follow-up. However, maximal strength and function are not fully restored at normal return to play time and rehabilitation should continue long term to maximize recovery. LEVEL OF EVIDENCE: Level I, prospective randomized trial.</t>
  </si>
  <si>
    <t>10.1016/j.arthro.2017.07.029</t>
  </si>
  <si>
    <t>#263</t>
  </si>
  <si>
    <t>Okoroha 2018</t>
  </si>
  <si>
    <t>Effects of a Perioperative Blood Flow Restriction Therapy Program on Early Quadriceps Strength and Patient-Reported Outcomes After Anterior Cruciate Ligament Reconstruction.</t>
  </si>
  <si>
    <t>Okoroha KR; Tramer JS; Khalil LS; Jildeh TR; Abbas MJ; Buckley PJ; Lindell C; Moutzouros V</t>
  </si>
  <si>
    <t>BACKGROUND: Quadriceps muscle atrophy remains a limiting factor in returning to activity after anterior cruciate ligament reconstruction (ACLR). Blood flow restriction (BFR) therapy may accelerate quadriceps strengthening in the perioperative period. PURPOSE: To evaluate postoperative isometric quadriceps strength in patients who underwent ACLR with a perioperative BFR program. STUDY DESIGN: Randomized controlled trial; Level of evidence, 1. METHODS: Patients indicated for ACLR were randomized into 2 groups, BFR and control, at their initial clinic visit. All patients underwent 2 weeks of prehabilitation preoperatively, with the BFR group performing exercises with a pneumatic cuff set to 80% limb occlusion pressure placed over the proximal thigh. All patients also underwent a standardized postoperative 12-week physical therapy protocol, with the BFR group using pneumatic cuffs during exercise. Quadriceps strength was measured as peak and mean torque during seated leg extension and presented as quadriceps index (percentage vs healthy limb). Patient-reported outcomes (PROs), knee range of motion, and quadriceps circumference were also gathered at 6 weeks, 3 months, and 6 months postoperatively, and adverse effects were recorded. RESULTS: Included were 46 patients, 22 in the BFR group (mean age, 25.4 Â± 10.6 years) and 24 in the control group (mean age, 27.5 Â± 12.0 years). At 6 weeks postoperatively, the BFR group demonstrated significantly greater strength compared with the controls (quadriceps index: 57% Â± 24% vs 40% Â± 18%; P = .029), and the BFR group had significantly better Patient-Reported Outcomes Measurement Information System-Physical Function (42.69 Â± 5.64 vs 39.20 Â± 5.51; P = .001) and International Knee Documentation Committee (58.22 Â± 7.64 vs 47.05 Â± 13.50; P = .011) scores. At 6 weeks postoperatively, controls demonstrated a significant drop in the peak torque generation of the operative versus nonoperative leg. There were no significant differences in strength or PROs at 3 or 6 months postoperatively. Three patients elected to drop out of the BFR group secondary to cuff intolerance during exercise; otherwise, no other severe adverse events were reported. CONCLUSION: Integrating BFR into perioperative physical therapy protocols led to improved strength and increased PROs at 6 weeks after ACLR. No differences in strength or PROs were found at 3 and 6 months between the 2 groups. REGISTRATION: NCT04374968 (ClinicalTrials.gov identifier).</t>
  </si>
  <si>
    <t>10.1177/23259671231209694</t>
  </si>
  <si>
    <t>#88</t>
  </si>
  <si>
    <t>Okoroha 2023</t>
  </si>
  <si>
    <t>Immediate effects of Kinesio Taping(Â®) on neuromuscular performance of quadriceps and balance in individuals submitted to anterior cruciate ligament reconstruction: A randomized clinical trial.</t>
  </si>
  <si>
    <t>Oliveira AK; Borges DT; Lins CA; Cavalcanti RL; Macedo LB; Brasileiro JS</t>
  </si>
  <si>
    <t>OBJECTIVES: Investigate the immediate effects of Kinesio Taping(Â®) on neuromuscular performance of femoral quadriceps and balance in individuals submitted to anterior cruciate ligament reconstruction. DESIGN: This is a randomized clinical trial. METHODS: Forty-seven male participants, between 12 and 17 weeks after anterior cruciate ligament reconstruction, underwent initial assessment consisting of postural balance analysis using baropodometry, followed by eccentric and concentric isokinetic assessment at 60Â°/s of knee extensors, concomitant to electromyographic signals captured from the vastus lateralis muscle. They were then randomly allocated to one of the following groups: control, placebo and Kinesio Taping(Â®). Kinesio Taping(Â®) group participants were submitted to Kinesio Taping(Â®) on the femoral quadriceps of the affected limb, while placebo group subjects used the same procedure without the tension proposed by the method. The control group remained at rest for 10min. All participants were reassessed following the same procedure as the initial evaluation. The following variables were analyzed: peak torque/body weight and muscle potential using dynamometry; amplitude of antero-posterior and latero-lateral displacement from the center of pressure using baropodometry; and amplitude of muscle activation (root mean square) applying surface electromyography. RESULTS: None of the variables analyzed showed significant intergroup or intragroup differences. CONCLUSIONS: Kinesio Taping(Â®) does not alter the neuromuscular performance of femoral quadriceps or balance of subjects submitted to anterior cruciate ligament reconstruction, for any of the variables analyzed.</t>
  </si>
  <si>
    <t>10.1016/j.jsams.2014.12.002</t>
  </si>
  <si>
    <t>#337</t>
  </si>
  <si>
    <t>Oliveira 2016</t>
  </si>
  <si>
    <t>Unilateral Versus Bilateral Resistance Exercise in Postoperative Rehabilitation After ACL Reconstruction With Bone-Patellar Tendon-Bone Graft: A Randomized Controlled Trial.</t>
  </si>
  <si>
    <t>Oliveira M; JÃºnior PL; Imoto AM; Santos T; Borges JHS; Nunes P; Barin FR; Damando M; Peccin MS</t>
  </si>
  <si>
    <t>BACKGROUND: Lower limb muscle strength symmetry has been suggested as an essential criterion for the safe return to sports after anterior cruciate ligament (ACL) reconstruction. Limited evidence is available regarding the most effective intervention to achieve symmetry after reconstruction with contralateral bone-patellar tendon-bone (BPTB) graft. PURPOSE: To verify whether unilateral isotonic resistance exercise is more effective than bilateral exercise for obtaining postoperative functional and muscular strength symmetry between the donor limb and reconstructed limb for patients who received BPTB graft. STUDY DESIGN: Randomized controlled trial; Level of evidence, 1. METHODS: A total of 88 patients were randomly divided into a control group (n = 44) and an intervention group (n = 44). All participants performed an 8-week exercise program starting at the beginning of the fourth postoperative month and were evaluated before and after the program. The control group performed bilateral exercises, and the intervention group performed unilateral exercises for the donor limb only (the limb with the greatest disability). The primary outcome was muscle strength (peak torque and hamstrings to quadriceps [H:Q] ratio), and the secondary outcomes were range of motion (ROM; goniometry), KT-1000 arthrometer side-to-side difference in anteroposterior knee laxity, and objective (single-leg hop test) and subjective (Lysholm score) functionality. RESULTS: Both groups improved significantly from before to after the exercise program. The improvements were significantly greater in the intervention group regarding peak torque, H:Q ratio, flexion ROM, single-leg hop test, and Lysholm score in the donor limb (P &lt; .001 for all), and the improvements were significantly greater in the control group regarding peak torque and single-leg hop test in the reconstructed limb (P &lt; .001 for both). Comparison between the groups showed significantly increased symmetry regarding peak torque, H:Q ratio, and single-leg hop test in the intervention group compared with the control group (P &lt; .001), with large effect sizes (&gt;0.80) except for the H:Q ratio. CONCLUSION: Although postoperative, bilateral, isotonic resistance exercise provided better strength gains to the reconstructed limb, unilateral exercise was more effective in obtaining functional and muscle strength between-limb symmetry in patients who underwent ACL reconstruction with contralateral BPTB graft. REGISTRATION: Brazilian Registry of Clinical Trials (number RBR-22rnjh).</t>
  </si>
  <si>
    <t>10.1177/23259671221088830</t>
  </si>
  <si>
    <t>#134</t>
  </si>
  <si>
    <t>Oliveira 2022</t>
  </si>
  <si>
    <t>Arthroscopically assisted reconstruction of the anterior cruciate ligament. A prospective randomized analysis of three techniques.</t>
  </si>
  <si>
    <t>O'Neill DB</t>
  </si>
  <si>
    <t>One hundred and twenty-seven patients who had a rupture of the anterior cruciate ligament agreed to participate in a prospective, randomized study of three arthroscopically assisted reconstruction techniques. One hundred and twenty-five patients (125 reconstructions) were evaluated after a mean duration of follow-up of forty-two months (range, two to five years). Group I included forty patients who had a two-incision reconstruction with use of an autogenous semitendinosus-gracilis graft, group II consisted of forty patients who had a two-incision reconstruction with use of an autogenous patellar-ligament graft, and group III included forty-five patients who had a single-incision reconstruction (endoscopic technique) with use of an autogenous patellar-ligament graft. The male-female ratio, age range, level of athletic activity, interval between the injury and the reconstruction, previous operative procedures, and associated injuries were similar in all three groups. The same postoperative rehabilitation protocol was followed for all patients. Testing with a KT-2000 arthrometer at maximum manual force was done at the follow-up evaluation; the difference in laxity between the involved knee and the contralateral knee was three millimeters or less in thirty-three patients (83 per cent) in group I, thirty-seven patients (93 per cent) in group II, and thirty-nine patients (87 per cent) in group III. A difference of two millimeters or less was found in thirty patients (75 per cent) in group I, thirty-one patients (78 per cent) in group II, and thirty-five patients (78 per cent) in group III. Thirty-five patients (88 per cent) in group I, thirty-eight patients (95 per cent) in group II, and forty patients (89 per cent) in group III returned to at least the same level of athletic activity. Four grafts (two in group I and two in group II) failed as a result of trauma. There was one additional failure in groups I and III, as evidenced by a difference of nine and seven millimeters, respectively, on instrumented testing of laxity. The significant findings were that no knee was rated D according to the system of the International Knee Documentation Committee (p &lt; 0.002, 94 per cent confidence level) and that fewer additional operative procedures were done on patients in group III (p &lt; 0.08). Also, it was found that the patients in group II returned to a greater level of athletic activity (p &lt; 0.02) and that a higher percentage of the patients in this group had a difference of three millimeters or less on testing with the KT-2000 arthrometer than in the other two groups (p &lt; 0.08). However, with the numbers available, there were no significant differences in the over-all outcome among the three groups (p &gt; 0.1). Importantly, the rate of failure was not greater and the outcomes were not less satisfactory for the late reconstructions than they were for the acute reconstructions (those performed less than three weeks after the injury), including those done with an autogenous semitendinosus-gracilis graft in a chronically unstable knee.</t>
  </si>
  <si>
    <t>#671</t>
  </si>
  <si>
    <t>Arthroscopically assisted reconstruction of the anterior cruciate ligament. A follow-up report.</t>
  </si>
  <si>
    <t>BACKGROUND: The purpose of this study was to further delineate the outcome of arthroscopically assisted anterior cruciate ligament reconstruction in 125 patients who had previously been followed for two to five years. One of the original 125 patients was excluded from the present study because of insufficient follow-up, and an additional group of 101 patients was added. All 225 patients in the present study were followed for a minimum of six years. METHODS: Patients were randomly assigned to reconstruction with a double-stranded semitendinosus-gracilis graft with use of a two-incision technique (group I), reconstruction with a patellar ligament graft with use of a two-incision technique (group II), or reconstruction with a patellar ligament graft with use of a single-incision endoscopic technique (group III). The groups were compared with regard to the rate of graft failure, the amount of instability, knee strength, radiographic signs of degenerative changes, and functional outcome. RESULTS: There was no significant difference among the three groups with regard to the rate of graft failure, the amount of knee instability, or the functional outcome. A normal or nearly normal functional outcome was recorded for 208 (92%) of the 225 patients. There were significant differences among the groups with regard to quadriceps muscle-strength deficits: group I had fewer patients with deficits than group III, and groups I and III both had fewer patients with deficits than group II (p = 0.04). There also were significant differences among the groups with regard to hamstring muscle-strength deficits: group III had fewer patients with deficits than group II, and group II had fewer patients with deficits than group I (p &lt; 0.01). Twelve knees (16%) in group I, six knees (8%) in group II, and eight knees (11%) in group III showed radiographic evidence of progressive degenerative changes, but the differences among the three groups were not significant. CONCLUSION: Although 11.6% of the 225 knees had radiographic evidence of degenerative arthritis at a minimum of six years after arthroscopically assisted reconstruction of the anterior cruciate ligament, the choice of graft and the technique of reconstruction did not seem to affect the rate of development of these changes.</t>
  </si>
  <si>
    <t>10.2106/00004623-200109000-00006</t>
  </si>
  <si>
    <t>#620</t>
  </si>
  <si>
    <t>O'Neill 2001</t>
  </si>
  <si>
    <t>Effect of pulsed electromagnetic field as an intervention for patients with quadriceps weakness after anterior cruciate ligament reconstruction: a double-blinded, randomized-controlled trial.</t>
  </si>
  <si>
    <t>Ong MT; Man GC; Lau LC; He X; Qiu J; Wang Q; Chow MC; Choi BC; Yu M; Yung PS</t>
  </si>
  <si>
    <t>BACKGROUND: The ultimate goal of anterior cruciate ligament reconstructions (ACLR) is to fulfil the return-to-play (RTP) criteria. Quadriceps muscle strength is one of the key determinants for a patient's successful return-to-play after ACLR. Quadriceps muscle atrophy can persist beyond the completion of the rehabilitation program in almost half the patients and the reason behind this is still unknown. There are emerging evidences showing that pulsed electromagnetic field (PEMF) can modulate mitochondrial activities for muscle gain. PEMF exposure on top of regular exercise training may promote muscle regeneration and tissue healing. METHODS: This is a double-blinded, randomized controlled trial to investigate the effects of PEMF treatment during the postoperative period on quadriceps muscle strength in ACL injured patient. Adult patients (aged 18-30) with a unilateral ACL injury, total quadriceps muscle volume is equal or more than 7% deficit on involved leg compared with uninvolved leg, sporting injury with a Tegner score of 7+, and both knees without a history of injury/prior surgery will be recruited. To estimate the improvement of patients, isokinetic muscle assessment, ultrasound imaging and MRI for quadriceps muscle thickness, self-reported outcomes with questionnaires, KT-1000 for knee laxity and biomechanical analysis, and Xtreme CT for bone mineral density will be performed. To investigate the mechanism of PEMF therapy on increasing quadriceps strength, samples of blood serum will be drawn before and after intervention. DISCUSSION: This is the first trial evaluating the effects of PEMF on quadriceps muscle recovery after ACLR. The proposed study addresses a huge research gap by evaluating practical use of PEMF as part of rehabilitation. The proposed study will provide much needed scientific support in the use of this noninvasive treatment modality to facilitate recovery of quadriceps strength after PEMF. TRIAL REGISTRATION: ClinicalTrials.gov NCT05184023. Registered on 5 January 2022.</t>
  </si>
  <si>
    <t>10.1186/s13063-022-06674-2</t>
  </si>
  <si>
    <t>#120</t>
  </si>
  <si>
    <t>Ong 2022</t>
  </si>
  <si>
    <t>Vitamin D as an intervention for improving quadriceps muscle strength in patients after anterior cruciate ligament reconstruction: study protocol for a randomized double-blinded, placebo-controlled clinical trial.</t>
  </si>
  <si>
    <t>Ong MT; Lu X; Choi BC; Wan SW; Wang Q; Man GC; Lui PP; Fong DT; Mok DK; Yung PS</t>
  </si>
  <si>
    <t>BACKGROUND: The goal of anterior cruciate ligament reconstruction (ACLR) is to restore the preinjury level of knee function to return to play (RTP). However, even after completing the rehabilitation programme, some patients may have persistent quadriceps muscle weakness affecting knee function which ultimately leads to a failure in returning to play. Vitamin D has been long recognized for its musculoskeletal effects. Vitamin D deficiency may impair muscle strength recovery after ACLR. Correcting vitamin D levels may improve muscle strength. METHODS: This is a double-blinded, randomized controlled trial to investigate the effects of vitamin D supplementation during the post-operative period on quadriceps muscle strength in anterior cruciate ligament (ACL)-injured patients. Patients aged 18-50 with serum vitamin Dâ€‰&lt;â€‰20Â ng/ml, unilateral ACL injury,â€‰&gt;â€‰90% deficit in total quadriceps muscle volume on the involved leg compared with uninvolved leg, Tegner score 7â€‰+â€‰, and no previous knee injury/surgery will be recruited. To assess patient improvement, we will perform isokinetic and isometric muscle assessments, ultrasound imaging for quadriceps thickness, self-reported outcomes, KT-1000 for knee laxity, biomechanical analysis, and Xtreme CT for bone mineral density. To investigate the effect of vitamin D status on quadriceps strength, blood serum samples will be taken before and after intervention. DISCUSSION: Patients with low vitamin D levels had greater quadriceps fibre cross-sectional area loss and impaired muscle strength recovery after ACL. The proposed study will provide scientific support for using vitamin D supplementation to improve quadriceps strength recovery after ACLR. TRIAL REGISTRATION: ClinicalTrials.gov NCT05174611. Registered on 28 November 2021.</t>
  </si>
  <si>
    <t>10.1186/s13063-024-08094-w</t>
  </si>
  <si>
    <t>#83</t>
  </si>
  <si>
    <t>Ong 2024</t>
  </si>
  <si>
    <t>A comparison of isokinetics and muscle strength ratios following intra-articular and extra-articular reconstructions of the anterior cruciate ligament.</t>
  </si>
  <si>
    <t>Oni OO; Crowder E</t>
  </si>
  <si>
    <t>A prospective, randomized clinical trial was conducted to compare an intra-articular with an extra-articular reconstruction of the anterior cruciate ligament. Isokinetic muscle testing was carried out 6 months to 2 years following operation using the Biodex isokinetic dynamometer. The extra-articular procedure resulted in a lower deficit for the peak quadriceps and hamstring torques and the range of motion.</t>
  </si>
  <si>
    <t>10.1016/0020-1383(95)00196-4</t>
  </si>
  <si>
    <t>#672</t>
  </si>
  <si>
    <t>Oni 1996</t>
  </si>
  <si>
    <t>Effects of platelet concentrate and a bone plug on the healing of hamstring tendons in a bone tunnel.</t>
  </si>
  <si>
    <t>Orrego M; Larrain C; Rosales J; Valenzuela L; Matas J; Durruty J; Sudy H; Mardones R</t>
  </si>
  <si>
    <t>PURPOSE: The purpose of this study was to determine if the use of platelet concentrate (PC) and bone plug (BP) does accelerate the healing process in anterior cruciate ligament (ACL) reconstruction. METHODS: One hundred and eight patients requiring ACL reconstruction were prospectively randomized into 4 groups: control (27 patients), PC (26 patients), BP (28 patients), and a combination of PC and BP (27 patients). Magnetic resonance imaging (MRI) studies were carried out at both 3 and 6 months postsurgery. Maturation of the graft was evaluated at the femoral tunnel using MRI maturation criteria defined by a low-intensity signal, absence of osteoligamentous interface, and no widening of the femoral tunnel. RESULTS: Three months after surgery, no differences were found among the groups regarding MRI maturation criteria. Six months postsurgery, 78% of the patients in the control group had a low-intensity signal, while in the PC group the low-intensity signal was present in 100% of the patients (P = .036). No statistical differences were observed regarding the osteoligamentous interface between the various groups. Finally, tunnel widening was seen in 11% of the patients of the BP group versus 41% of the patients in the control group (P = .047), but no statistical difference was seen with the other groups. CONCLUSIONS: The use of PC had an enhancing effect on the graft maturation process evaluated only by MRI signal intensity, without showing any significant effect in the osteoligamentous interface or tunnel widening evolution. The use of a BP effectively prevented tunnel widening. The BP and PC combination did not show a synergic effect as compared to PC or BP individually. LEVEL OF EVIDENCE: Level II, lesser quality randomized controlled trial.</t>
  </si>
  <si>
    <t>10.1016/j.arthro.2008.07.016</t>
  </si>
  <si>
    <t>#493</t>
  </si>
  <si>
    <t>Orrego 2008</t>
  </si>
  <si>
    <t>Comparison of three techniques of anterior cruciate ligament reconstruction with bone-patellar tendon-bone graft. Differences in anterior tibial translation and tunnel enlargement with each technique.</t>
  </si>
  <si>
    <t>Otsuka H; Ishibashi Y; Tsuda E; Sasaki K; Toh S</t>
  </si>
  <si>
    <t>BACKGROUND: Anatomic fixation of the graft in anterior cruciate ligament reconstruction has improved stability of the reconstructed knee joint in experimental studies. HYPOTHESIS: Anatomic fixation of the bone-patellar tendon-bone autograft will reduce tunnel enlargement and improve clinical results. STUDY DESIGN: Prospective cohort study. METHODS: Sixty patients were randomly divided into three groups: a nonanatomic fixation group (traditional single-incision reconstruction), an anatomic fixation group (reconstruction in which a bone plug was grafted into the tibial tunnel), and an anatomic fixation group with all-inside reconstruction. Stability of the knee joint was examined with a KT-1000 arthrometer at 2, 4, 6, 12, and 24 months after surgery. At 12 months, anteroposterior and lateral radiographs were made to assess tunnel enlargement. RESULTS: Although the magnitude of tibial displacement gradually increased after reconstruction in all three groups, the anatomic fixation group had significantly better stability than the groups undergoing nonanatomic fixation or all-inside anatomic fixation at 4 and 6 months after anterior cruciate ligament reconstruction. However, there was no significant difference between the three groups at 24 months. Regarding the tibial tunnel, residual rates and enlargement of tunnels were different between the reconstruction techniques. The nonanatomic reconstruction group had significantly greater tunnel enlargement. CONCLUSION: Anatomic fixation of the graft decreased the tunnel enlargement but had no effect on knee stability at 2-year follow-up.</t>
  </si>
  <si>
    <t>10.1177/03635465030310022101</t>
  </si>
  <si>
    <t>#601</t>
  </si>
  <si>
    <t>Otsuka 2003</t>
  </si>
  <si>
    <t>The curative efficacy of arthroscopic therapy in treating anterior cruciate ligament rupture with secondary osteoarthritis.</t>
  </si>
  <si>
    <t>Ouyang X; Hong SD; Xin F; Wang L; Yang XW; Wang JR; Wang Q; Cui WD; Zhang AJ; Zhao ZX</t>
  </si>
  <si>
    <t>OBJECTIVE: To compare and analyze the clinical effects of arthroscopic therapy and drug therapy in treating anterior cruciate ligament (ACL) rupture with secondary osteoarthritis (OA). PATIENTS AND METHODS: A total of 68 patients that were diagnosed as ACL rupture with secondary OA in our hospital from February 2014 to February 2015 were enrolled in our study. All of the patients were randomly divided into control group (n = 30) and observation group (n = 38) according to the order of admission. The patients in the control group were given analgesic, anti-inflammatory drugs + functional rehabilitation training whereas the patients in the observation group were given ACL reconstruction + OA debridement and functional rehabilitation training under arthroscopy. RESULTS: The success rate of the observation group was 92.1%. After 3-month follow-up, the clinical total effective rate of the observation group was significantly higher than that of the control group, the prevalence of complications in the observation group was significantly lower than in the control group, and differences were statistically significant (p &lt; 0.05). Lysholm scale scoring of observation group was significantly higher than of the control group, modified McGill pain scale score was significantly lower than that of the control group, and differences were statistically significant (p &lt; 0.05). Quadriceps muscle peak torque, average power, and the optimal single work at 60Â°/s, 120Â°/s, and 180Â°/s were significantly higher than those of the control group, and differences were statistically significant (p &lt; 0.05). CONCLUSIONS: Arthroscopic operative therapy was safe and effective for the treatment of ACL with secondary OA. Compared with drug therapy, it can significantly improve the movement function of the knee joint, so it was worthy of clinical application.</t>
  </si>
  <si>
    <t>#312</t>
  </si>
  <si>
    <t>Ouyang 2016</t>
  </si>
  <si>
    <t>[Anatomic anterior cruciate ligament reconstruction with hamstrings using press-fit fixation without hardware: operative technique and long-term results of a prospective and randomized study].</t>
  </si>
  <si>
    <t>PÃ¤ssler HH</t>
  </si>
  <si>
    <t>An innovative technique for anterior cruciate ligament (ACL) reconstruction has been developed in 1998 which allows the grafts to be fixed by press-fit to the femoral and tibial tunnel without any hardware. The semitendinosus (ST) and gracilis tendons (GT) are built into a sling by tying a knot with the tendon ends and securing the knot after conditioning by sutures. For the femoral tunnel the anteromedial porta is used. The correct anatomic position of the single femoral tunnel is checked using intraoperative lateral fluoroscopy by placing the tip of a K-wire to a point between the anteromedial and posterolateral bundle insertion sites. A femoral bottleneck tunnel is drilled to receive the knot of the tendons. The tendon loops filled the tibial tunnel without any suture material. The loops are fixed at the tibial tunnel outlet with tapes over a bone bridge. Between 1998 and 1999 a prospective randomized study (level 1) was conducted comparing this technique with a technique using bone-patellar-tendon graft and press-fit fixation without hardware. In conclusion it was found that implant-free press-fit ACL reconstruction using bone-patella-tendon (BPT) and hamstring tendon (HT) grafts proved to be an excellent procedure to restore stability and function of the knee. Using hamstring tendons (ST and GT) significantly lower donor site morbidity was noted. Kneeling and knee walking pain persisted to be significantly more intense in the BPT up to 9 years after the operation. Re-rupture rates, subjective findings, knee stability and isokinetic testing showed similar results for both grafts. This is the first level I study which demonstrates cartilage protection by ACL reconstruction as long as the meniscus is intact at index surgery, shown by bilateral MRI analysis 9 years post-operation. There was no significant difference in the average grade of chondral and meniscus lesions between BPT and HT and in comparison of the operated to the intact knee, except for grade 3-4 lesions found at the 9 year follow-up, which were significantly higher in the BPT group.</t>
  </si>
  <si>
    <t>10.1007/s00113-010-1791-y</t>
  </si>
  <si>
    <t>#446</t>
  </si>
  <si>
    <t>PÃ¤ssler 2010</t>
  </si>
  <si>
    <t>Functional Resistance Training Improves Thigh Muscle Strength after ACL Reconstruction: A Randomized Clinical Trial.</t>
  </si>
  <si>
    <t>Palmieri-Smith RM; Brown SR; Wojtys EM; Krishnan C</t>
  </si>
  <si>
    <t>PURPOSE: Quadriceps weakness is common after anterior cruciate ligament (ACL) reconstruction, resulting in prolonged disability and increased risk for reinjury and osteoarthritis. Functional resistance training (FRT) combines resistance training with task-specific training and may prove beneficial in restoring quadriceps strength. The primary purpose of this study was to determine if a walking-specific FRT program (e.g., resisted walking) improves knee strength in individuals after ACL reconstruction. METHODS: Thirty participants were randomized into one of three groups: 1) FRT with a customized knee BRACE applied to the ACL leg, 2) FRT with elastic BAND tethered to the ankle of the ACL leg, or 3) a TARGET MATCH condition where no resistance was externally applied. Participants in all groups received training while walking on a treadmill 2-3 times per week for 8 wk. Isometric knee extension and flexion strength were measured before the start of the intervention, after the intervention (POST), and 8 wk after intervention completion (POST-2). RESULTS: The BRACE group had greater knee extensor strength compared with the TARGET MATCH group at POST and POST-2 ( P &lt; 0.05). The BRACE group had greater knee flexor strength than the TARGET MATCH group at POST and POST-2 ( P &lt; 0.05) and the BAND group at POST ( P &lt; 0.05). CONCLUSIONS: FRT applied via a customized knee brace results in improvements in knee extensor and flexor strength after ACL reconstruction. FRT is a beneficial adjuvant to ACL rehabilitation and leads to better strength compared with standard of care.</t>
  </si>
  <si>
    <t>10.1249/MSS.0000000000002958</t>
  </si>
  <si>
    <t>#130</t>
  </si>
  <si>
    <t>Palmieri-Smith 2022</t>
  </si>
  <si>
    <t>Whole-Body and Local Muscle Vibration Immediately Improve Quadriceps Function in Individuals With Anterior Cruciate Ligament Reconstruction.</t>
  </si>
  <si>
    <t>Pamukoff DN; Pietrosimone B; Lewek MD; Ryan ED; Weinhold PS; Lee DR; Blackburn JT</t>
  </si>
  <si>
    <t>OBJECTIVE: To determine the immediate effects of a single session of whole-body vibration (WBV) and local muscle vibration (LMV) on quadriceps function in individuals with anterior cruciate ligament reconstruction (ACLR). DESIGN: Singe-blind, randomized crossover trial. SETTING: Research laboratory. PARTICIPANTS: Population-based sample of individuals with ACLR (N=20; mean age Â± SD, 21.1Â±1.2y; mean mass Â± SD, 68.3Â±14.9kg; mean time Â± SD since ACLR, 50.7Â±21.3mo; 14 women; 16 patellar tendon autografts, 3 hamstring autografts, 1 allograft). INTERVENTIONS: Participants performed isometric squats while being exposed to WBV, LMV, or no vibration (control). Interventions were delivered in a randomized order during separate visits separated by 1 week. MAIN OUTCOME MEASURES: Quadriceps active motor threshold (AMT), motor-evoked potential (MEP) amplitude, Hoffmann reflex (H-reflex) amplitude, peak torque (PT), rate of torque development (RTD), electromyographic amplitude, and central activation ratio (CAR) were assessed before and immediately after a WBV, LMV, or control intervention. RESULTS: There was an increase in CAR (+4.9%, P=.001) and electromyographic amplitude (+16.2%, P=.002), and a reduction in AMT (-3.1%, P&lt;.001) after WBV, and an increase in CAR (+2.7%, P=.001) and a reduction in AMT (-2.9%, P&lt;.001) after LMV. No effect was observed after WBV or LMV in H-reflex, RTD, or MEP amplitude. AMT (-3.7%, P&lt;.001), CAR (+5.7%, P=.005), PT (+.31Nm/kg, P=.004), and electromyographic amplitude (P=.002) in the WBV condition differed from the control condition postapplication. AMT (-3.0% P=.002), CAR (+3.6%, P=.005), and PT (+.30Nm/kg, P=.002) in the LMV condition differed from the control condition postapplication. No differences were observed between WBV and LMV postapplication in any measurement. CONCLUSIONS: WBV and LMV acutely improved quadriceps function and could be useful modalities for restoring quadriceps strength in individuals with knee pathologies.</t>
  </si>
  <si>
    <t>10.1016/j.apmr.2016.01.021</t>
  </si>
  <si>
    <t>#313</t>
  </si>
  <si>
    <t>Pamukoff 2016</t>
  </si>
  <si>
    <t>Whole-Body Vibration Improves Early Rate of Torque Development in Individuals With Anterior Cruciate Ligament Reconstruction.</t>
  </si>
  <si>
    <t>Pamukoff DN; Pietrosimone B; Ryan ED; Lee DR; Brown LE; Blackburn JT</t>
  </si>
  <si>
    <t>Pamukoff, DN, Pietrosimone, B, Ryan, ED, Lee, DR, Brown, LE, and Blackburn, JT. Whole body vibration improves early rate of torque development in individuals with anterior cruciate ligament reconstruction. J Strength Cond Res 31(11): 2992-3000, 2017-The purpose of this study was to compare the effect of whole-body vibration (WBV) and local muscle vibration (LMV) on early and late quadriceps rate of torque development (RTD), and electromechanical delay (EMD) in individuals with anterior cruciate ligament reconstruction (ACLR). Twenty individuals with ACLR were recruited for this study. Participants performed isometric squats while being exposed to WBV, LMV, or no vibration (control) in a randomized order during separate visits. Early and late quadriceps RTD and EMD were assessed during a maximal voluntary isometric knee extension before and immediately after WBV, LMV, or control. There was a significant condition by time interaction for early RTD (p = 0.045) but not for late RTD (p = 0.11) or EMD of the vastus medialis (p = 0.15), vastus lateralis (p = 0.17), or rectus femoris (p = 0.39). Post hoc analyses indicated a significant increase in early RTD after WBV (+5.59 NÂ·mÂ·sÂ·kg; 95% confidence interval, 1.47-12.72; p = 0.007). No differences were observed in the LMV or control conditions, and no difference was observed between conditions at posttest. The ability to rapidly produce knee extension torque is essential to physical function, and WBV may be appropriate to aid in the restoration of RTD after ACLR.</t>
  </si>
  <si>
    <t>10.1519/JSC.0000000000001740</t>
  </si>
  <si>
    <t>#281</t>
  </si>
  <si>
    <t>Pamukoff 2017</t>
  </si>
  <si>
    <t>Effect of Whole-Body Vibration on Sagittal Plane Running Mechanics in Individuals With Anterior Cruciate Ligament Reconstruction: A Randomized Crossover Trial.</t>
  </si>
  <si>
    <t>Pamukoff DN; Montgomery MM; Choe KH; Moffit TJ; Vakula MN</t>
  </si>
  <si>
    <t>OBJECTIVE: To examine the effect of whole-body vibration (WBV) on running biomechanics in individuals with anterior cruciate ligament reconstruction (ACLR). DESIGN: Single-blind randomized crossover trial. SETTING: Research laboratory. PARTICIPANTS: Individuals (N=20) with unilateral ACLR (age [Â± SD]=22.3 [Â±3.3] years; mass=71.8 [Â±15.3] kg; time since ACLR=44.9 [Â±22.8] months; 15 females, 10 patellar tendon autograft, 7 hamstrings autograft, 3 allograft; International Knee Documentation Committee Score=83.5 [Â±9.3]). MAIN OUTCOME MEASURE: Participants performed isometric squats while being exposed to WBV or no vibration (control). WBV and control conditions were delivered in a randomized order during separate visits separated by 1-week washout periods. Running biomechanics of the injured and uninjured limbs were evaluated before and immediately after each intervention. Dependent variables included peak vertical ground reaction force (GRF) and loading rate (LR), peak knee flexion angle and external moment, and knee flexion excursion during the stance phase of running. RESULTS: There was an increase in knee flexion excursion (+4.1Â°, 95% confidence interval [CI]: 0.65, 7.5Â°) and a trend toward a reduction in instantaneous LR after WBV in the injured limb (-4.03 BW/sec(-1), 95% CI -0.38, -7.69). No effect was observed on peak GRF, peak knee flexion angle, or peak external knee flexion moment, and no effect was observed in the uninjured limb. CONCLUSIONS: Our findings indicate that a single session of WBV acutely increases knee flexion excursion. WBV could be useful to improve running characteristics in individuals with knee pathology.</t>
  </si>
  <si>
    <t>10.1016/j.apmr.2017.11.019</t>
  </si>
  <si>
    <t>#257</t>
  </si>
  <si>
    <t>Pamukoff 2018</t>
  </si>
  <si>
    <t>Arthroscopic ACL reconstruction with Delta plasty: an innovative approach with hamstrings' transfer and double tibial tunnel.</t>
  </si>
  <si>
    <t>Papachristou G; Sourlas J; Plessas S; Papachristou K</t>
  </si>
  <si>
    <t>We propose a new technique, with double bundle, double tibial tunnels with a bridge between them, using the hamstrings as auto-grafts, retaining either their central or peripheral attachment. A prospective series of 41 patients underwent primary reconstruction of the anterior cruciate ligament by one surgeon, arthroscopically and electronically assisted; 37 were men and 4 were women with a mean age of 24.7 years. The mean follow-up was 19.05 (12-30) months. Normal function and joint stability was achieved. The patients returned to full occupational activities within 3-6 months after the operation. The function of hamstrings was not disturbed. Two patients have sustained a new injury without rupture of the grafts. The Noulis-Lachman test was negative in 35 knees. Positive pivot_shift, post-operatively, was present in 15.45% of patients. The IKDC score was 84.55. In the proposed ACL reconstruction technique, the two tendons are transferred and used as grafts, with gracillis and semitendinosus retaining their distal and central attachment, respectively; the former superimposed upon the latter while entering the femoral tunnel. The tibial tunnels leave a bone bridge ranging between 12 and 15 mm within the footprints of ACL. The two bundles are tensioned, each at different angle. This configuration imitates both the anatomy and the function of ACL and controls not only the anterior translation, but also the rotatory stability. With this innovative technique, the final outcome is improved, thus being closer to normal, as evidenced from previous experiments and the present prospective series.</t>
  </si>
  <si>
    <t>10.1007/s00167-007-0426-5</t>
  </si>
  <si>
    <t>#520</t>
  </si>
  <si>
    <t>Papachristou 2008</t>
  </si>
  <si>
    <t>Anterior cruciate ligament reconstruction and return to sport activity: postural control as the key to success.</t>
  </si>
  <si>
    <t>Papalia R; Franceschi F; Tecame A; D'Adamio S; Maffulli N; Denaro V</t>
  </si>
  <si>
    <t>PURPOSE: The risk for re-tear following anterior cruciate ligament (ACL) reconstruction is influenced by several hormonal, neuromuscular, biomechanical and anatomic factors. One of the most important negative prognostic factors that markedly increase the risk for ACL re-tear is the presence of high knee-abduction moment (KAM), which can be measured immediately by landing on both feet after a vertical jump. We evaluated the effect in postoperative values for KAM according to the type of graft used for ACL reconstruction (hamstring vs patellar tendon) and a specific rehabilitation protocol focusing on recovery of muscular strength, proprioception and joint stabilisation. METHODS: From November 2010 to September 2012, we enrolled 40 female recreational athletes with clinical and imaging evidence of ACL tear and randomised them in two groups. One group of patients underwent reconstruction with a hamstring-tendon graft and the second with a patellar-tendon graft. A custom rehabilitation programme focusing on proprioception was adopted. Clinical outcomes [International Knee Documentation Committee (IKDC) and Lysholm scores] and performance in functional test for stability (single-leg hop, timed hop, crossover triple hop, KAM test) were assessed preoperatively at three and six months postoperatively. RESULTS: All patients showed statistically significant clinical improvements postoperatively when compared with preoperative values (Pâ€‰&lt;â€‰0.0001). No significant intergroup difference was observed in all clinical scores and functional tests, with the exception of the value registered for the KAM test (Pâ€‰&lt;â€‰0.0001). CONCLUSIONS: ACL reconstruction using patellar-tendon graft followed by rehabilitation centred on strength, proprioception and stability restoration can produce satisfactory values for KAM within the physiological range. The surgical strategies should be adapted to the patient on the basis of a multidisciplinary approach.</t>
  </si>
  <si>
    <t>#347</t>
  </si>
  <si>
    <t>Cross-exercise on quadriceps deficit after ACL reconstruction.</t>
  </si>
  <si>
    <t>Papandreou M; Billis E; Papathanasiou G; Spyropoulos P; Papaioannou N</t>
  </si>
  <si>
    <t>A few studies concerning the improvement of quadriceps muscle strength deficit (QD) at an early stage following anterior cruciate ligament (ACL) reconstruction have been conducted whereas, ACL rehabilitation protocols based on contralateral quadriceps strength (QS) do not exist. Given these, the goals of our study were (1) to evaluate the effects of cross-eccentric exercise (CEE) on QD on ACL reconstructed knees, and (2) to explore any changes in QD following CEE provided at the frequencies of 3 or 5 times per week. For this study, 42 ACL-reconstructed patients were randomly assigned into 3 groups, two experimental and one control and followed an 8-week rehabilitation program. Additionally, the experimental groups received CEE for 3 and 5 days per week for 8 weeks in their uninjured knees. QS was evaluated with an isokinetic/isometric test, at 60 degrees of knee flexion of both limbs before and after completion of CEE. Two-factor ANOVA showed a significant improvement of QD between groups (F = 5.16, p = 0.01) after CEE completion on ACL reconstructed knees. Statistically significant results arose from the 3 days per week (D = 18.60, p = 0.01) and 5 days per week (D = 15.12, p = 0.04) experimental groups, whereas the control group did not yield any statistically significant differences. CEE used as an adjunct to the ACL traditional rehabilitation program at the weekly frequencies of 3 and 5 times at the early stage of reconstruction significantly improved QD.</t>
  </si>
  <si>
    <t>10.1055/s-0032-1313744</t>
  </si>
  <si>
    <t>#390</t>
  </si>
  <si>
    <t>Papandreou 2013</t>
  </si>
  <si>
    <t>Targeting neuromuscular deficits following anterior cruciate ligament reconstruction with spinal manipulation: A randomized controlled trial.</t>
  </si>
  <si>
    <t>Paredes R; Crasto C; Montes AM; AndrÃ© A; Arias-BurÃ­a JL</t>
  </si>
  <si>
    <t>PURPOSE: To investigate the effects of spinal manipulation (SM) on neuromuscular activation patterns during single-leg vertical drop landing (VDL) in individuals with anterior cruciate ligament reconstruction (ACLR). METHODS: A single-blind, randomized controlled trial was conducted. Twenty individuals with ACLR were randomly assigned to a SM group (SMG, nÂ =Â 10) or a control group (CG, nÂ =Â 10). Kinematic, kinetic, and electromyographic data were collected during VDL at baseline and 10Â min post-intervention. Statistical analyses were conducted at a significance level of 0.05. RESULTS: Significant group Ã— time Ã— phase interactions were found for semitendinosus muscle activity and vastus medialis:semitendinosus co-contraction (pÂ &lt;Â 0.05). Post hoc analyses revealed reduced preparatory-phase muscle activity and co-contraction in the SMG compared with the CG following the intervention. Additional differences in muscle activity and co-contraction were observed (pÂ &lt;Â 0.05), although no significant interactions were identified. The SMG also exhibited greater knee flexion and increased knee abduction compared with the CG (pÂ &lt;Â 0.05). No additional significant between-group differences were identified (pÂ &gt;Â 0.05). CONCLUSION: A single session of SM was associated with neuromuscular and biomechanical changes during landing in individuals with ACLR, supporting its potential as a complementary approach in rehabilitation. CLINICALTRIALS: govIdentifier:NCT07032623.</t>
  </si>
  <si>
    <t>10.1016/j.jelekin.2026.103177</t>
  </si>
  <si>
    <t>#8</t>
  </si>
  <si>
    <t>Paredes 2026</t>
  </si>
  <si>
    <t>Efficacy of continuous intra-articular bupivacaine infusion for postoperative analgesia after anterior cruciate ligament reconstruction: a double-blinded, placebo-controlled, prospective, and randomized study.</t>
  </si>
  <si>
    <t>Parker RD; Streem K; Schmitz L; Martineau PA</t>
  </si>
  <si>
    <t>BACKGROUND: The increasing trend toward outpatient surgery has stimulated the development of techniques focused on decreasing perioperative and postoperative pain. Pain control infusion pumps are gaining in popularity in orthopaedic procedures to control postoperative pain. HYPOTHESIS: Continuous infusion of bupivacaine via a catheter placed intra-articular into the knee after anterior cruciate ligament reconstruction using ipsilateral autograft quadrupled semitendinosus will decrease postoperative pain scores and narcotic and NSAID consumption. STUDY DESIGN: Randomized controlled trial; Level of evidence, 1. METHODS: Three randomized study groups of 21 subjects were evaluated: group I, 0.25% bupivacaine infused intra-articular at 4 mL/hour for 72 hours (study); Group II, 0.9% saline infused intra-articular at 4 mL/hr for 72 hours (placebo); Group III, no intra-articular infusion catheter (control). Each subject received general anesthesia and preemptive intra-articular anesthesia. Visual analog scale pain scores and analgesic use were compiled for the 96-hour study period. RESULTS: With the exception of significantly higher total narcotic usage in the control group compared with the study group only for the time period of 48 to 72 hours, there were no other statistically significant differences between each of the study groups with respect to pain and narcotic and NSAID use for the entire study period. CONCLUSION: The continuous infusion of intra-articular bupivacaine via pain control infusion pumps after anterior cruciate ligament reconstruction using ipsilateral autograft quadrupled semitendinosus cannot be supported when postoperative visual analog scale pain scores and analgesic use are the rationale for justification.</t>
  </si>
  <si>
    <t>10.1177/0363546506296313</t>
  </si>
  <si>
    <t>#534</t>
  </si>
  <si>
    <t>Parker 2007</t>
  </si>
  <si>
    <t>Effects of isoinertial training on muscle power, endurance, isometric strength, and balance: randomized clinical trial in patients with post-ACL reconstruction.</t>
  </si>
  <si>
    <t>Patra RC; Gupta S; Yashudas A; Mahajan S</t>
  </si>
  <si>
    <t>BACKGROUND: ACL reconstruction surgery leads to temporary limitations in knee movement due to weakness in the quadriceps, swelling, and stiffness. Effective therapy is necessary to regain strength and functionality. While flywheel resistance training enhances strength and eccentric loading, there is limited knowledge about its effectiveness in conjunction with conventional rehabilitation methods. This study evaluates the impact of both conventional rehabilitation and isoinertial therapy on muscle power, endurance, isometric strength, and balance in patients following ACL repair. METHODS: A total of 96 out of 136 patients aged 18 to 45 who had been randomly assigned to groups were included 3Â weeks post-procedure. Over 6Â weeks, 47 patients in group A (n = 47)Â participated in both isoinertial training and conventional therapy protocals whileÂ in group B (nâ€‰=â€‰49) followed a conventional rehabilitation protocol for just 30Â min daily. To assess the patients' muscle power, endurance, isometric strength, and balance, a flywheel ergometer (D11 Plus; Desmotec, Biella, Italy) was utilized both before and after the 6-week treatment period. RESULTS: Group A had statistically significant increases in eccentric muscular power (pâ€‰=â€‰0.0001), whereas there was no noticeable difference between the two groups in isometric strength, balance, or concentric power (pâ€‰=â€‰0.731, pâ€‰=â€‰0.786, and pâ€‰=â€‰0.815, respectively). CONCLUSION: The finding indicates that isometric strength, balance, and both concentric and eccentric muscular power were successfully improved by both 6-week interventions: traditional rehabilitation alone and in conjunction with isoinertial training. But when compared to traditional therapy alone, the isoinertial training group showed better gains in muscular endurance. There were no discernible variations in the groups' isometric strength or balance results. The study also emphasizes how isoinertial training can effectively increase eccentric power. TRIAL REGISTRATION: The ethics approval number is LPU/IEC/2018/01/09. Registered in the Clinical Trials Registry of India under CTRI/2019/06/019858Â dated 23/09/2021.</t>
  </si>
  <si>
    <t>10.1186/s13063-025-08953-0</t>
  </si>
  <si>
    <t>#42</t>
  </si>
  <si>
    <t>Patra 2025</t>
  </si>
  <si>
    <t>Long-term results of a randomized study on anterior cruciate ligament reconstruction with or without a synthetic degradable augmentation device to support the autograft.</t>
  </si>
  <si>
    <t>Peterson L; Eklund U; EngstrÃ¶m B; Forssblad M; Saartok T; Valentin A</t>
  </si>
  <si>
    <t>PURPOSE: The aim was to compare the outcome of anterior cruciate ligament (ACL) reconstruction with bone-patellar tendon-bone (BPTB) autograft, with and without a poly(urethane urea) augmentation device. METHODS: Patients were randomized to BPTB reconstruction with a synthetic degradable augmentation device (n = 96) or without augmentation (n = 105). Follow-ups were made during 4 years after surgical treatment with the KT1000 arthrometer for objective evaluation of sagittal stability. The Tegner scoring system for assessment of physical activity level and the Knee injury Osteoarthritis Outcome Score (KOOS) for assessment of knee-specific health were evaluated after 4 and 12 years. RESULTS: KT1000 tests showed a significant decrease in mean manual maximum side-to-side difference after 4 years in both patients with and those without augmentation, without any statistical difference between the groups (n.s.). Pre-injury, 76 and 80% of the patients, respectively, reported Tegner level 7-10. Pre-surgery, the corresponding figures were 6 and 5%, and at 4 years, 33 and 30 %. Twelve years after ACL reconstruction, both groups had significantly higher KOOS scores in function in sports and recreational activities (p &lt; 0.001) and knee-related quality of life (p &lt; 0.001) compared to before surgical treatment. In 10 patients, the augmentation device was removed, in six of these because of insufficient screw fixation to femur and in four due to swelling/hydrops. CONCLUSION: This study showed no significant difference in clinical outcome with use of an additional synthetic augmentation device in a single-bundle BPTB ACL reconstruction compared with non-augmentation, in short, intermediate, or long-term perspective. LEVEL OF EVIDENCE: Therapeutic study, Level I.</t>
  </si>
  <si>
    <t>10.1007/s00167-013-2636-3</t>
  </si>
  <si>
    <t>#370</t>
  </si>
  <si>
    <t>Peterson 2014</t>
  </si>
  <si>
    <t>[Subsequent treatment of surgically managed, fresh, anterior cruciate ligament ruptures--a randomized, prospective study].</t>
  </si>
  <si>
    <t>PfÃ¶rringer W; Kremer C</t>
  </si>
  <si>
    <t>The prospective study examined two different postoperative treatments on 46 patients with acute and isolated disruption of the anterior cruciate ligament (acl), who were treated with reconstruction and augmentation using the semitendinosus-tendon. The patients were randomised and divided into two groups either to use a postoperative brace (Donjoy Ind.) set at full extension (group A) or to use the same brace set at a flexion of 20 degrees (group B) on the first 3 days after surgery. All patients undertook a standard "accelerated" rehabilitation protocol and were evaluated after 3, 6 and 12 months after surgery. The results were as follow: the patients of group A reached the full extension faster than group B without any loss of knee stability. Postoperative extension even led to an earlier return to work and sport activities. The muscle strength side-to-side difference (Cybex-measurement) was lower in group A. The severity and intensity of postoperative pain, swelling and giving-way was reduced in group A as was the risk of arthrofibrosis. Evaluated with the scoring scales of the "OrthopÃ¤dische Arbeitsgruppe Knie" (OAK), the "International Knee Documentation Committee" (IKDC), the Tegner activity score and the Lysholm score, the clinical outcome and activity-level were higher in group A than in group B. This prospective study shows, that immediate postoperative extension, compared to the postoperative flexion of 20 degrees, reduces the term of rehabilitation and optimizes the operative results after acl-reconstruction.</t>
  </si>
  <si>
    <t>Sportverletz Sportschaden</t>
  </si>
  <si>
    <t>10.1055/s-2005-858472</t>
  </si>
  <si>
    <t>#560</t>
  </si>
  <si>
    <t>PfÃ¶rringer 2005</t>
  </si>
  <si>
    <t>Isokinetic evaluation of anterior cruciate ligament reconstruction: quadriceps tendon versus patellar tendon.</t>
  </si>
  <si>
    <t>Pigozzi F; Di Salvo V; Parisi A; Giombini A; Fagnani F; Magini W; Franceschi F; Denaro E</t>
  </si>
  <si>
    <t>AIM: The goal of this prospective randomized study was to compare the isokinetic recovery of thigh strength after anterior cruciate ligament (ACL) reconstruction by using patellar or quadriceps tendon as graft at the 6th month follow-up. METHODS: The authors evaluated 48 patients who underwent arthroscopic ACL reconstruction using patellar tendon (PT group) or quadriceps tendon (QT group) as autograft after a 6 months follow-up undergoing the following tests: the Ergojump Bosco System springboard and Universal's FITNET computerized isokinetic system. RESULTS: The counter movement jump (CMJ) test showed a 24% (p&lt;0.01) strength deficit in patients operated with patellar tendon and 11% in the quadriceps tendon group. Also in the leg press test the greater differences in strength (p&lt;0.05) were verified in the patellar tendon group, above all the peak torque (PT) test carried out at 3 repetitions (15%). CONCLUSIONS: The strength deficit found in the subjects operated with quadriceps tendon were statistically lower in comparison to that verified in the patellar tendon group. A good recovery in thigh strength after 6 months in patients operated with quadriceps tendon could encourage the use of this kind of graft in order to achieve an easier rehabilitation and a faster release of the patient to daily and sports activity.</t>
  </si>
  <si>
    <t>J Sports Med Phys Fitness</t>
  </si>
  <si>
    <t>#568</t>
  </si>
  <si>
    <t>A 10-year comparison of anterior cruciate ligament reconstructions with hamstring tendon and patellar tendon autograft: a controlled, prospective trial.</t>
  </si>
  <si>
    <t>Pinczewski LA; Lyman J; Salmon LJ; Russell VJ; Roe J; Linklater J</t>
  </si>
  <si>
    <t>BACKGROUND: There are no controlled, prospective studies comparing the 10-year outcomes of anterior cruciate ligament (ACL) reconstruction using patellar tendon (PT) and 4-strand hamstring tendon (HT) autografts. HYPOTHESIS: Comparable results are possible with HT and PT autografts. STUDY DESIGN: Cohort study; Level of evidence, 2. METHODS: One hundred eighty ACL-deficient knees that met inclusion criteria underwent ACL reconstruction (90 HT autograft, 90 PT autograft) by one surgeon and were treated with an accelerated rehabilitation program. All knees were observed in a prospective fashion with subjective, objective, and radiographic evaluation at 2, 5, 7, and 10-year intervals. RESULTS: At 10 years, there were no differences in graft rupture rates (7/90 PT vs. 12/90 HT, P = .24). There were 20 contralateral ACL ruptures in the PT group, compared with 9 in the HT group (P = .02). In all patients, graft rupture was associated with instrumented laxity &gt;2 mm at 2 years (P = .001). Normal or near-normal function of the knee was reported in 97% of patients in both groups. In the PT group, harvest-site symptoms (P = .001) and kneeling pain (P = .01) were more common than in the HT group. More patients reported pain with strenuous activities in PT knees than in HT knees (P = .05). Radiographic osteoarthritis was more common in PT knees than the HT-reconstructed knees (P = .04). The difference, however, was composed of patients with mild osteoarthritis. Other predictors of radiographic osteoarthritis were &lt;90% single-legged hop test at 1 year and the need for further knee surgery. An "ideal" outcome, defined as an overall International Knee Documentation Committee grade of A or B and a radiographic grade of A at 10 years after ACL reconstruction, was associated with &lt;3 mm of instrumented laxity at 2 years, the absence of additional surgery in the knee, and HT grafts. CONCLUSIONS: It is possible to obtain excellent results with both HT and PT autografts. We recommend HT reconstructions to our patients because of decreased harvest-site symptoms and radiographic osteoarthritis.</t>
  </si>
  <si>
    <t>#531</t>
  </si>
  <si>
    <t>Effects of early whole-body vibration treatment on knee neuromuscular function and postural control after anterior cruciate ligament reconstruction: A randomized controlled trial.</t>
  </si>
  <si>
    <t>Pistone EM; Laudani L; Camillieri G; Di Cagno A; Tomassi G; Macaluso A; Giombini A</t>
  </si>
  <si>
    <t>OBJECTIVE: To assess the effects of adding a whole-body vibration protocol at optimal frequency (WBV-OF) to a traditional rehabilitation programme (TRP) early after anterior cruciate ligament reconstruction, on maximal strength and balance, in comparison with a traditional rehabilitation programme. DESIGN: A total of 34 anterior cruciate ligament reconstructed patients with hamstring-tendon graft underwent either 4 weeks of WBV-OF training in addition to a traditional rehabilitation programme, or a traditional rehabilitation programme only, starting from the first month after surgery. Patients were assessed for maximal voluntary isometric strength during both knee extension and flexion and for balance on a force platform before, 1 month after treatment and at 3-month follow-up. RESULTS: Strength symmetry of the knee flexor muscles improved in WBV-OF+TRP patients more than in TRP patients 1 month after treatment (mean 66% (standard deviation (SD) 15) vs 58% SD 13), and also at the 3-month follow-up (mean 77% (SD 15) vs 64% (SD 15)), with no differences in balance improvements between the groups. CONCLUSIONS: Adding 4-weeks of WBV-OF to a traditional rehabilitation programme 1 month after surgery is effective in improving muscle strength of the knee flexor muscles. This early intervention may be incorporated into current rehabilitation to facilitate early strength recovery of anterior cruciate ligament reconstructed patients.</t>
  </si>
  <si>
    <t>J Rehabil Med</t>
  </si>
  <si>
    <t>10.2340/16501977-2150</t>
  </si>
  <si>
    <t>#289</t>
  </si>
  <si>
    <t>Pistone 2016</t>
  </si>
  <si>
    <t>Commentary on "Comparison of Quadriceps and Hamstrings Muscle Strength after Exercises with and without Blood Flow Restriction Following Anterior Cruciate Ligament Surgery: A Randomized Controlled Trial".</t>
  </si>
  <si>
    <t>Popli A; Kalra R; Shreshta D; Goyal K; Goyal M</t>
  </si>
  <si>
    <t>10.2340/jrm.v55.9580</t>
  </si>
  <si>
    <t>#98</t>
  </si>
  <si>
    <t>Popli 2023</t>
  </si>
  <si>
    <t>Reduced Knee Flexion Strength 18 Years After ACL Reconstruction With Hamstring Tendon Versus Patellar Tendon.</t>
  </si>
  <si>
    <t>Popovic M; Myhre JR; Holen JIH; Gifstad T; Strand IL; Strand T; Mo IF; Fischer-Bredenbeck C; Drogset JO</t>
  </si>
  <si>
    <t>BACKGROUND: Bone-patellar tendon-bone (BPTB) and double-looped semitendinosus and gracilis (hamstring) grafts are commonly used for anterior cruciate ligament (ACL) reconstruction. Short-term and midterm studies show little or no differences between the 2 grafts; however, there are only a few long-term studies to compare results between the 2 grafts. PURPOSE: To compare the results after using either BPTB grafts or hamstring tendon grafts 18 years after ACL reconstruction. STUDY DESIGN: Randomized controlled trial; Level of evidence 2. METHODS: A total of 114 patients with ACL rupture between 2001 and 2004 were randomized to reconstruction with either a BPTB graft or a hamstring tendon graft. Patients were operated on at 4 major hospitals. The 18-year follow-up evaluation included anterior knee laxity measured with a KT-1000 arthrometer, defined as the primary outcome, while clinical examination (Lachman and pivot-shift tests), isokinetic testing of muscle strength, patient-reported outcome measures, and an assessment of radiographic osteoarthritis using the Kellgren-Lawrence classification were defined as secondary outcomes. RESULTS: A total of 96 patients (84%, 47 BPTB and 49 hamstring grafts) were available for follow-up, 71 of these for clinical examination. Seven of 96 patients were excluded for ACL revision (n = 5) or knee replacement (n = 2) surgery. In total, 25 patients (10 BPTB and 15 hamstring grafts) had undergone additional surgery other than ACL revision or total knee arthroplasty. There were no significant differences between the groups in terms of anterior laxity test with KT-1000 arthrometer (primary outcome). In secondary outcomes, no significant differences between groups were reported regarding clinical examination, patient-reported outcome scores, or radiographic osteoarthritis (Kellgren-Lawrence grade 2-4 for patellofemoral joint [18 hamstring and 14 BPTB] or tibiofemoral joint [20 hamstring and 19 BPTB]), while isokinetic testing revealed that the hamstring group had a 10.7% reduction in mean peak flexion torque compared with the BPTB group at 60 deg/s (df = 59; P = .011). At 60 deg/s the mean total flexion work in the hamstring group was reduced by 17.2% compared with the BPTB group (df = 59; P = .002). CONCLUSION: The flexion strength in the hamstring group was significantly reduced in the operated knee after 18 years. There were no significant differences between the groups regarding subjective outcomes, patient-reported outcomes, range of motion, clinical and instrumented knee laxity, and the development of osteoarthritis. REGISTRATION: NCT05876013 (ClinicalTrials.gov identifier).</t>
  </si>
  <si>
    <t>#73</t>
  </si>
  <si>
    <t>A comparison of ketorolac tromethamine/oxycodone versus patient-controlled analgesia with morphine in anterior cruciate ligament reconstruction patients.</t>
  </si>
  <si>
    <t>Popp JE; Sanko WA; Sinha AK; Kaeding CC</t>
  </si>
  <si>
    <t>Effective postoperative analgesia with minimal side effects remains an important goal in enabling increasingly complex surgical procedures to be performed on an outpatient basis. In this study, we examined the efficacy of postoperative analgesia in 90 patients undergoing anterior cruciate ligament reconstruction using a patellar tendon autograft, with a 24-hour hospital stay. Patients were randomized to receive either intramuscular ketorolac supplemented by oral oxycodone, or intravenous morphine via patient-controlled analgesia (PCA) device, for postoperative analgesia. Patients were monitored for 2 hours in the recovery room, then every 4 hours until discharge, for the presence of complications of nausea, vomiting, urinary retention, pruritus, and dizziness. Pain was assessed using a visual analog scale (VAS) on the morning of postoperative day one. All patients were discharged by 24 hours after surgery. Ten (20%) of the patients receiving ketorolac/oxycodone versus 31 (79%) of those receiving PCA morphine experienced postoperative complications (P &lt; .05). Postoperative nausea, vomiting, and urinary retention were each significantly more common in the PCA morphine group (P &lt; .05). The incidence of pruritus and dizziness was low overall. There was no significant difference between groups in the severity of postoperative pain as assessed using a VAS. We conclude that ketorolac/oxycodone may provide comparable analgesia with fewer undesirable side effects than PCA morphine in patients undergoing anterior cruciate ligament reconstruction. Patients receiving ketorolac/oxymorphone may have a better quality recovery and more rapid discharge.</t>
  </si>
  <si>
    <t>10.1016/s0749-8063(98)70016-7</t>
  </si>
  <si>
    <t>#653</t>
  </si>
  <si>
    <t>Popp 1998</t>
  </si>
  <si>
    <t>Modified Iliotibial Band Tenodesis Is Indicated to Correct Intraoperative Residual pivot_shift After Anterior Cruciate Ligament Reconstruction Using an Autologous Hamstring Tendon Graft: A Prospective Randomized Controlled Trial.</t>
  </si>
  <si>
    <t>Porter M; Shadbolt B</t>
  </si>
  <si>
    <t>BACKGROUND: The indications for the addition of anterolateral soft tissue augmentation to anterior cruciate ligament (ACL) reconstruction and its effectiveness remain uncertain. PURPOSE: To determine if modified iliotibial band tenodesis (MITBT) can improve clinical outcomes and reduce the recurrence of ACL ruptures when added to ACL reconstruction in patients with a residual pivot_shift. STUDY DESIGN: Randomized controlled trial; Level of evidence, 2. METHODS: Patients with a primary ACL rupture satisfying the following inclusion criteria were enrolled: first ACL rupture, involved in pivoting sports, skeletally mature, no meniscal repair performed, and residual pivot_shift relative to the contralateral uninjured knee immediately after ACL reconstruction. Patients were randomized to group A (no further surgery) or group B (MITBT added) and were followed up for 2 years. The patient-reported outcome (PRO) measures used were the International Knee Documentation Committee (IKDC) score, Knee injury and Osteoarthritis Outcome Score (KOOS) subscale of sport/recreation (Sport/Rec), KOOS subscale of quality of life (QoL), Lysholm knee score (LKS), Tegner activity scale (TAS), recurrent ACL ruptures, or need for further surgery in either knee. Analysis of variance was used to compare PROs; the Wilcoxon test was used for the TAS; and the chi-square test was used for recurrence of ACL ruptures, meniscal injuries, and contralateral ACL ruptures (P &lt; .05). RESULTS: A total of 55 patients were randomized: 27 to group A (female:male ratio = 15:12; mean age, 22.3 Â± 3.7 years) and 28 to group B (female:male ratio = 17:11; mean age, 21.8 Â± 4.1 years). At 2-year follow-up, group A had a similar IKDC score (90.9 Â± 10.7 vs 94.2 Â± 11.2; respectively; P = .21), lower KOOS Sport/Rec score (91.5 Â± 6.4 vs 95.3 Â± 4.4, respectively; P = .02), similar KOOS QoL score (92.0 Â± 4.8 vs 95.1 Â± 4.3, respectively; P = .14), lower LKS score (92.5 Â± 4.8 vs 96.8 Â± 8.0, respectively; P = .004), lower TAS score (median, 7 [range, 7-9] vs 8 [range, 8-10], respectively; P = .03), higher rate of recurrence (14.8% vs 0.0%, respectively; P &lt; .001), similar rate of meniscal tears (14.8% vs 3.6%, respectively; P = .14), and similar rate of contralateral ACL ruptures (3.7% vs 3.6%, respectively; P = .99) relative to group B. CONCLUSION: The augmentation of ACL reconstruction with MITBT reduced the risk of recurrent ACL ruptures in knees with a residual pivot_shift after ACL reconstruction and improved KOOS Sport/Rec, LKS, and TAS scores. REGISTRATION: ACTRN12618001043224 (Australian New Zealand Clinical Trials Registry).</t>
  </si>
  <si>
    <t>10.1177/0363546520910148</t>
  </si>
  <si>
    <t>#196</t>
  </si>
  <si>
    <t>Porter 2020</t>
  </si>
  <si>
    <t>Liposomal Bupivacaine for Pain Control After Anterior Cruciate Ligament Reconstruction: A Prospective, Double-Blinded, Randomized, Positive-Controlled Trial.</t>
  </si>
  <si>
    <t>Premkumar A; Samady H; Slone H; Hash R; Karas S; Xerogeanes J</t>
  </si>
  <si>
    <t>BACKGROUND: Local anesthetics are commonly administered into surgical sites as a part of multimodal pain control regimens. Liposomal bupivacaine is a novel formulation of bupivacaine designed for slow diffusion of a single dose of local anesthetic over a 72-hour period. While early results are promising in various settings, no studies have compared pain management regimens containing liposomal bupivacaine to traditional regimens in patients undergoing anterior cruciate ligament (ACL) reconstruction. PURPOSE: To evaluate liposomal bupivacaine in comparison with 0.25% bupivacaine hydrochloride (HCl) for pain control after ACL reconstruction. STUDY DESIGN: Randomized controlled trial; Level of evidence, 1. METHODS: A total of 32 adult patients undergoing primary ACL reconstruction with a soft tissue quadriceps tendon autograft between July 2014 and March 2015 were enrolled. All patients received a femoral nerve block immediately before surgery. Patients then received either a 40-mL suspension of 20 mL Exparel (1 vial of bupivacaine liposome injectable suspension) and 20 mL 0.9% injectable saline or 20 mL 0.5% bupivacaine HCl and 20 mL 0.9% injectable saline, which was administered into the graft harvest site and portal sites during surgery. Patients were given either a postoperative smartphone application or paper-based journal to record data for 1 week after ACL reconstruction. RESULTS: Of the 32 patients recruited, 29 patients were analyzed (90.6%). Two patients were lost to follow-up, and 1 was excluded because of a postoperative hematoma. There were no statistically significant differences in postoperative pain, medication use, pain location, recovery room time, or mobility between the 2 study groups. CONCLUSION: There were comparable outcomes with 0.25% bupivacaine HCl at a 200-fold lower cost than liposomal bupivacaine. This study does not support the widespread use of liposomal bupivacaine for pain control after ACL reconstruction in the setting of a femoral nerve block. REGISTRATION: ClinicalTrials.gov NCT02189317.</t>
  </si>
  <si>
    <t>10.1177/0363546516640772</t>
  </si>
  <si>
    <t>#305</t>
  </si>
  <si>
    <t>Premkumar 2016</t>
  </si>
  <si>
    <t>Prospective randomized comparison of endobutton versus cross-pin femoral fixation in hamstring anterior cruciate ligament reconstruction with 2-year follow-up.</t>
  </si>
  <si>
    <t>Price R; Stoney J; Brown G</t>
  </si>
  <si>
    <t>BACKGROUND: To determine if there is a different clinical outcome after TransFix versus endobutton femoral fixation in hamstring anterior cruciate ligament (ACL) reconstruction. METHODS: Twenty-nine patients were randomized into either Endobutton (Smith &amp; Nephew, Andover, MA, USA) (n= 13) or TransFix (Arthrex, Naples, FL, USA) (n= 16) femoral fixation in hamstring ACL reconstruction. The distal fixation was with a bioabsorbable interference screw. The evaluation methods were clinical history and examination, KT1000 arthrometry for laxity as well as the International Knee Documentation Committee (IKDC) scores over a 2-year time frame. RESULTS: There were no significant differences between the study groups preoperatively. For the 2-year follow-up, 11 patients in the Endobutton group and 13 patients in the TransFix group were available (greater than 80%). No statistical differences between the two groups were found at the 1- or 2-year follow-up examinations. At the 2-year follow-up, 72.7% of the Endobutton and 84.6% of the TransFix group patients were in the IKDC A or B categories. Additional procedures postoperatively occurred more frequently in the TransFix group. CONCLUSIONS: There were no significant differences in the results for either technique of femoral fixation.</t>
  </si>
  <si>
    <t>ANZ J Surg</t>
  </si>
  <si>
    <t>10.1111/j.1445-2197.2009.05128.x</t>
  </si>
  <si>
    <t>#448</t>
  </si>
  <si>
    <t>Price 2010</t>
  </si>
  <si>
    <t>Long-Term Outcomes Following Anatomic Double-Bundle Versus Single-Bundle Anterior Cruciate Ligament Reconstruction Using Hamstring Autograft: A Randomized Controlled Trial With an Average 14-Year Follow-Up.</t>
  </si>
  <si>
    <t>Qadir D; Sernert N; Rostgard-Christensen L; Desai N; AhldÃ©n M; Kartus JT; Karikis I</t>
  </si>
  <si>
    <t>PURPOSE: To compare the clinical and radiographic outcomes-particularly the long-term development of osteoarthritis-14â€‰years after anterior cruciate ligament (ACL) reconstruction between anatomic double-bundle (DB) and anatomic single-bundle (SB) techniques. METHODS: One hundred and five patients (33 women and 72 men; median age, 27â€‰years [range, 18-52â€‰years]) were randomized and underwent ACL reconstruction (DB group, nâ€‰=â€‰53; SB group, nâ€‰=â€‰52). All ACL reconstruction procedures were performed anatomically, with femoral tunnel drilling via the anteromedial portal and the use of a hamstring autograft. One blinded observer examined the patients preoperatively and at average 14-year follow-up. Subjective, objective, and radiographic evaluations were used to assess the outcomes. RESULTS: At 14-year follow-up (median, 173â€‰months [range, 165-187â€‰months]), 64 patients (61% overall; DB, nâ€‰=â€‰35 [66%]; SB, nâ€‰=â€‰29 [56%]) were available for final analysis. No significant differences were found between the groups in terms of the pivot-shift and manual Lachman grades, KT-1000 arthrometer laxity measurements, single-leg-hop test, range of motion, Lysholm knee and Tegner activity scores, and Knee injury and Osteoarthritis Outcome Score. Minimal clinically important difference for both the sport/recreation and quality of life subscales showed no significant difference between the groups. Correspondingly, no differences were found between the groups regarding the presence of radiographic osteoarthritis. Both groups showed significant improvement at follow-up compared with preoperative data in all objective and subjective outcomes. Moreover, no significant differences were found between the SB and DB groups in AhlbÃ¤ck grades for either the medial (Pâ€‰=â€‰.94) or lateral (Pâ€‰=â€‰.67) knee compartments, in Fairbank grades (Pâ€‰=â€‰.91), or in Kellgren-Lawrence grades (Pâ€‰=â€‰.69) at the 14-year follow-up. The cumulative Fairbank score indicated no significant differences between the groups at the 14-year follow-up (SB, mean 2.7â€‰Â±â€‰2.4; DB, mean 2.7â€‰Â±â€‰2.3; Pâ€‰= .91). CONCLUSIONS: At an average 14-year follow-up, the anatomic DB technique showed no clear superiority over the anatomic SB technique in terms of clinical outcomes or in the development of osteoarthritis. LEVEL OF EVIDENCE: Level II, randomized controlled trial.</t>
  </si>
  <si>
    <t>10.1002/arj.70084</t>
  </si>
  <si>
    <t>#17</t>
  </si>
  <si>
    <t>Qadir 2026</t>
  </si>
  <si>
    <t>Five Weeks of Whole-body Vibration in Prehabilitation for Knee Function Following Anterior Cruciate Ligament Reconstruction: A Single-blinded Randomized Controlled Trial.</t>
  </si>
  <si>
    <t>Qiu J; Ong MT; Choi CY; Cao M; Ko VM; He X; Fu SC; Fong DTP; Yung PS</t>
  </si>
  <si>
    <t>BACKGROUND: Good preoperative quadriceps neuromuscular function is associated with satisfactory functional outcomes post-anterior cruciate ligament reconstruction (ACLR). Whole-body vibration (WBV), which can modulate quadriceps neuromuscular function has not yet been incorporated into ACL prehabilitation. The aim of this study was to determine whether the combination of WBV in a prehabilitation program could achieve a better knee function after ACLR by promoting quadriceps neuromuscular function during the preoperative period. METHODS: A single-blinded randomized controlled clinical trial was conducted. Forty-four participants with a primary, unilateral ACL rupture were randomly assigned to the control (Nâ€‰=â€‰22) or the WBV group (Nâ€‰=â€‰22). The control group underwent prehabilitation twice weekly for five weeks. The WBV group received the same prehabilitation plus WBV. Quadriceps neuromuscular function, including strength (maximal voluntary isometric contraction, MVIC), the early (rate of torque development from 0 to 50ms, RTD(0â€‰-â€‰50)), and the late phase (rate of torque development from 100 to 200ms, RTD(100â€‰-â€‰200)) of rapid contraction and inhibition (central activation ratio, CAR) in the injured limb, were measured at baseline and preoperatively. Knee function was assessed by the International Knee Documentation Committee (IKDC) Score at baseline, preoperatively, and 4 months postoperatively. The linear mixed effect models and multiple linear regression were used for the statistical analyses. RESULTS: Forty participants completed interventions and 35 finished the postoperative follow-up. Preoperatively, the intervention demonstrated main effects on quadriceps MVIC (pâ€‰=â€‰0.002), RTD(0â€‰-â€‰50) (pâ€‰=â€‰0.024), RTD(100â€‰-â€‰200) (pâ€‰=â€‰0.005) and CAR (pâ€‰=â€‰0.043). Furthermore, the effect of time* intervention interaction was significant on quadriceps MVIC (pâ€‰=â€‰0.011). Postoperatively, the WBV group achieved higher IKDC scores than the control group (pâ€‰=â€‰0.006). The improvements in preoperative quadriceps MVIC and intervention contributed to better knee function post-ACLR (R(2)â€‰=â€‰0.239, pâ€‰=â€‰0.007). CONCLUSIONS: Five weeks of WBV in prehabilitation enhanced quadriceps strength pre-ACLR and had potential to enhance knee function post-ACLR. WBV can be considered as an adjunct to prehabilitation protocols. TRIAL REGISTRATION: ClinicalTrials.gov, NCT04988828. Registered 3rd August 2021, https://clinicaltrials.gov/study/NCT04988828?cond=anterior%20cruciate%20ligament&amp;term=WBV&amp;locStr=Hong%20Kong&amp;country=Hong%20Kong&amp;rank=3.</t>
  </si>
  <si>
    <t>Sports Med Open</t>
  </si>
  <si>
    <t>10.1186/s40798-025-00901-1</t>
  </si>
  <si>
    <t>#39</t>
  </si>
  <si>
    <t>Qiu 2025</t>
  </si>
  <si>
    <t>[Semitendinosus tendon vs. patellar ligament. Results of a prospective randomized study after anterior cruciate ligament reconstruction].</t>
  </si>
  <si>
    <t>RÃ¶pke M; Becker R; Urbach D; Nebelung W</t>
  </si>
  <si>
    <t>The aim of our prospective randomised study was to evaluate the clinical results after arthroscopical reconstruction of the ACL using the midthird patellar ligament or semitendinosus tendon. METHODS: Forty patients were followed up two years postoperatively. Twenty of them received either a patellar ligament graft (BTB-group) or doubled semiteninosus tendon (SET-group). The clinical evaluation included the preoperative and two years postoperative assessment, based on the IKDC-Score, Tegener-Score and Mc-Carroll-Score. The a.p.-translation was evaluated using the KT-1000. RESULTS: Sixteen (80%) patients of the SET-group and 10 (50%) patients of the BTB-group showed good and excellent results in the over all assessment with the IKDC-Score. The mean side to side KT-1000 difference yielded 1.6 mm (-2-4 mm) in the BTB-group and 2.7 mm (0-7 mm) in the SET-group (p &lt; 0.05). The retropatellar pain syndrome based on the Mc-Caroll-Score showed 17.4 points in the BTB-group in comparison to 19.5 points in the SET-group (p &lt; 0.05). The level of activity using the Tegner-score showed preoperatively for both the SET- and BTB-group 6.9 points and postoperatively for the SET-group 6.7 points and for the BTB-group 5.6 points. CONCLUSIONS: Despite the inferior a.p.-stability for the patients who received doubled semitendinosus tendon grafts they presented clinically superior results compared to the BTB-group. Therefore this technique seems to be the alternative method. In order to improve the stability we recommend the usage of three or four stranded grafts and an improved fixation technique.</t>
  </si>
  <si>
    <t>10.1007/s001130050733</t>
  </si>
  <si>
    <t>#629</t>
  </si>
  <si>
    <t>RÃ¶pke 2001</t>
  </si>
  <si>
    <t>Medial Collateral Ligament Repair, Isolated Suture-Tape-Bracing and No Repair for Grade III Medial Collateral Ligament Tears During Anterior Cruciate Ligament Reconstruction Have Similar Outcome for Combined Anterior Cruciate Ligament With Medial Collater</t>
  </si>
  <si>
    <t>Ramakanth R; Sundararajan SR; Sujith BSG; D'Souza T; Arumugam P; Rajasekaran S</t>
  </si>
  <si>
    <t>PURPOSE: To compare various medial collateral ligament (MCL) management strategies (repair vs isolated suture-tape bracing vs no repair) combined with anterior cruciate ligament (ACL) reconstruction and analyze the results of MCL subtypes (femoral-sided, mid-substance, and tibial-sided tears) that occur at distinct levels. METHODS: This study was a double-blind, prospective 3-arm randomized controlled trial. Ninety-six consecutive patients with combined ACL and grade III MCL acute &amp; subacute injuries between 2020 and 2022 with minimum 24-month follow-up were included in the study. Chronic MCL injuries and other ligament injuries were excluded, and computer-generated randomization was performed for allotment into 3 MCL management groups. ACL reconstruction with hamstring autograft was performed and the MCL underwent repair in group 1 (n = 33), isolated suture-tape-bracing in group 2 (n = 32), and no repair in group 3 (n = 31). At follow-up, stress radiographs were used to analyze anterior and medial laxity. The International Knee Documentation Committee score, Lysholm score, Knee Injury and Osteoarthritis Outcome Score, duration of surgery, and cost of surgery were compared. In addition, subgroup analysis was performed to assess outcomes based on location of MCL injury. RESULTS: Demographic data, duration of injury, mode of injury, and distinct level of MCL injury were similar across groups. Overall, the incidence rates of MCL tears on the femoral side, at the midsubstance, and on the tibial side were 58.3%, 18.7%, and 23.0%, respectively. Postoperatively, significant improvements in range of motion (ROM) and functional scores were observed in all 3 groups (P â‰¤ .05); however, there were no statistically significant differences among the 3 groups at final follow-up in anterior tibial translation (P = .94), medial opening at 0Â° of flexion (P = .8) and 30Â° of flexion (P = .64), ROM (P = .39), International Knee Documentation Committee score (P = .17), Lysholm score (P = .14), and Knee Injury and Osteoarthritis Outcome Score (P = .68). Three patients in group 2 had stiffness at 3 months: 2 were treated with continuous passive motion and physiotherapy, and 1 needed arthrolysis. Medial opening (at 0Â° and at 30Â°) was greater in group 3 patients with mid-substance MCL tears (P = .042 and P = .043, respectively). On minimal clinically important difference analysis, more than 80% of patients had improvement in ROM and functional scores, as well as medial opening of less than 5 mm, suggestive of successful outcomes in all 3 groups. The duration of surgery was longer in the repair group (P = .001), whereas cost was higher in the suture-tape bracing group (P = .003). CONCLUSIONS: MCL treatment with repair, isolated suture-tape-bracing, and no repair results in good radiologic outcomes (medial stress laxity) and functional outcomes when combined with ACL reconstruction. MCL repair or isolated suture-tape-bracing more effectively restores medial-sided stability. Mid-substance MCL tears may need an additional procedure (repair or bracing) to restore medial stability. LEVEL OF EVIDENCE: Level I, randomized controlled trial.</t>
  </si>
  <si>
    <t>10.1016/j.arthro.2024.09.023</t>
  </si>
  <si>
    <t>#72</t>
  </si>
  <si>
    <t>Ramakanth 2025</t>
  </si>
  <si>
    <t>Electromyographic and biomechanic analysis of anterior cruciate ligament deficiency and functional knee bracing.</t>
  </si>
  <si>
    <t>Ramsey DK; Wretenberg PF; Lamontagne M; NÃ©meth G</t>
  </si>
  <si>
    <t>OBJECTIVE: Examine the neuromuscular response to functional knee bracing relative to anterior tibial translations in vivo. DESIGN: During randomised brace conditions, electromyographic data with simultaneous skeletal tibiofemoral kinematics were recorded from four anterior cruciate ligament deficient subjects to investigate the effect of the DonJoy Legend functional brace during activity. BACKGROUND: Knee braces do not increase knee stability but may influence afferent inputs from proprioception and therefore one might expect changes in muscle firing patterns, amplitude and timing. METHODS: Hoffman bone pins affixed with markers were implanted into the tibia and femur for kinematic measurement. The EMG data from the rectus femoris, semitendinosus, biceps femoris, and lateral head of the gastrocnemius were integrated for each subject in three separate time periods: 250 ms preceding footstrike and two consecutive 125 ms time intervals following footstrike. RESULTS: With brace, semitendinosus activity significantly decreased 17% prior to footstrike whereas bicep femoris significantly decreased 44% during A2, (P&lt;0.05). Rectus femoris activity significantly increased 21% in A2 (P&lt;0.05). No consistent reductions in anterior translations were evident. CONCLUSION: Our preliminary findings, based on a limited number of subjects, indicate joint stability may result from proprioceptive feedback rather than the mechanical stabilising effect of the brace. Despite a significant increase in rectus femoris activity upon landing, only one subject demonstrated an increase in anterior tibial drawer. RELEVANCE: Studies have shown functional braces do not mechanically stabilise the anterior cruciate ligament deficient knee. Perhaps bracing alters proprioceptive feedback. It has been shown that bracing the anterior cruciate ligament deficient knee may affect hamstring and quadriceps activity. Our findings stresses the importance of functional knee bracing combined with proprioceptive and muscular coordination training in order to increase joint stability.</t>
  </si>
  <si>
    <t>10.1016/s0268-0033(02)00138-9</t>
  </si>
  <si>
    <t>#605</t>
  </si>
  <si>
    <t>Ramsey 2003</t>
  </si>
  <si>
    <t>Postoperative Pain and Opioid Usage With Combined Adductor Canal and IPACK Block Versus Isolated Adductor Canal Block After Anterior Cruciate Ligament Reconstruction With a Bone-Patellar Tendon-Bone Autograft: A Single-Center Randomized Controlled Trial.</t>
  </si>
  <si>
    <t>Rao N; Triana J; Avila A; Campbell KA; Alaia MJ; Jazrawi LM; Furiguele D; Popovic J; Strauss EJ</t>
  </si>
  <si>
    <t>BACKGROUND: Efforts to decrease pain, improve early rehabilitation, and reduce opioid consumption have prompted a focus on peripheral nerve blocks for pain management after anterior cruciate ligament reconstruction (ACLR). The commonly used adductor canal block (ACB) might not provide sufficient postoperative pain control because of its lack of coverage of the posterior aspect of the knee. The addition of the IPACK (interspace between the popliteal artery and the capsule of the posterior knee) block, which targets this area, to the standard ACB could potentially provide better pain control after ACLR over the current standard of care. PURPOSE/HYPOTHESIS: The purpose of this study was to compare and analyze postoperative pain, satisfaction, and opioid demand between the standard ACB and a combination of an ACB and IPACK block in patients undergoing ACLR with a bone-patellar tendon-bone (BTB) autograft. It was hypothesized was that the addition of the IPACK block would substantially improve early postoperative pain control and minimize opioid use. STUDY DESIGN: Randomized controlled trial; Level of evidence, 2. METHODS: A total of 102 patients undergoing ACLR with a BTB autograft at a single institution were recruited. Patients were randomly assigned to receive either the ACB alone or the ACB plus IPACK block. Patients were contacted at 24 hours (postoperative day [POD] 1), 48 hours (POD 2), 72 hours (POD 3), and 1 week to assess postoperative pain scores, opioid consumption, and satisfaction with their postoperative pain control. Intergroup comparative analysis was performed using a t test or nonparametric test for continuous variables and the chi-square test for categorical variables. Opioid usage was reported as morphine milligram equivalents (MME). RESULTS: The final analysis included 96 patients, with 47 in the control group (ACB) who received only the ACB and 49 in the experimental group (IPACK) who received the ACB and an additional IPACK block. The cohort was composed of 60.4% male patients with a mean age of 28.40 Â± 7.51 years (range, 18-55 years) and a mean body mass index of 25.67 Â± 4.84 kg/m(2). There were no statistically significant differences between the groups with respect to age, body mass index, or sex (P &gt; .05). Patients in the IPACK group reported significantly lower opioid usage than those in the ACB group on POD 1 (mean, 6.1 [interquartile range (IQR), 4.5-7.7] vs 10.7 [IQR, 8.6-13.0] MME, respectively; P &lt; .001), POD 2 (mean, 7.3 [IQR, 5.2-9.5] vs 12.5 [IQR, 10.0-15.0] MME, respectively; P = .001), and POD 3 (mean, 4.2 [IQR, 2.8-5.5] vs 9.4 [IQR, 7.1-12.0] MME, respectively; P &lt; .001). The visual analog scale for pain score on POD 1 (mean, 67.7 [IQR, 62.0-73.0] vs 55.2 [IQR, 48.0-63.0], respectively; P = .024) and POD 3 (mean, 54.9 [IQR, 48.0-63.0] vs 44.4 [IQR, 37.0-51.0], respectively; P = .037) was statistically higher in the ACB group compared with the IPACK group. On POD 1, patient satisfaction was higher in the IPACK group than in the ACB group (mean, 7.3 [IQR, 6.6-8.0] vs 5.6 [IQR, 4.8-6.4], respectively; P = .001). No statistically significant differences were observed between groups on POD 7. On regression analysis, IPACK block (Î² = -13.0; P = .03) and male sex (Î² = -9.9; P = .024) were significant negative predictors for opioid use on POD 1. The association of reduced opioid use in the IPACK group persisted on POD 2 (Î² = -12.0; P = .019) and POD 3 (Î² = -15.0; P &lt; .001). CONCLUSION: The results of this study suggest that the addition of an IPACK block to an ACB leads to reduced opioid consumption, improved pain control, and higher satisfaction with pain control acutely after ACLR with a BTB autograft. REGISTRATION: NCT05286307 (ClinicalTrials.gov).</t>
  </si>
  <si>
    <t>10.1177/03635465251328609</t>
  </si>
  <si>
    <t>#48</t>
  </si>
  <si>
    <t>Rao 2025</t>
  </si>
  <si>
    <t>A comparison of early and delayed arthroscopically-assisted reconstruction of the anterior cruciate ligament using hamstring autograft.</t>
  </si>
  <si>
    <t>Raviraj A; Anand A; Kodikal G; Chandrashekar M; Pai S</t>
  </si>
  <si>
    <t>Delayed rather than early reconstruction of the anterior cruciate ligament is the current recommended treatment for injury to this ligament since it is thought to give a better functional outcome. We randomised 105 consecutive patients with injury associated with chondral lesions no more severe than grades 1 and 2 and/or meniscal tears which only required trimming, to early (&lt; two weeks) or delayed (&gt; four to six weeks) reconstruction of the anterior cruciate ligament using a quadrupled hamstring graft. All operations were performed by a single surgeon and a standard rehabilitation regime was followed in both groups. The outcomes were assessed using the Lysholm score, the Tegner score and measurement of the range of movement. Stability was assessed by clinical tests and measurements taken with the KT-1000 arthrometer, with all testing performed by a blinded uninvolved experienced observer. A total of six patients were lost to follow-up, with 48 patients assigned to the delayed group and 51 to the early group. None was a competitive athlete. The mean interval between injury and the surgery was seven days (2 to 14) in the early group and 32 days (29 to 42) in the delayed group. The mean follow-up was 32 months (26 to 36). The results did not show a statistically significant difference for the Lysholm score (p = 0.86), Tegner activity score (p = 0.913) or the range of movement (p = 1). Similarly, no distinction could be made for stability testing by clinical examination (p = 0.56) and measurements with the KT-1000 arthrometer (p = 0.93). Reconstruction of the anterior cruciate ligament gave a similar clinical and functional outcome whether performed early (&lt; two weeks) or late at four to six weeks after injury.</t>
  </si>
  <si>
    <t>10.1302/0301-620X.92B4.22973</t>
  </si>
  <si>
    <t>#455</t>
  </si>
  <si>
    <t>Raviraj 2010</t>
  </si>
  <si>
    <t>One-versus two-incision ACL reconstruction. A prospective, randomized study.</t>
  </si>
  <si>
    <t>Reat JF; Lintner DM</t>
  </si>
  <si>
    <t>This study compares the early functional outcomes of anterior cruciate ligament (ACL) reconstruction using a one-incision endoscopic technique versus a two-incision arthroscopically assisted technique. Thirty patients with chronic ACL-deficient knees were randomly assigned to either group 1 (one-incision technique; 15 patients) or group 2 (two-incision technique; 15 patients). Middle third ipsilateral patellar tendon was used in all reconstructions. All patients followed the same home-based accelerated rehabilitation protocol. The International Knee Documentation Committee scoring system was used to assess pre- and postoperative knee function. The mean length of follow-up was 17 months for group 1 and 15 months for group 2. Three patients were lost to follow-up in group 2. Patients in group 1 achieved a mean one-leg hop value of 89% of the uninjured side while group 2 patients averaged 92%. The mean side-to-side difference in anterior tibial translation was 2 mm in both groups at manual maximum translation. The mean isokinetic quadriceps strength at 300 degrees/second of the operated side 1 year after surgery was 83% of normal for group 1 versus 73% for group 2. Both groups achieved maximum range of motion within 3 months. There was no statistically significant difference between the outcomes of the one- and two-incision techniques for ACL reconstruction. All patients in both groups had improved stability and function of their operative knees compared with their preoperative condition.</t>
  </si>
  <si>
    <t>Fall</t>
  </si>
  <si>
    <t>#659</t>
  </si>
  <si>
    <t>Reat 1997</t>
  </si>
  <si>
    <t>Effects of two electrical stimulation frequencies in thigh muscle after knee surgery.</t>
  </si>
  <si>
    <t>Rebai H; Barra V; Laborde A; Bonny JM; Poumarat G; Coudert J</t>
  </si>
  <si>
    <t>The purpose of this study was to compare the effects of two protocols of electrical stimulation combined with voluntary contractions on the recovery of thigh muscles after anterior cruciate ligament (ACL) surgery. Ten sportsmen with a mean age of 26 yrs were randomly assigned into two groups: a 80 Hz stimulated group (5 patients) and a 20 Hz stimulated group (5 patients). All patients received electrical stimulation of the quadriceps femoris, five days a week, for 12 weeks, and had a standard program of voluntary contractions. Muscle and fat volumes of the thigh were assessed using MRI before surgery and after 12 weeks of rehabilitation. Quadriceps and hamstring muscle strength were evaluated by isokinetic measurements. Twelve weeks after surgery, the quadriceps peak torque deficit in the operated limb with respect to the non operated limb at 180 degrees /s and 240 degrees /s was significantly (p &lt; 0.05) less in the 20 Hz group than in the 80 Hz group. This difference was not confirmed when comparing the pre-surgery quadriceps peak torque of the operated limb with the post-surgery one. Subcutaneous fat volume was increased for the two groups at the post-surgery test. This increase was significantly (p &lt; 0.05) greater for the 80 Hz group. Thigh muscle volume deficit was not significantly different between the two groups.</t>
  </si>
  <si>
    <t>10.1055/s-2002-35525</t>
  </si>
  <si>
    <t>#606</t>
  </si>
  <si>
    <t>Rebai 2002</t>
  </si>
  <si>
    <t>The effect of initiating a preventive multimodal analgesic regimen on long-term patient outcomes for outpatient anterior cruciate ligament reconstruction surgery.</t>
  </si>
  <si>
    <t>Reuben SS; Ekman EF</t>
  </si>
  <si>
    <t>BACKGROUND: Unrelieved postoperative pain may impair rehabilitation, delay recovery, and result in poor outcomes. Preventive multimodal analgesic techniques may improve long-term outcome after surgery. METHODS: We randomized 200 consecutive patients to receive acetaminophen 1000 mg and either celecoxib 400 mg or placebo 1-2 h before anterior cruciate ligament surgery. All patients received intraarticular analgesics and had an external cooling system applied to the operative knee. After discharge patients were instructed to take acetaminophen 1000 mg every 6 h and either celecoxib 200 mg every 12 h or matching placebo for the first 14 days postoperatively. All patients were enrolled in an accelerated rehabilitation program. Six months postoperatively, the level of activity was assessed, as was the presence of patellofemoral complications including: anterior knee pain, flexion contracture, quadriceps weakness, and complex regional pain syndrome. RESULTS: More patients in the control group developed patellofemoral complications compared to the celecoxib group (P = 0.001) including anterior knee pain (14/96; 15%) vs (4/95; 1%), complex regional pain syndrome (7/96; 7%) vs (1/95; 1%), flexion contractures (9/96; 9%) vs (2/95; 2%), and scar tissue requiring re-arthroscopy (8/96; 8%) vs (2/95; 2%) respectively. More patients in the celecoxib group returned to a higher activity level (84% vs 65%) (P &lt; 0.01), were able to participate at a more intense level (P &lt; 0.02), and return to full sports activity (P &lt; 0.05). CONCLUSIONS: The administration of celecoxib as a component of a preventive multimodal analgesic technique for anterior cruciate ligament reconstruction reduces long-term patellofemoral complications and increases the likelihood of returning to a preinjury level of activity.</t>
  </si>
  <si>
    <t>Anesth Analg</t>
  </si>
  <si>
    <t>10.1213/01.ane.0000265443.20919.c8</t>
  </si>
  <si>
    <t>#525</t>
  </si>
  <si>
    <t>Reuben 2007</t>
  </si>
  <si>
    <t>Anterior Cruciate Ligament Reconstruction Plus Lateral Extra-articular Tenodesis Has a Similar Return-to-Sport Rate to Anterior Cruciate Ligament Reconstruction Alone but a Lower Failure Rate.</t>
  </si>
  <si>
    <t>Rezansoff A; Firth AD; Bryant DM; Litchfield R; McCormack RG; Heard M; MacDonald PB; Spalding T; Verdonk PCM; Peterson D; Bardana D; Getgood AMJ</t>
  </si>
  <si>
    <t>PURPOSE: To determine whether the addition of lateral extra-articular tenodesis (LET) to anterior cruciate ligament reconstruction (ACLR) would improve return-to-sport (RTS) rates in young, active patients who play high-risk sports. METHODS: This multicenter randomized controlled trial compared standard hamstring tendon ACLR with combined ACLR and LET using a strip of the iliotibial band (modified Lemaire technique). Patients aged 25 years or younger with an anterior cruciate ligament-deficient knee were included. Patients also had to meet 2 of the following criteria: (1) pivot-shift grade 2 or greater, (2) participation in a high-risk or pivoting sport, and (3) generalized ligamentous laxity. Time to return and level of RTS were determined via administration of a questionnaire at 24 months postoperatively. RESULTS: We randomized 618 patients in this study, 553 of whom played high-risk sports preoperatively. The proportion of patients who did not RTS was similar between the ACLR (11%) and ACLR-LET (14%) groups; however, the graft rupture rate was significantly different (11.2% in ACLR group vs 4.1% in ACLR-LET group, PÂ = .004). The most cited reason for no RTS was lack of confidence and/or fear of reinjury. A stable knee was associated with nearly 2 times greater odds of returning to a high-level high-risk sport postoperatively (odds ratio, 1.92; 95% confidence interval, 1.11-3.35; PÂ = .02). There were no significant differences in patient-reported functional outcomes or hop test results between groups (P &gt; .05). Patients who returned to high-risk sports had better hamstring symmetry than those who did not RTS (PÂ = .001). CONCLUSIONS: At 24 months postoperatively, patients who underwent ACLR plus LET had a similar RTS rate to those who underwent ACLR alone. Although the subgroup analysis did not show a statistically significant increase in RTS with the addition of LET, on returning, the addition of LET kept subjects playing longer by reducing graft failure rates. LEVEL OF EVIDENCE: Level I, randomized controlled trial.</t>
  </si>
  <si>
    <t>10.1016/j.arthro.2023.05.019</t>
  </si>
  <si>
    <t>#100</t>
  </si>
  <si>
    <t>Rezansoff 2024</t>
  </si>
  <si>
    <t>Continuous passive motion after arthroscopically assisted anterior cruciate ligament reconstruction: comparison of short- versus long-term use.</t>
  </si>
  <si>
    <t>Richmond JC; Gladstone J; MacGillivray J</t>
  </si>
  <si>
    <t>The use of continuous passive motion (CPM) following anterior cruciate ligament (ACL) reconstruction has become common. The duration of use of CPM for maximal therapeutic benefit is not known. This study compared 4-day CPM use with 14-day CPM use following arthroscopic ACL reconstruction using a bone-patellar tendon-bone autograft prospectively in 20 patients. The patients were randomly allocated to the CPM 4-day group [6 h daily CPM for 4 days in hospital followed by intermittent passive motion (IPM) at home] or to the CPM 14-day group (6 h daily CPM for 14 days). The objective parameters measured were girth measurements at four lower limb locations for joint swelling and muscle atrophy; range of motion of the knee, measured goniometrically; and KT-1000 arthrometry measurements for joint laxity. The measurements were made prior to surgery, and on days 2, 7, 14, and 42, postoperatively. There were no statistically significant differences (p greater than 0.05) at 42 days postoperatively between groups in all parameters measured with the exception of KT-1000 laxity at 42 days.</t>
  </si>
  <si>
    <t>10.1016/0749-8063(91)90076-a</t>
  </si>
  <si>
    <t>#697</t>
  </si>
  <si>
    <t>Richmond 1991</t>
  </si>
  <si>
    <t>The long-term effect of 2 postoperative rehabilitation programs after anterior cruciate ligament reconstruction: a randomized controlled clinical trial with 2 years of follow-up.</t>
  </si>
  <si>
    <t>Risberg MA; Holm I</t>
  </si>
  <si>
    <t>BACKGROUND: There is no consensus regarding the optimal postoperative rehabilitation program after anterior cruciate ligament (ACL) reconstruction. PURPOSE: The purpose of this study was to examine the long-term outcome of a 6-month neuromuscular exercise (NE) training program versus a traditional strength exercise (SE) training program after ACL reconstruction. STUDY DESIGN: Randomized controlled trial; Level of evidence, 1. METHODS: Seventy-four patients were randomly assigned to either a NE program or a SE program and tested preoperatively and at 6 months, 1 year, and 2 years after ACL reconstruction. Outcome measurements were as follows: Cincinnati knee score, visual analog scale for pain and global function, Short Form 36, functional knee tests, and isokinetic muscle strength tests. RESULTS: There were no significant differences between the NE and SE programs 1 and 2 years after ACL reconstruction for the primary outcome measurement (Cincinnati knee score). There were significantly improved knee function (global function) and reduced pain during activity for the NE group, compared with the SE group, and significantly improved hamstring muscle strength for the SE group, compared with the NE group, 2 years after ACL reconstruction. CONCLUSION: On the basis of these results, a postoperative program combining both NE and SE should be included after ACL reconstruction to improve knee function.</t>
  </si>
  <si>
    <t>10.1177/0363546509335196</t>
  </si>
  <si>
    <t>#475</t>
  </si>
  <si>
    <t>Risberg 2009</t>
  </si>
  <si>
    <t>Effect of femoral tunnel placement for reconstruction of the anterior cruciate ligament on tibial rotation.</t>
  </si>
  <si>
    <t>Ristanis S; Stergiou N; Siarava E; Ntoulia A; Mitsionis G; Georgoulis AD</t>
  </si>
  <si>
    <t>BACKGROUND: Rotational knee movement after reconstruction of the anterior cruciate ligament has been difficult to quantify. The purpose of this study was to identify in vivo whether a more horizontal placement of the femoral tunnel (in the ten o'clock position rather than in the eleven o'clock position) can restore rotational kinematics, during highly demanding dynamic activities, in a knee in which a bone-patellar tendon-bone graft had been used to reconstruct the anterior cruciate ligament. METHODS: We evaluated ten patients in whom a bone-patellar tendon-bone graft had been used to reconstruct the anterior cruciate ligament with the femoral tunnel in the eleven o'clock position, ten patients who had had the same procedure with the femoral tunnel in the ten o'clock position, and ten healthy controls. Kinematic data were collected while the subjects (1) descended from a stairway, made foot contact, and then pivoted 90 degrees on the landing lower limb and (2) jumped from a platform, landed with both feet on the ground, and pivoted 90 degrees on the right or left lower limb. The dependent variable that we examined was tibial rotation during pivoting. RESULTS: The results demonstrated that reconstruction of the anterior cruciate ligament with the femoral tunnel in either the ten or the eleven o'clock position successfully restored anterior tibial translation. However, both techniques resulted in tibial rotation values, during the dynamic activities evaluated, that were significantly larger than those in the intact contralateral lower limbs and those in the healthy controls. Tibial rotation did not differ significantly between the two reconstruction groups or between the healthy controls and the intact contralateral lower limbs. However, we noticed that positioning the tunnel at ten o'clock resulted in slightly decreased rotation values that may have clinical relevance but not statistical significance. CONCLUSIONS: Regardless of which of the two tested positions was utilized to fix the graft to the femur, reconstruction of the anterior cruciate ligament did not restore normal tibial rotation during dynamic activities.</t>
  </si>
  <si>
    <t>10.2106/JBJS.H.00940</t>
  </si>
  <si>
    <t>#469</t>
  </si>
  <si>
    <t>Ristanis 2009</t>
  </si>
  <si>
    <t>The role of periosteal flap in the prevention of femoral widening in anterior cruciate ligament reconstruction using hamstring tendons.</t>
  </si>
  <si>
    <t>Robert H; Es-Sayeh J</t>
  </si>
  <si>
    <t>Tunnel widening in anterior cruciate ligament reconstruction has been reported for many years, whatever the type of plasty (allo- or autograft) or graft (patellar or hamstring tendons). Recently, the hypothesis has been formulated that widening would be responsible for later laxity of the knees. Micromobility of the graft or biological factors are classically responsible for the enlargement. In order to improve the biological conditions around the graft within the tunnel, we have developed a surgical technique using a periosteal flap. The periosteal flap is harvested at the superior and medial metaphysis of the tibia and wrapped around the proximal part of the four strands of gracilis and semitendinosus tendons near the outlet of the femoral tunnel. Forty-one patients with isolated rupture of the ACL were included in a prospective and randomized study: the first group of 20 patients had femoral fixation by Transfix and resorbable screw, the second group of 21 patients had femoral fixation by Transfix and periosteal flap. The diameters of the tunnel were measured between the sclerotic margins at the tunnel entrance and 1 cm above, and compared to the peroperative drill size. The percentage change in diameter was calculated as: (tunnel diameter-drill size)/drill size. The two groups of patients were comparable as to gender, side, age, KT-1000 side to side difference, femoral tunnel diameter and follow-up. At 2.5 months and 11 months postoperatively on average, there was a significant reduction of enlargement at the outlet of the tunnel with the use of a periosteal flap but widening was constant.</t>
  </si>
  <si>
    <t>10.1007/s00167-003-0380-9</t>
  </si>
  <si>
    <t>#589</t>
  </si>
  <si>
    <t>Robert 2004</t>
  </si>
  <si>
    <t>A new knee arthrometer, the GNRB: experience in ACL complete and partial tears.</t>
  </si>
  <si>
    <t>Robert H; Nouveau S; Gageot S; GagniÃ¨re B</t>
  </si>
  <si>
    <t>INTRODUCTION: Clinical diagnosis of anterior cruciate ligament (ACL) tears (Lachman test and pivot_shift test in valgus and internal rotation) is reliable in case of complete ACL tear but reveals elusive in case of partial tears. Quantitative assessment of anterior tibial translation proves to be imprecise, subjective and poorly reproducible especially with the KT-1000 arthrometer. We developed the GNRB, an alternative original anterior knee laxity measurement device. The lower limb is placed in a rigid support with the knee at 0 degrees of rotation, the restraining power being recorded. A 0-250 N thrust force is transmitted by a jack to the upper segment of the calf. This force is only applied in the absence of hamstring muscles contraction. Displacement of the anterior tibial tubercle is recorded using a sensor with a 0.1mm precision. HYPOTHESIS: We hypothesize that this knee laxity measurement device is more reliable and reproducible than other currently available arthrometers. MATERIAL AND METHODS: During a first validation study, the GNRB was compared to the KT-1000 arthrometer, in 20 pairs of healthy knees, measurements being performed by two investigators. Variance analyses were carried out at 134 N. In a second clinical study, 21 complete ACL tears (the notch is devoid of ACL) and 24 partial ACL tears (anterior or posterior bundle tear and cicatricial ACL remnant in continuity) were tested with these arthrometers to exact a differential laxity threshold value between both knees at 250 N. Statistical analysis was subsequently performed using variance and ROC curves analysis. RESULTS: The GNRB arthrometer reveals to be significantly more reproducible than the KT-1000, irrespectively of the tester's experience level. Moreover, unlike the KT-1000, the achieved measurement is independent from the uninvolved side. Reproducibility of laximetry proves to be significantly better with the GNRB than with the KT-1000, wherever the examiner's experience stands and whatever the evaluated side condition could be. When differential laxity threshold value was 3mm in complete ACL tears, sensitivity was 70% and specificity 99% at 134 N. Using a 1.5mm threshold value in ACL partial tears, the arthrometer sensitivity was 80% and specificity was 87% at 134 N. DISCUSSION: Reproducibility of laximetry was significantly better with the GNRB than the KT-1000 device, wherever the examiner's experience stands and whatever the evaluated side-condition could be. The GNRB reports various supplementary advantages compared with other available laximeters. Good control of the investigated limb position in rotation, recording of translation in the absence of hamstring muscles contraction and in direct comparison with the KT-1000: reproducibility, constant pressure, arthrometry improved accuracy and automated measurements recording. The GNRB might be used for diagnosis of partial and complete ACL tears and during follow-up of reconstructed or not ACL tears. LEVEL OF EVIDENCE: type II. Prospective comparative study.</t>
  </si>
  <si>
    <t>Orthop Traumatol Surg Res</t>
  </si>
  <si>
    <t>10.1016/j.otsr.2009.03.009</t>
  </si>
  <si>
    <t>#480</t>
  </si>
  <si>
    <t>Robert 2009</t>
  </si>
  <si>
    <t>Operant Upconditioning of the Quadriceps Motor Evoked Torque as a Means to Improve Quadriceps Function After ACL Reconstruction.</t>
  </si>
  <si>
    <t>Rodriguez KM; Palmieri-Smith RM; Krishnan C</t>
  </si>
  <si>
    <t>BACKGROUND: Diminished corticospinal excitability is theorized to contribute to poor quadriceps function after anterior cruciate ligament (ACL) reconstruction. Operant conditioning of the motor evoked torque (MEP(TORQUE)) is a promising approach capable of improving corticospinal excitability. However, it is unknown whether increasing corticospinal excitability can improve quadriceps function after a short-term operant conditioning intervention in patients with reconstructed ACL. HYPOTHESIS: After ACL reconstruction, patients would demonstrate increases in quadriceps strength, voluntary activation, and corticospinal excitability after a 2-week operant conditioning intervention. STUDY DESIGN: Randomized controlled clinical trial. LEVEL OF EVIDENCE: Level 1. METHODS: A total of 22 patients with reconstructed ACL were randomized into 1 of 2 groups: group 1 received 2 weeks of operant conditioning training on the reconstructed leg to improve their transcranial magnetic stimulation (TMS)-elicited MEP(TORQUE) responses (COND); group 2 received 2 weeks of TMS only (SHAM-COND). Quadriceps strength, voluntary activation, and corticospinal excitability on the reconstructed leg were evaluated before and after the 2-week intervention. Within-session changes in corticospinal excitability were also evaluated during the training sessions. RESULTS: The COND group demonstrated a significantly higher within-session percent increase in MEP(TORQUE) during training compared with the SHAM-COND group, paralleled by a significant increase in corticospinal excitability after the 2-week intervention. In addition, quadriceps strength and voluntary activation improved on the reconstructed leg after the 2-week intervention, regardless of group. CONCLUSION: Operant conditioning training can elicit improvements in corticospinal excitability after ACL reconstruction; however, improvements in quadriceps strength and voluntary activation seem not to be attributed solely to operant upconditioning training. CLINICAL RELEVANCE: Operant conditioning is a promising approach to improve corticospinal excitability after ACL reconstruction. However, optimizing the delivery of operant conditioning protocols by potentially increasing the dosage of operant conditioning and intervening earlier after surgery may be needed to translate these changes to improvements in quadriceps function.</t>
  </si>
  <si>
    <t>10.1177/19417381251313775</t>
  </si>
  <si>
    <t>#59</t>
  </si>
  <si>
    <t>Rodriguez 2025</t>
  </si>
  <si>
    <t>Conditioning of Motor Evoked Responses After Anterior Cruciate Ligament Reconstruction: Effects of Stimulus Intensity.</t>
  </si>
  <si>
    <t>Rodriguez KM; Moon J; Krishnan C; Palmieri-Smith RM</t>
  </si>
  <si>
    <t>BACKGROUND: Operant conditioning of motor evoked torque (MEP(TORQUE)) can directly target the corticospinal pathway in patients with anterior cruciate ligament (ACL) reconstruction. However, it remains unclear whether operant conditioning can elicit short-term improvements in corticospinal excitability and whether these improvements are influenced by stimulus intensity. HYPOTHESIS: Quadriceps MEP(TORQUE) responses can be upconditioned in a single session and will elicit short-term adaptations in corticospinal excitability, with higher stimulus intensities eliciting greater effects. STUDY DESIGN: Randomized controlled laboratory study. LEVEL OF EVIDENCE: Level 2. METHODS: Thirty-six participants were assessed during a single session of an operant conditioning protocol. Participants were randomized into 1 of 3 groups for stimulus intensity used during operant conditioning based on the participant's active motor threshold (AMT: 100%, 120%, and 140%). Quadriceps MEP(TORQUE) amplitude was evaluated during a block of control transcranial magnetic stimulation trials (CTRL) to establish baseline corticospinal excitability, and 3 blocks of conditioning trials (COND) during which participants trained to upcondition their MEP(TORQUE). MEP(TORQUE) recruitment curves were collected to evaluate the effect of operant conditioning on acute corticospinal adaptations. RESULTS: Participants with ACL reconstruction could upcondition their MEP(TORQUE) in a single session (P &lt; 0.01; CTRL, 17.27 Â± 1.28; COND, 21.35 Â± 1.28 [mean Â± standard error [SE] in NÂ·m]), but this ability was not influenced by the stimulus intensity used during training (P = 0.84). Furthermore, significant improvements in corticospinal excitability were observed (P = 0.05; PRE, 687.91 Â± 50.15; POST, 761.08 Â± 50.15 [mean Â± SE in NÂ·m %AMT]), but stimulus intensity did not influence corticospinal adaptations (P = 0.67). CONCLUSION: Operant conditioning can elicit short-term neural adaptations in ACL-reconstructed patients. Future operant conditioning paradigms may effectively use any of the 3 stimulus intensities studied herein. CLINICAL RELEVANCE: Operant conditioning may be a feasible approach to improve corticospinal excitability after ACL reconstruction.</t>
  </si>
  <si>
    <t>10.1177/19417381241257258</t>
  </si>
  <si>
    <t>#77</t>
  </si>
  <si>
    <t>ACL reconstruction using a quadruple semitendinosus graft with cortical fixations gives suitable isokinetic and clinical outcomes after 2Â years.</t>
  </si>
  <si>
    <t>Roger J; Bertani A; Vigouroux F; Mottier F; Gaillard R; Have L; RongiÃ¨ras F</t>
  </si>
  <si>
    <t>PURPOSE: The objective of this single-center randomized single-blinded trial was to assess the hypothesis that anterior cruciate ligament reconstruction (ACLR) using a four-strand semitendinosus (ST) graft with adjustable femoral and tibial cortical fixation produced good outcomes compared to an ST/gracilis (ST/G) graft with femoral pin transfixation and tibial bioscrew fixation. Follow-up was 2Â years. METHODS: Patients older than 16Â years who underwent primary isolated ACLR included for 1Â year until August 2017 were eligible. The primary outcome measures were the subjective International Knee Documentation Committee (IKDC) score, isokinetic muscle strength recovery, and return to work within 2Â years. The study was approved by the ethics committee. RESULTS: Of 66 eligible patients, 60 completed the study and were included, 33 in the 4ST group and 27 in the ST/G group. Mean age was 30.5â€‰Â±â€‰8.9Â years in the 4ST group and 30.3â€‰Â±â€‰8.5 in the ST/G group (n.s.). No significant between-group differences were found for mean postoperative subjective IKDC (4ST group, 80.2â€‰Â±â€‰12.5; ST/G group, 83.6â€‰Â±â€‰13.6; n.s.), side-to-side percentage deficits in isokinetic hamstring strength (at 60Â°/s: ST group, 17%â€‰Â±â€‰16%; ST/G group, 14%â€‰Â±â€‰11%; n.s.) or quadriceps strength (at 60Â°/s: ST group, 14%â€‰Â±â€‰12%; ST/G group, 19%â€‰Â±â€‰17%; n.s.), return to work, pain during physical activities, side-to-side differential laxity, balance, loss of flexion/extension, or surgical complications. CONCLUSION: This trial demonstrates that functional outcomes after 4ST for ACLR with cortical fixations could be as good, although not better, than those obtained using ST/G. The 4ST technique spares the gracilis tendon, which thus preserves the medial sided muscle and thereby could improve function and limit donor-side morbidity. LEVEL OF EVIDENCE: Level I.</t>
  </si>
  <si>
    <t>10.1007/s00167-020-06121-2</t>
  </si>
  <si>
    <t>#182</t>
  </si>
  <si>
    <t>Roger 2020</t>
  </si>
  <si>
    <t>Prospective randomized clinical comparison of femoral transfixation versus bioscrew fixation in hamstring tendon ACL reconstruction--a preliminary report.</t>
  </si>
  <si>
    <t>Rose T; Hepp P; Venus J; Stockmar C; Josten C; Lill H</t>
  </si>
  <si>
    <t>PURPOSE: The purpose of this study is to clinically evaluate hamstring tendon anterior cruciate ligament (ACL)-reconstruction using femoral fixation with bioresorbable interference screws and with a bioresorbable transfixation device. HYPOTHESIS: The ACL-reconstruction using the transfixation device at the femoral side leads to less knee laxity and therefore to a better clinical outcome for the patient. TYPE OF STUDY: Prospective randomized clinical outcome study. METHODS: From February 2002 to December 2002, a total of 68 patients with hamstring ACL reconstruction using a femoral fixation once with TransFix (n=38; m:22 and f:16; median age=28.5 range 15-47) and the second with bioscrew (BS) (n=30; m:20, f:10; median age=25.5 range 13-61) completed the follow-up period. Patients in each group got a clinical assessment at 3, 6, and 12 months after surgery. The measurement of anterior translation of the tibia has been performed using the Rolimeter device. RESULTS: No significant differences in the knee laxity testing using the Rolimeter device were seen between both groups and over time within these groups. Ninety percent of all patients had functionally normal or near normal International Knee Documentation Committee (IKDC) knee ligament ratings. The TF-group included 17 grade A, 19 grade B, and 2 grade C knees, and the BS-group had 12 grade A, 13 grade B, and 5 grade C knees. The IKDC rating, the OAK-score, the Tegner-activity-score, and the Lysholm-score did not show significant differences between the TF-group and the BS-group. CONCLUSION: We disproved our hypothesis that the transfixation technique leads to less laxity and therefore to a better clinical outcome when compared to the use of BS. The clinical results in this study clarified that this technique is an effective and safe method for femoral hamstring fixation in ACL-reconstruction. However, this technique revealed no advantage compared to the bioscrew fixation technique within the short-term follow-up.</t>
  </si>
  <si>
    <t>10.1007/s00167-006-0034-9</t>
  </si>
  <si>
    <t>#554</t>
  </si>
  <si>
    <t>Rose 2006</t>
  </si>
  <si>
    <t>A prospective randomized comparison of two distinct allogenic tissue constructs for anterior cruciate ligament reconstruction.</t>
  </si>
  <si>
    <t>Rose MB; Domes C; Farooqi M; Crawford DC</t>
  </si>
  <si>
    <t>BACKGROUND: Conduct a prospective randomized study to compare clinical outcomes of anterior cruciate ligament (ACL) reconstruction using quadrupled hamstring tendon (HT) allograft or doubled tibialis anterior (TA) allograft. Limited level 1 data exist comparing outcomes of different soft tissue allograft constructs for ACL reconstruction. We hypothesized no difference would exist in the patient reported outcomes (PRO), arthrometric testing, or rate of re-rupture between the two constructs. METHODS: Ninety eight subjects undergoing primary ACL reconstruction were randomized to HT (n=47) or TA (n=51) allograft. Subjects completed validated (PRO) measures pre-operatively, and six months and two years post-operatively. Arthrometric testing was performed at six months to assess integrity of the reconstruction. RESULTS: Fifty-eight percent of subjects (57/98) completed a two-year follow up. Allograft re-tear rates were similar between groups (6.2% HT vs. 4.0% TA, respectively, p=1.0). The relative risk of re-tear in the HT group was 1.5 compared to the TA group (p=0.7). The TA group improved significantly more on the physical portion of the VR-12 (p=0.046) and Lysholm score (p=0.014) compared to the HT group. There was no difference in the change from baseline for the other PRO scores at two years. CONCLUSIONS: Our data indicate no difference in graft failure rate and similar improvement from baseline in most PRO scores between treatment groups after two years. Based on these findings, TA allograft appears to provide a reliable and satisfactory option for patients who elect to undergo allograft ACL reconstruction.</t>
  </si>
  <si>
    <t>10.1016/j.knee.2016.08.011</t>
  </si>
  <si>
    <t>#282</t>
  </si>
  <si>
    <t>Rose 2016</t>
  </si>
  <si>
    <t>Allograft Maturation After Reconstruction of the Anterior Cruciate Ligament Is Dependent on Graft Parameters in the Sagittal Plane.</t>
  </si>
  <si>
    <t>Rose M; Crawford D</t>
  </si>
  <si>
    <t>BACKGROUND: Allograft healing (ligamentization) after reconstruction of the anterior cruciate ligament (ACL) is dependent on multiple factors, including tissue processing, host biologic environment, and biomechanical stressors. Magnetic resonance imaging (MRI) can be used to assess graft maturation after ACL reconstruction. HYPOTHESIS: A significant difference will exist in the MRI analysis between 2 distinct allograft constructs. Specifically, the MRI signal-to-noise quotient (SNQ) value will be smaller in quadrupled hamstring tendon (HT) allografts compared with doubled tibialis anterior (TA) allografts due to the difference in graft geometry (surface area-to-volume ratio). STUDY DESIGN: Cohort study; Level of evidence, 2. METHODS: Prospectively collected data from a subset of patients who participated in a randomized controlled trial at a single center from July 2010 to April 2012 were reviewed. Patients underwent ACL reconstruction using either HT or TA allografts. Six months postoperatively, 32 patients underwent noncontrast MRI to assess ligamentization. The SNQ was calculated for the allograft using sagittal noncontrast T2-weighted MRI as follows: SNQ = (S(graft) - S(qaudriceps) )/S(backgroud) . Graft properties including sagittal and coronal angle as well as tibial and femoral tunnel location were measured. All participants completed validated patient-reported outcome measures preoperatively and at 2 years postoperatively. RESULTS: The mean MRI SNQ for the HT and TA allografts was 2.56 Â± 2.41 and 3.15 Â± 3.38, respectively (P = .57). For the entire group, there was a significant correlation between MRI SNQ and both sagittal graft angle (P = .02) and sagittal tibial tunnel position (P &lt; .001). We did not find a significant correlation between the tibial tunnel location in the coronal plane, coronal graft angle, or location of the femoral tunnel and the MRI SNQ. CONCLUSION: Allograft ligamentization 6 months postoperatively, as assessed by MRI, is dependent on position of the tibial tunnel in the sagittal plane as well as sagittal graft orientation. We did not detect a difference in graft maturation at 6 months between the tibialis anterior and hamstring tendon allografts. This is the only study to our knowledge that directly compares quadrupled HT allografts and doubled TA allografts using postoperative MRI.</t>
  </si>
  <si>
    <t>10.1177/2325967117719695</t>
  </si>
  <si>
    <t>#268</t>
  </si>
  <si>
    <t>Rose 2017</t>
  </si>
  <si>
    <t>The efficacy of continuous passive motion in the rehabilitation of anterior cruciate ligament reconstructions.</t>
  </si>
  <si>
    <t>Rosen MA; Jackson DW; Atwell EA</t>
  </si>
  <si>
    <t>Seventy-five patients undergoing arthroscopically-assisted anterior cruciate ligament reconstruction by the same surgeon were divided into three random subgroups. All of the anterior cruciate ligament reconstructions used the middle third of the ipsilateral patellar tendon autograft. Patients undergoing meniscal repair, extraarticular procedures, or repair of other ligaments were excluded. The 75 patients were divided into subgroups to assess the benefits or disadvantages of early active motion (25 patients), continuous passive motion (25 patients), and a combination of both (25 patients) during the first 30 days after surgery. All patients were evaluated at specific intervals for 6 months after surgery. Data recorded included drain output, medication usage, tourniquet time, leg involved, hospital stay length, KT-1000 testing (before surgery in the anesthetized patient, after the procedure was completed, and 2 and 6 months after surgery), and range of motion. Radiographs and the International Knee Evaluation Form were also used to evaluate the results. No statistically significant differences were found between the three groups. Side-to-side anterior-posterior differences, stability, and restoration of full range of motion were similar in each subgroup at each evaluated interval. In this prospective study of motion, started immediately after anterior cruciate ligament reconstruction, passive and active methods were shown to have identical results. A supervised active and passive motion program during the 1st month had the same results as either one used individually.</t>
  </si>
  <si>
    <t>10.1177/036354659202000205</t>
  </si>
  <si>
    <t>#693</t>
  </si>
  <si>
    <t>Rosen 1992</t>
  </si>
  <si>
    <t>Neuromuscular excitability changes in the vastus medialis following anterior cruciate ligament reconstruction.</t>
  </si>
  <si>
    <t>Rosenthal MD; Moore JH; Stoneman PD; DeBerardino TM</t>
  </si>
  <si>
    <t>PURPOSE: Quadriceps weakness following anterior cruciate ligament reconstruction (ACLR) is prevalent despite intensive rehabilitation. Diminished neuromuscular excitability is one potential factor that may limit muscular recovery following injury or surgery. The H-reflex provides a measure of alpha motorneuron (neuromuscular) excitability in the sensory-motor pathway of the respective muscle and nerve. To date the vastus medialis (VM) and soleus (SOL) H-reflexes have been examined primarily in control subjects with induced knee joint effusion. This prospective, randomized clinical trial evaluated the affect of ACLR, utilizing hamsting (HS) or bone-patellar tendon-bone (BTB) autograft, on VM and SOL H-reflex latency and amplitude in twenty subjects. METHODS: Preoperatively bilateral VM and SOL H-reflex tests were conducted. VM and SOL H-reflexes were subsequently conducted on the involved lower extremity at 1 and 3 months post surgery. At each test session subjects completed visual analog scales and knee girth was measured. RESULTS: The VM H-reflex amplitude increased in the HS group at 3 months compared to 1-month post surgery (p&lt;.05). Significant changes over time were also noted in the visual analog pain and functional scales and the mid-patella girth. CONCLUSIONS: The increased VM H-reflex amplitude at 3 months following HS autograft ACLR demonstrates an increase in VM neuromuscular excitability. Increased VM neuromuscular excitability was not evident in patients following BTB reconstruction. The increased neuromuscular excitability, observed only in the HS group, warrants consideration when selecting graft type for patients with extensive preoperative quadriceps dysfunction.</t>
  </si>
  <si>
    <t>Electromyogr Clin Neurophysiol</t>
  </si>
  <si>
    <t>#486</t>
  </si>
  <si>
    <t>Rosenthal 2009</t>
  </si>
  <si>
    <t>Hamstring graft tibial insertion preservation versus detachment in anterior cruciate ligament reconstruction: a prospective randomized comparative study.</t>
  </si>
  <si>
    <t>Ruffilli A; Pagliazzi G; Ferranti E; Busacca M; Capannelli D; Buda R</t>
  </si>
  <si>
    <t>BACKGROUND: Anterior cruciate ligament (ACL) reconstruction with hamstring graft (HG) is a commonly performed procedure. Despite the type of reconstruction chosen, the detached HG undergoes a remodeling process known as ligamentization. In order to shorten the ligamentization process, the maintenance of HG tibial insertion, aimed to spare the tendons vascular supply, has been postulated. The aim of this paper is to report the results of a prospective randomized study comparing clinical and MRI results between two different ACL reconstructive procedures with and without HG tibial insertion preservation. METHODS: Forty patients (mean age 27.5Â Â±Â 9.5Â years) were enrolled and randomly divided into two groups. The study group underwent an ACL reconstruction using a distally inserted HG, while the control group underwent a technique encompassing HG tibial detachment. Subjective and objective IKDC score was administered preoperatively and at 3-, 6-, 12- and 24-month follow-up. Graft morphology was assessed through MRI evaluation performed at 6-month follow-up. RESULTS: Clinical results were excellent in both groups. Regarding MRI results, a better intra-articular graft morphology was observed in the study group (TauÂ =Â 0.313, pÂ =Â 0.024). No differences in graft integration were noticed. CONCLUSION: The main finding of this preliminary study is that preservation of the hamstring tibial insertion seems to enhance graft ligamentization with improved morphology of the intra-articular portion of the graft compared to a detachment of the hamstring tendons from the tibial side. Further well-designed studies with higher number of patients as well as more serial MRI evaluations are required to validate these preliminary findings.</t>
  </si>
  <si>
    <t>10.1007/s00590-016-1812-9</t>
  </si>
  <si>
    <t>#295</t>
  </si>
  <si>
    <t>Ruffilli 2016</t>
  </si>
  <si>
    <t>Quadriceps Strength Deficits After a Femoral Nerve Block Versus Adductor Canal Block for Anterior Cruciate Ligament Reconstruction: A Prospective, Single-Blinded, Randomized Trial.</t>
  </si>
  <si>
    <t>Runner RP; Boden SA; Godfrey WS; Premkumar A; Samady H; Gottschalk MB; Xerogeanes JW</t>
  </si>
  <si>
    <t>BACKGROUND: Peripheral nerve blocks, particularly femoral nerve blocks (FNBs), are commonly performed for anterior cruciate ligament (ACL) reconstruction. However, associated quadriceps muscle weakness after FNBs is well described and may occur for up to 6 months postoperatively. The adductor canal block (ACB) has emerged as a viable alternative to the FNB, theoretically causing less quadriceps weakness during the immediate postoperative period, as it bypasses the majority of the motor fibers of the femoral nerve that branch off proximal to the adductor canal. PURPOSE/HYPOTHESIS: This study sought to identify if a difference in quadriceps strength exists after an ACB or FNB for ACL reconstruction beyond the immediate postoperative period. Beyond the immediate postoperative period, we anticipated no difference in quadriceps strength between patients who received ACBs or FNBs for ACL reconstruction. STUDY DESIGN: Randomized controlled trial; Level of evidence, 1. METHODS: A total of 102 patients undergoing primary ACL reconstruction using a variety of graft types were enrolled between November 2015 and April 2016. All patients were randomized to receive an ACB or FNB before surgery, and the surgeon was blinded to the block type. All patients underwent aggressive rehabilitation without functional bracing postoperatively. The time to the first straight-leg raise was reported by the patient. Isokinetic strength testing was performed at 3 and 6 months postoperatively. RESULTS: Data for 73 patients were analyzed. There was no significant difference in patient demographics of age, body mass index, sex, or tourniquet time between the FNB (n = 35) and ACB (n = 38) groups. The mean time to the first straight-leg raise was similar, at 13.1 Â± 1.0 hours for the FNB group and 15.5 Â± 1.2 hours for the ACB group (P = .134). The mean extension torque at 60 deg/s increased significantly for both the ACB (53.7% Â± 3.4% to 68.3% Â± 2.9%; P = .008) and the FNB (53.3% Â± 3.3% to 68.5% Â± 4.1%; P = .006) groups from 3 to 6 months postoperatively. There was also no significant difference in mean extension torque at 60 deg/s or 180 deg/s between the FNB and ACB groups at 3 and 6 months. There were no significant differences in postoperative complications (infection, arthrofibrosis, retear) between groups. CONCLUSION: Although prior studies have shown immediate postoperative benefits of ACBs compared with FNBs, with a faster return of quadriceps strength, in the current study there was no statistically or clinically significant difference in quadriceps strength at 3 and 6 months postoperatively in patients who received ACBs or FNBs for ACL reconstruction.</t>
  </si>
  <si>
    <t>10.1177/2325967118797990</t>
  </si>
  <si>
    <t>#236</t>
  </si>
  <si>
    <t>Runner 2018</t>
  </si>
  <si>
    <t>The Immediate Effects of Transcranial Direct Current Stimulation on Quadriceps Muscle Function in Individuals With a History of Anterior Cruciate Ligament Reconstruction: A Preliminary Investigation.</t>
  </si>
  <si>
    <t>Rush JL; Lepley LK; Davi S; Lepley AS</t>
  </si>
  <si>
    <t>CONTEXT: Altered quadriceps activation is common following anterior cruciate ligament reconstruction (ACLR), and can persist for years after surgery. These neural deficits are due, in part, to chronic central nervous system alterations. Transcranial direct current stimulation (tDCS) is a noninvasive modality, that is, believed to immediately increase motor neuron activity by stimulating the primary motor cortex, making it a promising modality to use improve outcomes in the ACLR population. OBJECTIVE: To determine if a single treatment of tDCS would result in increased quadriceps activity and decreased levels of self-reported pain and dysfunction during exercise. DESIGN: Randomized crossover design. SETTING: Controlled laboratory. PATIENTS: Ten participants with a history of ACLR (5 males/5 females, 22.9 [4.23]Â y, 176.57 [12.01]Â cm, 80.87 [16.86]Â kg, 68.1 [39.37] mo since ACLR). INTERVENTIONS: Active tDCS and Sham tDCS. MAIN OUTCOME MEASURES: Percentage of maximum electromyographic data of vastus medialis and lateralis, voluntary isometric strength, percentage of voluntary activation, and self-reported pain and symptom scores were measured. The 2 Ã— 2 repeated-measures analysis of variance by limb were performed to explain the differences between time points (pre and post) and condition (tDCS and sham). RESULTS: There was a significant time main effect for quadriceps percentage of maximum electromyographic of vastus medialis (F9,1 = 11.931, P = .01) and vastus lateralis (F9,1 = 9.132, P = .01), isometric strength (F9,1 = 5.343, P = .046), and subjective scores for pain (F9,1 = 15.499, P = .04) and symptoms (F9,1 = 15.499, P = .04). Quadriceps percentage of maximum electromyographic, isometric strength, and voluntary activation showed an immediate decline from pre to post regardless of tDCS condition. Subjective scores improved slightly after each condition. CONCLUSIONS: One session of active tDCS did not have an immediate effect on quadriceps activity and subjective scores of pain and symptoms. To determine if tDCS is a valid modality for this patient population, a larger scale investigation with multiple treatments of active tDCS is warranted.</t>
  </si>
  <si>
    <t>10.1123/jsr.2019-0179</t>
  </si>
  <si>
    <t>#195</t>
  </si>
  <si>
    <t>Rush 2020</t>
  </si>
  <si>
    <t>Serial dilation reduces graft slippage compared to extraction drilling in anterior cruciate ligament reconstruction: a randomized controlled trial using radiostereometric analysis.</t>
  </si>
  <si>
    <t>SÃ¸rensen OG; Larsen K; Jakobsen BW; Kold S; Hansen TB; Taudal S; Lund B; Christiansen SE; Lind M; SÃ¸balle K</t>
  </si>
  <si>
    <t>PURPOSE: This study tested the hypothesis that serial dilation of the tibial tunnel could provide a stronger anchorage of the graft-fixation-device complex compared to traditional extraction drilling. METHODS: Forty patients (22 men and 18 women) undergoing ACL reconstruction were randomized to either extraction drilling (group ED) or compaction by serial dilation (group SD) of the tibial tunnel. Tantalum beads were placed in the tibia, femur, and in the hamstring graft. Radiostereometric analysis (RSA) was performed postoperatively and again after 6, 12, and 24Â weeks. Migration of graft in the bone tunnels as well as knee laxity was assessed using RSA and a TELOS stress device. RESULTS: Six patients (three men and three women) were excluded during follow-up, which resulted in 17 patients in group ED [median age 30Â years (range 20-50)] and 17 patients in group SD [median age 32Â years (range 20-49)]. The mean migration of the graft in the tibial bone canal after 3Â months was 1.3 (SD 0.6) mm in group ED and 0.8 (SD 0.5) mm in group SD (PÂ =Â 0.02). The overall knee laxity after 3Â months was 13.0 (SD 4.0) mm in group ED and 10.9 (SD 3.1) mm in group SD. CONCLUSION: This study found less slippage of the hamstring graft in the tibial bone canal in the serial dilated group compared to the extraction drilling group. The clinical relevance of the difference is unknown. No difference in stress radiographic knee laxity was found between the two groups.</t>
  </si>
  <si>
    <t>10.1007/s00167-010-1220-3</t>
  </si>
  <si>
    <t>#443</t>
  </si>
  <si>
    <t>SÃ¸rensen 2011</t>
  </si>
  <si>
    <t>Tunnel widening after anterior cruciate ligament reconstruction: a prospective randomized computed tomography--based study comparing 2 different femoral fixation methods for hamstring graft.</t>
  </si>
  <si>
    <t>Sabat D; Kundu K; Arora S; Kumar V</t>
  </si>
  <si>
    <t>PURPOSE: We prospectively sought to compare the incidence and properties of tunnel widening in patients undergoing anterior cruciate ligament reconstruction with quadrupled hamstring graft by use of either EndoButton CL (Smith &amp; Nephew Endoscopy, Andover, MA) or Transfix (Arthrex, Naples, FL) on the femoral side with a bioabsorbable interference screw in the tibial tunnel by computed tomography scan. METHODS: We included 34 patients in the study and randomized them into 2 groups--EndoButton and Transfix groups. An anteromedial portal technique was used to create the femoral tunnels in the EndoButton group, whereas a transtibial technique was used in the Transfix group. A bioabsorbable screw was used on the tibial side in both groups. Thirty patients completed the study protocol, and assessment was done at regular intervals until 12 months of follow-up was reached. The patients underwent computed tomography scans at 2 weeks, 3 months, and 6 months postoperatively. The diameters of the tunnels were measured perpendicular to the long axis of the tunnels on oblique coronal and oblique sagittal planes at 3 levels: aperture, midway, and suspension point. We performed functional scoring with the International Knee Documentation Committee 2000 Subjective Knee Evaluation score and Lysholm score. RESULTS: Femoral tunnel widening at the aperture and at midway was significantly greater in the EndoButton group compared with the Transfix group. A decrease in the loop length in the EndoButton group was associated with lesser tunnel widening, although this was not found to be statistically significant with the numbers available. A trend toward decreased tunnel widening at the aperture on the tibial side was observed when the tip of the screw was 10 to 15 mm away from the aperture. CONCLUSIONS: Femoral tunnel widening was significantly less in the Transfix group compared with the EndoButton group. LEVEL OF EVIDENCE: Level II, prospective comparative study.</t>
  </si>
  <si>
    <t>10.1016/j.arthro.2011.02.009</t>
  </si>
  <si>
    <t>#433</t>
  </si>
  <si>
    <t>Sabat 2011</t>
  </si>
  <si>
    <t>Nerve injury during hamstring graft harvest: a prospective comparative study of three different incisions.</t>
  </si>
  <si>
    <t>Sabat D; Kumar V</t>
  </si>
  <si>
    <t>PURPOSE: To compare the incidence, extent of sensory loss, its clinical effect and natural course caused by three different skin incisions used for autogenous hamstring graft harvest during anterior cruciate ligament (ACL) reconstruction. METHODS: One hundred and twenty patients who underwent hamstring graft harvest during ACL reconstruction, participated in the study. All patients were randomized into 3 groups as per the 3 incisions used-vertical, transverse and oblique. The area of sensory loss was documented as per anatomical distribution of the infrapatellar branch of saphenous nerve (IPSBN) and sartorial branch of sensory nerve (SBSN) at 6 weeks, 3 months and 6 months follow-ups. The length of incision, area of sensory loss and subjective pain score (out of 10) were also noted. RESULTS: The incidence, area of hypesthesia and persistence at 6 months were significantly higher with vertical incision at all times, whereas it was the least with oblique incision. Injury to IPSBN was maximum with vertical incision (p = 0.000), and it was similar in the transverse and oblique incision groups. The SBSN injury incidence was not significantly different between the three groups (n.s.). Subjective cutaneous hypesthesia incidence was quite low in all the three groups. The oblique incision group had highest subjective satisfaction closely followed by the horizontal incision group. CONCLUSIONS: Vertical incision has highest incidence of IPBSN injury, persistent hypesthesia, largest area of sensory loss and poorest subjective outcome. Oblique and transverse incision groups had statistically comparable results, though better outcome was noted in the oblique incision group. The SBSN injury was equally common in all the three incisions used. However, the sensory loss does not impair normal daily activities in the patients. We recommend use of oblique incision for hamstring graft harvest. LEVEL OF EVIDENCE: Therapeutic randomized controlled prospective study, level I.</t>
  </si>
  <si>
    <t>10.1007/s00167-012-2243-8</t>
  </si>
  <si>
    <t>#404</t>
  </si>
  <si>
    <t>Sabat 2013</t>
  </si>
  <si>
    <t>A prospective, randomized comparison of semitendinosus and gracilis tendon versus patellar tendon autografts for anterior cruciate ligament reconstruction: five-year follow-up.</t>
  </si>
  <si>
    <t>Sajovic M; Vengust V; Komadina R; Tavcar R; Skaza K</t>
  </si>
  <si>
    <t>BACKGROUND: There are still controversies about graft selection for primary anterior cruciate ligament reconstruction. Prospective randomized long-term studies are needed to determine the differences between the materials. HYPOTHESIS: Five years after anterior cruciate ligament reconstruction, there is a difference between hamstring and patellar tendon grafts in development of degenerative knee joint disease. STUDY DESIGN: Randomized controlled trial; Level of evidence, 1.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whereas in the other 32 patients, anterior cruciate ligament reconstruction was performed with patellar tendon autograft. RESULTS: At the 5-year follow-up, no statistically significant differences were seen with respect to the Lysholm score, clinical and KT-2000 arthrometer laxity testing, anterior knee pain, single-legged hop test, or International Knee Documentation Committee classification results; 23 patients (82%) in the hamstring tendon group and 23 patients (88%) in the patellar tendon group returned to their preinjury activity levels. Graft rupture occurred in 2 patients from the hamstring tendon group (7%) and in 2 patients from the patellar tendon group (8%). Grade B abnormal radiographic findings were seen in 50% (13/26) of patients in the patellar tendon group and in 17% (5/28) of patients in the hamstring tendon group (P = .012). CONCLUSION: Both hamstring and patellar tendon grafts provided good subjective outcomes and objective stability at 5 years. No significant differences in the rate of graft failure were identified. Patients with patellar tendon grafts had a greater prevalence of osteoarthritis at 5 years after surgery.</t>
  </si>
  <si>
    <t>10.1177/0363546506290726</t>
  </si>
  <si>
    <t>#542</t>
  </si>
  <si>
    <t>Sajovic 2006</t>
  </si>
  <si>
    <t>The effect of graft choice on functional outcome in anterior cruciate ligament reconstruction.</t>
  </si>
  <si>
    <t>Sajovic M; Strahovnik A; Komadina R; Dernovsek MZ</t>
  </si>
  <si>
    <t>A prospective, randomised, 5-year follow-up study was designed to compare the functional results between patellar tendon and hamstring tendon autografts after anterior cruciate ligament reconstruction. Primary reconstruction was performed in 32 patients using the central third of the patellar ligament and in 32 patients using double-looped semitendinosus and gracilis tendons. All reconstructions were performed by a single surgeon, with identical surgical technique and rehabilitation protocol. Of the total 64 patients in the study, 54 (85%) were available for the 5-year follow-up. No statistically significant differences were seen with respect to Lysholm score, International Knee Documentation Committee (IKDC) classification, clinical and KT-2000 arthrometer laxity testing, single-legged hop test and anterior knee pain. Graft rupture occurred in two patients (8%) in the patellar tendon group and in two patients (7%) in the hamstring tendon group; 23 patients (88%) in the patellar tendon group and 23 patients (82%) in the hamstring tendon group returned to their pre-injury activity level. Good subjective outcome and stability can be obtained by using either graft; no statistically significant differences were found in functional outcome between the grafts.</t>
  </si>
  <si>
    <t>10.1007/s00264-007-0341-x</t>
  </si>
  <si>
    <t>#527</t>
  </si>
  <si>
    <t>Sajovic 2008</t>
  </si>
  <si>
    <t>Quality of life and clinical outcome comparison of semitendinosus and gracilis tendon versus patellar tendon autografts for anterior cruciate ligament reconstruction: an 11-year follow-up of a randomized controlled trial.</t>
  </si>
  <si>
    <t>Sajovic M; Strahovnik A; Dernovsek MZ; Skaza K</t>
  </si>
  <si>
    <t>BACKGROUND: There are still controversies about graft selection for primary anterior cruciate ligament reconstruction. Prospective, randomized long-term studies are needed to determine the differences between the graft materials. HYPOTHESIS: Eleven years after anterior cruciate ligament reconstruction there is no difference in functional outcome and quality of life between patients with patellar tendon or hamstring tendon autografts; however, the patients with patellar tendon autograft would have a higher prevalence of osteoarthritis. STUDY DESIGN: Randomized controlled trial; Level of evidence, 2.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(semitendinosus and gracilis [STG] group) while in the other 32 patients the reconstruction was performed with patellar tendon autograft (PT group). RESULTS: At the 11-year follow-up, no statistically significant differences were seen with respect to the Lysholm score and Short Form-36, KT-1000 arthrometer laxity testing, anterior knee pain, single-legged hop test, or International Knee Documentation Committee (IKDC) classification results. Positive pivot-shift test (1+) was significantly more frequent in the PT group (P = .036). Twenty-two patients (81%) in the STG group and 18 patients (72%) in the PT group were still at their preinjury level of activity. Graft rupture occurred in 2 patients from the STG group (6%) and in 4 patients from the PT (12%). Grade B and C abnormal radiographic findings were seen in 84% (21 of 25) of patients in the PT group and in 63% (17 of 27) of patients in the STG group (P = .008). CONCLUSION: Both hamstring and patellar tendon autografts provided good subjective outcomes and objective stability at 11 years. Positive pivot-shift test (1+) was significantly more frequent in the PT group. No significant differences in the rate of graft failure were identified. Patients with patellar tendon graft had a greater prevalence of osteoarthritis at 11 years after surgery.</t>
  </si>
  <si>
    <t>10.1177/0363546511411702</t>
  </si>
  <si>
    <t>#428</t>
  </si>
  <si>
    <t>Sajovic 2011</t>
  </si>
  <si>
    <t>Long-term Comparison of Semitendinosus and Gracilis Tendon Versus Patellar Tendon Autografts for Anterior Cruciate Ligament Reconstruction: A 17-Year Follow-up of a Randomized Controlled Trial.</t>
  </si>
  <si>
    <t>Sajovic M; Stropnik D; Skaza K</t>
  </si>
  <si>
    <t>BACKGROUND: Short-term and mid-term differences between hamstring and patellar tendon autografts for anterior cruciate ligament (ACL) reconstruction are well documented. Systematic reviews highlight the lack of long-term results between the two grafts. HYPOTHESIS: Seventeen years after ACL reconstruction, no difference will be found in functional outcome, quality of life, and graft failure between patients with patellar tendon (PT) or semitendinosus and gracilis tendon (STG) autografts; however, a significant difference will be seen in the prevalence of osteoarthritis. STUDY DESIGN: Randomized controlled trial; Level of evidence, 2. METHODS: Sixty-four patients were included in this prospective study (32 in each group). A single surgeon performed primary ACL reconstruction in alternating sequence. Forty-eight patients (24 in each group) were evaluated 17 years after ACL reconstruction: A clinical assessment was made based on the International Knee Documentation Committee (IKDC) form, instrumented laxity was measured with KT-1000 arthrometer, and radiography of the operated knee was conducted and assessed for degenerative disease. The Lysholm questionnaire and the Short Form-36 version 2 questionnaire were filled out by the patients. RESULTS: At the 17-year follow-up, no statistically significant differences were seen with respect to graft failure (2 reruptures in the semitendinosus and gracilis tendon [STG] group [6.3%] and 3 reruptures in the PT group [9.4%]) and functional outcome. Increased instrumented laxity (&gt;3 mm) measured with KT-1000 arthrometer was seen in significantly more patients in the STG group (8 in the STG group compared with 2 in the PT group; P = .03) with a mean side-to-side difference of 2.17 Â± 1.86 mm in the STG group compared with 1.33 Â± 1.93 mm in the PT group. A significant difference was found in frequency of knee osteoarthritis (OA)-100% in the PT group compared with 71% in the STG group ( P = .004). Patients in the PT group tended to have higher grade OA according to the IKDC grading system, with an average grade of 1.46 in the PT group compared with 1 in the STG group ( P = .055). The degenerative changes in the PT group were more common in the medial and patellofemoral compartments ( P = .003 and P = .04, respectively). CONCLUSION: Both autografts provided good to excellent subjective outcomes. No significant differences were noted in graft failure and clinical instability. However, significantly more patients in the STG group had increased instrumented anteroposterior translation measured with KT-1000 arthrometer, and there was a greater prevalence of knee OA at 17 years after surgery in the PT group.</t>
  </si>
  <si>
    <t>#248</t>
  </si>
  <si>
    <t>Functional Outcomes in ACL Reconstruction: A Randomized Controlled Trial Comparing All-Inside and Transportal Techniques.</t>
  </si>
  <si>
    <t>Sakale H; Moti RK; Agrawal AC; Kar BK; Chauhan D; Garg AK</t>
  </si>
  <si>
    <t>INTRODUCTION: The two techniques to fix a torn ACL are the Transportal and All-Inside Techniques. However, the argument about which method is better for functional outcomes keeps going on. The aim was to look at how well these two treatments worked and their effects. We hypothesized that All-Inside and Transportal ACL reconstruction procedures would yield similar functional results. MATERIALS AND METHODS: The study included 45 patients with ACL insufficiency from AIIMS, Raipur, India. Half of each ACL approach was represented by 22 AI and 23 TP participants, randomly assigned to each group. Preoperative and post-operative VAS, IKDC, and range of motion were determined at 1, 3, and 6 months. The study used IBM SPSS v20 for Data Analysis, comparing two groups using a t-test. P &lt; 0.05 was fixed for Statistical significance. RESULTS: The study was dominated by young males (86.7%, 18-30 years), mainly students (44.4%). Comparable IKDC scores over time (P = 0.628); significant VAS score difference (P = 0.001). A similar movement range (P = 0.153) was observed. AI group had slightly smaller grafts (non-significant, P = 0.235). Similar Lachmann Grade distributions pre- and post-surgery; no significant post-operative complication in either group. CONCLUSION: When comparing the methods' functionalities, no statistically significant gaps emerged. All-Inside approach preserves bone and gracilis tendon, reduces post-operative pain, and strengthens knee flexors. Although, early rehabilitation favors all inside, both methods are equally effective over time. In comparison to the traditional Transportal Technique, All Inside has a greater learning curve and costs more.</t>
  </si>
  <si>
    <t>10.13107/jocr.2024.v14.i11.4978</t>
  </si>
  <si>
    <t>#67</t>
  </si>
  <si>
    <t>Sakale 2024</t>
  </si>
  <si>
    <t>The effects of core stabilization exercises on the neuromuscular function of athletes with ACL reconstruction.</t>
  </si>
  <si>
    <t>Saki F; Shafiee H; Tahayori B; Ramezani F</t>
  </si>
  <si>
    <t>Athletes who have undergone anterior cruciate ligament reconstruction (ACLR) often exhibit persistently impaired kinematics and strength. Core stability training appears to be effective for reducing high-risk landing mechanics and preventing primary anterior cruciate ligament (ACL) injuries; however, there have been few attempts to examine their effects in athletes who have undergone ACLR. This study aimed to investigate the effect of eight weeks of simple core stability training on core endurance, hip strength, and knee kinematics in ACLR athletes. Twenty-six male athletes (20-30Â years old) with a history of ACL surgery with hamstring tendon autograft were randomly divided into training (nâ€‰=â€‰13) and control groups (nâ€‰=â€‰13). The training group performed core stability exercises for eight weeks before starting their team training; the control group did not receive any intervention. Both groups continued their regular team schedule. The core endurance, hip muscle strength, and knee kinematics were assessed by the McGill test, a hand-held dynamometer, and video-taping, respectively. Analysis of covariance test was used for data analysis. The training group showed a significant increase in core endurance, hip abductor and external rotator strength, knee flexion angle, and a significant decrease in the knee valgus angle during single-leg landing in post-training tests compared to their baseline tests (Pâ€‰&lt;â€‰0.05). Our results demonstrated that core stability exercise alters neuromuscular function to a level that is clinically acceptable and statistically significant. Because of the high incidence rate of secondary ACL injury after ACLR, it is recommended that athletes with a history of ACLR benefit from adding core stability exercises to warm-up routines or tertiary prevention programs even after completing post-operative rehabilitation. It is fast and not time-consuming to perform for athletes to reduce the risk factors of re-injury. Trial registration: This study was registered in the Iranian Registry of Clinical Trials with the number IRCT20190224042827N2, registered on 19 December 2019.</t>
  </si>
  <si>
    <t>10.1038/s41598-023-29126-6</t>
  </si>
  <si>
    <t>#109</t>
  </si>
  <si>
    <t>Saki 2023</t>
  </si>
  <si>
    <t>Ultrasound-guided peripheral nerve blocks for anterior cruciate ligament reconstruction: effect of obturator nerve block during and after surgery.</t>
  </si>
  <si>
    <t>Sakura S; Hara K; Ota J; Tadenuma S</t>
  </si>
  <si>
    <t>PURPOSE: Three studies were conducted to determine whether and how the obturator nerve bears relevance to intra- and postoperative pain in patients undergoing anterior cruciate ligament (ACL) reconstruction using a hamstring autograft. METHODS: Patients undergoing arthroscopic ACL reconstruction using a hamstring autograft were enrolled in three studies. In the first study, we studied the analgesic effect of combined posterior lumbar plexus (PLP) and sciatic nerve blocks as well as combined femoral, lateral femoral cutaneous, and sciatic nerve blocks during and for 24 h after surgery. The second study was conducted to compare the analgesic effect of the combination of femoral, lateral femoral cutaneous, and sciatic nerve blocks with and without an obturator nerve block. Finally, we compared a postoperative continuous femoral nerve block and PLP block both during and for 48 h after surgery. RESULTS: In the first study, patients receiving the PLP block required significantly less fentanyl intraoperatively than those given the femoral nerve block. In the second, significantly less fentanyl was required during surgery for patients with the obturator nerve block than for those without. Finally, the continuous postoperative PLP block showed higher visual analog pain scores than those with the continuous femoral nerve block during movement at 48 h. CONCLUSION: The present results suggest the involvement of the obturator nerve in ACL reconstruction using a hamstring autograft. However, although obturator nerve blockade is crucial for intraoperative analgesia, a continuous obturator nerve block is not necessary beyond 24 h postoperatively.</t>
  </si>
  <si>
    <t>J Anesth</t>
  </si>
  <si>
    <t>10.1007/s00540-010-0916-3</t>
  </si>
  <si>
    <t>#456</t>
  </si>
  <si>
    <t>Sakura 2010</t>
  </si>
  <si>
    <t>Psychological Readiness to Return to Sport at 6 Months Is Higher After Bridge-Enhanced ACL Restoration Than Autograft ACL Reconstruction: Results of a Prospective Randomized Clinical Trial.</t>
  </si>
  <si>
    <t>Sanborn RM; Badger GJ; Yen YM; Murray MM; Christino MA; Proffen B; Sant N; Barnett S; Fleming BC; Kramer DE; Micheli LJ</t>
  </si>
  <si>
    <t>BACKGROUND: Previous clinical studies have shown that psychological factors have significant effects on an athlete's readiness to return to sport after anterior cruciate ligament (ACL) reconstruction (ACLR). HYPOTHESIS: We hypothesized that patients who underwent bridge-enhanced ACL restoration (BEAR) would have higher levels of psychological readiness to return to sport compared with patients who underwent ACLR. STUDY DESIGN: Randomized controlled trial; Level of evidence, 1. METHODS: A total of 100 patients (median age, 17 years; median preoperative Marx activity score, 16) with complete midsubstance ACL injuries were randomized to either the BEAR procedure (n = 65) or autograft ACLR (n = 35 [33 hamstring and 2 bone--patellar tendon-bone]) and underwent surgery within 45 days of injury. Objective, functional, and patient-reported outcomes, including the ACL--Return to Sport after Injury (ACL-RSI) scale, were assessed at 6, 12, and 24 months postoperatively. RESULTS: Patients who underwent the BEAR procedure had significantly higher ACL-RSI scores at 6 months compared with those who underwent ACLR (71.1 vs 58.2; P = .008); scores were similar at 12 and 24 months. Baseline factors independently predictive of higher ACL-RSI scores at 6 months were having a BEAR procedure and participating in level 1 sports prior to injury, explaining 15% of the variability in the scores. Regression analysis of baseline and 6-month outcomes as predictors indicated that the International Knee Documentation Committee (IKDC) score at 6 months explained 45% of the 6-month ACL-RSI variance. Subsequent analysis with IKDC excluded from the model indicated that decreased pain, increased hamstring and quadriceps strength in the surgical limb, and decreased side-to-side difference in anteroposterior knee laxity were significant predictors of a higher ACL-RSI score at 6 months, explaining 34% of the variability in scores. Higher ACL-RSI score at 6 months was associated with earlier clearance to return to sports. CONCLUSION: Patients who underwent the BEAR procedure had higher ACL-RSI scores at 6 months postoperatively. Better ACL-RSI scores at 6 months were related most strongly to higher IKDC scores at 6 months and were also associated with lower pain levels, better muscle recovery, and less knee laxity at 6 months. REGISTRATION: NCT02664545 (ClinicalTrials.gov identifier).</t>
  </si>
  <si>
    <t>10.1177/23259671211070542</t>
  </si>
  <si>
    <t>#138</t>
  </si>
  <si>
    <t>Sanborn 2022</t>
  </si>
  <si>
    <t>Mechanical evaluation of tibial fixation of the hamstring tendon in anterior cruciate ligament double-bundle reconstruction with and without interference screws.</t>
  </si>
  <si>
    <t>Santos AA; Carneiro-Filho M; Albuquerque RFDME; Moura JPFM; Franciozi CE; Luzo MVM</t>
  </si>
  <si>
    <t>OBJECTIVE: The objective of this study was to compare two postero-lateral bundle (PLB) tibial fixation techniques for the reconstruction of the anterior cruciate ligament with double bundle: a technique without the use of an interference screw, preserving the native tibial insertion of the tendons of the gracilis and semitendineous muscles, and a technique with the use of an interference screw and without preserving the insertion of the tendons. METHODS: A comparative study was conducted in cadavers with a universal mechanical test machine. In total, 23 cadaver knees were randomized for tibial fixation of the PLB using the two techniques: Maintaining the tibial insertion of the tendons during reconstruction, without the use of an interference screw (group A, 11 cases); and fixating the graft with an interference screw, without maintaining the insertion of the tendons (group B, 12 cases). A continuous traction was performed (20 mm/min) in the same direction as the produced tunnel, and force (N), elongation (mm), rigidity (N/mm), and tension (N/mm2) were objectively determined in each group. RESULTS: Group A exhibited a maximum force (MF) of 315.4Â±124.7 N; maximum tension of 13.57Â±3.65 N/mm2; maximum elongation of 19.73Â±4.76 mm; force at the limit of proportionality (FLP) of 240.6Â±144.0 N; and an elongation at the limit of proportionality of 14.37Â±6.58 mm. Group B exhibited a MF of 195.7Â±71.8 N; maximum tension of 8.8Â±3.81 N/mm2; maximum elongation of 15.3Â±10.73 mm; FLP of 150.1Â±68.7 N; and an elongation at the limit of proportionality of 6.86Â±2.42 mm. When comparing the two groups, significant differences were observed in the variables of maximum force (p=0.016), maximum tension (p=0.019), maximum elongation (p=0.007), and elongation at the limit of proportionality (p=0.003). CONCLUSION: The use of the native insertion of the semitendineous and gracilis tendons, without an additional fixation device, presented mechanical superiority over their fixation with interference screws.</t>
  </si>
  <si>
    <t>Clinics (Sao Paulo)</t>
  </si>
  <si>
    <t>10.6061/clinics/2020/e1123</t>
  </si>
  <si>
    <t>#187</t>
  </si>
  <si>
    <t>Santos 2020</t>
  </si>
  <si>
    <t>ACL reconstruction using bone-patella tendon-bone autograft: press-fit technique vs. interference screw fixation.</t>
  </si>
  <si>
    <t>Sarzaeem MM; Najafi F; Razi M; Najafi MA</t>
  </si>
  <si>
    <t>PURPOSE: The gold standard in ACL reconstructions has been the bone-patellar tendon-bone autograft fixed with interference screws. This prospective, randomized clinical trial aimed to compare two methods of fixation for BPTB grafts: press-fit fixation vs. interference screw, over a 12-month follow-up interval. METHODS: 158 patients with an average age of 29.8 years, between 2011 and 2012, were treated for torn ACL. 82 patients underwent reconstruction with BPTB autograft with a press fit fixation technique, and in 76 cases an interference screw was used. At the time of final follow-up, 71 patients in press-fit group and 65 patients in interference screw group were evaluated in terms of return to pre-injury activity level, pain, knee stability, range of motion, IKDC score and complications. RESULTS: At 12-month follow-up, 59 (83 %) and 55 (85 %) in press-fit and screw group, respectively had good-to-excellent IKDC score (p &gt; 0.05). The mean laxity assessed using a KT-1000 arthrometer improved to 2.7 and 2.5 mm in press-fit and screw group, respectively. Regarding Lachman and pivot_shift test, there was a statistically significant improvement in the integrity of the ACL in both the groups, but no significant differences was noted between groups. There were no significant differences in terms of femur circumference difference, effusion, knee range of motion, pain and complications. CONCLUSIONS: The press-fit technique is an efficient procedure. Its outcome was comparable with the interference screw group. Furthermore it has unlimited bone-to-bone healing, no need for removal of hardware, ease for revision and cost effectiveness.</t>
  </si>
  <si>
    <t>10.1007/s00402-014-1999-3</t>
  </si>
  <si>
    <t>#355</t>
  </si>
  <si>
    <t>Sarzaeem 2014</t>
  </si>
  <si>
    <t>Prospective Randomized Study of Objective and Subjective Clinical Results Between Double-Bundle and Single-Bundle Anterior Cruciate Ligament Reconstruction.</t>
  </si>
  <si>
    <t>Sasaki S; Tsuda E; Hiraga Y; Yamamoto Y; Maeda S; Sasaki E; Ishibashi Y</t>
  </si>
  <si>
    <t>BACKGROUND: There is controversy as to whether double-bundle anterior cruciate ligament (ACL) reconstruction with hamstring tendon graft (DB-HT) or single-bundle ACL reconstruction with patellar tendon graft (SB-PT) obtains the best clinical outcomes. PURPOSE: To compare the short-term clinical outcomes of DB-HT with those of rectangular-tunnel SB-PT (RTSB-PT) at 2-year follow-up and to identify the factors that affect subjective knee functional score. STUDY DESIGN: Randomized controlled trial. Level of evidence, 1. METHODS: Sixty-three male patients (mean age, 26.1 years) and 87 female patients (mean age, 25.8 years) were included in this study and were randomly distributed to either the DB-HT (n = 76) or RTSB-PT (n = 74) group. Clinical outcomes (knee flexion range of motion [ROM], heel-height difference, side-to-side difference in anterior laxity, rotational laxity, and Tegner activity score) were compared between the DB-HT and RTSB-PT groups, and examination of factors affecting subjective outcomes (Knee Injury and Osteoarthritis and Outcome Score [KOOS] results) was performed by multiple linear regression analysis. RESULTS: Fourteen patients (9 DB-HT, 5 RTSB-PT) had secondary ACL injury within 2 years after primary ACL reconstruction and were excluded from analysis. In the examination of 136 patients at the 24-month follow-up, there was no significant difference between the 2 groups in clinical or subjective outcomes. The normalized knee extensor strength of the RTSB-PT group showed negative surgical technique effect in the early postoperative phase (P = .005), but there was no significant difference between the 2 groups at the 24-month follow-up (P = .114). There was no significant difference in change of normalized knee flexor strength between the 2 groups (P = .493). Age, sex, body mass index (BMI), and presence of meniscus injury were the factors that affected KOOS subscale scores. CONCLUSION: In this prospective randomized controlled study, there was no significant difference in the incidence of secondary ACL injury and no difference in objective or subjective outcomes between the DB-HT and RTSB-PT reconstruction at 24-month follow-up. Age, sex, presence of meniscus injury, and BMI affected subjective KOOS subscale scores, while surgical technique did not.</t>
  </si>
  <si>
    <t>10.1177/0363546515624471</t>
  </si>
  <si>
    <t>#314</t>
  </si>
  <si>
    <t>Sasaki 2016</t>
  </si>
  <si>
    <t>Double-bundle versus single-bundle ACL reconstruction using the horizontal femoral position: a prospective, randomized study.</t>
  </si>
  <si>
    <t>Sastre S; Popescu D; NÃºÃ±ez M; Pomes J; Tomas X; Peidro L</t>
  </si>
  <si>
    <t>The aim of this study was to evaluate whether anterior cruciate ligament (ACL) reconstruction using the double bundle technique (DB) improves stability in the knee compared with the single bundle technique (SB) with the femoral tunnel in a more horizontal position (2 or 10 o'clock). We conducted a randomized, prospective study. Forty patients were randomized to the DB group (20 patients) and the SB group (20 patients). Four-stranded semitendinosus and gracilis autologous grafts were used in the SB group and in the DB group the conventional four tunnel technique was carried out using the same tendons. The IKDC complete form was used for the preoperative evaluation, and in the follow-up the IKDC subjective knee evaluation form, IKDC current health assessment form and IKDC knee examination form were used. Anteroposterior (AP) laxity was evaluated by standardised and forced radiology in all patients. No significant preoperative between-group differences were found. During the follow-up, no differences were found between groups, except for significant between-group differences (P &lt; 0.05) between the preoperative and postoperative evaluations. The IKDC index also showed significant differences in the 2-year follow-up. Median scores increased from 48 (range 41-54) to 81 (range 75-87) (P = 0.01) in the SB group and from 52 (range 46-58) to 80 (range 72-88) (P = 0.02) in the DB group. There were no significant differences between the groups in terms of functional scores. In conclusion, the 2 and 10 o'clock placements showed no significant differences between SB and DB techniques in the pivot-shift test, manual and radiological anterior posterior laxity and IKDC scores. However, significant between-group differences were found between the preoperative and postoperative evaluations.</t>
  </si>
  <si>
    <t>10.1007/s00167-009-0844-7</t>
  </si>
  <si>
    <t>#474</t>
  </si>
  <si>
    <t>Sastre 2010</t>
  </si>
  <si>
    <t>Quantitative evaluation of anterior tibial translation during isokinetic motion in knees with anterior cruciate ligament reconstruction using either patellar or hamstring tendon grafts.</t>
  </si>
  <si>
    <t>Sato N; Higuchi H; Terauchi M; Kimura M; Takagishi K</t>
  </si>
  <si>
    <t>We studied 79 patients with unilateral injury to the anterior cruciate ligament (ACL). The patients were randomly allocated to reconstruction with autologous patellar bone-tendon-bone (BTB) grafts (49 knees) or hamstring tendon (ST) grafts (30 knees). We measured anterior tibial translation (ATT) during isokinetic concentric contraction exercise 18-20 months after surgery using a computerized electrogoniometer. In both groups the highest ATT during exercise was observed at a knee flexion of about 20 degrees and was 13.5+/-3.0 mm in the BTB group and 13.9+/-3.4 mm in the ST group. There was no difference in the ATT between the reconstructed and healthy knees. For a range of knee flexion between 30 and 50 degrees the ATT in the ST group was significantly higher on the reconstructed side than on the healthy side. In the BTB group, the mean ATT in the reconstructed group was similar to that on the healthy side at a knee flexion angle between 0 and 90 degrees .</t>
  </si>
  <si>
    <t>10.1007/s00264-005-0011-9</t>
  </si>
  <si>
    <t>#562</t>
  </si>
  <si>
    <t>Sato 2005</t>
  </si>
  <si>
    <t>Reconstruction of the anterior cruciate ligament using the Press-Fit-Hybrid technique-A cohort study with an up to 10-year follow-up.</t>
  </si>
  <si>
    <t>Schauer N; Fischer M; Golbach R; Groneberg DA; Holzgreve F; Niederer D; Ohlendorf D; Missalla A</t>
  </si>
  <si>
    <t>PURPOSE: To examine the long-term results of the Press-Fit-Hybrid fixation technique in anterior cruciate ligament (ACL) reconstruction on self-reported knee function, sport ability, return to sport (RTS) success, quality of life and re-rupture rates. METHODS: Adults with ACL rupture which was reconstructed between 2011 and 2013 using the Press-Fit-Hybrid fixation technique were included. Participants completed questionnaires before surgery and at 6-month, 1-year, 2-year, 3-year and 10-year follow-ups. Subjective knee function was self-reported using the International Knee Documentation Committee (IKDC) and Lysholm scores. The level of sport activities was assessed using the Tegner Activity Scale (TAS), and quality of life was evaluated with the Knee injury and Osteoarthritis Outcome Score Quality of Life subscale (KOOS-QoL). RTS success rates were categorised into return to participation, RTS and return to performance. RESULTS: Participants (Nâ€‰=â€‰135) (81 males, 54 females; aged 32.3 years [SD 11.7]) were included. Mean scores at 2, 3 and 10 years were for IKDC 87.6 (SD 10.5), 89.2 (SD 11.0) and 86.5 (SD 14.8), while for Lysholm 92.1 (SD 8.4), 93.3 (SD 7.8) and 90.6 (SD 12.3). The KOOS-QoL averaged 80.4; 70.0% scored above 80.0. After 3 years, 73% returned to their pre-injury TAS-level; 52% still performed at the pre-injury level after 10 years. Average return to participation was within 5.9 months. 96% returned to sport within 9.6 months on average. 72% returned to performance within a mean of 12.2 months. Re-rupture rates were 2.85% in the first 3 years and 5% between 3 and 10 years post-surgery. CONCLUSION: Press-Fit-Hybrid leads to low re-rupture and high RTS rates, restoring knee functionality and improved quality of life. Preliminary results need validation in a randomised controlled trial. LEVEL OF EVIDENCE: Level III.</t>
  </si>
  <si>
    <t>10.1002/jeo2.70257</t>
  </si>
  <si>
    <t>#47</t>
  </si>
  <si>
    <t>Schauer 2025</t>
  </si>
  <si>
    <t>Changes in gait pattern and early functional results after ACL repair are comparable to those of ACL reconstruction.</t>
  </si>
  <si>
    <t>Schliemann B; Glasbrenner J; Rosenbaum D; Lammers K; Herbort M; Domnick C; Raschke MJ; KÃ¶sters C</t>
  </si>
  <si>
    <t>PURPOSE: Dynamic intraligamentary stabilization (DIS) has been introduced as a new technique to repair the torn anterior cruciate ligament (ACL) and to restore knee joint kinematics after an acute ACL tear. Aim of the present study was to compare the early post-operative activity, restoration of gait pattern and functional results after DIS in comparison with primary ACL reconstruction (ACLR) for acute ACL tears. It was hypothesized that functional results, post-operative activity and changes in gait pattern after DIS are comparable to those after ACLR. METHODS: Sixty patients with acute ACL tears were included in this study and underwent either DIS or ACLR with an anatomic semitendinosus autograft in a randomized manner. Patients were equipped with an accelerometric step counter for the first 6Â weeks after surgery in order to monitor their early post-operative activity. 3D gait analysis was performed at 6Â weeks and 6Â months after surgery. Temporal-spatial, kinematic and kinetic parameters were extracted and averaged for each subject. Functional results were recorded at 6Â weeks, 6Â months and 12Â months after surgery using the Tegner activity scale, International Knee Documentation Committee score and Lysholm score. RESULTS: Patients who underwent DIS showed an increased early post-operative activity with significant differences at week 2 and 3 (pÂ =Â 0.0241 and 0.0220). No significant differences between groups were found for knee kinematic and kinetic parameters or the functional scores at any time of the follow-up. Furthermore, the difference in anterior tibial translation was not significantly different between the two groups (n.s.). CONCLUSION: Early functional results and changes in gait pattern after DIS are comparable to those of primary ACLR. Therefore, ACL repair may be an alternative to ACLR in this cohort of patients. LEVEL OF EVIDENCE: I.</t>
  </si>
  <si>
    <t>10.1007/s00167-017-4618-3</t>
  </si>
  <si>
    <t>#272</t>
  </si>
  <si>
    <t>Schliemann 2018</t>
  </si>
  <si>
    <t>Brace-Free Rehabilitation after Isolated Anterior Cruciate Ligament Reconstruction with Hamstring Tendon Autograft Is Not Inferior to Brace-Based Rehabilitation-A Randomised Controlled Trial.</t>
  </si>
  <si>
    <t>Schoepp C; Ohmann T; Martin W; Praetorius A; Seelmann C; Dudda M; Stengel D; Hax J</t>
  </si>
  <si>
    <t>PURPOSE: The postoperative use of a rehabilitative knee brace after isolated primary anterior cruciate ligament (ACL) reconstruction (ACLR) using a hamstring tendon (HT) autograft is controversial. A knee brace may provide subjective safety but can cause damage if applied incorrectly. The aim of this study is to evaluate the effect of a knee brace on clinical outcomes following isolated ACLR using HT autograft. METHODS: In this prospective randomised trial, 114 adults (32.4 Â± 11.5 years, 35.1% women) underwent isolated ACLR using HT autograft after primary ACL rupture. Patients were randomly assigned to wear either a knee brace (n = 58) or no brace (n = 56) for 6 weeks postoperatively. An initial examination was performed preoperatively, and at 6 weeks and 4, 6, and 12 months. The primary endpoint was the subjective International Knee Documentation Committee (IKDC) score to measure participants' subjective perceptions. Secondary endpoints included objective knee function assessed by IKDC, instrumented knee laxity measurements, isokinetic strength tests of the knee extensors and flexors, Lysholm Knee Score, Tegner Activity Score, Anterior Cruciate Ligament-Return to Sport after Injury Score, and quality of life determined by Short Form-36 (SF36). RESULTS: There were no statistically significant or clinically meaningful differences in IKDC scores between the two study groups (3.29, 95% confidence interval (CI) -1.39 to 7.97, p = 0.03 for evidence of non-inferiority of brace-free compared with brace-based rehabilitation). The difference in Lysholm score was 3.20 (95% CI -2.47 to 8.87); the difference in SF36 physical component score 0.09 (95% CI -1.93 to 3.03). In addition, isokinetic testing did not reveal any clinically relevant differences between the groups (n.s.). CONCLUSIONS: Brace-free rehabilitation is non-inferior to a brace-based protocol regarding physical recovery 1 year after isolated ACLR using HT autograft. Consequently, the use of a knee brace might be avoided after such a procedure. LEVEL OF EVIDENCE: Level I, therapeutic study.</t>
  </si>
  <si>
    <t>10.3390/jcm12052074</t>
  </si>
  <si>
    <t>#105</t>
  </si>
  <si>
    <t>Schoepp 2023</t>
  </si>
  <si>
    <t>Running into deficits: Post-operative bracing limits knee extension recovery 6 months after anterior cruciate ligament reconstruction.</t>
  </si>
  <si>
    <t>Schoepp C; Tennler JS; Dudda M; Raeder C; Praetorius A</t>
  </si>
  <si>
    <t>PURPOSE: To evaluate whether postoperative knee bracing impacts functional recovery following anterior cruciate ligament reconstruction (ACLR) using hamstring autografts, focusing on dynamic, continuous joint kinematics during gait, running and jumping tasks. METHODS: In this single-centre, randomised controlled trial, 114 patients undergoing isolated ACLR were assigned to a braced or brace-free rehabilitation protocol. Both groups followed the same standardised rehabilitation protocol, with the braced group using a rigid orthosis for 6 weeks postoperatively. Functional outcomes were assessed through 3D kinematic analysis using inertial measurement units during walking, running, countermovement jumps (CMJ) and drop jumps (DJ) at 6- and 12-month postoperatively. Statistical parametric mapping (SPM) was used to analyse time-continuous biomechanical data. RESULTS: At 6 months, the braced group demonstrated a significant deficit in knee extension during push-off (22.7%-34.5% of the running step, max effect size [ES]â€‰=â€‰-0.60, min ESâ€‰=â€‰-0.69) and reduced ankle extension during the push-off phase of DJs (98.5%-99.9% of the loading phase, max ESâ€‰=â€‰-0.55, min ESâ€‰=â€‰-0.56). These deficits were of moderate to large ERs and exceeded standard error thresholds for clinical relevance. CONCLUSIONS: Postoperative bracing following ACLR delays early functional recovery by restricting sagittal knee and ankle joint motion. Brace-free rehabilitation protocols appear equally effective and better support restoration of normal joint mechanics. Early assessment and correction of range-of-motion deficits are critical, particularly before resuming running or demanding physical activities. LEVEL OF EVIDENCE: Level I.</t>
  </si>
  <si>
    <t>10.1002/ksa.70317</t>
  </si>
  <si>
    <t>#23</t>
  </si>
  <si>
    <t>Schoepp 2026</t>
  </si>
  <si>
    <t>[Levobupivacaine vs. ropivacaine for continuous femoral analgesia after anterior cruciate ligament reconstruction].</t>
  </si>
  <si>
    <t>Schuster M; Engelhardt L; Erler W; Dienert B; Wagner M; Birnbaum J; Volk T</t>
  </si>
  <si>
    <t>BACKGROUND: Levobupivacaine and ropivacaine are both used for continuous femoral analgesia after anterior cruciate ligament reconstruction; however it is unknown whether both drugs are equally effective regarding pain control, preservation of mobility and patient satisfaction. METHODS AND MATERIALS: In this randomized, placebo-controlled trial 84Â patients undergoing anterior cruciate ligament (ACL) reconstruction with quadruple hamstring tendons were studied. For postoperative pain therapy levobupivacaine 0.125%, ropivacaine 0.2% or placebo control with NaCl 0.9% at a rate of 6Â ml/h were used for 48Â h using a femoral nerve catheter. All patients also received an i.v. patient-controlled analgesia (IVPCA) pump with piritramide. RESULTS: Patient satisfaction was significantly higher and night rest was better in both treatment groups compared to the placebo group but there appeared to be no major differences between the two local anesthetics. Opioid consumption was significantly higher in the placebo group compared to the levobupivacaine group but not the ropivacaine group. The pain scores showed a trend towards higher scores in the placebo group throughout but the difference only reached statistical significance on postoperative dayÂ 1. No statistical significant differences in motor block were found between the three groups. CONCLUSION: Postoperative analgesia for ACL reconstruction during the first 48Â h using femoral block with a continuous infusion of levobupivacaine 0.125% or ropivacaine 0.2% in combination with an IVPCA is similarly effective and better than a placebo. Both studied drugs seem to be equally appropriate for this purpose.</t>
  </si>
  <si>
    <t>Schmerz</t>
  </si>
  <si>
    <t>10.1007/s00482-010-1006-z</t>
  </si>
  <si>
    <t>#439</t>
  </si>
  <si>
    <t>Schuster 2011</t>
  </si>
  <si>
    <t>Magnetic resonance imaging evaluation of patellar tendon graft remodelling after anterior cruciate ligament reconstruction with or without platelet-rich plasma.</t>
  </si>
  <si>
    <t>Seijas R; Ares O; Catala J; Alvarez-Diaz P; Cusco X; Cugat R</t>
  </si>
  <si>
    <t>PURPOSE: To evaluate the stages of patellar tendon graft remodelling using magnetic resonance imaging (MRI) after anterior cruciate ligament (ACL) reconstruction with or without platelet-rich plasma (PRP) injection. METHODS: 98 patients aged 18 to 65 years with complete rupture of the ACL were randomised to undergo reconstruction with the autologous patellar tendon grafts with or without PRP injection. For the PRP group, 8 ml of PRP was obtained in the surgery room and was percutaneously injected into the suprapatellar joint after portal suture. MRI was obtained at months 4, 6, and 12. Remodelling stages of the grafts were classified as hypointense, mildly hyperintense, moderately hyperintense, severely hyperintense, and diffusely hyperintense by a radiologist blinded to treatment allocation. RESULTS: More patients in the PRP group than controls attained higher stages of remodelling at month 4 (p=0.003), month 6 (p=0.0001), and month 12 (p=0.354). CONCLUSION: PRP enabled faster remodelling of patellar tendon grafts.</t>
  </si>
  <si>
    <t>10.1177/230949901302100105</t>
  </si>
  <si>
    <t>#380</t>
  </si>
  <si>
    <t>Seijas 2013</t>
  </si>
  <si>
    <t>Healing of donor site in bone-tendon-bone ACL reconstruction accelerated with plasma rich in growth factors: a randomized clinical trial.</t>
  </si>
  <si>
    <t>Seijas R; Rius M; Ares O; GarcÃ­a-BalletbÃ³ M; Serra I; Cugat R</t>
  </si>
  <si>
    <t>PURPOSE: To determine whether the use of plasma rich in growth factors accelerates healing of the donor site in bone-tendon-bone anterior cruciate ligament (ACL) reconstruction (patellar graft). The use of the patellar graft presents post-operative problems such as anterior knee pain, which limits its use and leads to preference being taken for alternative grafts. METHODS: A double-blind, randomized, clinical trial was performed comparing two groups of patients who underwent ACL reconstruction using patellar tendon graft and comparing the use of plasma rich in growth factors at the donor site after graft harvest in terms of local regeneration by ultrasound assessment. RESULTS: The plasma rich in growth factors group shows earlier donor site regeneration in comparison with the control group (2Â months earlier), with significant differences in the first 4Â months of the follow-up. CONCLUSION: The application of plasma rich in growth factors shows accelerated tissue regeneration processes with respect to the control group. This fact, together with the previously published with similar conclusions, can create a knowledge basis in order to set out new recovery guidelines following ACL reconstruction. LEVEL OF EVIDENCE: Therapeutic study, Level I.</t>
  </si>
  <si>
    <t>10.1007/s00167-013-2787-2</t>
  </si>
  <si>
    <t>#365</t>
  </si>
  <si>
    <t>Seijas 2015</t>
  </si>
  <si>
    <t>Pain in donor site after BTB-ACL reconstruction with PRGF: a randomized trial.</t>
  </si>
  <si>
    <t>Seijas R; CuscÃ³ X; Sallent A; Serra I; Ares O; Cugat R</t>
  </si>
  <si>
    <t>INTRODUCTION: Anterior cruciate ligament (ACL) tears are highly incident injuries in young athletes within our work area. The use of the patellar graft, despite being the treatment of choice, presents post-operative problems such as anterior knee pain, which limits its use and leads to preference being taken for alternative grafts. Our aim was to evaluate if the application of PRGF reduces anterior knee pain in donor site in BTB-ACL reconstruction. MATERIALS AND METHODS: 43 patients were included in the double-blinded and randomized clinical trial comparing two patient groups who underwent ACL reconstruction using patellar tendon graft, comparing anterior knee pain with and without the application of PRGF at the donor site after harvesting the graft. RESULTS: The PRGF group showed decreased donor site pain in comparison to the control group, with significant differences in the first two months of follow-up. CONCLUSION: The application of PRGF decreased donor site pain compared to the control group.</t>
  </si>
  <si>
    <t>10.1007/s00402-016-2458-0</t>
  </si>
  <si>
    <t>#307</t>
  </si>
  <si>
    <t>Seijas 2016</t>
  </si>
  <si>
    <t>Early versus late start of isokinetic hamstring-strengthening exercise after anterior cruciate ligament reconstruction with patellar tendon graft.</t>
  </si>
  <si>
    <t>Sekir U; Gur H; Akova B</t>
  </si>
  <si>
    <t>BACKGROUND: Hamstring strengthening after anterior cruciate ligament reconstruction is a vital component of the rehabilitation program. PURPOSE: The objective of this trial was to investigate the effects of hamstring isokinetic training used in the early phase of the rehabilitation program on the stability, strength, symptoms, and functional outcomes of patients throughout 12 months after anterior cruciate ligament surgery. STUDY DESIGN: Randomized controlled clinical trial; Level of evidence, 2. METHODS: Forty-eight men underwent anterior cruciate ligament reconstruction with an ipsilateral bone-patellar tendon-bone autograft. The patients were randomly assigned to perform daily isokinetic hamstring exercises at postoperative 3 weeks (group I) or to perform daily isokinetic hamstring exercises at postoperative 9 weeks (group II). The patients were evaluated monthly for the first 4 months and at the 12th month for postoperative hamstring and quadriceps strength, as well as for knee function via the Cincinnati Knee Rating Scale and International Knee Documentation Committee form. RESULTS: Hamstring isometric strength at 30 degrees of knee flexion (at the first and second months) and concentric isokinetic strength (at 2, 3, 4, and 12 months) at the angular velocity of 60 deg/s were significantly (P &lt;.05-.01) greater in group I compared with group II. Average scores of the Cincinnati Knee Rating Scale for symptoms were significantly (P &lt;.05-.001) higher in group I compared with group II at all evaluation periods. Walking and stair-climbing scores at 1, 2, 3, and 4 months and squatting score at all evaluation periods were also better (P &lt;.05-.01) in group I compared with group II. In addition, group I exhibited better (P &lt;.01-.001) Lachman test results compared with group II for all postoperative evaluation periods. The International Knee Documentation Committee final rating scores were significantly (P &lt;.01) greater at 2, 3, and 4 months in group I compared with group II. CONCLUSION: The results of this study suggest that hamstring as well as quadriceps strength can be increased via early hamstring strengthening after anterior cruciate ligament reconstruction with no negative impact on knee function.</t>
  </si>
  <si>
    <t>10.1177/0363546509349490</t>
  </si>
  <si>
    <t>#459</t>
  </si>
  <si>
    <t>Sekir 2010</t>
  </si>
  <si>
    <t>Differential Effects of 2 Rehabilitation Programs Following Anterior Cruciate Ligament Reconstruction.</t>
  </si>
  <si>
    <t>Setuain I; Izquierdo M; Idoate F; Bikandi E; Gorostiaga EM; Aagaard P; Cadore EL; Alfaro-AdriÃ¡n J</t>
  </si>
  <si>
    <t>CONTEXT: The muscular function restoration related to the type of physical rehabilitation followed after anterior cruciate ligament reconstruction (ACLR) using autologous hamstring tendon graft in terms of strength and cross-sectional area (CSA) remain controversial. OBJECTIVE: To analyze the CSA and force output of quadriceps and hamstring muscles in subjects following either an Objective Criteria-Based Rehabilitation (OCBR) algorithm or the usual care (UCR) for ACL rehabilitation in Spain, before and 1 year after undergoing an ACLR. DESIGN: Longitudinal clinical double-blinded randomized controlled trial. SETTING: Sports-medicine research center. PATIENTS: 40 recreational athletes (30 male, 10 female [24 Â± 6.9 y, 176.55 Â± 6.6 cm, 73.58 Â± 12.3 kg]). INTERVENTION: Both groups conducted differentiated rehabilitation procedures after ACLR. Those belonging to OCBR group were guided in their recovery according to the current evidence-based principles. UCR group followed the national conventional approach for ACL rehabilitation. MAIN OUTCOME MEASURES: Concentric isokinetic knee joint flexor-extension torque assessments at 180Â°/s and Magnetic Resonance Imaging (MRI) evaluations were performed before and 12 months after ACLR. Anatomical muscle CSA (mm2) was assessed, in Quadriceps, Biceps femoris, Semitendinous, Semimembranosus, and Gracilis muscles at 50% and 70% femur length. RESULTS: Reduced muscle CSA was observed in both treatment groups for Semitendinosus and Gracilis 1 year after ACLR. At 1-year follow-up, subjects allocated to the OCBR demonstrated greater knee flexor and extensor peak torque values in their reconstructed limbs in comparison with patients treated by UCR. CONCLUSIONS: Objective atrophy of Semitendinosus and Gracilis muscles related to surgical ACLR was found to persist in both rehabilitation groups. However, OCBR after ACLR lead to substantial gains on maximal knee flexor strength and ensured more symmetrical anterior-posterior laxity levels at the knee joint.</t>
  </si>
  <si>
    <t>10.1123/jsr.2016-0065</t>
  </si>
  <si>
    <t>#280</t>
  </si>
  <si>
    <t>Setuain 2017</t>
  </si>
  <si>
    <t>Blood flow restriction training with cross education for quadriceps muscle recovery after anterior cruciate ligament reconstruction: A prospective, randomized, controlled, single-blind clinical trial.</t>
  </si>
  <si>
    <t>Sevinc C; GÃ¼rler V; Harput G; Ocguder A; Ergen FB; Tunay VB</t>
  </si>
  <si>
    <t>PURPOSE: Recently, blood flow restriction (BFR) and cross education (CE) trainings are the options for quadriceps strength recovery after anterior cruciate ligament reconstruction (ACLR). The aim of this study was to investigate the effects of CE combined with BFR on quadriceps strength and thickness after ACLR. METHODS: Twenty-four male patients [(Age: 24.9â€‰Â±â€‰6.3 years, body mass index: 24â€‰Â±â€‰2.3â€‰kg/m(2)) who had undergone ACLR with hamstring autograft were included. At 4 weeks after surgery, the patients were randomly divided into two groups (Group-1: CEâ€‰+â€‰BFR, nâ€‰=â€‰13, Group-2: CE, nâ€‰=â€‰11). All patients had standardized rehabilitation for their reconstructed limb until 12 weeks postsurgery, and they all received CE training for uninjured limb at isokinetic system (quadriceps eccentric contraction, 60Â°/s 3-set 12-rep, 2-days in a week) during 8 weeks. Group 2 performed the same CE procedure with BFR. Quadriceps isometric strength was measured using an isokinetic dynamometer, while the thickness of quadriceps (rectus femoris, vastus lateralis, vastus medialis obliquus) and cross-sectional area of rectus femoris were evaluated using ultrasound pretraining (4th-week postsurgery) and posttraining (12th-week postsurgery). Analysis of variance was used for statistical analysis. RESULTS: Group-by-time interaction and the group main effect were not significant for any measured variables in both limbs (pâ€‰&gt;â€‰0.05). There was a significant main effect of time observed for quadriceps strength and thickness in involved and uninvolved limbs (pâ€‰&lt;â€‰0.001, pâ€‰&lt;â€‰0.05, respectively). In Group 1, the limb symmetry index for quadriceps strength increased from 49.3% to 71.7%, while in Group 2, it increased from 50.9% to 75.2%. CONCLUSION: BFR training, adapted to CE eccentric strengthening, may not be effective for quadriceps muscle strength recovery after ACLR. Further investigations with varied training protocols are needed to research the impact of BFR on CE. LEVEL OF EVIDENCE: Level II randomized controlled trial.</t>
  </si>
  <si>
    <t>10.1002/ksa.12553</t>
  </si>
  <si>
    <t>#65</t>
  </si>
  <si>
    <t>Sevinc 2025</t>
  </si>
  <si>
    <t>Effect of prehabilitation on the outcome of anterior cruciate ligament reconstruction.</t>
  </si>
  <si>
    <t>Shaarani SR; O'Hare C; Quinn A; Moyna N; Moran R; O'Byrne JM</t>
  </si>
  <si>
    <t>BACKGROUND: Prehabilitation is defined as preparing an individual to withstand a stressful event through enhancement of functional capacity. HYPOTHESIS: We hypothesized that a preoperative exercise program would enhance postoperative outcomes after anterior cruciate ligament reconstruction (ACLR). STUDY DESIGN: Randomized controlled clinical trial; Level of evidence, 1. METHODS: Twenty volunteers awaiting ACLR were randomly assigned to a control or exercise intervention group. The exercise group completed a 6-week gym- and home-based exercise program. Assessments include single-legged hop test; quadriceps and hamstring peak torque and magnetic resonance imaging cross-sectional area (CSA); Modified Cincinnati Knee Rating System score; and muscle biopsy of the vastus lateralis muscle completed at baseline, preoperatively, and 12 weeks postoperatively. Myosin heavy chain (MHC) isoforms protein and messenger RNA (mRNA) expression were determined with SDS-PAGE (sodium dodecyl sulfate polyacrylamide gel electrophoresis) and RT-PCR (real-time polymerase chain reaction), respectively; IGF-1 (insulin-like growth factor 1), MuRF-1 (muscle RING-finger protein-1), and MAFbx (muscle atrophy f-box) mRNA expression were determined with quantitative RT-PCR. RESULTS: Following 6 weeks of exercise intervention, the single-legged hop test results improved significantly in the exercise-injured limb compared with baseline (P = .001). Quadriceps peak torque in the injured limb improved with similar gains in CSA compared with baseline (P = .001). However, this was not significantly increased compared with the control group. Quadriceps and vastus medialis CSA were also larger in the exercise group than in controls (P = .0024 and P = .015, respectively). The modified Cincinnati score was better in the exercise-injured limb compared with baseline. At 12 weeks postoperatively, the rate of decline in the single-legged hop test was reduced in the exercise group compared with controls (P = .001). Similar trends were not seen for quadriceps peak torque and CSA. The vastus medialis CSA had regressed to similar levels as the control group (P = .008). The modified Cincinnati score continued to increase in the exercise group compared with controls (P = .004). The expression of the hypertrophic IGF-1 gene was significantly increased after the exercise intervention (P = .028), with a decrease back to baseline 12 weeks postoperatively (P = .012). Atrophic MuRF-1 gene expression was decreased after intervention compared with baseline (P = .05) but increased again at 12 weeks postoperatively (P = .03). The MAFbx levels did not change significantly in either group and within each time point. On the mRNA level, there was a shift from MHC-IIx isoform to MHC-IIa after exercise, with significant changes compared with control preoperatively (P = .028). Protein testing was able to reproduce this increase for MHC-IIa isoform expression only. CONCLUSION: The 6-week progressive prehabilitation program for subjects undergoing ACLR led to improved knee function based on the single-legged hop test and self-reported assessment using the modified Cincinnati score. These effects were sustained at 12 weeks postoperatively. This study supports prehabilitation as a consideration for patients awaiting ACLR; however, further studies are warranted.</t>
  </si>
  <si>
    <t>10.1177/0363546513493594</t>
  </si>
  <si>
    <t>#376</t>
  </si>
  <si>
    <t>Shaarani 2013</t>
  </si>
  <si>
    <t>A prospective randomized comparison of patellar tendon versus semitendinosus and gracilis tendon autografts for anterior cruciate ligament reconstruction.</t>
  </si>
  <si>
    <t>Shaieb MD; Kan DM; Chang SK; Marumoto JM; Richardson AB</t>
  </si>
  <si>
    <t>Seventy patients with patellar tendon or hamstring tendon autografts for single-incision anterior cruciate ligament reconstruction were evaluated at least 2 years after surgery. All reconstructions were performed by the same surgeon, and metal interference screws were used for fixation of all grafts. No significant differences were noted between groups for Lysholm score, reduction in activity, KT-1000 arthrometer findings, quadriceps muscle size, return to sports, or ability to jump and do hard cuts and pivots. Significantly more patients in the patellar tendon group had patellofemoral pain at 6 months after surgery than did the hamstring tendon patients (48% versus 20%), and at last follow-up the incidence of patellofemoral pain was 42% and 20%, respectively. Fourteen patients in the patellar tendon group and seven in the hamstring tendon group had loss of motion (approximately 5 degrees ). Four patients (two in each group) had treatment failures and their results were not included in the clinical examination data. At 2 years' follow-up, 97% of patients with patellar tendon grafts and 100% of patients with hamstring tendon grafts rated their results as good or excellent. We found that hamstring tendon grafts performed similarly to patellar tendon grafts, although fewer patients in the hamstring tendon group had patellofemoral pain and loss of motion.</t>
  </si>
  <si>
    <t>10.1177/03635465020300021201</t>
  </si>
  <si>
    <t>#615</t>
  </si>
  <si>
    <t>Shaieb 2002</t>
  </si>
  <si>
    <t>No difference in sensory outcome between vertical and oblique incisions for hamstring graft harvest during ACL reconstruction.</t>
  </si>
  <si>
    <t>Sharaby MMF; Alfikey A; Alhabsi IS; Al-Ghannami S</t>
  </si>
  <si>
    <t>PURPOSE: To compare the incidence, extent of sensory loss, its clinical effect and natural course caused by sensory nerve injury, during two different skin incisions used for autogenous hamstring graft harvest during ACL reconstruction. METHODS: This randomized prospective study was carried out on 84 patients, divided into two groups, all of them underwent arthroscopic ACL reconstruction using hamstring tendon graft with two incisions; a vertical incision used in 43 patients, and an oblique incision in 41 patients. The location and area of sensory loss were evaluated during follow-up as well as the degree of improvement and patient satisfaction. RESULTS: The average age in this study was 29.8â€‰Â±â€‰7.2 in the vertical group and 29.9â€‰Â±â€‰6.3 in the oblique group. Both semitendinosus and gracilles were harvested in 34 patients, semitendinosus in 49 patients and gracilles in one patient. In the vertical group, a higher incidence of sensory loss was recorded with 21 patients (51.2%), relative to the oblique group with 18 patients (41.9%). However, there was no statistically significant difference (pâ€‰=â€‰n.s). Most of the sensory loss affected the distribution of the IPBSN (infrapatellar branch of saphenous nerve) in 27 patients (69.2%) in both groups, and to a lesser extent in the lower medial area [distribution of SBSN (sartorial branch of saphenous nerve)] in 12 patients (30.8%). CONCLUSION: This study clearly revealed the high incidence of nerve injury particularly the IPBSN during hamstring graft harvest, but did not prove a difference between oblique and vertical incisions, with regard to postoperative sensory loss. It was clear that harvesting the semitendinosus alone is not a factor that can diminish nerve injury. LEVEL OF EVIDENCE: II.</t>
  </si>
  <si>
    <t>10.1007/s00167-018-5057-5</t>
  </si>
  <si>
    <t>#240</t>
  </si>
  <si>
    <t>SharabyMMF 2019</t>
  </si>
  <si>
    <t>Do early quadriceps exercises affect the outcome of ACL reconstruction? A randomised controlled trial.</t>
  </si>
  <si>
    <t>Shaw T; Williams MT; Chipchase LS</t>
  </si>
  <si>
    <t>A prospective, blinded, randomised controlled trial investigated the effectiveness of quadriceps exercises following anterior cruciate ligament reconstruction. A treatment group (Quadriceps exercise group) performed straight leg raises and isometric quadriceps contractions throughout the first two postoperative weeks, and a second group (No quadriceps exercise group) did not. A battery of outcome measures assessed subjects postoperatively at day one, two weeks, and one, three and six months. A total of 103 patients (Quadriceps exercise n = 48, No quadriceps exercise n = 55) commenced the study with 91 subjects available at final follow up (Quadriceps exercise n = 47, No quadriceps exercise n = 44). Performance of quadriceps exercises significantly improved a number of knee flexion and extension range of motion measurements (p = 0.01 to 0.04). No significant differences were found between the two groups at any postoperative period for quadriceps lag (p = 0.36), functional hop testing (p = 0.49 to 0.51), isokinetic quadriceps strength (p = 0.70 to 0.72), the majority of numerical analogue scores (p = 0.1 to 0.94) and Cincinnati scores (p = 0.10 to 0.84). Subjects performing quadriceps exercises reported significantly higher pain scores with exercise on the first postoperative day (p = 0.02). At six months postoperatively, the Quadriceps exercise subjects reported significantly more favourable Cincinnati scores for symptoms (p = 0.005) and problems with sport (p = 0.05). While average knee laxity was not significantly different between treatment groups over time (p = 0.27 to 0.94), quadriceps exercise performance was associated with a significantly lower incidence of abnormal knee laxity. Isometric quadriceps exercises and straight leg raises can be safely prescribed during the first two postoperative weeks and confer advantages for faster recovery of knee range of motion and stability. It remains to be proven whether the magnitude of differences between groups is clinically significant.</t>
  </si>
  <si>
    <t>Aust J Physiother</t>
  </si>
  <si>
    <t>10.1016/s0004-9514(05)70048-9</t>
  </si>
  <si>
    <t>#569</t>
  </si>
  <si>
    <t>Shaw 2005</t>
  </si>
  <si>
    <t>A Randomized Controlled Trial of PEEK Versus Titanium Interference Screws for Anterior Cruciate Ligament Reconstruction With 2-Year Follow-up.</t>
  </si>
  <si>
    <t>Shumborski S; Heath E; Salmon LJ; Roe JP; Linklater JP; Facek M; Pinczewski LA</t>
  </si>
  <si>
    <t>BACKGROUND: Graft fixation with interference screws for anterior cruciate ligament (ACL) reconstruction is a highly successful technique. Polyether ether ketone (PEEK) is a novel thermoplastic polymer with high biocompatibility and mechanical properties that mimic native bone, and it can be imaged on computed tomography or magnetic resonance imaging (MRI) without signal flare. PURPOSE: To compare the clinical performance of ACL reconstruction with PEEK and titanium interference screws at 2 years and to evaluate a novel method of measuring tunnel volume. STUDY DESIGN: Randomized controlled trial; Level of evidence, 1. METHODS: A total of 133 patients underwent arthroscopic ACL reconstruction with 4-strand hamstring autografts and were randomized to have titanium or PEEK interference screws for femoral and tibial tunnel fixation. At 2 years, subjective Lysholm and International Knee Documentation Committee scores were assessed and clinical examination performed. At 12 months, MRI was performed to assess graft incorporation and cyst formation, and a novel technique was employed to measure tunnel volumes. RESULTS: There were no significant differences in graft rerupture rate, contralateral ACL rupture rate, subjective outcomes, or objective outcomes. In the titanium and PEEK groups, MRI demonstrated high overall rates of graft integration (96%-100% and 90%-93%, respectively) and ligamentization (89% and 84%) and low rates of synovitis (22% and 10%) and cyst formation (0%-18% and 13%-15%). There was a higher proportion of patients with incomplete graft integration within the femoral tunnel in the PEEK group as compared with the titanium group (10% vs 0%, P = .03); however, the authors suggest that metal artifact precluded proper assessment of the graft in the titanium group by MRI. Tunnel volumes also appeared to be equivalent in the 2 groups and were measured with a novel technique that was highly reproducible in the PEEK group secondary to the absence of flare. CONCLUSION: Two-year clinical analysis of PEEK interference screws for femoral and tibial fixation of ACL reconstructions showed equivalent clinical performance to titanium interference screws. Given the excellent mechanical characteristics, biological compatibility, and absence of metal artifact on MRI, PEEK has become our material of choice for interference screw fixation in ACL reconstruction.</t>
  </si>
  <si>
    <t>10.1177/0363546519861530</t>
  </si>
  <si>
    <t>#216</t>
  </si>
  <si>
    <t>Shumborski 2019</t>
  </si>
  <si>
    <t>Prospective randomized comparison of double-bundle versus single-bundle anterior cruciate ligament reconstruction.</t>
  </si>
  <si>
    <t>Siebold R; Dehler C; Ellert T</t>
  </si>
  <si>
    <t>PURPOSE: Biomechanical studies show increased anterior and rotational stability with double-bundle (DB) compared to single-bundle (SB) anterior cruciate ligament (ACL) reconstruction. The aim of this study was to evaluate the clinical results of four-tunnel DB ACL reconstruction. METHODS: Seventy patients undergoing arthroscopic hamstring ACL reconstruction were prospectively randomized to DB (n = 35) or SB (n = 35) groups. Each bundle fixation was by means of a femoral EndoButton CL and a tibial biodegradable interference screw. Demographic data were comparable between groups, and the average age of all patients was 29 years. The average follow-up was 19 months for both groups and included a history, clinical evaluation with knee scores, and radiographs. RESULTS: The subjective results were similar in groups. The subjective International Knee Documentation Committee (IKDC) 2000 score was 88 P for DB versus 90 P for SB; the Lysholm score was 90 P for DB versus 93 P for SB; and the Cincinnati knee score was 91 P for DB versus 92 P for SB. The objective IKDC was significantly higher for DB: 78% "A" (P &lt; .000) and 19% "B" compared to 24% "A" and 68% "B" for SB. The average KT-1000 side-to-side difference was 1.0 mm for DB and 1.6 mm for SB (P = .054) and the pivot_shift test was negative in 97% for DB (P = .01) and 71% for SB. The range of motion was comparable for both groups. CONCLUSIONS: Our study shows a significant advantage in anterior and rotational stability as well as objective IKDC for four-tunnel DB ACL reconstruction compared to SB ACL reconstruction. The subjective Cincinnati knee score, the Lysholm score, and the subjective IKDC 2000 did not show any statistical difference for one or the other technique. LEVEL OF EVIDENCE: Level I, randomized controlled trial.</t>
  </si>
  <si>
    <t>10.1016/j.arthro.2007.11.013</t>
  </si>
  <si>
    <t>#510</t>
  </si>
  <si>
    <t>Siebold 2008</t>
  </si>
  <si>
    <t>Tibial tunnel widening associated with anterior cruciate ligament reconstruction using autogenous hamstrings: A comparison between antero-medial portal and transtibial techniques.</t>
  </si>
  <si>
    <t>Silberberg MuiÃ±o J; Nilo Fulvi A; Vera G; GutiÃ©rrez GarcÃ­a JL; GimÃ©nez Salvay M; Maroa Salvucci M; Ruiz Ollero A</t>
  </si>
  <si>
    <t>OBJECTIVE: Evaluate the enlargement effect of the tibial tunnel emergence of 2 different of anterior cruciate ligament reconstruction techniques: antero-medial portal (AMP) vs. transtibial (TT) technique. METHODS: A prospective, randomized controlled study was performed in 36 consecutive patients who underwent anterior cruciate ligament reconstruction with autologous hamstring tendon grafts employing the AMP and conventional TT techniques. Lateral and antero-posterior radiographs were obtained for each patient at 6 weeks and 12 months postoperatively. The sclerotic margins of the tibial tunnels were measured at the widest dimension of the tunnel as well as the diameter of the tibial emergence and were compared with the initially drilled tunnel size after correction for radiographic magnification. Statistical analysis was performed to compare the 2 groups by use of the independent-samples t test, with significance set at .05. RESULTS: The mean percentage increase in the diameter of tibial tunnel emergence at 6 weeks after surgery was 8.1%Â±2.9 for the PAM technique and 21.20%Â±11.87 for the TT technique on the anteroposterior x-ray view. However, the mean percentage increase in the diameter of the tibial tunnel emergence on the lateral view was 7.1%Â±4.72 for the medial portal technique and 17.64%Â±11.48 for the transtibial technique. This difference was statistically significant on both anteroposterior and lateral views. CONCLUSIONS: The diameter of the tibial tunnel emergence for hamstring autologous anterior cruciate ligament reconstructions was significantly lower for the medial portal technique when compared with the conventional TT technique.</t>
  </si>
  <si>
    <t>Rev Esp Cir Ortop Traumatol (Engl Ed)</t>
  </si>
  <si>
    <t>10.1016/j.recot.2017.11.005</t>
  </si>
  <si>
    <t>#254</t>
  </si>
  <si>
    <t>SilberbergMuiÃ±o 2018</t>
  </si>
  <si>
    <t>Anatomic ACL reconstruction: does the platelet-rich plasma accelerate tendon healing?</t>
  </si>
  <si>
    <t>Silva A; Sampaio R</t>
  </si>
  <si>
    <t>Recently, the use of hamstring tendons in anterior cruciate ligament repair has been increasing. However, tendon-to-bone healing occurs slowly, which can be a problem to an early return to sport activities. The use of growth factors from platelets seems to improve tissue healing. We enrolled 40 patients in a prospective study that were submitted to an anatomic reconstruction of the anterior cruciate ligament. Patients were sequentially enrolled into four groups: group A without platelet-rich plasma (PRP); group B with PRP in femoral tunnels at the end of surgery; group C with PRP in femoral tunnels at the end of surgery and intra-articular at 2- and 4 weeks after surgery; group D with PRP activated with thrombin in the femoral tunnels. All patients underwent magnetic resonance imaging of the knee 3 months after surgery to evaluate the signal intensity of the fibrous interzone (FIZ) in the femoral tunnels. We did not find any difference among the groups when comparing the signal intensity of the FIZ on magnetic resonance imaging.</t>
  </si>
  <si>
    <t>10.1007/s00167-009-0762-8</t>
  </si>
  <si>
    <t>#484</t>
  </si>
  <si>
    <t>Silva 2009</t>
  </si>
  <si>
    <t>Femoral tunnel enlargement after anatomic ACL reconstruction: a biological problem?</t>
  </si>
  <si>
    <t>Silva A; Sampaio R; Pinto E</t>
  </si>
  <si>
    <t>Tunnel enlargement after anterior cruciate ligament (ACL) reconstruction may compromise revision surgery. The cause of this tunnel enlargement is not yet fully understood, but it is thought to be multifactorial, with biomechanical and biological factors playing a role. Tunnel enlargement has been described particularly in patients who underwent ACL reconstruction with hamstring tendons with extracortical fixation devices. The purpose of our study was to evaluate prospectively with magnetic resonance imaging (MRI) the changes in femoral tunnel diameter following arthroscopic anatomic ACL reconstruction with hamstring tendons. At 3-month post-op, all tunnels had enlarged compared to the diameter of the drill and most tunnels enlarged more in the midsection than at the aperture. In the posterolateral tunnels, the entrance increased 16% in diameter and the middle of the tunnel increased 30% in diameter. In the anteromedial femoral tunnels, the tunnels enlarged 14% at the aperture and 35% in the midsection. All femoral tunnels enlarged and most of them enlarged in a fusiform manner. The biological factors explain better our findings than the mechanical theory, although mechanical factors may play a role and the cortical bone at the entrance of the tunnel may modify the way tunnels respond to mechanical stress.</t>
  </si>
  <si>
    <t>10.1007/s00167-010-1046-z</t>
  </si>
  <si>
    <t>#460</t>
  </si>
  <si>
    <t>Silva 2010</t>
  </si>
  <si>
    <t>Is there a role for adult non-cultivated bone marrow stem cells in ACL reconstruction?</t>
  </si>
  <si>
    <t>Silva A; Sampaio R; Fernandes R; Pinto E</t>
  </si>
  <si>
    <t>PURPOSE: To assess by magnetic resonance imaging (MRI) if adult non-cultivated bone marrow stem cells accelerate tendon-to-bone healing in the femoral tunnel, after hamstring anterior cruciate ligament (ACL) reconstruction. METHODS: Forty-three patients underwent ACL reconstruction and were prospectively randomized into two groups: 20 patients in the experimental group (group A) with adult non-cultivated bone marrow stem cells and 23 patients in the control group (group B) without adult non-cultivated bone marrow stem cells. All patients underwent MRI of the knee at three months after surgery to evaluate the signal-to-noise ratio of the interzone. RESULTS: There was no difference in the signal-to-noise ratio of the interzone on MRI between the experimental and the control group. CONCLUSIONS: Adult non-cultivated bone marrow stem cells do not seem to accelerate graft-to-bone healing in ACL reconstruction. The clinical relevance of this finding is that adult non-cultivated bone marrow stem cells apparently have a limited role in ACL reconstruction.</t>
  </si>
  <si>
    <t>10.1007/s00167-012-2279-9</t>
  </si>
  <si>
    <t>#403</t>
  </si>
  <si>
    <t>Silva 2014</t>
  </si>
  <si>
    <t>Effects of Autograft Types on Muscle Strength and Functional Capacity in Patients Having Anterior Cruciate Ligament Reconstruction: A Randomized Controlled Trial.</t>
  </si>
  <si>
    <t>Sinding KS; Nielsen TG; Hvid LG; Lind M; Dalgas U</t>
  </si>
  <si>
    <t>BACKGROUND: The effects of different autograft types for anterior cruciate ligament reconstruction (ACL-R) on muscle function are sparsely investigated in randomized controlled trials. Our aim was to investigate the effects of quadriceps tendon autograft (QTB) vs. semitendinosus-gracilis autograft (StG) on thigh muscle strength and functional capacity, and a patient-reported outcome 1 year after ACL-R, and to compare the results to healthy controls. METHODS: ACL-R patients (nâ€‰=â€‰100) and matched controls (CON, nâ€‰=â€‰50) were recruited, with patients being randomly assigned to QTB (nâ€‰=â€‰50) or StG (nâ€‰=â€‰50) ACL-R. One year after ACL-R, bilateral knee extensor (KE) and flexor (KF) muscle strength (isometric, dynamic, explosive, limb symmetry index [LSI], hamstring:quadriceps ratio [HQ ratio]) were assessed by isokinetic dynamometry, along with functional capacity (single leg hop distance [SHD]) and a patient-reported outcome (International Knee Documentation Committee [IKDC] score). RESULTS: KE muscle strength of the operated leg was lower (9-11%) in QTB vs. StG as was KE LSI, while KF muscle strength was lower (12-17%) in StG vs. QTB as was KF LSI. HQ ratios were lower in StG vs. QTB. Compared with the controls, KE and KF muscle strength were lower in StG (10-22%), while KE muscle strength only was lower in QTB (16-25%). Muscle strength in the StG, QTB, and CON groups was identical in the non-operated leg. While SHD and IKDC did not differ between StG and QTB, SHD in both StG and QTB was lower than CON. The IKDC scores improved significantly 1Â year following ACL-R for both graft types. CONCLUSION: One year after ACL-R, muscle strength is affected by autograft type, with StG leading to impairments of KE and KF muscle strength, while QTB results in more pronounced impairments of KE only. Functional capacity and patient-reported outcome were unaffected by autograft type, with the former showing impairment compared to healthy controls. CLINICAL TRIALS REGISTRATION NUMBER: NCT02173483.</t>
  </si>
  <si>
    <t>#200</t>
  </si>
  <si>
    <t>ACL Reconstruction With Attachment-Sparing Hamstring Autograft Results in Earlier Graft Maturation and Better Short-Term Clinical Outcome in Comparison to Free Graft: A Randomized Controlled Trial.</t>
  </si>
  <si>
    <t>Sinha S; Arumugham KC; Singh DK; Kumar N; Bera AP; Uppal H; Vakharia KS</t>
  </si>
  <si>
    <t>BACKGROUND: Attachment-sparing anterior cruciate ligament reconstruction (ACLR) is gaining acceptance over the use of free grafts because of reported early graft ligamentization in both animals and humans. However, the literature regarding clinical outcomes and the correlation of early graft healing is unclear. HYPOTHESIS: Tibial attachment-sparing hamstring graft (AS) results in earlier graft maturation, which correlates with a better clinical outcome than a free hamstring graft (FG). STUDY DESIGN: Randomized controlled trial; Level of evidence, 1. METHODS: A total of 56 patients were randomly assigned to 2 groups at the commencement of the study. Of these patients, 25 (AS group) underwent ACLR using the attachment-sparing technique, while 25 patients (FG group) underwent ACLR using the free hamstring graft technique. Prospective sequential magnetic resonance imaging (MRI) evaluations were performed at 3, 6, and 9 months to document graft maturation, characteristics, orientation, and tunnel dilation. Clinical evaluation was done at 3, 6, 9, and 12 months to document Lysholm, International Knee Documentation Committee (IKDC), and Tegner scores and anterior tibial translation (ATT) by KT-2000 arthrometer, by independent observers. RESULTS: The overall follow-up rate was 78% (19 cases and 20 controls of 25 in each group). MRI Figueroa scores demonstrated significant differences between the AS and FG groups, with the AS group showing consistently higher scores at all timelines. The earliest noticed graft maturation in the case group was at 3 months (26.3% had Figueroa score 4), compared to 6 months for the controls. In the AS group, all participants attained a Figueroa score of 5 at the final assessment, whereas only 10% of the FG group achieved that. The AS group maintained nearly the same graft diameters, but the FG group showed increased diameter (graft swelling) at all follow-up time points. A significant increase in tibial tunnel diameter over time was observed in both groups, with a greater increase in the AS group. A significant improvement was observed in Lysholm score, IKDC score, and ATT in both groups. CONCLUSION: Tibial attachment-sparing hamstring grafts result in earlier and complete graft maturation on MRI as compared to free hamstring grafts for ACLR. REGISTRATION: Clinical Trials Registry - India (CTRI/2022/10/046620).</t>
  </si>
  <si>
    <t>10.1177/03635465261455046</t>
  </si>
  <si>
    <t>#6</t>
  </si>
  <si>
    <t>Sinha 2026</t>
  </si>
  <si>
    <t>Effect of electrical stimulation on quadriceps strength after reconstructive surgery of the anterior cruciate ligament.</t>
  </si>
  <si>
    <t>Sisk TD; Stralka SW; Deering MB; Griffin JW</t>
  </si>
  <si>
    <t>The effect of prolonged daily electrical stimulation (ES) on quadriceps strength in 22 patients during the 6 weeks following anterior cruciate reconstruction was investigated. Patients were randomly assigned to receive either a combination of ES and exercise or exercise alone. Isometric quadriceps strength was measured at the 7th, 8th, and 9th postoperative weeks. No significant difference in strength existed between the groups as a result of ES. A significant difference in strength did exist between competitive and recreational athletes regardless of treatment. Further research is needed to determine if the addition of ES to isometric exercise during immobilization can significantly retard strength loss after anterior cruciate reconstructive surgery.</t>
  </si>
  <si>
    <t>10.1177/036354658701500304</t>
  </si>
  <si>
    <t>#703</t>
  </si>
  <si>
    <t>Sisk 1987</t>
  </si>
  <si>
    <t>All-Inside Quadrupled Semitendinosus Autograft Shows Stability Equivalent to Patellar Tendon Autograft Anterior Cruciate Ligament Reconstruction: Randomized Controlled Trial in Athletes 24 Years or Younger.</t>
  </si>
  <si>
    <t>Smith PA; Cook CS; Bley JA</t>
  </si>
  <si>
    <t>PURPOSE: To compare clinical outcomes of knee anterior cruciate ligament (ACL) autograft reconstruction using all-inside quadrupled semitendinosus (AIST) versus bone-patellar tendon-bone (BPTB) in a high-risk athletic population 24 years or younger. METHODS: Skeletally mature candidates younger than 24 years old with an ACL tear were randomized into either the AIST (nÂ = 32) or BPTB (nÂ = 32) group and were followed for 2 years. Magnetic resonance imaging scans were obtained at 1-year follow-up, and radiographs were obtained at 2-year follow-up. All surgeries were performed by a single surgeon using an anteromedial portal to establish the femoral tunnel. The primary outcome measure was KT-1000 stability testing. Secondary outcome measures included International Knee Documentation Committee (IKDC) Knee Evaluation Form, IKDC Subjective Form, Knee Injury and Osteoarthritis Outcome Score, Marx Activity Scale, visual analog pain scale, and SF-12 (Mental and Physical). RESULTS: At 2-year follow-up, no statistical difference existed with KT-1000-measured side-to-side laxity between AIST (0.3 Â± 0.7 mm, 95% confidence interval 0.0-1.0 mm) and BPTB (0.0 Â± 0.8 mm, confidence interval CI -0.3 to 1.1 mm) (PÂ = .197). In addition, no statistical differences between the groups were found for IKDC Subjective Form, Knee Injury and Osteoarthritis Outcome Score, Marx, SF-12 Mental, SF-12 Physical, or with regards to imaging findings. Patients with BPTB reported significantly greater postoperative pain scores at days 2 (PÂ = .049), 3 (PÂ = .004), and 7 (PÂ = .015) and had significantly greater kneeling pain at 2 years (P &lt; .019). A return to sport questionnaire at 2 years revealed no significant difference between the groups for returning to preoperative level of sport activity (83% AIST, 74% BPTB; PÂ = .415). Two graft retears (7%; PÂ = .222) occurred in the AIST group. Three patients in the BPTB group experienced ACL tears in the contralateral knee (9%; PÂ = .239). CONCLUSIONS: ACL reconstruction with an all-inside quadrupled semitendinosus autograft construct is equivalent to patellar BPTB autograft based on KT-1000 stability testing in athletes 24 years or younger. LEVEL OF EVIDENCE: randomized controlled trial with 92% 2-year follow-up, Level I.</t>
  </si>
  <si>
    <t>#201</t>
  </si>
  <si>
    <t>Ex vivo comparison of three surgical techniques to stabilize canine cranial cruciate ligament deficient stifles.</t>
  </si>
  <si>
    <t>Snow LA; White R; Gustafson S; Xie L; Hosgood G; Monroe WT; Casey JP; Lopez MJ</t>
  </si>
  <si>
    <t>OBJECTIVE: To quantify and compare canine stifle stability after 3 stabilization techniques. STUDY DESIGN: Randomized controlled study. SAMPLE POPULATION: Adult canine cadaveric pelvic limbs. METHODS: Total craniocaudal (CrCa) tibial translation quantified in stifles with the cranial cruciate ligament (CrCL) intact, transected, and stabilized with 1 of 3 techniques: (1) hamstring graft (HG); (2) modified retinacular imbrication (MRIT); (3) anatometric fascia lata translocation (AFLT). Tibial translation was quantified from radiographs generated during application of cranial and caudal forces to the tibia. After removal of all soft tissues except periarticular ligaments and fixation, CrCa tibial translation, as before, and medial-lateral rotation, via torsional loading, was quantified with an active motion analysis system. Total tibial translation was evaluated for effect of technique and cruciate status using mixed effect linear model with significance considered at P-value &lt;.05. RESULTS: CrCa translation was not significantly different across stabilization techniques with CrCLs intact, transected, or after stabilization. Poststabilization translation was significantly less than posttransection for all techniques. Compared with the intact CrCL, CrCa translation poststabilization after HG was significantly greater whereas poststabilization after MRIT and AFLT was not significantly different. Tibial rotation exceeded instrumentation limits in 62.5% HG limbs, 20% MRIT limbs, and 60% AFLT limbs. CONCLUSIONS: All 3 stifle stabilization techniques confer comparable CrCa translational stability after CrCL disruption with that provided by the MRIT and AFLT techniques comparable to the intact CrCL. CLINICAL RELEVANCE: The extra- and intracapsular techniques evaluated in this study reduced CrCa tibial translation in CrCL deficient stifles to varying amounts.</t>
  </si>
  <si>
    <t>Vet Surg</t>
  </si>
  <si>
    <t>10.1111/j.1532-950X.2009.00635.x</t>
  </si>
  <si>
    <t>#457</t>
  </si>
  <si>
    <t>Snow 2010</t>
  </si>
  <si>
    <t>Electrical stimulation of the thigh muscles after reconstruction of the anterior cruciate ligament. Effects of electrically elicited contraction of the quadriceps femoris and hamstring muscles on gait and on strength of the thigh muscles.</t>
  </si>
  <si>
    <t>Snyder-Mackler L; Ladin Z; Schepsis AA; Young JC</t>
  </si>
  <si>
    <t>The effects of neuromuscular electrical stimulation on the strength of the thigh muscles and on gait were examined in ten patients after reconstruction of the anterior cruciate ligament. The patients were randomly assigned to one of two treatment groups: neuromuscular electrical stimulation and volitional exercise, or volitional exercise alone. A four-week course of electrically elicited co-contraction of the thigh muscles resulted in significant attenuation of the characteristic loss of strength of the quadriceps as compared with volitional exercise. There was no significant difference between groups in any measure of performance of the hamstring muscles. In the group that received neuromuscular electrical stimulation, the values for cadence, walking velocity, stance time of the involved limb, and flexion-excursion of the knee during stance were significantly different from those of the volitional exercise group. Flexion-excursion of the knee during stance was directly and significantly correlated with strength of the quadriceps femoris muscle. Flexion of the knee during stance was qualitatively different in the involved extremity as compared with the uninvolved extremity in all patients. There is a rapid flexion of the knee at weight acceptance that is maintained throughout stance and probably reflects stabilization of the joint by muscular coactivation to compensate for weakness of the quadriceps. The patients who received neuromuscular electrical stimulation had stronger quadriceps muscles and more normal gait patterns than those in the volitional exercise group.</t>
  </si>
  <si>
    <t>#694</t>
  </si>
  <si>
    <t>Snyder-Mackler 1991</t>
  </si>
  <si>
    <t>Use of electrical stimulation to enhance recovery of quadriceps femoris muscle force production in patients following anterior cruciate ligament reconstruction.</t>
  </si>
  <si>
    <t>Snyder-Mackler L; Delitto A; Stralka SW; Bailey SL</t>
  </si>
  <si>
    <t>BACKGROUND AND PURPOSE: Electrical stimulation has been shown to be effective in aiding the recovery of quadriceps femoris muscle force production after anterior cruciate ligament reconstruction. The actual dosage of stimulation (training intensity) has not been well described. The purpose of this investigation was to establish a dose-response curve for electrical stimulation regimens designed to improve quadriceps femoris muscle recovery in patients after anterior cruciate ligament reconstruction. SUBJECTS AND METHODS: We analyzed data from a subsample (n = 52) of patients receiving electrical stimulation (N = 110) who were involved in a large, multicenter randomized clinical trial investigating treatment strategies designed to enhance quadriceps femoris muscle recovery. Fifty-two subjects (40 male, 12 female), with an age range of 15 to 43 years (mean = 25, SD = 7), participated in 4 weeks of quadriceps femoris muscle training using either portable, battery-powered home stimulators or console stimulators designed for clinical use. Training intensities were monitored by logging the electrically elicited knee extension torque and expressing this torque as a percentage of the uninvolved quadriceps femoris muscles' maximal voluntary contraction force. After the 4 weeks of training, isometric muscle torque was assessed and a dose-response curve was generated. The relationship between training intensity and quadriceps femoris muscle torque was assessed with Pearson Product-Moment Correlation Coefficients. RESULTS: A significant, linear correlation was found between training intensity and quadriceps femoris muscle torque. Subjects training with console, clinical generators trained at higher intensities than those training with portable, battery-operated generators; such training resulted in higher quadriceps femoris muscle torque. CONCLUSION AND DISCUSSION: These results support the use of high-intensity electrical stimulation and do not support the use of low-intensity or battery-powered stimulators when the goal is recovery of quadriceps femoris muscle force production in the early phases of rehabilitation after anterior cruciate ligament surgery. [Snyder-Mackler L, Delitto A, Stralka SW, Bailey SL. Use of electrical stimulation to enhance recovery of quadriceps femoris muscle force production in patients following anterior cruciate ligament reconstruction.</t>
  </si>
  <si>
    <t>10.1093/ptj/74.10.901</t>
  </si>
  <si>
    <t>#685</t>
  </si>
  <si>
    <t>Snyder-Mackler 1994</t>
  </si>
  <si>
    <t>Strength of the quadriceps femoris muscle and functional recovery after reconstruction of the anterior cruciate ligament. A prospective, randomized clinical trial of electrical stimulation.</t>
  </si>
  <si>
    <t>Snyder-Mackler L; Delitto A; Bailey SL; Stralka SW</t>
  </si>
  <si>
    <t>Immediately after reconstruction of the anterior cruciate ligament, 110 patients were randomly assigned to treatment with high-intensity neuromuscular electrical stimulation (thirty-one patients), high-level volitional exercise (thirty-four patients), low-intensity neuromuscular electrical stimulation (twenty-five patients), or combined high and low-intensity neuromuscular electrical stimulation (twenty patients). All treatment was performed isometrically with the knee in 65 degrees of flexion. All of the patients participated in an intensive program of closed-kinetic-chain exercise. After four weeks of treatment, the strength of the quadriceps femoris muscle and the kinematics of the knee during stance phase were measured. Quadriceps strength averaged 70 per cent or more of the strength on the uninvolved side in the two groups that were treated with high-intensity electrical stimulation (either alone or combined with low-intensity electrical stimulation), 57 per cent in the group that was treated with high-level volitional exercise, and 51 per cent in the group that was treated with low-intensity electrical stimulation. The kinematics of the knee joint were directly and significantly (p &lt; 0.05) correlated with the strength of the quadriceps. There was a clinically and statistically significant (p &lt; 0.05) difference in the recovery of the quadriceps and the gait parameters according to the type of operation that had been performed: the patients who had had reconstruction of the anterior cruciate ligament with use of an autologous patellar-ligament graft did poorly compared with the other patients.</t>
  </si>
  <si>
    <t>10.2106/00004623-199508000-00004</t>
  </si>
  <si>
    <t>#678</t>
  </si>
  <si>
    <t>Snyder-Mackler 1995</t>
  </si>
  <si>
    <t>Immediate and 6-week effects of wearing a knee sleeve following anterior cruciate ligament reconstruction: a cross-over laboratory and randomised clinical trial.</t>
  </si>
  <si>
    <t>Sole G; Lamb P; Pataky T; Klima S; Navarre P; Hammer N</t>
  </si>
  <si>
    <t>BACKGROUND: Rehabilitation following anterior cruciate ligament (ACL) reconstructions is based mainly on comprehensive progressive exercise programmes using a multi-dimensional approach. Elastic knee sleeves may be useful adjuncts to rehabilitation. The aim of this study was to determine the immediate and 6-week effects of wearing a knee sleeve on person-reported outcomes and function in participants who had undergone an ACL reconstruction and who had residual self-reported functional limitations. METHODS: Individuals with ACL reconstruction in the previous 6 months to 5 years were recruited. Immediate effects of a commercially-available elastic knee sleeve on single-leg horizontal hop distance were explored using a cross-over design. Following this first session, participants were randomised into a Control Group and a Sleeve Group who wore the sleeve for 6 weeks, at least 1Â h daily. Outcome measures for the randomised clinical trial (RCT) were the International Knee Documentation Classification Subjective Knee Form (IKDC-SKF) score, the single-leg horizontal hop distance, and isokinetic quadriceps and hamstring peak torque. Linear mixed models were used to determine random effects. Where both limbs were measured at multiple time points, a random measurement occasion effect nested within participant was used. RESULTS: Thirty-four individuals (16 women) with ACL reconstruction completed the cross-over trial. Hop distance for the injured side during the sleeve condition increased by 3.6â€‰% (95â€‰% CI 0.4-6.8â€‰%, pâ€‰=â€‰0.025). There was no evidence of differential changes between groups for the IKDC-SKF (Sleeve Group nâ€‰=â€‰15; Control Group nâ€‰=â€‰16; pâ€‰=â€‰0.327), or relative improvement in the injured side compared to the uninjured side for the physical performance measures (Sleeve Group nâ€‰=â€‰12, Control Group nâ€‰=â€‰12; three-way interaction pâ€‰=â€‰0.533 [hop distance], 0.381 [quadriceps isokinetic peak torque], and 0.592 [hamstring isokinetic peak torque]). CONCLUSIONS: Single-leg hop distance of the ACL reconstructed side improved when wearing a knee sleeve. Wearing the knee sleeve over 6 weeks did not lead to enhanced improvements in self-reported knee function, hop distance and thigh muscle strength compared to the control group. TRIAL REGISTRATION: The trial was prospectively registered with the Australia New Zealand Clinical Trials Registry No: ACTRN12618001083280 , 28 June 2018.</t>
  </si>
  <si>
    <t>10.1186/s12891-021-04540-x</t>
  </si>
  <si>
    <t>#153</t>
  </si>
  <si>
    <t>Sole 2021</t>
  </si>
  <si>
    <t>Combined ACL and Anterolateral Reconstruction Is Not Associated With a Higher Risk of Adverse Outcomes: Preliminary Results From the SANTI Randomized Controlled Trial.</t>
  </si>
  <si>
    <t>Sonnery-Cottet B; Pioger C; Vieira TD; Franck F; Kajetanek C; Fayard JM; Thaunat M; Saithna A</t>
  </si>
  <si>
    <t>BACKGROUND: The widespread historical abandonment of lateral extra-articular procedures in anterior cruciate ligament (ACL) injuries occurred as a result of concerns about high rates of adverse events. Recently, the popularity of lateral extra-articular procedures has resurged, warranting an urgent evaluation of their safety profile. PURPOSE/HYPOTHESIS: The aim of this study was to perform an interim analysis of the ongoing SANTI randomized controlled trial to determine whether combined ACL and anterolateral ligament reconstruction (ACL + ALLR) is associated with an increased rate of adverse outcomes when compared with isolated ACL reconstruction (ACLR). The hypothesis was that there would be no significant difference between groups at a minimum follow-up of 1 year. STUDY DESIGN: Randomized controlled trial; Level of evidence, 1. METHODS: Recruitment commenced in November 2016. Patients scheduled for ACLR were randomized to either isolated ACLR (with bone-patellar tendon-bone [BPTB] autograft) or combined ACL + ALLR (with hamstring tendon autograft). All patients with a minimum follow-up of 1 year by March 2019 were included. The evaluated parameters included complications and reoperations, knee laxity parameters, range of motion, and scores on the Tegner, Lysholm, International Knee Documentation Committee (IKDC), and Knee injury and Osteoarthritis Outcome Score (KOOS) instruments. RESULTS: A total of 224 patients (112 in each group) with a mean Â± SD follow-up of 12.3 Â± 1.9 months (range, 12-19 months) formed the study population. A significantly higher rate of reoperation for cyclops syndrome was noted in the isolated ACLR group compared with the combined ACL + ALLR group (8.9% vs 0%, respectively; P = .0012). No significant differences were found in frequency of graft rupture (ACLR, 5.4%; ACL + ALLR, 0.9%; P = .1191), range of motion deficits, pain, or reoperation for meniscectomy between groups. No cases of postoperative infection, venous thromboembolism, or arthrofibrosis were seen. Subjective IKDC (81.2 vs 86.8; P = .0048), Lysholm (88 vs 92; P = .0131), and some components of the KOOS were significantly better in the combined ACL + ALLR group. CONCLUSION: This study demonstrates no evidence of an increased risk of short-term adverse events after combined ACL + ALLR compared with isolated ACLR with BPTB graft. REGISTRATION: NCT03740022 (ClinicalTrials.gov Identifier).</t>
  </si>
  <si>
    <t>10.1177/2325967120918490</t>
  </si>
  <si>
    <t>#189</t>
  </si>
  <si>
    <t>Anterior cruciate ligament reconstruction combined with anterolateral ligament reconstruction using hamstring autograft versus anterior cruciate ligament reconstruction using bone-patellar tendon-bone autograft: a randomised controlled trial with 5-year f</t>
  </si>
  <si>
    <t>Sonnery-Cottet B; Carrozzo A; Poilvache H; Fayard JM; Freychet B; Thaunat M; Vieira TD; Saithna A</t>
  </si>
  <si>
    <t>BACKGROUND: Anterior Cruciate Ligament (ACL) rupture is common knee injury. Although ACL reconstruction (ACLR) is standard, graft failure rates remain high in young active patients. This study investigated whether combining ACLR with anterolateral ligament (ALL) reconstruction (ALLR) reduces grafts failure compared with ACLR. METHODS: In this prospective, single-centre, randomised controlled trial conducted at the Santy Orthopedic Center in Lyon, France, patients aged 18-35 years with symptomatic ACL rupture were randomly allocated (1:1) to ACL + ALL reconstruction using hamstring tendon autograft (ACLR + ALLR) or ACLR with bone-patellar tendon-bone autograft (ACLR). Randomisation was performed with a block size of four using telematic software by an independent study coordinator, with concealed allocation. Surgeons were informed of the assigned procedure on the morning of surgery. Outcome assessors were not blinded. The primary outcome was graft failure at 5 years, assessed clinically and by magnetic resonance imaging (MRI) by an independent sports medicine physicians not involved in the index surgery. Efficacy analyses were performed on the Full Analysis Set in accordance with the intention-to-treat principle, while safety analyses were conducted on the Safety Set. Trial registration: ClinicalTrials.gov, ID NCT03740022. The trial has been completed. FINDINGS: Between November 11, 2016, and January 20, 2020, 593 patients were randomized (297 assigned to ACLR + ALLR and 296 to ACLR). The mean age was 25.0 years (SD 4.5); 447 (75%) participants were male and 146 (25%) female. Of these 593 patients, 556 (94%) completed a mean 5-year follow-up. Graft failure occurred in 12/283 (4.2%) with ACLR + ALLR versus 28/273 (10.3%) with ACLR (p = 0.006; adjusted odds ratio 2.54 [95% CI 1.27; 5.36]-p = 0.008). The number needed to treat was 17 overall, and 9 in patients younger than 25 years. INTERPRETATION: In our study of young, active adults with ACL rupture, who are considered high-risk for graft failure, combining ACL reconstruction with anterolateral ligament reconstruction (ACLR + ALLR) significantly decreased graft failure compared with ACLR. These results suggest that ACLR + ALLR might be beneficial for young or highly active individuals and provide a basis for future research to refine patient selection, evaluate long-term outcomes beyond five years, and explore benefits in other subgroups of patients with ACL injuries. FUNDING: GCS Ramsay SantÃ© pour l'Enseignement et la Recherche funds the scientific activity at the Santy center.</t>
  </si>
  <si>
    <t>Lancet Reg Health Eur</t>
  </si>
  <si>
    <t>#27</t>
  </si>
  <si>
    <t>Autologous BPTB ACL Reconstruction Results in Lower Failure Rates Than ACL Repair with and without Synthetic Augmentation at 30 Years of Follow-up: A Prospective Randomized Study.</t>
  </si>
  <si>
    <t>Sporsheim AN; Gifstad T; Lundemo TO; Engebretsen L; Strand T; MÃ¸lster A; Drogset JO</t>
  </si>
  <si>
    <t>BACKGROUND: The aim of this study was to compare the 30-year follow-up results after treatment of anterior cruciate ligament (ACL) ruptures with 3 different surgical procedures. METHODS: A total of 150 patients with acute rupture of the ACL who were managed between 1986 and 1988 were randomized into 1 of 3 open repair methods: acute primary repair (n = 49), acute repair with a synthetic ligament augmentation device (LAD) (n = 50), or reconstruction with an autologous bone-patellar tendon-bone (BPTB) graft with retention of the ACL remnants (n = 51). The 30-year follow-up included evaluation of clinical findings, the Tegner and Lysholm questionnaires, radiographic examination, and registration of revisions and knee arthroplasties. RESULTS: A total of 113 patients (75%) were available for the follow-up evaluation; 39 patients were in the primary repair group, 39 in the LAD group, and 35 in the BPTB group. Through telephone calls and investigation of patient medical records, 40 of these patients were excluded from further analyses because of revision surgery, knee arthroplasty in the involved or contralateral knee, or ACL reconstruction in the contralateral knee. One patient in the BPTB group had undergone revision ACL reconstruction compared with 12 in the primary repair group (p = 0.002) and 9 in the LAD group (p = 0.015). Seven patients had undergone knee arthroplasty in the involved knee, with no significant difference among the groups. In the remaining patients, no significant differences were found among the 3 groups with regard to range of motion, laxity, or Tegner and Lysholm scores. Radiographic evidence of osteoarthritis, defined as an AhlbÃ¤ck grade of 2 through 5, was found in 42% of the operatively treated knees, with no significant differences among the groups. CONCLUSIONS: In the present 30-year follow-up results of a randomized controlled study, the BPTB graft augmented with the remnants of the ruptured ligament provided superior results with regard to the number of revisions compared with both the primary repair and LAD groups. No significant differences were found with respect to range of motion, laxity, activity, function, radiographic evidence of osteoarthritis, and knee arthroplasties. LEVEL OF EVIDENCE: Therapeutic Level I. See Instructions for Authors for a complete description of levels of evidence.</t>
  </si>
  <si>
    <t>10.2106/JBJS.19.00098</t>
  </si>
  <si>
    <t>#206</t>
  </si>
  <si>
    <t>Sporsheim 2019</t>
  </si>
  <si>
    <t>Electrophysiological Study of Femoral Nerve Function After a Continuous Femoral Nerve Block for Anterior Cruciate Ligament Reconstruction: A Randomized, Controlled Single-Blind Trial.</t>
  </si>
  <si>
    <t>Stebler K; Martin R; Kirkham KR; KÃ¼ntzer T; Bathory I; Albrecht E</t>
  </si>
  <si>
    <t>BACKGROUND: A continuous femoral nerve block (CFNB) is an effective analgesic treatment after anterior cruciate ligament (ACL) reconstruction but may result in transient femoral nerve injuries and quadriceps muscle weakness, which in turn contribute to worsened functional outcomes. PURPOSE: To compare electrophysiological criteria of a femoral nerve injury as well as functional and pain-related outcomes after ACL reconstruction when analgesia was provided by a CFNB or intravenous patient-controlled analgesic of morphine (IV PCA). STUDY DESIGN: Randomized controlled clinical trial; Level of evidence, 1. METHODS: A total of 74 patients scheduled for ACL reconstruction were randomized to receive a CFNB before surgery, followed by a ropivacaine infusion for 2 days and oxycodone, or IV PCA. The primary outcome was the rate of femoral nerve injuries at 4 weeks postoperatively, defined as a reduction of the compound muscle action potential (CMAP) area from the vastus medialis muscle after supramaximal femoral nerve stimulation at the groin, associated with an absent H-reflex of the femoral nerve and signs of vastus medialis muscle denervation. Secondary functional outcomes were quadriceps muscle strength, active flexion range, and distance walked, as measured on postoperative days 1 and 2. Secondary pain-related outcomes were IV morphine consumption and pain scores at rest and on movement in phase 1 recovery and on postoperative days 1 and 2. RESULTS: No patients met the electrophysiological criteria of a femoral nerve injury. The mean CMAP area at 4 weeks was equivalent in both the CFNB and IV PCA groups (47 Â± 16 mVÂ·ms and 51 Â± 13 mVÂ·ms, respectively; P = .50). While no differences were detected in functional outcomes or pain scores, the consumption of an IV morphine equivalent was reduced by the administration of a CFNB in phase 1 recovery (6 Â± 5 mg and 13 Â± 7 mg, respectively; P = .0003), on postoperative day 1 (6 Â± 7 mg and 19 Â± 17 mg, respectively; P = .0005), and on postoperative day 2 (11 Â± 10 mg and 19 Â± 17 mg, respectively; P = .03) compared with an IV PCA. CONCLUSION: Despite prior contrary reports, a CFNB did not result in femoral nerve injuries or worsened functional outcomes after ACL reconstruction. The improvement of analgesia with a CFNB was only marginal and not clinically relevant beyond 24 hours. Registration: NCT01321138 ( ClinicalTrials.gov identifier).</t>
  </si>
  <si>
    <t>10.1177/0363546516669715</t>
  </si>
  <si>
    <t>#283</t>
  </si>
  <si>
    <t>Stebler 2017</t>
  </si>
  <si>
    <t>Adductor canal block versus local infiltration analgesia for postoperative pain after anterior cruciate ligament reconstruction: a single centre randomised controlled triple-blinded trial.</t>
  </si>
  <si>
    <t>Stebler K; Martin R; Kirkham KR; Lambert J; De Sede A; Albrecht E</t>
  </si>
  <si>
    <t>BACKGROUND: Both the adductor canal block (ACB) and local infiltration analgesia (LIA) are effective analgesic techniques after anterior cruciate ligament (ACL) reconstruction, but they have never been compared head-to-head. This randomised controlled triple-blinded trial tested the hypothesis that ACB provides superior analgesia to LIA after ACL reconstruction, with additional focus on postoperative functional outcomes. METHODS: Of 104 enrolled ACL reconstruction patients receiving general anaesthesia, 52 were randomly allocated to either ACB under ultrasound guidance or LIA. For each intervention, ropivacaine 0.5%, 20 ml was injected. Postoperative pain treatment followed a predefined protocol with i.v. patient-controlled morphine, paracetamol, and ibuprofen. The primary outcome was cumulative i.v. morphine consumption at 24 h after operation. Secondary pain-related outcomes included resting and dynamic pain scores (numeric rating scale out of 10) measured 2, 24, and 48 h after operation and cumulative i.v. morphine consumption 2 and 48 h after operation. Early function-related outcomes evaluated were quadriceps strength, walking distance, and range of motion, all measured 24 and 48 h after operation. Late function-related outcomes were concentric quadriceps strength, single-hop test, triple-hop test, cross-over test, and Y balance test, measured at 4 and 8 postoperative months. RESULTS: Cumulative i.v. morphine consumption at 24 h was similar between groups (ACB group: 17.1 mg [95% confidence interval, CI: 13.1, 21.2]; LIA group: 17.7 mg [95% CI: 13.2, 22.6], P=0.84). Similarly, no differences between groups were seen in the secondary pain- or function-related outcomes. CONCLUSIONS: ACB and LIA result in equivalent postoperative opioid consumption with similar impact on postoperative pain scores and functional outcomes. CLINICAL TRIAL REGISTRATION: NCT02524652.</t>
  </si>
  <si>
    <t>10.1016/j.bja.2019.04.053</t>
  </si>
  <si>
    <t>#224</t>
  </si>
  <si>
    <t>Stebler 2019</t>
  </si>
  <si>
    <t>A long-term, prospective, randomized study comparing biodegradable and metal interference screws in anterior cruciate ligament reconstruction surgery: radiographic results and clinical outcome.</t>
  </si>
  <si>
    <t>Stener S; Ejerhed L; Sernert N; Laxdal G; RostgÃ¥rd-Christensen L; Kartus J</t>
  </si>
  <si>
    <t>BACKGROUND: During the past decade, the use of biodegradable implants in anterior cruciate ligament surgery has increased. HYPOTHESIS: Poly-L-lactide acid (PLLA) interference screws would render the same clinical results but greater tunnel enlargement than metal screws 8 years after anterior cruciate ligament reconstruction using hamstring tendon (semitendinosus/gracilis) autografts. STUDY DESIGN: Randomized controlled trial; Level of evidence, 1. METHODS: A randomized series of 77 patients, all with a unilateral anterior cruciate ligament rupture, were divided into 2 groups (PLLA and metal). In both groups, hamstring tendon autografts were used with interference screw fixation at both ends and the patients were examined with standard radiographs, Tegner activity level, Lysholm knee score, single-legged hop test, early C-reactive protein response, and KT-1000 arthrometer knee laxity measurements. RESULTS: The preoperative assessments in both groups were similar in terms of gender, clinical tests, and the time from injury to surgery. The patients returned for a radiographic and clinical examination a mean of 96 months (range, 78-120 months) after the index operation. The PLLA group displayed significantly larger bone tunnels on the radiographs than the metal group on the femoral side (mean, 11.4 mm [range, 0-17.8 mm] vs 8.0 mm [range, 0-16.3 mm]; P &lt; .005) but not on the tibial side (mean, 10.7 mm [range, 7.8-14.1 mm] vs 10.5 mm [range, 0-20.3 mm]; difference not significant). At follow-up, no significant differences were found between the PLLA and metal groups in terms of knee laxity measurements (median, 1.0 mm [range, -2.0-4.0 mm] vs 1.0 mm [range, -3.0-6.5 mm]), Tegner activity level (median, 7 [range,3-9] vs 6 [range, 2-9]), or the Lysholm knee score (median, 90 points [range, 51-100] vs 89 points [range, 53-100]). The C-reactive protein values did not differ significantly between the 2 groups except for an increase in the PLLA group compared with the metal group at day 1 postoperatively-23 mg/L (range, &lt;6-55) vs 9 mg/L (range, &lt;6-55) (P &lt; .001). CONCLUSION: There were significantly larger radiographically visible bone tunnels on the femoral side but not on the tibial side in the PLLA group compared with the metal group 8 years after anterior cruciate ligament reconstruction using hamstring tendon autografts. This finding did not correlate with inferior clinical results. Because of the results in the present study, the authors have discontinued the use of PLLA interference screws.</t>
  </si>
  <si>
    <t>10.1177/0363546510361952</t>
  </si>
  <si>
    <t>#452</t>
  </si>
  <si>
    <t>Stener 2010</t>
  </si>
  <si>
    <t>Resorbable screws versus pins for optimal transplant fixation (SPOT) in anterior cruciate ligament replacement with autologous hamstring grafts: rationale and design of a randomized, controlled, patient and investigator blinded trial [ISRCTN17384369].</t>
  </si>
  <si>
    <t>Stengel D; Matthes G; Seifert J; Tober V; Mutze S; Rademacher G; Ekkernkamp A; Bauwens K; Wich M; Casper D</t>
  </si>
  <si>
    <t>BACKGROUND: Ruptures of the anterior cruciate ligament (ACL) are common injuries to the knee joint. Arthroscopic ACL replacement by autologous tendon grafts has established itself as a standard of care. Data from both experimental and observational studies suggest that surgical reconstruction does not fully restore knee stability. Persisting anterior laxity may lead to recurrent episodes of giving-way and cartilage damage. This might at least in part depend on the method of graft fixation in the bony tunnels. Whereas resorbable screws are easy to handle, pins may better preserve graft tension. The objective of this study is to determine whether pinning of ACL grafts reduces residual anterior laxity six months after surgery as compared to screw fixation. DESIGN/METHODS: SPOT is a randomised, controlled, patient and investigator blinded trial conducted at a single academic institution. Eligible patients are scheduled to arthroscopic ACL repair with triple-stranded hamstring grafts, conducted by a single, experienced surgeon. Intraoperatively, subjects willing to engage in this study will be randomised to transplant tethering with either resorbable screws or resorbable pins. No other changes apply to locally established treatment protocols. Patients and clinical investigators will remain blinded to the assigned fixation method until the six-month follow-up examination. The primary outcome is the side-to-side (repaired to healthy knee) difference in anterior translation as measured by the KT-1000 arthrometer at a defined load (89 N) six months after surgery. A sample size of 54 patients will yield a power of 80% to detect a difference of 1.0 mm +/- standard deviation 1.2 mm at a two-sided alpha of 5% with a t-test for independent samples. Secondary outcomes (generic and disease-specific measures of quality of life, magnetic resonance imaging morphology of transplants and devices) will be handled in an exploratory fashion. CONCLUSION: SPOT aims at showing a reduction in anterior knee laxity after fixing ACL grafts by pins compared to screws.</t>
  </si>
  <si>
    <t>10.1186/1471-2482-5-1</t>
  </si>
  <si>
    <t>#570</t>
  </si>
  <si>
    <t>Stengel 2005</t>
  </si>
  <si>
    <t>Bioresorbable pins and interference screws for fixation of hamstring tendon grafts in anterior cruciate ligament reconstruction surgery: a randomized controlled trial.</t>
  </si>
  <si>
    <t>Stengel D; Casper D; Bauwens K; Ekkernkamp A; Wich M</t>
  </si>
  <si>
    <t>BACKGROUND: Biodegradable cross-pins have been shown to provide higher failure loads than do screws for fixation of hamstring tendons under laboratory conditions. PURPOSE: To compare the clinical results of biodegradable pins (RigidFix) and interference screws (BioCryl) for fixation of hamstring grafts in arthroscopically assisted anterior cruciate ligament reconstruction. Study Design Randomized controlled trial; Level of evidence, 1. METHODS: To test the hypothesis of a difference of 1.0 +/- 1.2 mm in anterior knee laxity between the two fixation options, 54 patients were randomly assigned to groups via a block randomization scheme and sealed envelopes. All patients underwent standardized hamstring graft reconstruction and had similar postoperative aftercare by an accelerated rehabilitation protocol. Measures assessed at baseline and after 1 and 2 years of follow-up included (1) the side-to-side difference in anterior laxity (KT-1000 arthrometer), (2) Short Form 36 physical and mental component scores, and (3) the International Knee Documentation Committee form scores. RESULTS: After 1 and 2 years, 26 and 21 patients in the BioCryl group and 28 and 24 patients in the RigidFix group were available for follow-up examination. No significant difference was noted in instrumented anterior translation between BioCryl and RigidFix fixation: 1 year, 0.11 (95% CI, -0.60 to 0.82; P = .7537); 2 years, 0.33 (95% CI, -0.43 to 1.08 mm; P = .3849). Also, there were no significant differences in the mean physical and mental component scores and International Knee Documentation Committee form scores and in overall complication and surgical revision rates. A pin dislocation was classified as the sole procedure-specific serious adverse event. CONCLUSION: Bioresorbable pins do not provide better clinical results than do resorbable interference screws for hamstring graft fixation in anterior cruciate ligament reconstruction surgery.</t>
  </si>
  <si>
    <t>10.1177/0363546509333008</t>
  </si>
  <si>
    <t>#478</t>
  </si>
  <si>
    <t>Stengel 2009</t>
  </si>
  <si>
    <t>Iliotibial band autograft versus bone-patella-tendon-bone autograft, a possible alternative for ACL reconstruction: a 15-year prospective randomized controlled trial.</t>
  </si>
  <si>
    <t>Stensbirk F; Thorborg K; Konradsen L; JÃ¸rgensen U; HÃ¶lmich P</t>
  </si>
  <si>
    <t>PURPOSE: The long-term results after using the iliotibial band autograft (ITB) in anterior cruciate ligament (ACL) reconstruction are not fully known. If equal in quality to conventional methods, the ITB graft could be a useful alternative as a primary graft, in revision surgery or multi-ligament reconstruction. The purpose is to assess whether the ITB autograft is a long-term reliable alternative to the bone-patella-tendon-bone (BPTB) autograft, using a prospective randomized controlled trial design. METHODS: From 1995 to 1996, sixty patients scheduled for primary ACL reconstruction were included in a prospective randomized controlled trial. Three senior knee surgeons, experienced in both types of ACL surgery, performed all the operations. A standardized and supervised rehabilitation programme was used for both groups for 6 months. Thirty patients received the ITB reconstruction, and 30 received the BPTB reconstruction. Forty-nine participated at follow-up in 2010 (82%). Primary outcome was the failure rate after ACL reconstruction. Secondary outcomes were knee injury osteoarthritis outcome score (KOOS) [pain, symptoms, Sport/Rec, quality of life (QOL), daily living function], Tegner activity scale, anterior knee pain-score, Lysholm score, Rolimeter laxity, extension deficit, single hop and crossover hop for distance. RESULTS: At 15-year follow-up, no significant difference existed between the groups. Graft failure occurred in 4 ITB subjects (16%) and 3 BPTB subjects (13%). KOOS (Sport/Rec) for the ITB group was 75 and 73 for the BPTB group. The KOOS (QOL) was 72 and 68 for the ITB group and BPTB group, respectively. CONCLUSION: Similar graft failure rates and KOOS were found when comparing ITB- and BPTB-operated individuals, at 15-year follow-up. The ITB graft had equal long-term clinical results compared to the BPTB graft and is recommended as a reliable alternative autograft for ACL reconstruction. LEVEL OF EVIDENCE: Therapeutic studies, Level I.</t>
  </si>
  <si>
    <t>10.1007/s00167-013-2630-9</t>
  </si>
  <si>
    <t>#372</t>
  </si>
  <si>
    <t>Stensbirk 2014</t>
  </si>
  <si>
    <t>Knee function and knee muscle strength in middle-aged patients with degenerative meniscal tears eligible for arthroscopic partial meniscectomy.</t>
  </si>
  <si>
    <t>Stensrud S; Risberg MA; Roos EM</t>
  </si>
  <si>
    <t>BACKGROUND: Functional limitations exist postmeniscectomy, but preoperative data are scarce. PURPOSE: To examine knee function, knee muscle strength and performance in middle-aged patients with degenerative meniscal tears, eligible for arthroscopic partial meniscectomy. STUDY DESIGN: Cross-sectional study. METHODS: Eighty-two participants with MRI verified degenerative meniscal tear (35% women, mean age 49 years) answered the Knee injury and Osteoarthritis Outcome Score (KOOS) and were tested for isokinetic knee muscle strength and lower extremity performance (one-leg hop for distance, 6 m timed hop and maximum number of knee-bends in 30 s). Limb Symmetry Index (LSI) was used to express side-to-side differences in per cent using the non-injured leg as the control. An LSI â‰¥90% was considered normal. RESULTS: Mean scores of the five subscales of the KOOS were from 13 to 36 points lower compared with a population-based reference group and similar to patients prior to anterior cruciate ligament reconstruction. Quadriceps strength and lower-extremity performance were impaired for the injured leg compared with the non-injured leg (p&lt;0.001), with a mean difference of 13% in quadriceps strength and between 8% and 13% in lower-extremity performance. Between 41% and 52% of the participants had abnormal LSI values in quadriceps muscle strength and lower-extremity performance. CONCLUSION: Middle-aged patients with a symptomatic degenerative meniscal tear experience functional knee problems when eligible for meniscectomy. Included participants reported difficulty with knee pain, symptoms, function and quality of life and quadriceps strength and lower-extremity performance were impaired. Approximately 50% of the study group had clinically relevant impairments in quadriceps strength and lower-extremity performance, defined as &gt;10% differences between the injured and the non-injured leg.</t>
  </si>
  <si>
    <t>10.1136/bjsports-2012-091540</t>
  </si>
  <si>
    <t>#397</t>
  </si>
  <si>
    <t>Stensrud 2014</t>
  </si>
  <si>
    <t>Semitendinosus tendon regeneration after anterior cruciate ligament reconstruction: can we use it twice?</t>
  </si>
  <si>
    <t>StevanoviÄ‡ V; BlagojeviÄ‡ Z; PetkoviÄ‡ A; GliÅ¡iÄ‡ M; Sopta J; NikoliÄ‡ V; MilisavljeviÄ‡ M</t>
  </si>
  <si>
    <t>PURPOSE: It has been demonstrated that the semitendinosus tendon can regenerate after being harvested in its whole length and thickness for anterior cruciate ligament (ACL) reconstruction. Ultrasound studies and guided biopsies of the regenerated tendon have shown compatibility and resembling features of the normal tendon. The question is if this neo-tendon is biologically and functionally adequate for re-use? METHODS: Two randomised groups of 150 volunteers were followed up for two years after harvesting the semitendinosus only (25) or the semitendinosus and gracilis tendons (25) in ACL reconstruction. The patients were followed up with clinical and ultrasound examinations, biopsies and histological tests. Surgical exploration was done in three patients for macroscopic verification. The injected arteries of four lower limbs were dissected and the tendon's arterial supplies were examined. RESULTS: Seventy-two percent of the cases showed regeneration of the semitendinosus tendons. The neotendons were inserted mostly below the knee joint (83.3%) where they had fused with the gracilis tendon, and above the joint (60%) when the gracilis was harvested as well. The isokinetic strength of the hamstrings and quadriceps was not significantly diminished on the operated side. A macroscopic and histological analysis of the regenerated tendons demonstrates close resemblance to normal anatomy, with focal areas of fibrosis. In one patient the regenerated tendon was used for medial patellofemoral ligament reconstruction. CONCLUSION: The semitendinosus muscle can recover and the tendon has great potential to regenerate after harvesting for ACL reconstruction. Our data suggest that the regenerated tendons could be used for iterative ligament reconstruction.</t>
  </si>
  <si>
    <t>10.1007/s00264-013-2034-y</t>
  </si>
  <si>
    <t>#371</t>
  </si>
  <si>
    <t>StevanoviÄ‡ 2013</t>
  </si>
  <si>
    <t>Arthroscopically assisted ACL reconstruction. Is a drain necessary?</t>
  </si>
  <si>
    <t>Straw R; Colclough K; Geutjens GG</t>
  </si>
  <si>
    <t>We report on the results of a prospective randomised controlled trial to evaluate the use of an intra-articular drain following arthroscopically assisted ACL reconstruction using patellar tendon autograft. Forty-nine patients were recruited for the trial and randomised into receiving or not receiving a drain following surgery. An independent observer who was blinded for the use of the drain assessed the knees for swelling, range of movement (ROM) and pain at 2, 4 and 6 weeks postoperatively. Muscle strength was assessed at 12 weeks following surgery using the KIN COM III isometric dynamometer. We found that the knees that were drained following surgery initially had less swelling and a better ROM. However, at 4 weeks this difference had disappeared. At 3 and 6 months, there was no functional difference between the two groups. We recommend that no drain be used following ACL reconstruction as removal of the drain is uncomfortable and carries theoretical and avoidable risks.</t>
  </si>
  <si>
    <t>10.1016/s0968-0160(02)00150-3</t>
  </si>
  <si>
    <t>#593</t>
  </si>
  <si>
    <t>Straw 2003</t>
  </si>
  <si>
    <t>Reconstruction of the ACL with a semitendinosus tendon graft: a prospective randomized single blinded comparison of double-bundle versus single-bundle technique in male athletes.</t>
  </si>
  <si>
    <t>Streich NA; Friedrich K; Gotterbarm T; Schmitt H</t>
  </si>
  <si>
    <t>Anterior cruciate ligament (ACL) reconstruction in double-bundle technique is advocated to more closely restore the anatomy and function of the native ligament than conventional single-bundle technique. But up to now there are only a few clinical investigations comparing both techniques in a prospective manner. We hypothesized that double-bundle ACL reconstruction reveals superior clinical and subjective results compared to single-bundle technique in a high-demand collective. A total of 50 male patients (mean age 29.4 years) were prospectively randomized consecutively into one of the two reconstruction techniques. Group 1 (SB) underwent a 4-stranded single-bundle reconstruction with a ST graft in femoral position at 10:00 and 02:00 o'clock, respectively. In group 2 (DB), reconstruction was performed by using a 2-stranded ST graft with double-bundle, four tunnel technique. Before surgery and at a 2 year follow-up (range 23-25 months) patients were evaluated by the same blinded observer. There was no significant difference in the side-to-side anterior laxity-measurement with the KT-1000 between both groups. As evaluated by the pivot_shift, no significant correlation could be noted (Fisher exact test P = 0.098) between rotational stability and any of the both reconstruction techniques. However, the anterior and rotational stability improved significantly at 2-year follow-up compared to preoperatively (P = 0.003) in both groups. The statistical analysis showed a significant increase for the IKDC (subjective, objective) and the Lysholm Score at final follow-up among each single technique, while we found no significant difference between the two reconstruction methods. On the basis of our investigation, we conclude that reconstruction of the ACL by a double-bundle ST graft with an extracortical anchorage can achieve excellent clinical results. But in contrast to our initial hypothesis, we could not quote any significant advantages by creating two independent bundles. Reconstruction of the anterior cruciate ligament in conventional single-bundle technique with a more horizontal femoral tunnel placement obtains comparable clinical results in the present high-demand collective.</t>
  </si>
  <si>
    <t>10.1007/s00167-007-0480-z</t>
  </si>
  <si>
    <t>#514</t>
  </si>
  <si>
    <t>Streich 2008</t>
  </si>
  <si>
    <t>Comparison of intersegmental tibiofemoral joint forces and muscle activity during various closed kinetic chain exercises.</t>
  </si>
  <si>
    <t>Stuart MJ; Meglan DA; Lutz GE; Growney ES; An KN</t>
  </si>
  <si>
    <t>The purpose of this study was to analyze intersegmental forces at the tibiofemoral joint and muscle activity during three commonly prescribed closed kinetic chain exercises: the power squat, the front squat, and the lunge. Subjects with anterior cruciate ligament-intact knees performed repetitions of each of the three exercises using a 223-N (50-pound) barbell. The results showed that the mean tibiofemoral shear force was posterior (tibial force on femur) throughout the cycle of all three exercises. The magnitude of the posterior shear forces increased with knee flexion during the descent phase of each exercise. Joint compression forces remained constant throughout the descent and ascent phases of the power squat and the front squat. A net offset in extension for the moment about the knee was present for all three exercises. Increased quadriceps muscle activity and the decreased hamstring muscle activity are required to perform the lunge as compared with the power squat and the front squat. A posterior tibiofemoral shear force throughout the entire cycle of all three exercises in these subjects with anterior cruciate ligament-intact knees indicates that the potential loading on the injured or reconstructed anterior cruciate ligament is not significant. The magnitude of the posterior tibiofemoral shear force is not likely to be detrimental to the injured or reconstructed posterior cruciate ligament. These conclusions assume that the resultant anteroposterior shear force corresponds to the anterior and posterior cruciate ligament forces.</t>
  </si>
  <si>
    <t>10.1177/036354659602400615</t>
  </si>
  <si>
    <t>#666</t>
  </si>
  <si>
    <t>Stuart 1996</t>
  </si>
  <si>
    <t>Postoperative Pain Control After ACL Reconstruction With Semitendinosus Tendon Graft: A Randomized Controlled Trial Comparing Adductor Canal Block to Local Infiltration Analgesia.</t>
  </si>
  <si>
    <t>Sumanont S; Jaruwanneechai K; Wittayapairoj A; Apiwatanakul P; Boonrod A</t>
  </si>
  <si>
    <t>BACKGROUND: Both adductor canal block (ACB) and local infiltration (LI) are effective for postoperative pain management after arthroscopic-assisted anterior cruciate ligament (ACL) reconstruction (ACLR). While LI is a more straightforward procedure, its effectiveness remains debated. PURPOSE: To evaluate morphine consumption within 48 hours after ACLR with a semitendinosus tendon graft, comparing ACB and LI; secondary objectives: to evaluate pain levels, patient satisfaction, quadriceps strength, range of knee motion, and complications. STUDY DESIGN: Randomized controlled trial; Level of evidence, 1. METHODS: Patients undergoing primary ACLR with a semitendinosus tendon graft were randomized to receive either ACB (0.25% bupivacaine; 20 mL) or LI at the surgical wound, graft harvest area, and intra-articular injection. The LI group received morphine (3 mg), ketorolac (30 mg), and tranexamic acid (1 g). Morphine consumption within 48 hours was monitored using an intravenous patient-controlled analgesia device. RESULTS: A total of 48 patients were analyzed (n = 24 in each group); baseline characteristics were similar between groups. The LI group consumed significantly less morphine than the ACB group at 6 hours (median [interquartile range, IQR], 3 mg [0-4.8 mg] for the LI group vs 5.5 mg [2-9] for the ACB group; P = .003). However, no significant differences were observed in morphine consumption at other time points. Additionally, no significant difference was found in cumulative morphine consumption at 48 hours between the groups (median [IQR], 21.5 mg [11-34.5 mg] for the ACB group vs 16.5 mg [8.5-21.8 mg] for the LI group; P = .137). Postoperative pain scores, quadriceps strength, and patient satisfaction were similar between the 2 groups. CONCLUSION: Morphine consumption at 48 hours postoperatively was comparable between the LI and ACB groups, and no significant group differences were found in postoperative pain, quadriceps strength, or patient satisfaction. REGISTRATION: TCTR20190320003 (Thai Clinical Trial Registry).</t>
  </si>
  <si>
    <t>10.1177/23259671241292604</t>
  </si>
  <si>
    <t>#66</t>
  </si>
  <si>
    <t>Sumanont 2024</t>
  </si>
  <si>
    <t>[A prospective study of the anterior cruciate ligament reconstruction: allograft versus autograft].</t>
  </si>
  <si>
    <t>Sun K; Tang JW; Xu Q; Liu XY; Zhou LG; Hao YQ; Wang L; Sun YJ</t>
  </si>
  <si>
    <t>OBJECTIVE: To compare the clinical outcomes and differences of arthroscopic anterior cruciate ligament (ACL) reconstruction by using allografts and autografts. METHODS: Fifty-three patients with grade III ACL injuries were divided randomly into 2 groups. Twenty-five cases of group A with autografts of patellar bone-tendon-bone (B-PT-B;n = 15) and 4 strands of semitendinosus/gracilis (n = 10); 28 patients of group B with allografts of B-PT-B (n = 18), 4 strands of semitendinosus/2 strands of gracilis tendons (n = 6) and double tibialis posterior (n = 4) as well as Achilles bone-tendon (n = 2). All procedures were performed endoscopically by some surgeons. All patients were followed up for 12 to 31 months, average 19 months. RESULTS: There were statistically significant differences revealed in physical examination. IKDC and Lysholm-Tegner Score as well as KT-2000 testing was used preoperation and postoperation for both group, but there were no significant differences between the two groups except that group B had less time in operation and longer time in postoperative fever comparing with group A. (2-sample t test, P &lt; 0.05). The KT-2000 side to side difference less than 3 mm were 88% and 86% and more than 5 mm were 4% and 7.1% respectively. The infection rates were 0% and 3.5% for the two groups. CONCLUSION: The clinical outcomes of the allografts and autografts in ACL reconstruction is almost the same. Allografts are a reasonably alternative choice for ACL reconstruction in patients over middle ages and for multiple ligament surgery as well as revision procedures.</t>
  </si>
  <si>
    <t>#578</t>
  </si>
  <si>
    <t>Sun 2004</t>
  </si>
  <si>
    <t>Anterior cruciate ligament reconstruction with bone-patellar tendon-bone autograft versus allograft.</t>
  </si>
  <si>
    <t>Sun K; Tian SQ; Zhang JH; Xia CS; Zhang CL; Yu TB</t>
  </si>
  <si>
    <t>PURPOSE: The purpose of this study was to analyze the clinical outcome of arthroscopic anterior cruciate ligament (ACL) reconstruction with bone-patellar tendon-bone autograft versus allograft. METHODS: Between May 2000 and June 2004, 172 patients undergoing arthroscopic bone-patellar tendon-bone ACL reconstruction were prospectively randomized into autograft (n = 86) or allograft (n = 86) groups. The senior surgeon performed all operations using the same surgical technique. Each fixation was performed by means of an interference screw. Patients were evaluated preoperatively and postoperatively at follow-up. Of the patients, 156 (76 in the autograft group and 80 in the allograft group) were available for full evaluation. Evaluations included a detailed history, physical examination, functional knee ligament testing, KT-2000 arthrometer testing (MEDmetric, San Diego, CA), Harner's vertical jump and Daniel's 1-leg hop tests, Lysholm score, Tegner score, International Knee Documentation Committee standard evaluation form, Cincinnati knee score, and radiograph. RESULTS: Demographic data were comparable between groups. The mean follow-up was 5.6 years for both groups. There were no statistically significant differences according to evaluations of outcome between the 2 groups except that patients in the allograft group had a shorter operation time and longer fever time postoperatively compared with the autograft group. The postoperative infection rates were 0% and 1.25% for the autograft group and allograft group, respectively. There was a significant difference (P &lt; .05) in the development of osteoarthritis between the operated knee in comparison to the contralateral knee according to radiographs. However, no significant difference was found between the 2 groups at the final follow-up examination (P &gt; .05). CONCLUSIONS: Both groups of patients achieved almost the same satisfactory outcomes after a mean of 5.6 years of follow-up. Allograft is a reasonable alternative to autograft for ACL reconstruction. LEVEL OF EVIDENCE: Level II, prospective comparative study.</t>
  </si>
  <si>
    <t>10.1016/j.arthro.2008.12.023</t>
  </si>
  <si>
    <t>#473</t>
  </si>
  <si>
    <t>Sun 2009</t>
  </si>
  <si>
    <t>ACL reconstruction with BPTB autograft and irradiated fresh frozen allograft.</t>
  </si>
  <si>
    <t>OBJECTIVE: To analyze the clinical outcomes of arthroscopic anterior cruciate ligament (ACL) reconstruction with irradiated bone-patellar tendon-bone (BPTB) allograft compared with non-irradiated allograft and autograft. METHODS: All BPTB allografts were obtained from a single tissue bank and the irradiated allografts were sterilized with 2.5 mrad of irradiation prior to distribution. A total of 68 patients undergoing arthroscopic ACL reconstruction were prospectively randomized consecutively into one of the two groups (autograft and irradiated allograft groups). The same surgical technique was used in all operations done by the same senior surgeon. Before surgery and at the average of 31 months of follow-up (ranging from 24 to 47 months), patients were evaluated by the same observer according to objective and subjective clinical evaluations. RESULTS: Of these patients, 65 (autograft 33, irradiated allograft 32) were available for full evaluation. When the irradiated allograft group was compared to the autograft group at the 31-month follow-up by the Lachman test, the anterior drawer test (ADT), the pivot_shift test, and KT-2000 arthrometer test, statistically significant differences were found. Most importantly, 87.8% of patients in the autograft group and just only 31.3% in the irradiated allograft group had a side-to-side difference of less than 3 mm according to KT-2000. The failure rate of the ACL reconstruction with irradiated allograft (34.4%) was higher than that with autograft (6.1%). The anterior and rotational stabilities decreased significantly in the irradiated allograft group. According to the overall International Knee Documentation Committee (IKDC), functional and subjective evaluations, and activity level testing, no statistically significant differences were found between the two groups. Besides, patients in the irradiated allograft group had a shorter operation time and a longer duration of postoperative fever. When the patients had a fever, the laboratory examinations of all patients were almost normal. Blood routine was normal, the values of erythrocyte sedimentation rate (ESR) were 5~16 mm/h and the contents of C reactive protein (CRP) were 3-10 mg/L. CONCLUSION: We conclude that the short term clinical outcomes of the ACL reconstruction with irradiated BPTB allograft were adversely affected. The less than satisfactory results led the senior authors to discontinue the use of irradiated BPTB allograft in ACL surgery and not to advocate using the gamma irradiation as a secondary sterilizing method.</t>
  </si>
  <si>
    <t>J Zhejiang Univ Sci B</t>
  </si>
  <si>
    <t>10.1631/jzus.B0820335</t>
  </si>
  <si>
    <t>#482</t>
  </si>
  <si>
    <t>Anterior cruciate ligament reconstruction with BPTB autograft, irradiated versus non-irradiated allograft: a prospective randomized clinical study.</t>
  </si>
  <si>
    <t>Sun K; Tian S; Zhang J; Xia C; Zhang C; Yu T</t>
  </si>
  <si>
    <t>The effect of using gamma irradiation to sterilize bone-patellar tendon-bone (BPTB) allograft on the clinical outcomes of anterior cruciate ligament (ACL) reconstruction with irradiated allograft remains controversial. Our study was aimed to analyze the clinical outcomes of arthroscopic ACL reconstruction with irradiated BPTB allograft compared with non-irradiated allograft and autograft. All BPTB allografts were obtained from a single tissue bank and the irradiated allografts were sterilized with 2.5 Mrad of irradiation prior to distribution. A total of 102 patients undergoing arthroscopic ACL reconstruction were prospectively randomized consecutively into three groups. The same surgical technique was used in all operations done by the same senior surgeon. Before surgery and at the average of 31 months follow-up (range 24-47 months) patients were evaluated by the same observer according to objective and subjective clinical evaluations. Of these patients, 99 (autograft 33, non-irradiated allograft 34, irradiated allograft 32) were available for full evaluation. When compared the irradiated allograft group to non-irradiated allograft group or autograft group at 31 months follow-up by the Lachman test, ADT, pivot_shift test and KT-2000 arthrometer testing, statistically significant differences were found. Most importantly, 87.8% of patients in the Auto group, 85.3% in the Non-Ir-Auto group and just only 31.3% in the Ir-Allo group had a side-to-side difference of less than 3 mm according to KT-2000. The failure rate of the ACL reconstruction with irradiated allograft (34.4%) was higher than that with autograft (6.1%) and non-irradiated allograft (8.8%). The anterior and rotational stability decreased significantly in the irradiated allograft group. According to the overall IKDC, functional, subjective evaluations and activity level testing, no statistically significant differences were found between the three groups. However, there was a trend that the functional and activity level decreased and the patients felt uncomfortable more often in the irradiated allograft group. The statistical analysis showed no significant difference between the non-irradiated allograft group and the autograft group according to the aforementioned evaluations, except that patients in the allograft group had a shorter operation time and a longer duration of postoperative fever. When comparing the postoperative duration of fever of the two allograft groups, there was also a trend that the irradiated allograft group was longer than the non-irradiated allograft group, but no significant difference was found. When the patients had a fever, the laboratory examinations of all patients were almost normal (Blood routine was normal, the values of ESR were 5 - 16 mm/h, CRP were 3 - 10 mg/l). On the basis of our study, we concluded that patients undergoing ACL reconstruction with BPTB non-irradiated allograft or autograft had similar clinical outcomes. Non-irradiated BPTB allograft is a reasonable alternative to autograft for ACL reconstruction. While the short term clinical outcomes of the ACL reconstruction with irradiated BPTB allograft were adversely affected with an increased failure rate. The less than satisfactory results led the senior authors to discontinue the use of irradiated BPTB allograft in ACL surgery and not to advocate that gamma irradiation be used as a secondary sterilizing method. Further research into alternatives to gamma irradiation is needed.</t>
  </si>
  <si>
    <t>10.1007/s00167-008-0714-8</t>
  </si>
  <si>
    <t>#491</t>
  </si>
  <si>
    <t>Arthroscopic anterior cruciate ligament reconstruction with at least 2.5 years' follow-up comparing hamstring tendon autograft and irradiated allograft.</t>
  </si>
  <si>
    <t>Sun K; Zhang J; Wang Y; Xia C; Zhang C; Yu T; Tian S</t>
  </si>
  <si>
    <t>PURPOSE: To compare the clinical outcomes of arthroscopic anterior cruciate ligament (ACL) reconstruction with hamstring tendon autograft versus irradiated allograft. METHODS: All irradiated hamstring tendon allografts (gracilis and semitendinosus), which were sterilized with 2.5 Mrad of irradiation before distribution, were obtained from a single certified tissue bank. A total of 78 patients undergoing arthroscopic ACL reconstruction were prospectively randomized consecutively into 1 of 2 groups: autograft and irradiated allograft. The same surgical technique was used in all operations, which were performed by the same senior surgeon. Before surgery and at a mean of 42.2 months of follow-up, patients were evaluated by the same observer according to objective and subjective clinical evaluations. RESULTS: Of the patients, 67 (36 in autograft group and 31 in irradiated allograft group) were available for full evaluation. When the irradiated allograft group was compared with the autograft group at the final follow-up by the Lachman test, anterior drawer test, pivot-shift test, and KT-2000 arthrometer (MEDmetric, San Diego, CA) assessment, statistically significant differences were found (P = .00011, P = .00016, P = .008, and P = .00021, respectively). Most importantly, 86.1% of patients in the autograft group and only 32.3% in the irradiated allograft group had a side-to-side difference of less than 3 mm according to KT-2000 assessment. The rate of laxity (side-to-side difference &gt;5 mm) with irradiated allograft (32.3%) was higher than that with autograft (8.3%). The anterior and rotational stabilities decreased significantly in the irradiated allograft group. According to the overall International Knee Documentation Committee rating, functional and subjective evaluations, and activity level testing, no statistically significant differences were found between the 2 groups. However, patients in the irradiated allograft group had a shorter operative time and a longer duration of postoperative fever. When the patients had a fever, the laboratory examination findings of all patients were almost normal (white blood cell count, normal; erythrocyte sedimentation rate, 8 to 20 mm/h; and C-reactive protein level, 4 to 11 mg/L). CONCLUSIONS: The clinical outcome of ACL reconstruction with hamstring tendon autograft was satisfactory, whereas the difference in instrumented laxity between the 2 groups was significant and the difference in functional test results was not significant. LEVEL OF EVIDENCE: Level II, prospective comparative study.</t>
  </si>
  <si>
    <t>10.1016/j.arthro.2011.03.083</t>
  </si>
  <si>
    <t>#426</t>
  </si>
  <si>
    <t>Sun 2011</t>
  </si>
  <si>
    <t>Arthroscopic reconstruction of the anterior cruciate ligament with hamstring tendon autograft and fresh-frozen allograft: a prospective, randomized controlled study.</t>
  </si>
  <si>
    <t>BACKGROUND: Most studies of allograft versus autograft for anterior cruciate ligament reconstruction have been of bone-patellar tendon-bone; outcome reports evaluating anterior cruciate ligament reconstruction with hamstring tendon autograft versus allograft are rare. PURPOSE: This study was undertaken to compare the clinical outcome of arthroscopic anterior cruciate ligament reconstruction with hamstring tendon autograft versus allograft. STUDY DESIGN: Randomized controlled trial; Level of evidence, 2. METHODS: Between 2000 and 2004, 208 patients who met the inclusion and exclusion criteria of the study were prospectively randomized into autograft (n = 104) or allograft (n = 104) groups. All hamstring tendon allografts were fresh-frozen and obtained from a single certified tissue bank. All the operations were done by the same surgeon with the same surgical technique. Femoral and tibial fixation was by means of an EndoButton and a bioabsorbable interference screw augmented with a staple, respectively. Patients were evaluated preoperatively and postoperatively. Evaluations included detailed history, physical examination, functional knee ligament testing, KT-2000 arthrometer testing, Harner vertical jump and Daniel 1-legged hop tests, Lysholm score, Tegner score, the International Knee Documentation Committee (IKDC) standard evaluation form, Cincinnati knee score, and radiographs. RESULTS: Of these patients, 186 (autograft, n = 91; allograft, n = 95) were available for full evaluation. Demographic data were comparable between groups. The mean follow-up was 7.8 years for both groups. There were no statistically significant differences according to the evaluations of the outcome aforementioned between the 2 groups except that patients in the allograft group had a shorter operation time than the autograft group. Seven patients (7.7%) in the autograft group and 8 (8.4%) in the allograft group had a side-to-side difference &gt;5 mm. Eighty-five patients (93.4%) in the autograft group and 86 (90.5%) in the allograft group were normal or nearly normal according to the overall IKDC. According to the subjective IKDC, the average scores were 89 and 90 points, respectively, for the autograft and allograft groups. The mean Lysholm and Tegner scores were 89 points and 7.7 points, respectively, for the autograft group and 90 points and 7.6 points, respectively, for the allograft group. For the Cincinnati knee score, the average scores were 90 and 91 points, respectively, for the autograft and allograft groups. CONCLUSION: Both groups of patients achieved almost the same satisfactory outcome at an average of 7.8 years of follow-up. Fresh-frozen hamstring tendon allograft is a reasonable alternative choice to autograft for anterior cruciate ligament reconstruction.</t>
  </si>
  <si>
    <t>10.1177/0363546511400384</t>
  </si>
  <si>
    <t>#436</t>
  </si>
  <si>
    <t>A prospective randomized comparison of irradiated and non-irradiated hamstring tendon allograft for ACL reconstruction.</t>
  </si>
  <si>
    <t>Sun K; Zhang J; Wang Y; Zhang C; Xia C; Yu T; Tian S</t>
  </si>
  <si>
    <t>PURPOSE: To analyze the outcome of arthroscopic anterior cruciate ligament reconstruction with irradiated versus non-irradiated hamstring tendon allograft. METHODS: All hamstring tendon allografts were obtained from a single certified tissue bank, and the irradiated allografts were sterilized with 2.5 Mrad of irradiation prior to distribution. A total of 78 patients who met the inclusion and exclusion criteria of the study were prospectively randomized consecutively into two groups (Non-ir-Allo vs. Ir-Allo). All the operations were done by the same senior surgeon. Before surgery and at follow-up, patients were evaluated by the same observer according to clinical evaluations including the Lachman test, ADT, pivot_shift test, varus/valgus stress test, the instrumented KT-2000 arthrometer testing, vertical jump test, one-leg hop test, ROM of knee, Cincinnati knee score, IKDC Subjective Knee Form, Tegner activity score, modified Lysholm knee scoring scale, and the standard knee ligament evaluation form of the IKDC. RESULTS: Of these patients, 69 (Non-ir-Allo 38, Ir-Allo 31) were available for full evaluation. When compared the Ir-Allo group with Non-ir-Allo group at the final follow-up by Lachman test, ADT, pivot_shift test, and KT-2000 arthrometer testing, statistically significant differences were found (PÂ &lt;Â 0.05). Most importantly, 84% of patients in the Non-ir-Auto group and just only 32% in the Ir-Allo group had a side-to-side difference of less than 3Â mm according to KT-2000. The anterior and rotational stability decreased significantly in the Ir-Allo group. According to the overall IKDC, functional, subjective evaluations, and activity level testing, no statistically significant differences were found between the two groups (n.s.). As to the osteoarthritis (OA) rate, for the Non-ir-Allo group, there was no significant difference (n.s.) in development of OA between the operated knee and contralateral knee at the final follow-up. While for the Ir-Allo group, significant difference (PÂ &lt;Â 0.05) was found in development of OA between the operated knee and contralateral knee. There was statistical difference (PÂ &lt;Â 0.05) between the Non-ir-Allo and Ir-Allo groups when comparing the development of OA of the operated knees at the final follow-up. CONCLUSION: There was a significant difference in knee stability between the two groups (in favor of Non-ir-Allo), but no differences in functional scores should be pointed out clearly. LEVEL OF EVIDENCE: I.</t>
  </si>
  <si>
    <t>10.1007/s00167-010-1393-9</t>
  </si>
  <si>
    <t>#438</t>
  </si>
  <si>
    <t>Sun 2012</t>
  </si>
  <si>
    <t>Bioabsorbable Versus Titanium Screws in Anterior Cruciate Ligament Reconstruction Using Hamstring Autograft: A Prospective, Randomized Controlled Trial With 13-Year Follow-up.</t>
  </si>
  <si>
    <t>Sundaraj K; Salmon LJ; Heath EL; Winalski CS; Colak C; Vasanji A; Roe JP; Pinczewski LA</t>
  </si>
  <si>
    <t>BACKGROUND: Bioabsorbable screws for anterior cruciate ligament reconstruction (ACLR) have been a popular choice, with theoretical advantages in imaging and surgery. Titanium and poly-L-lactic acid with hydroxyapatite (PLLA-HA) screws have been compared, but with less than a decade of follow-up. PURPOSE/HYPOTHESIS: The purpose was to compare long-term outcomes of hamstring autograft ACLR using either PLLA-HA screws or titanium screws. We hypothesized there would be no difference at 13 years in clinical scores or tunnel widening between PLLA-HA and titanium screw types, along with high-grade resorption and ossification of PLLA-HA screws. STUDY DESIGN: Randomized controlled trial; Level of evidence, 1. METHODS: Forty patients undergoing ACLR were randomized to receive either a PLLA-HA screw or a titanium screw for ACL hamstring autograft fixation. Blinded evaluation was performed at 2, 5, and 13 years using the International Knee Documentation Committee score, Lysholm knee score, and KT-1000 arthrometer. Magnetic resonance imaging (MRI) was performed at 2 or 5 years and 13 years to evaluate tunnel volumes, ossification around the screw, graft integration, and cyst formation. Computed tomography (CT) of patients with PLLA-HA was performed at 13 years to evaluate tunnel volumes and intratunnel ossification. RESULTS: No differences were seen in clinical outcomes at 2, 5, or 13 years between the 2 groups. At 13 years, tibial tunnel volumes were smaller for the PLLA-HA group (2.17 cm(3)) compared with the titanium group (3.33 cm(3); P = .004). By 13 years, the PLLA-HA group had complete or nearly complete resorption on MRI or CT scan. CONCLUSION: Equivalent clinical results were found between PLLA-HA and titanium groups at 2, 5, and 13 years. Although PLLA-HA screws had complete or nearly complete resorption by 13 years, tunnel volumes remained largely unchanged, with minimal ossification.</t>
  </si>
  <si>
    <t>10.1177/0363546520911024</t>
  </si>
  <si>
    <t>#193</t>
  </si>
  <si>
    <t>Sundaraj 2020</t>
  </si>
  <si>
    <t>Double-bundle versus single-bundle anterior cruciate ligament reconstruction: randomized clinical and magnetic resonance imaging study with 2-year follow-up.</t>
  </si>
  <si>
    <t>Suomalainen P; Moisala AS; Paakkala A; Kannus P; JÃ¤rvelÃ¤ T</t>
  </si>
  <si>
    <t>BACKGROUND: One aspect of the debate over the reconstruction of the anterior cruciate ligament is whether it should be carried out with the single-bundle or double-bundle technique. HYPOTHESIS: The double-bundle technique results in fewer graft failures than the single-bundle technique in anterior cruciate ligament reconstruction. STUDY DESIGN: Randomized controlled trial; Level of evidence, 1. METHODS: A total of 153 patients were prospectively randomized into 2 groups of anterior cruciate ligament reconstruction with hamstring autografts using aperture interference screw fixation: single-bundle technique (SB group, n = 78) and double-bundle technique (DB group, n = 75). The evaluation methods were clinical examination, KT-1000 arthrometric measurement, the International Knee Documentation Committee (IKDC) and the Lysholm knee scores, and magnetic resonance imaging (MRI) evaluation. All of the operations were performed by 1 experienced orthopaedic surgeon, and all clinical assessments were made by 2 blinded and independent examiners. A musculoskeletal radiologist blinded to the clinical data made the MRI interpretation. RESULTS: There were no differences between the study groups preoperatively. Ninety percent of patients (n = 138) were available at a minimum 2-year follow-up (range, 24-37 months). Eight patients (7 in the SB group and 1 in the DB group) had graft failure during the follow-up and had anterior cruciate ligament revision surgery (P = .04). In addition, 7 patients (5 in the SB group and 2 in the DB group) had an invisible graft on the MRI assessment at the 2-year follow-up. Also, the anteromedial bundle was partially invisible in 2 patients and the posterolateral bundle in 9 patients. Together, the total number of failures and invisible grafts were significantly higher in the SB group (12 patients, 15%) than the DB group (3 patients, 4%) (P = .024). No significant group differences were found in the knee scores or stability evaluations at the follow-up. CONCLUSION: This 2-year randomized trial showed that the revision rate of the anterior cruciate ligament reconstruction was significantly lower with the double-bundle technique than that with the single-bundle technique. However, additional years of follow-up are needed to reveal the long-term results.</t>
  </si>
  <si>
    <t>10.1177/0363546511405024</t>
  </si>
  <si>
    <t>#435</t>
  </si>
  <si>
    <t>Suomalainen 2011</t>
  </si>
  <si>
    <t>Double-bundle versus single-bundle anterior cruciate ligament reconstruction: a prospective randomized study with 5-year results.</t>
  </si>
  <si>
    <t>Suomalainen P; JÃ¤rvelÃ¤ T; Paakkala A; Kannus P; JÃ¤rvinen M</t>
  </si>
  <si>
    <t>BACKGROUND: Surgical technique is essential in anterior cruciate ligament (ACL) reconstruction. PURPOSE: This randomized 5-year study tested the hypothesis that double-bundle ACL reconstruction with hamstring autografts and aperture screw fixation has fewer graft ruptures and rates of osteoarthritis (OA) and better stability than single-bundle reconstruction. STUDY DESIGN: Randomized controlled trial; Level of evidence, 1. METHODS: Ninety patients were randomized: double-bundle ACL reconstruction with bioabsorbable screw fixation (DB group; n = 30), single-bundle ACL reconstruction with bioabsorbable screw fixation (SBB group; n = 30), and single-bundle ACL reconstruction with metallic screw fixation (SBM group; n = 30). The following evaluation methods were used: clinical examination, KT-1000 arthrometer measurement, and International Knee Documentation Committee (IKDC) and Lysholm knee scores. Additionally, radiographic evaluation was made by a musculoskeletal radiologist who was unaware of the patients' clinical and surgical data. A single orthopaedic surgeon performed all the operations, and clinical follow-up assessments were made in a blinded manner by an independent examiner. RESULTS: Preoperatively, there were no differences between the groups. Eleven patients (7 in the SBB group, 3 in the SBM group, and 1 in the DB group) had a graft failure during the follow-up and went on to ACL revision surgery (P &lt; .043). Of the remaining 79 patients, a 5-year follow-up was performed for 65 patients (20 in the DB group, 21 in the SBB group, and 24 in the SBM group) who had their grafts intact. At 5 years, there was no statistically significant difference in the pivot-shift or KT-1000 arthrometer tests. In the DB group, 20% of the patients had OA in the medial femorotibial compartment and 10% in the lateral compartment, while the corresponding figures were 33% and 18% in the single-bundle groups, again an insignificant finding. Further, no significant group differences were found in the knee scores. CONCLUSION: The double-bundle surgery resulted in significantly fewer graft failures and subsequent revision ACL surgery than the single-bundle surgeries during the 5-year follow-up. Knee stability and OA rates were similar at 5 years. In view of the size of the groups, some caution should be exercised when interpreting the lack of difference in the secondary outcomes.</t>
  </si>
  <si>
    <t>10.1177/0363546512448177</t>
  </si>
  <si>
    <t>#413</t>
  </si>
  <si>
    <t>Suomalainen 2012</t>
  </si>
  <si>
    <t>Scheduled, Simultaneous Dosing of Pregabalin, Celecoxib, and Acetaminophen Markedly Reduces or Eliminates Opioid Use After ACL Reconstruction Using Allograft or Hamstring Tendon Autograft: A Randomized Clinical Trial.</t>
  </si>
  <si>
    <t>Swenson JD; Conrad KM; Pace NL; Phillips K; Saltzman CL</t>
  </si>
  <si>
    <t>BACKGROUND: Opioid analgesics continue to be prescribed after ambulatory surgery despite untoward adverse effects, risk of overdose, and association with substance use disorder. PURPOSE/HYPOTHESIS: The purpose was to investigate the use of a novel system to provide scheduled and simultaneous dosing of acetaminophen, celecoxib, and pregabalin after anterior cruciate ligament reconstruction (ACLR). It was hypothesized that this system would markedly reduce pain and opioid use compared with existing best practice. STUDY DESIGN: Randomized controlled trial; Level of evidence, 1. METHODS: Included were 100 patients scheduled for elective, primary ACLR using allograft or hamstring tendon autograft. Selection criteria included age between 18 and 65 years and weight between 65 and 120 kg. Exclusion criteria were a known allergy to any drug used in the study or the use of opioid analgesics before surgery. Patients in the intervention group received a blister pack with scheduled, simultaneous doses of acetaminophen, celecoxib, and pregabalin; patients were also given oxycodone 5 mg as needed for breakthrough pain. Patients in the control group were prescribed ibuprofen and oxycodone 5 mg/acetaminophen 325 mg as needed for pain. The primary outcome measure was pain. Secondary outcomes were nausea, itching, and daily oxycodone use. Patients were asked to quantify their average pain at rest, nausea, and itching on an 11-point verbal scale (from 0 to 10). These data were recorded for 6 days during daily telephone contacts with patients after hospital discharge. RESULTS: Cumulative results for 6 days showed significantly lower values in the intervention group compared with the control group for pain (median [interquartile range], 28 [14-35] vs 35 [28-41], respectively; P = .009) and oxycodone use (median [interquartile range] number of tablets, 0 [0-2] vs 8 [1.25-16], respectively; P &lt; .001). Based on these data, the upper tolerance limits for the number of oxycodone tablets required by 90% of patients in the intervention and control groups were 8 tablets and 30 tablets, respectively. Cumulative results for nausea and itching were also significantly lower for the intervention group. Most patients in the intervention group used no opioids during recovery. CONCLUSION: Simultaneous dosing of 3 nonopioid analgesics resulted in reduced postoperative pain and markedly lower opioid use. REGISTRATION: NCT04015908 (ClinicalTrials.gov identifier).</t>
  </si>
  <si>
    <t>10.1177/23259671221140837</t>
  </si>
  <si>
    <t>#112</t>
  </si>
  <si>
    <t>Swenson 2022</t>
  </si>
  <si>
    <t>The effects of a functional knee brace during early treatment of patients with a nonoperated acute anterior cruciate ligament tear: a prospective randomized study.</t>
  </si>
  <si>
    <t>Swirtun LR; Jansson A; RenstrÃ¶m P</t>
  </si>
  <si>
    <t>OBJECTIVE: To evaluate the effect of a functional knee brace on nonoperated acute anterior cruciate ligament (ACL)-deficient patients. DESIGN: : Prospective randomized clinical trial. SETTING: University clinic. PATIENTS: Ninety-five patients (18-50 years old) with an acute ACL tear were included in the present study. The subjects were randomized to either brace group, treated with functional bracing from the first testing session (&lt;5 weeks postinjury) to 12 weeks postinjury or a control group, treated without bracing. The patients were followed for 6 months. Twenty-one subjects were excluded due to the following exclusion criteria: partial rupture or articular cartilage injury shown on MRI or with arthroscopy, or other injuries that negatively affected rehabilitation, or dropped out due to surgery (n = 22), or personal reasons (n = 10). Forty-two patients remained in the study, 22 in the brace group and 20 in the control group. OUTCOME MEASUREMENTS: Visual analogue scale, Knee Osteoarthritis Outcome Score, Cincinnati knee score, a brace evaluation form, and muscle peak torque. RESULTS: When using the brace the subjects in the brace group experienced less (P = 0.047) sense of instability, evaluated with visual analogue scale, than the control group. However, bracing had no effect on any of the variables in Knee Osteoarthritis Outcome Score or Cincinnati knee score and no effect on quadriceps or hamstring muscle peak torque. Subjectively, the brace group experienced a positive effect of the brace on rehabilitation. CONCLUSIONS: Nonoperated acute ACL-deficient patients experienced a positive effect of the brace regarding sense of instability and rehabilitation. However, these findings were not supported by objective outcomes.</t>
  </si>
  <si>
    <t>10.1097/01.jsm.0000180018.14394.7e</t>
  </si>
  <si>
    <t>#561</t>
  </si>
  <si>
    <t>Swirtun 2005</t>
  </si>
  <si>
    <t>A comprehensive rehabilitation program with quadriceps strengthening in closed versus open kinetic chain exercise in patients with anterior cruciate ligament deficiency: a randomized clinical trial evaluating dynamic tibial translation and muscle function</t>
  </si>
  <si>
    <t>Tagesson S; Oberg B; Good L; Kvist J</t>
  </si>
  <si>
    <t>BACKGROUND: There is no consensus regarding the optimal rehabilitation regimen for increasing quadriceps strength after anterior cruciate ligament (ACL) injury. HYPOTHESIS: A comprehensive rehabilitation program supplemented with quadriceps strengthening in open kinetic chain (OKC) exercise will increase quadriceps strength and improve knee function without increasing static or dynamic sagittal tibial translation, compared with the same comprehensive rehabilitation program supplemented with quadriceps strengthening in closed kinetic chain (CKC) exercise, in patients with acute ACL deficiency. STUDY DESIGN: Randomized controlled trial; Level of evidence, 1. METHODS: Forty-two patients were tested a mean of 43 days (range, 20-96 days) after an ACL injury. Patients were randomized to rehabilitation with CKC quadriceps strengthening (11 men and 9 women) or OKC quadriceps strengthening (13 men and 9 women). Aside from these quadriceps exercises, the 2 rehabilitation programs were identical. Patients were assessed after 4 months of rehabilitation. Sagittal static translation and dynamic tibial translation were evaluated with a CA-4000 electrogoniometer. Muscle strength, jump performance, and muscle activation were also assessed. Functional outcome was evaluated by determining the Lysholm score and the Knee Injury and Osteoarthritis Outcome Score. RESULTS: There were no group differences in static or dynamic translation after rehabilitation. The OKC group had significantly greater isokinetic quadriceps strength after rehabilitation (P = .009). The hamstring strength, performance on the 1-repetition-maximum squat test, muscle activation, jump performance, and functional outcome did not differ between groups. CONCLUSIONS: Rehabilitation with OKC quadriceps exercise led to significantly greater quadriceps strength compared with rehabilitation with CKC quadriceps exercise. Hamstring strength, static and dynamic translation, and functional outcome were similar between groups. Patients with ACL deficiency may need OKC quadriceps strengthening to regain good muscle torque.</t>
  </si>
  <si>
    <t>10.1177/0363546507307867</t>
  </si>
  <si>
    <t>#518</t>
  </si>
  <si>
    <t>Tagesson 2008</t>
  </si>
  <si>
    <t>Tibial translation and muscle activation during rehabilitation exercises 5 weeks after anterior cruciate ligament reconstruction.</t>
  </si>
  <si>
    <t>Tagesson S; Oberg B; Kvist J</t>
  </si>
  <si>
    <t>The aim of this study was to compare different rehabilitation exercises with respect to dynamic anterior tibial translation and muscle activation 5 weeks after an anterior cruciate ligament (ACL) reconstruction. Another aim was to compare the ACL-reconstructed knee with the ACL-injured and the uninjured knees for differences in anterior tibial translation and muscle activation during the exercises. Sagittal tibial translation and muscle activation were measured during the Lachman test (static translation) and during seven rehabilitation exercises (dynamic translation) in 19 patients. Results obtained 5 weeks after ACL reconstruction were compared with those obtained before the ACL reconstruction (ACL-deficient and uninjured knee). After ACL reconstruction the seated knee extension produced more anterior tibial translation than the straight leg raise and standing on one leg. The ACL reconstruction reduced the static and the dynamic tibial translation and the tibial translations measured in ACL-reconstructed knees were similar to those measured in uninjured knees. After ACL reconstruction, the patients used a joint stiffening strategy that used more hamstring activation and reduced the dynamic tibial translation. Although all exercises tested are suitable for rehabilitation after ACL reconstruction, to protect the graft from excessive strain, the straight leg raise and squat on one leg are preferable for quadriceps training in the early phase of rehabilitation.</t>
  </si>
  <si>
    <t>10.1111/j.1600-0838.2009.00903.x</t>
  </si>
  <si>
    <t>#477</t>
  </si>
  <si>
    <t>Tagesson 2010</t>
  </si>
  <si>
    <t>Comparison of tunnel orientation between transtibial and anteromedial portal techniques for anatomic double-bundle anterior cruciate ligament reconstruction using 3-dimensional computed tomography.</t>
  </si>
  <si>
    <t>Takeda Y; Iwame T; Takasago T; Kondo K; Goto T; Fujii K; Naruse A</t>
  </si>
  <si>
    <t>PURPOSE: The aim of this study was to compare femoral and tibial tunnel placement, angle, and length between transtibial and anteromedial portal techniques for anatomic double-bundle anterior cruciate ligament (ACL) reconstruction. METHODS: Fifty patients were randomized to the 2 groups, and a femoral tunnel was created through the tibial tunnel (transtibial) and the far anteromedial portal (AMP) in 25 patients each. Both groups underwent anatomic double-bundle ACL reconstruction with hamstring tendons. Volume-rendering computed tomography (CT) was used to evaluate femoral and tibial tunnel placement, and transparent 3-dimensional CT image reconstruction, to evaluate tunnel angles, on the seventh postoperative day. Femoral tunnel length was measured intraoperatively. RESULTS: Anteromedial bundle (AMB) and posterolateral bundle (PLB) femoral tunnels were placed significantly lower and deeper with the AMP technique (shallow/deep direction: 21% and 30%, high/low direction: 18% and 48%) than with the transtibial technique (25% and 34%, 12% and 43%). Except for the tibial tunnel angle in the axial plane, AMB and PLB femoral and tibial tunnel angles differed significantly in 3 dimensions. AMB and PLB femoral tunnel lengths were significantly shorter with the AMP technique (AMB: 33 mm, PLB: 32 mm) than with the transtibial technique (AMB: 49 mm, PLB: 37 mm) (P &lt; .001 and PÂ =Â .001). Both femoral tunnel lengths in the AMP group correlated significantly with the tunnel angle in the sagittal (AMB: rÂ = 0.69, PLB: rÂ = 0.51) and axial (AMB: rÂ = 0.58, PLB: rÂ = 0.75) planes. CONCLUSIONS: AMB and PLB femoral tunnels were placed significantly deeper, lower, and closer to the femoral footprint reported in previous cadaveric studies in the anteromedial portal technique than in the transtibial technique. Femoral tunnel length was significantly shorter in the anteromedial portal group than in the transtibial group. LEVEL OF EVIDENCE: Level II, prospective comparative study.</t>
  </si>
  <si>
    <t>10.1016/j.arthro.2012.08.020</t>
  </si>
  <si>
    <t>#394</t>
  </si>
  <si>
    <t>patellar, hamstring</t>
  </si>
  <si>
    <t>Takeda 2013</t>
  </si>
  <si>
    <t>Tegner</t>
  </si>
  <si>
    <t>A prospective randomized controlled study of hamstring and bone-free quadriceps tendons autografts in arthroscopic ACL reconstruction.</t>
  </si>
  <si>
    <t>Tang N; Eren M; Gurpinar T; Ozturkmen Y</t>
  </si>
  <si>
    <t>Lachman, pivot_shift, instrumented_laxity</t>
  </si>
  <si>
    <t>Tegner, Lysholm, Lachman, instrumented_laxity</t>
  </si>
  <si>
    <t>IKDC, instrumented_laxity, pivot_shift</t>
  </si>
  <si>
    <t>Graft rupture</t>
  </si>
  <si>
    <t>INTRODUCTION: Anterior cruciate ligament (ACL) reconstruction is one of the most common surgical procedures worldwide. However, the ideal graft source is still debatable. This study compared hamstring (HT) and bone-free quadriceps (QT) tendon autografts in terms of muscle strength and patient-reported outcomes. METHODS: Between June 2018 and December 2019, 46 patients were enrolled in the study and randomly assigned to one of two groups for the ACL reconstruction surgery-the HT autograft group or the QT autograft group. An experienced examiner performed preoperative and postoperative examinations. The HUMAC NORM isokinetic machine (Computer Sports Medicine International-CSMI, 2004) was used to assess flexor and extensor thigh muscle strength. Both groups received the same surgical technique and fixation method. All patients were examined after three, six, nine, and 12Â months. The final evaluations were performed at the 24-month follow-up. Patients' scores on the International Knee Documentation Committee (IKDC) evaluation form and the Lysholm Knee Scoring Scale were used to evaluate patient-reported outcomes. The two groups were also compared in terms of postoperative complications and activity levels. RESULTS: The difference between preoperative and postoperative knee flexor peak torques (FPT) was lower in the QT group than in the HT group. The average difference between preoperative and postoperative knee extensor peak torque (EPT) was higher in the QT group than in the HT group. As a result, the HT group had a lower postoperative H/Q ratio (flexor strength normalized to body mass divided by extensor strength normalized to body mass) than the QT group (pâ€‰&lt;â€‰0.001). The mean IKDC scores for the HT and QT groups were 90.13â€‰Â±â€‰6.99 and 87.12â€‰Â±â€‰6.61, respectively. The scores of the two groups postoperatively were close, and both groups showed significant improvement. The average graft size in the QT group was significantly greater than that in the HT group. Saphenous nerve palsy was the most common complication in the HT group (22%). Thigh hematomas were observed in two patients in the QT group and required urgent intervention (12%). CONCLUSION: After ACL reconstruction, we found a significant decrease in strength at the donor sites in both techniques, with similar patient-reported measures and stability outcomes. The H/Q strength ratio was higher in the QT group postoperatively, which may have a protective effect on the reconstructed ligament. Level of Evidence I It is a randomized controlled trial.</t>
  </si>
  <si>
    <t>#96</t>
  </si>
  <si>
    <t>Influence of medial hamstring tendon harvest on knee flexor strength after anterior cruciate ligament reconstruction. A detailed evaluation with comparison of single- and double-tendon harvest.</t>
  </si>
  <si>
    <t>Tashiro T; Kurosawa H; Kawakami A; Hikita A; Fukui N</t>
  </si>
  <si>
    <t>IKDC, Lysholm, Lachman, pivot_shift, instrumented_laxity</t>
  </si>
  <si>
    <t>patellar, quadriceps</t>
  </si>
  <si>
    <t>BACKGROUND: The advantages of hamstring tendon autografts for anterior cruciate ligament reconstruction are well known; however, concerns have arisen regarding the influence of hamstring tendon harvest on postoperative weakness in knee flexion. PURPOSE: To evaluate the influence of hamstring tendon harvest on knee flexion strength in patients undergoing anterior cruciate ligament reconstruction. STUDY DESIGN: Prospective randomized study. METHODS: Ninety patients were randomly assigned at surgery to undergo anterior cruciate ligament reconstruction with either a semitendinosus tendon autograft or a semitendinosus and gracilis tendon autograft. Quadriceps and hamstring muscle strength was tested before surgery and at 6, 12, and 18 months after surgery. RESULTS: There was no significant difference in clinical results between the groups and neither group showed a significant decrease in isokinetic hamstring muscle strength. However, when the subjects' knees were at positions of 70 degrees or more of flexion, both isokinetic and isometric measurements revealed a significant decrease in hamstring muscle strength in both groups. The strength in the group with semitendinosus and gracilis tendons was considerably less than that in the group with semitendinosus tendon alone at 18 months. CONCLUSIONS: Tendon harvest causes significant weakness of hamstring muscle strength at high knee flexion angles, but such weakness can be minimized if the gracilis tendon is preserved.</t>
  </si>
  <si>
    <t>IKDC, Lysholm, Tegner, instrumented_laxity, Graft rupture</t>
  </si>
  <si>
    <t>IKDC, Tegner, instrumented_laxity, pivot_shift, Lachman</t>
  </si>
  <si>
    <t>10.1177/31.4.522</t>
  </si>
  <si>
    <t>hamstring, peroneus</t>
  </si>
  <si>
    <t>IKDC, instrumented_laxity, pivot_shift, Graft rupture</t>
  </si>
  <si>
    <t>instrumented_laxity, IKDC, Tegner, Lysholm</t>
  </si>
  <si>
    <t>#595</t>
  </si>
  <si>
    <t>hamstring, tibialis</t>
  </si>
  <si>
    <t>Tashiro 2003</t>
  </si>
  <si>
    <t>IKDC, Tegner</t>
  </si>
  <si>
    <t>Anatomic single- and double-bundle ACL reconstruction both restore dynamic knee function: a randomized clinical trial-part II: knee kinematics.</t>
  </si>
  <si>
    <t>Tashman S; Zandiyeh P; Irrgang JJ; Musahl V; West RV; Shah N; Fu FH</t>
  </si>
  <si>
    <t>Lysholm, IKDC, Lachman, pivot_shift</t>
  </si>
  <si>
    <t>hamstring, quadriceps</t>
  </si>
  <si>
    <t>IKDC, instrumented_laxity</t>
  </si>
  <si>
    <t>PURPOSE: Compare side-to-side differences for knee kinematics between anatomic single-bundle (SB) and anatomic double-bundle (DB) ACLR during downhill running at 6 and 24Â months post ACLR using high-accuracy dynamic stereo X-ray imaging. It was hypothesized that anatomic DB ACLR would better restore tibio-femoral kinematics compared to SB ACLR, based on comparison to the contralateral, uninjured knee. METHODS: Active individuals between 14 and 50Â years of age that presented within 12Â months of injury were eligible to participate. Individuals with prior injury or surgery of either knee, greater than a grade 1 concomitant knee ligament injury, or ACL insertion sites less than 14Â mm or greater than 18Â mm were excluded. Subjects were randomized to undergo SB or DB ACLR with a 10Â mm-wide quadriceps tendon autograft harvested with a patellar bone block and were followed for 24Â months. Dynamic knee function was assessed during treadmill downhill running using a dynamic stereo X-ray tracking system at 6 and 24Â months after surgery. Three-dimensional tibio-femoral kinematics were calculated and compared between limbs (ACLR and uninjured contralateral) at each time point. RESULTS: Fifty-seven subjects were randomized (29Â DB) and 2-year follow-up was attained from 51 (89.5%). No significant differences were found between SB and DB anatomic ACLR for any of the primary kinematic variables. CONCLUSIONS: Contrary to the study hypothesis, double-bundle reconstruction did not show superior kinematic outcomes compared to the single-bundle ACLR. While neither procedure fully restored normal knee kinematics, both anatomic reconstructions were similarly effective for restoring near-normal dynamic knee function. The findings of this study indicate both SB and DB techniques can be used for patients with average size ACL insertion sites. LEVEL OF EVIDENCE: Level I.</t>
  </si>
  <si>
    <t>Tegner, Lysholm, instrumented_laxity, Lachman</t>
  </si>
  <si>
    <t>10.1007/s00167-021-06479-x</t>
  </si>
  <si>
    <t>#165</t>
  </si>
  <si>
    <t>Tashman 2021</t>
  </si>
  <si>
    <t>IKDC, instrumented_laxity, pivot_shift, Lachman</t>
  </si>
  <si>
    <t>Patellar tendon versus hamstring tendon autografts for anterior cruciate ligament reconstruction: a randomized controlled trial using similar femoral and tibial fixation methods.</t>
  </si>
  <si>
    <t>Taylor DC; DeBerardino TM; Nelson BJ; Duffey M; Tenuta J; Stoneman PD; Sturdivant RX; Mountcastle S</t>
  </si>
  <si>
    <t>IKDC, Lysholm, pivot_shift, Lachman</t>
  </si>
  <si>
    <t>IKDC, Tegner, Lysholm, instrumented_laxity, pivot_shift</t>
  </si>
  <si>
    <t>Tegner, instrumented_laxity, pivot_shift</t>
  </si>
  <si>
    <t>instrumented_laxity, Tegner</t>
  </si>
  <si>
    <t>BACKGROUND: Controversy remains over the most appropriate graft for anterior cruciate ligament reconstruction. HYPOTHESIS: There is no significant difference in outcomes after 4-strand hamstring and patellar tendon autograft anterior cruciate ligament reconstructions using similar fixation techniques. STUDY DESIGN: Randomized controlled trial; Level of evidence, 1. METHODS: Between August 2000 and May 2003, 64 Keller Army Hospital patients with complete anterior cruciate ligament tears were randomized to hamstring (n = 32) or patellar tendon (n = 32) autograft anterior cruciate ligament reconstruction. Operative graft fixation and rehabilitative techniques were the same for both groups. Follow-up assessments included the Single Assessment Numeric Evaluation score, Lysholm score, International Knee Documentation Committee score, and Knee Injury and Osteoarthritis Outcome Score. Postoperative radiographs were analyzed for tunnel location and orientation. RESULTS: Eleven women and 53 men were randomized. Eighty-three percent of the patients (53 of 64) had follow-up of greater than 2 years, or to the point of graft rupture or removal (average follow-up, 36 months). Four hamstring grafts (12.5%) and three patellar tendon grafts (9.4%) (P = .71) ruptured. One deep infection in a hamstring graft patient necessitated graft removal. Forty-five of the 56 patients with intact grafts had greater than 2-year follow-up. Patients with patellar tendon grafts had greater Tegner activity scores (P = .04). Single Assessment Numeric Evaluation scores were 88.5 (95% confidence interval: 83.1, 93.8) and 90.1 (95% confidence interval: 85.2, 96.1) for the hamstring and patellar tendon groups, respectively (P = .53). Lysholm scores were 90.3 (95% confidence interval: 84.4, 96.1) and 90.4 (95% confidence interval: 84.5, 96.3) for the hamstring and patellar tendon groups, respectively (P = .97). There were no significant differences in knee laxity, kneeling pain, isokinetic peak torque, International Knee Documentation Committee score, or Knee Injury and Osteoarthritis Outcome Scores. Postoperative graft rupture correlated with more horizontal tibial tunnel orientation. CONCLUSION: Hamstring and patellar tendon autografts provide similar objective, subjective, and functional outcomes when assessed at least 2 years after anterior cruciate ligament reconstruction.</t>
  </si>
  <si>
    <t>IKDC, Lysholm, instrumented_laxity</t>
  </si>
  <si>
    <t>Lachman, Lysholm, instrumented_laxity, pivot_shift</t>
  </si>
  <si>
    <t>#470</t>
  </si>
  <si>
    <t>Efficacy of peri-articular and peri-hamstring injections for post-operative pain management in anterior cruciate ligament reconstruction with hamstring autograft: a double-blinded, randomized controlled trial.</t>
  </si>
  <si>
    <t>Lachman, pivot_shift, instrumented_laxity, Lysholm, Tegner</t>
  </si>
  <si>
    <t>Thamrongskulsiri N; Chancharoenchai P; Tanpowpong T; Kuptniratsaikul S; Itthipanichpong T; Limskul D</t>
  </si>
  <si>
    <t>Lysholm, instrumented_laxity</t>
  </si>
  <si>
    <t>IKDC, Lysholm</t>
  </si>
  <si>
    <t>instrumented_laxity, pivot_shift, Lachman, IKDC, Tegner, Lysholm</t>
  </si>
  <si>
    <t>instrumented_laxity, pivot_shift, IKDC, Lysholm</t>
  </si>
  <si>
    <t>IKDC, Tegner, Lysholm, instrumented_laxity</t>
  </si>
  <si>
    <t>IKDC, Tegner, Lysholm, instrumented_laxity, Lachman</t>
  </si>
  <si>
    <t>OBJECTIVES: This study aimed to evaluate the efficacy of combining multimodal cocktail drug local injection with adductor canal block versus adductor canal block alone for postoperative pain management following anterior cruciate ligament (ACL) reconstruction with hamstring autograft. METHODS: A randomized controlled trial was conducted with 40 patients undergoing ACL reconstruction. Participants were assigned to two groups: one received a multimodal cocktail drug injection into the peri-articular and peri-hamstring regions combined with an adductor canal block (study group), while the other received only the adductor canal block (control group). Pain was assessed using the numeric rating scale (NRS) overall and at the posteromedial thigh. Additional data included morphine consumption, postoperative nausea and vomiting (PONV), knee range of motion, and patient-reported outcomes. Statistical comparisons were performed using the unpaired t-test or Mann-Whitney U test, as appropriate, with significance set at PÂ â€‹&lt;Â â€‹0.05. RESULTS: The multimodal cocktail group reported statistically significantly lower overall NRS pain scores at 6, 12, and 24Â â€‹h postoperatively compared to the control group (PÂ â€‹&lt;Â â€‹0.001 for all). At the posteromedial thigh, NRS scores were statistically significantly lower at 6 and 12Â â€‹h (PÂ â€‹&lt;Â â€‹0.001) but not at 24Â â€‹h or later time points. Morphine consumption was statistically significantly lower in the multimodal cocktail group at 12 and 24Â â€‹h (PÂ â€‹=Â â€‹0.004 and PÂ â€‹=Â â€‹0.008, respectively), and PONV scores were reduced (PÂ â€‹=Â â€‹0.04). No statistically significant differences were observed between the groups in knee flexion (PÂ â€‹=Â â€‹0.656) or patient-reported outcomes at 6 weeks (PÂ â€‹&gt;Â â€‹0.05). CONCLUSIONS: The findings of this study suggest that multimodal cocktail injections may enhance early postoperative pain control, reduce opioid consumption, and minimize PONV without compromising short-term functional recovery. These findings support its potential role in pain management following ACL reconstruction, though larger studies are warranted to confirm these results. LEVEL OF EVIDENCE: Level I - randomized controlled trial.</t>
  </si>
  <si>
    <t>IKDC, Tegner, instrumented_laxity, pivot_shift</t>
  </si>
  <si>
    <t>IKDC, Tegner, Lysholm, instrumented_laxity, pivot_shift, Graft rupture</t>
  </si>
  <si>
    <t>10.1016/j.jisako.2025.100842</t>
  </si>
  <si>
    <t>#57</t>
  </si>
  <si>
    <t>IKDC, Lysholm, instrumented_laxity, Lachman</t>
  </si>
  <si>
    <t>Thamrongskulsiri 2025</t>
  </si>
  <si>
    <t>instrumented_laxity, IKDC</t>
  </si>
  <si>
    <t>Anterior cruciate ligament reconstruction with the patellar tendon--augmentation or not? A 2-year follow-up of 82 patients.</t>
  </si>
  <si>
    <t>Thuresson P; Sandberg R; Johansson O; Balkfors B; Westlin N</t>
  </si>
  <si>
    <t>instrumented_laxity, pivot_shift, Lachman, IKDC, Lysholm, Tegner</t>
  </si>
  <si>
    <t>The aim of this bi-centre study was to assess the possible effects of the addition of the Kennedy ligament augmentation device (LAD) in the reconstruction of the anterior cruciate ligament (ACL). The method of reconstruction used was a modification of the BrÃ¼ckner and BrostrÃ¶m procedures, using the medial third of the patellar tendon tunnelled through the proximal tibia into the lateral femoral condyle and fastened with pull-out sutures. Eighty-two patients with chronic ACL insufficiency and severe symptoms of instability in spite of physiotherapy were randomly selected for reconstruction with or without a LAD. The LAD-augmented knees had the synthetic augmentation stitched to and embedded into the autogenous tissue and the composite graft was pulled through a femoral tunnel and stapled proximally. The patients were followed up regularly and the 2-year results are presented here. The outcome in both groups was good. The augmented-knee group had a larger extension deficit 1 month post-operatively compared to the non-augmented knee group but a smaller extension deficit at the 2-year follow-up. There was no difference in the median of the Lysholm knee function score but there were more patients in the non-augmented group with a lower Lysholm knee function score at the 2-year follow-up.</t>
  </si>
  <si>
    <t>instrumented_laxity, Lachman, Graft rupture</t>
  </si>
  <si>
    <t>10.1111/j.1600-0838.1996.tb00099.x</t>
  </si>
  <si>
    <t>IKDC, Tegner, Lysholm, instrumented_laxity, Lachman, Graft rupture</t>
  </si>
  <si>
    <t>hamstring, Achilles</t>
  </si>
  <si>
    <t>Lachman, IKDC, Tegner, Lysholm, instrumented_laxity, pivot_shift, Graft rupture</t>
  </si>
  <si>
    <t>#669</t>
  </si>
  <si>
    <t>Thuresson 1996</t>
  </si>
  <si>
    <t>[A prospective study on anterior cruciate ligament reconstruction with patellar tendon autograft versus gamma irradiated allograft].</t>
  </si>
  <si>
    <t>Tian S; Zhang J; Wang Y; Sun K; Xia C; Yu T; Zhang C</t>
  </si>
  <si>
    <t>Lysholm, Tegner, instrumented_laxity, pivot_shift, Lachman</t>
  </si>
  <si>
    <t>IKDC, Lysholm, instrumented_laxity, pivot_shift, Lachman</t>
  </si>
  <si>
    <t>IKDC</t>
  </si>
  <si>
    <t>patellar, hamstring, quadriceps</t>
  </si>
  <si>
    <t>IKDC, instrumented_laxity, Graft rupture</t>
  </si>
  <si>
    <t>OBJECTIVE: To analyze the stability and clinical outcomes of arthroscopic anterior cruciate ligament (ACL) reconstruction with gamma irradiated patellar tendon allograft compared with autograft. METHODS: From January 2004 to October 2007, 69 patients undergoing arthroscopic ACL reconstruction were prospectively randomized consecutively into two groups: group A (autograft, n=36) and group B (gamma irradiated allograft, n=33). In group A, there were 30 males and 6 females with an average age of 30.1 years, including 30 cases of simple ACL rupture and 6 cases of ACL rupture with medial accessory ligament injury; ACL rupture was caused by sports in 28 cases, by traffic accident in 5 cases, and by others in 3 cases; and the time from injury to operation was 1.4 months on average. In group B, there were 26 males and 7 females with an average age of 32.5 years, including 27 cases of simple ACL rupture and 6 cases of ACL rupture with medial accessory ligament injury; ACL rupture was caused by sports in 27 cases, by traffic accident in 4 cases, and by others in 2 cases; and the time from injury to operation was 1.5 months on average. There were no significant differences in general data between two groups (P &gt; 0.05). The same arthroscopic technique was used in all ACL reconstructions done by the same surgeon. The clinical outcome was evaluated and compared by general conditions, pivot_shift test, Lachman test, KT-2000 arthrometer testing, Daniel's one-leg hop test, International Knee Documental Committee (IKDC) scoring, Lysholm knee scoring scale, and Tegner activity score. RESULTS: All patients were followed up for 39.5 months (group A) and 37.6 months (group B). In group A, patella fracture occurred in 1 case and anterior knee pain in 2 cases postoperatively. No complication occurred in group B. The hospitalization times in groups A and B were (15.6 +/- 2.4) days and (15.5 +/- 1.5) days, respectively, showing no significant difference (P &gt; 0.05). The operation time of group A was longer than that of group B and the fever time of group A was shorter than that of group B, showing significant differences (P &lt; 0.05). At the final follow-up, there were significant differences (P &lt; 0.05) in Lachman test and the pivot_shift test between two groups, between pre- and post-operation; there. were no significant differences (P &gt; 0.05) in Daniel's one-leg hop test, the IKDC, Lysholm, and Tegner activity scores between two groups, however, there was a decreased trend in the functional and activity levels in group B. And there was significant difference between pre- and post-operation (P &lt; 0.05). At the final follow-up, the differences between normal side and affected side were (2.4 +/- 0.6) mm in group A and (5.5 +/- 3.6) mm in group B, showing significant difference (P &lt; 0.05). There was significant difference in tibial advancement between pre- and post-operation (P &lt; 0.05). CONCLUSION: The functional and activity level of the knee after ACL reconstruction with autograft and gamma irradiated patellar tendon allograft were similar, but anterior and rotational stability of the involved knee decreases significantly in the group with gamma irradiated patellar tendon allograft.</t>
  </si>
  <si>
    <t>#453</t>
  </si>
  <si>
    <t>Tian 2010</t>
  </si>
  <si>
    <t>Irradiated Hamstring Tendon Allograft Versus Autograft for Anatomic Double-Bundle Anterior Cruciate Ligament Reconstruction: Midterm Clinical Outcomes.</t>
  </si>
  <si>
    <t>Tian S; Wang B; Liu L; Wang Y; Ha C; Li Q; Yang X; Sun K</t>
  </si>
  <si>
    <t>IKDC, Tegner, Lysholm, instrumented_laxity, pivot_shift, Lachman, Graft rupture</t>
  </si>
  <si>
    <t>Lysholm, instrumented_laxity, pivot_shift, Lachman</t>
  </si>
  <si>
    <t>Tegner, Lysholm, instrumented_laxity, pivot_shift, Lachman</t>
  </si>
  <si>
    <t>BACKGROUND: Most studies on grafts for anterior cruciate ligament (ACL) reconstruction (ACLR) have been of autografts or nonirradiated allografts with a single-bundle (SB) technique. Outcome reports evaluating anatomic double-bundle (DB) ACLR with a hamstring tendon autograft versus irradiated allograft are rare. PURPOSE: To compare the clinical outcomes of arthroscopic anatomic DB ACLR with a hamstring tendon autograft versus irradiated allograft. STUDY DESIGN: Randomized controlled trial; Level of evidence, 2. METHODS: Between 2008 and 2009, a total of 107 patients undergoing arthroscopic DB ACLR were prospectively randomized consecutively into 1 of 2 groups (autograft [Auto] group and irradiated allograft [Ir-Allo] group). All the surgical procedures were performed by the same senior surgeon using the DB reconstruction technique. All irradiated hamstring tendon allografts were sterilized with 2.5 Mrad of irradiation before distribution and were obtained from a single certified tissue bank. Graft fixation on the femoral side was by an Endobutton, and on the tibial side by a bioabsorbable interference screw augmented with a staple. The same rehabilitation protocol was applied to all patients. Before surgery and at a mean of 6.9 years of follow-up, patients were evaluated by the same observer according to objective and subjective clinical evaluations including detailed history, physical examination, radiography, functional knee ligament testing, KT-2000 arthrometer testing, Harner vertical jump and Daniel 1-legged hop tests, Lysholm score, Tegner score, International Knee Documentation Committee (IKDC) standard evaluation form, and Cincinnati knee score. RESULTS: A total of 83 patients (Auto: n = 40 [mean age, 29.2 Â± 6.9 years]; Ir-Allo: n = 43 [mean age, 28.6 Â± 7.2 years]) fulfilled follow-up and clinical evaluations. No significant differences were found between the 2 groups according to the overall IKDC functional and subjective evaluations as well as testing of activity levels. Significant between-group differences were found when comparing the results at final follow-up according to the Lachman test, anterior drawer test, pivot-shift test, and KT-2000 arthrometer measurements (P &lt; .001). Most importantly, 87.5% of patients in the Auto group and 34.9% in the Ir-Allo group had a side-to-side difference &lt;3 mm. The rate of laxity (side-to-side difference &gt;5 mm) with an irradiated allograft (30.2%) was higher than that with an autograft (7.5%) (P &lt; .001). The failure rate in the Ir-Allo group (30.2%) was higher than that in the Auto group (7.5%) (P &lt; .001). Anterior and rotational stability decreased significantly in the Ir-Allo group; patients in the Ir-Allo group also had a shorter operation time. There were 10.0% (4/40) of patients in the Auto group and 32.6% (19/43) of patients in the Ir-Allo group who had arthritic progression (P &lt; .05). CONCLUSION: There were no significant differences in postoperative activity levels and functional outcomes between the Auto and Ir-Allo groups. However, a significant increase in anterior and rotational laxity in the Ir-Allo group was found according to evaluations. We do not advocate an irradiated hamstring tendon allograft for DB ACLR. TRIAL REGISTRATION: Clinical Trial Register System of The Affiliated Hospital of Qingdao University (qdfy-ky2008-12).</t>
  </si>
  <si>
    <t>10.1177/0363546516655333</t>
  </si>
  <si>
    <t>#294</t>
  </si>
  <si>
    <t>Tian 2016</t>
  </si>
  <si>
    <t>Anatomic Double-Bundle Anterior Cruciate Ligament Reconstruction With a Hamstring Tendon Autograft and Fresh-Frozen Allograft: A Prospective, Randomized, and Controlled Study.</t>
  </si>
  <si>
    <t>Tian S; Wang Y; Wang B; Liu L; Ha C; Li Q; Sun K</t>
  </si>
  <si>
    <t>PURPOSE: To compare the clinical outcome of anatomic double-bundle (DB) anterior cruciate ligament (ACL) reconstruction with a hamstring tendon autograft versus fresh-frozen allograft. METHODS: Between January 2010 and December 2011, in a prospective randomized study, we included 157 patients who were planned to receive anatomic DB ACL reconstruction with a hamstring tendon autograft or fresh-frozen allograft. All surgeries were performed by the same senior surgeon with the DB reconstruction technique. The fixation of femoral side grafts was by means of an EndoButton, and the tibial side grafts were fixed with a bioabsorble interference screw augmented with a staple. The same rehabilitation protocol was applied to all the patients. Patients were evaluated preoperatively and at the follow-up points. Evaluations included detailed history, physical examination, radiograph, functional knee ligament testing, KT-2000 arthrometer testing, Harner's vertical jump and Daniel's one-leg hop tests, Lysholm score, Tegner score, the International Knee Documentation Committee (IKDC) standard evaluation form, and Cincinnati knee score. RESULTS: One hundred and twenty-one patients (Auto, 62; Allo, 59) fulfilled complete follow-up and got full clinical evaluations. The mean follow-up was 4.6Â years (4.0 to 5.5Â years) for both groups. No significant differences were found between the 2 groups according to the evaluations aforementioned except that patients in the Allo group had shorter operation time compared with the Auto group (PÂ = .001). Fifty-three (85.5%) patients in the Auto group and 50 (84.7%) patients in the Allo group had a side-to-side difference of less than 3Â mm. Four (6.5%) patients in the Auto group and 4 (6.8%) patients in the Allo group had a side-to-side difference of more than 5Â mm. Fifty-nine (95.8%) patients in the Auto group and 55 (93.2%) patients in the Allo group were normal or nearly normal according to the overall IKDC. According to the subjective IKDC, the average scores were 90 and 89 points, respectively, for the Auto and Allo groups. The mean Lysholm and Tegner scores were 90 points and 7.9 points for the Auto group, respectively, and 89 points and 7.8 points for the Allo group, respectively. For the Cincinnati knee score, the average scores were 91 and 90 points, respectively, for the Auto and Allo groups. A total of 11.3% (7 of 62) of patients in the Auto group and 11.9% (7 of 59) of patients in the Allo group had an arthritic progression. There was no statistical difference between the 2 groups at the final follow-up. CONCLUSIONS: With the anatomic DB ACL reconstruction technique, comparable objective and subjective clinical results can be achieved with the use of a fresh-frozen hamstring tendon allograft compared with an autograft. LEVEL OF EVIDENCE: Level II, prospective randomized clinical trial.</t>
  </si>
  <si>
    <t>10.1016/j.arthro.2016.04.013</t>
  </si>
  <si>
    <t>#301</t>
  </si>
  <si>
    <t>Arthroscopic anatomic double-bundle ACL reconstruction using irradiated versus non-irradiated hamstring tendon allograft.</t>
  </si>
  <si>
    <t>Tian S; Ha C; Wang B; Wang Y; Liu L; Li Q; Yang X; Sun K</t>
  </si>
  <si>
    <t>PURPOSE: To analyse the clinical outcome of anatomic double-bundle anterior cruciate ligament (ACL) reconstruction with irradiated versus non-irradiated hamstring allograft. METHODS: One hundred and twelve patients who met the inclusion and exclusion criteria of the study were prospectively randomized consecutively into irradiated hamstring tendon allograft (Ir-Allo) group and non-irradiated allograft (Non-ir-Allo) group. All surgeries were done by the same senior surgeon with double-bundle reconstruction technique. Before surgery and at follow-up points, patients were evaluated by the same observer according to clinical evaluations. RESULTS: Eighty-three patients (Non-ir-Allo, 44; Ir-Allo, 39) fulfilled complete follow-up and got full clinical evaluations. The mean follow-up period was 5.7Â years (ranging from 5.0 to 6.5Â years). At the final follow-up, significant differences were found when comparing the results of the two groups according to Lachman test, ADT, pivot_shift test and KT-2000 arthrometer testing (PÂ &lt;Â 0.05). According to KT-2000, 86.4Â % of patients in the Non-ir-Auto group and 35.9Â % in the Ir-Allo group had a side-to-side difference of &lt;3Â mm. According to the overall IKDC, functional, subjective evaluations and activity level testing, no significant differences were found between the two groups. Regarding the arthritic progression, there was significant difference between the two groups (Ir-Allo group: 30.8Â %, Non-ir-Allo group: 11.4Â %, PÂ &lt;Â 0.05). CONCLUSION: A significant increase in anterior and rotational laxity in patients of the Ir-Allo group was found according to evaluations. No significant differences in activity level and functional scores were found between the two groups. We do not advocate the irradiated hamstring tendon allograft for ACL reconstruction. LEVEL OF EVIDENCE: I.</t>
  </si>
  <si>
    <t>10.1007/s00167-016-4154-6</t>
  </si>
  <si>
    <t>#306</t>
  </si>
  <si>
    <t>Tian 2017</t>
  </si>
  <si>
    <t>[Internal rotational strength of the thigh after ACL reconstruction. Prospective comparison of harvesting of the semitendinosus and gracilis tendons and the patella tendon].</t>
  </si>
  <si>
    <t>Tibesku CO; Springer J; Mastrokalos DS; PÃ¤ssler HH</t>
  </si>
  <si>
    <t>AIM: The aim of the present study was the prospective, randomized evaluation of the internal rotation strength in patients, undergoing ACL reconstruction using either semitendinosus and gracilis tendon autografts (ST/G) or the central third of the patella tendon (BPT). METHOD: 40 patients (20 male, 20 female, average age 32 years [16 - 49]) underwent reconstruction of the ACL. In 20 patients ST/G was used, in 20 matched patients the central third of the patella tendon (BPT) was used. Rehabilitation was identical for both groups. The isometric strength of internal tibial rotation in neutral position was measured preoperatively, 3, 6 and 12 months postoperatively. RESULTS: After 3 months no difference to the preoperative data was found. After six months the internal tibial torque was significantly higher (p &lt; 0.05) than preoperatively. No additional increase was found after 12 months. There was no statistically significant difference between both groups at any time. CONCLUSION: The internal tibial torque, which is predominantly a function of the pes anserinus, recovers shortly after operation and is, due to postoperative rehabilitation, significantly elevated after 6 months. The randomized comparison with the harvesting of the central third of the patellar tendon showed no significant difference.</t>
  </si>
  <si>
    <t>10.1055/s-2003-42153</t>
  </si>
  <si>
    <t>#591</t>
  </si>
  <si>
    <t>Tibesku 2003</t>
  </si>
  <si>
    <t>Utility of Neuromuscular Electrical Stimulation to Preserve Quadriceps Muscle Fiber Size and Contractility After Anterior Cruciate Ligament Injuries and Reconstruction: A Randomized, Sham-Controlled, Blinded Trial.</t>
  </si>
  <si>
    <t>Toth MJ; Tourville TW; Voigt TB; Choquette RH; Anair BM; Falcone MJ; Failla MJ; Stevens-Lapslaey JE; Endres NK; Slauterbeck JR; Beynnon BD</t>
  </si>
  <si>
    <t>BACKGROUND: Anterior cruciate ligament (ACL) injuries and reconstruction (ACLR) promote quadriceps muscle atrophy and weakness that can persist for years, suggesting the need for more effective rehabilitation programs. Whether neuromuscular electrical stimulation (NMES) can be used to prevent maladaptations in skeletal muscle size and function is unclear. PURPOSE: To examine whether early NMES use, started soon after an injury and maintained through 3 weeks after surgery, can preserve quadriceps muscle size and contractile function at the cellular (ie, fiber) level in the injured versus noninjured leg of patients undergoing ACLR. STUDY DESIGN: Randomized controlled trial; Level of evidence, 1. METHODS: Patients (n = 25; 12 men/13 women) with an acute, first-time ACL rupture were randomized to NMES (5 d/wk) or sham (simulated microcurrent electrical nerve stimulation; 5 d/wk) treatment to the quadriceps muscles of their injured leg. Bilateral biopsies of the vastus lateralis were performed 3 weeks after surgery to measure skeletal muscle fiber size and contractility. Quadriceps muscle size and strength were assessed 6 months after surgery. RESULTS: A total of 21 patients (9 men/12 women) completed the trial. ACLR reduced single muscle fiber size and contractility across all fiber types (P &lt; .01 to P &lt; .001) in the injured compared with noninjured leg 3 weeks after surgery. NMES reduced muscle fiber atrophy (P &lt; .01) through effects on fast-twitch myosin heavy chain (MHC) II fibers (P &lt; .01 to P &lt; .001). NMES preserved contractility in slow-twitch MHC I fibers (P &lt; .01 to P &lt; .001), increasing maximal contractile velocity (P &lt; .01) and preserving power output (P &lt; .01), but not in MHC II fibers. Differences in whole muscle strength between groups were not discerned 6 months after surgery. CONCLUSION: Early NMES use reduced skeletal muscle fiber atrophy in MHC II fibers and preserved contractility in MHC I fibers. These results provide seminal, cellular-level data demonstrating the utility of the early use of NMES to beneficially modify skeletal muscle maladaptations to ACLR. CLINICAL RELEVANCE: Our results provide the first comprehensive, cellular-level evidence to show that the early use of NMES mitigates early skeletal muscle maladaptations to ACLR. REGISTRATION: NCT02945553 (ClinicalTrials.gov identifier).</t>
  </si>
  <si>
    <t>10.1177/0363546520933622</t>
  </si>
  <si>
    <t>#184</t>
  </si>
  <si>
    <t>Toth 2020</t>
  </si>
  <si>
    <t>Comparison of the effects of exercise in water and on land on the rehabilitation of patients with intra-articular anterior cruciate ligament reconstructions.</t>
  </si>
  <si>
    <t>Tovin BJ; Wolf SL; Greenfield BH; Crouse J; Woodfin BA</t>
  </si>
  <si>
    <t>BACKGROUND AND PURPOSE: Exercises in water have been shown to be effective for improving strength and passive range of motion (PROM). Traditional rehabilitation following intra-articular anterior cruciate ligament (ACL) reconstruction has taken place on land. This study was designed to compare the effects of exercises in water on strength and girth of the thigh musculature, knee PROM, joint laxity, effusion, and functional outcome with the effects of similar exercises on land in subjects following intra-articular reconstruction of the ACL. SUBJECTS: Twenty subjects were randomly assigned to either a group that exercised on land or a group that exercised in water. METHODS: Thigh girth, joint effusion, and knee PROM measurements were recorded at 2-week intervals for the first 8 weeks postoperatively. Isokinetic and isometric peak torque measurements for the thigh musculature, knee joint laxity assessments, and Lysholm scores were obtained at the end of 8 weeks. RESULTS: Higher outcome scores were recorded in the water group than in the land group, as measured by Lysholm scales. No differences were noted between groups for knee PROM, thigh girth, or quadriceps femoris muscle performance. In the water group, less joint effusion was noted after the 8 weeks. In the land group, greater peak torque for isokinetic knee flexion was recorded. CONCLUSION AND DISCUSSION: Although exercise in water may not be as effective as exercise on land for regaining maximum muscle performance, rehabilitation in water may minimize the amount of joint effusion and lead to greater self-reports of functional improvement in subjects with intra-articular ACL reconstructions.</t>
  </si>
  <si>
    <t>10.1093/ptj/74.8.710</t>
  </si>
  <si>
    <t>#686</t>
  </si>
  <si>
    <t>Tovin 1994</t>
  </si>
  <si>
    <t>Blood Flow Restriction Therapy for 2 Weeks Prior to Anterior Cruciate Ligament Reconstruction Did Not Impact Quadriceps Strength Compared to Standard Therapy.</t>
  </si>
  <si>
    <t>Tramer JS; Khalil LS; Jildeh TR; Abbas MJ; McGee A; Lau MJ; Moutzouros V; Okoroha KR</t>
  </si>
  <si>
    <t>PURPOSE: To evaluate the efficacy of a 2-week home-based blood flow restriction (BFR) prehabiliation program onÂ quadriceps strength and patient-reported outcomes prior to anterior cruciate ligament (ACL) reconstruction. METHODS: Patients presenting with an ACL tear were randomized into two groups, BFR and control, at their initial clinic visit. Quadriceps strength was measured using a handheld dynamometer in order to calculate peak force, average force, and time to peak force during seated leg extension at the initial clinic visit and repeated on the day of surgery. All patients were provided education on standardized exercises to be performed 5 days per week for 2 weeks between the initial clinic visit and date of surgery. The BFR group was instructed to perform these exercises with a pneumatic cuff set to 80% of limb occlusion pressure placed over the proximal thigh. Patient-Reported Outcome Measurement System Physical Function (PROMIS-PF), knee range of motion, and quadriceps circumference were gathered at the initial clinic visit and day of surgery, and patients were monitored for adverse effects. RESULTS: A total 45 patients met inclusion criteria and elected to participate. There were 23 patients randomized to the BFR group and 22 patients randomized into the control group. No significant differences were noted between the BFR and control groups in any demographic characteristics (48% vs 64% male [PÂ = .271] and average age 26.5 Â± 12.0 vs 27.0 Â± 11.0 [PÂ = .879] in BFR and control, respectively). During the initial clinic visit, there were no significant differences in quadriceps circumference, peak quadriceps force generation, time to peak force, average force, pain, and PROMIS scales (P &gt; .05 for all). Following completion of a 2-week home prehabilitation protocol, all patients indeterminant of cohort demonstrated decreased strength loss in the operative leg compared to the nonoperative leg (P &lt; .05 for both) However, there were no significant differences in any strength or outcome measures between the BFR and control groups (P &gt; .05 for all). There were no complications experienced in either group, and both were compliant with the home-based prehabilitation program. CONCLUSIONS: A 2-week standardized prehabilitation protocol preceding ACL reconstruction resulted in a significant improvement in personal quadriceps peak force measurements, both with and without the use of BFR. No difference in quadriceps circumference, strength, or patient reported outcomes were found between the BFR and the control group. The home-based BFR prehabiliation protocol was found to be feasible, accessible, and well tolerated by patients. LEVEL OF EVIDENCE: Level II, randomized controlled trial with small effect size.</t>
  </si>
  <si>
    <t>10.1016/j.arthro.2022.06.027</t>
  </si>
  <si>
    <t>#125</t>
  </si>
  <si>
    <t>Tramer 2023</t>
  </si>
  <si>
    <t>Evaluation of a one-stage ACL revision technique using bone void filler after cyclic loading.</t>
  </si>
  <si>
    <t>Tse BK; Vaughn ZD; Lindsey DP; Dragoo JL</t>
  </si>
  <si>
    <t>BACKGROUND: Revision anterior cruciate ligament (ACL) reconstruction often requires a two-stage approach. This study analyzes the biomechanical properties after cyclic loading of a one-stage ACL revision technique using a calcium phosphate bone cement. METHODS: Arthroscopic reconstruction of the ACL was performed in 5 matched pairs of fresh-frozen cadaveric knees separated into two groups. The control group underwent a standard reconstruction with a bone-patellar tendon-bone autograft with bioabsorbable interference screw fixation. The experimental group simulated a failed reconstruction by drilling a 12 mm hole and underwent a revision after filling it with a bioabsorbable calcium phosphate bone cement. The specimens were dissected, scanned for bone mineral density, and cyclically loaded on a mechanical testing system (preload of 250 cycles of 5-75 N at 0.5 Hz followed by 10,000 cycles of 20-150 N at 1 Hz). Intact specifmens underwent a load-to-failure protocol of 50mm/min. Ultimate load, stiffness, and modes of failure were recorded. Data was analyzed using paired t-tests. FINDINGS: All specimens completed the mechanical testing protocol. The control group had a mean maximum load of 471.33 N (SD 220.73 N) and the experimental group had 453.54 N (SD 152.36; p=0.84). There were no statistically significant differences in maximum load or stiffness. No correlation between bone mineral density (BMD) and maximum load was found. INTERPRETATION: Using calcium phosphate filler in a single-stage ACL revision is biomechanically viable. Further testing of long-term incorporation of the ACL graft in an animal model, along with human clinical trials, should be performed before there is clinical acceptance of this technique.</t>
  </si>
  <si>
    <t>10.1016/j.knee.2011.06.013</t>
  </si>
  <si>
    <t>#427</t>
  </si>
  <si>
    <t>Tse 2012</t>
  </si>
  <si>
    <t>No difference in osteoarthritis after surgical and non-surgical treatment of ACL-injured knees after 10Â years.</t>
  </si>
  <si>
    <t>Tsoukas D; Fotopoulos V; Basdekis G; Makridis KG</t>
  </si>
  <si>
    <t>PURPOSE: Aim of this study was to record and compare the functional and activity level as well as the manifestations of osteoarthritis after isolated ACL ruptures between patients with conservative treatment and ACL reconstruction with hamstrings tendon graft. METHODS: Thirty-two patients diagnosed with ACL rupture were recorded. Clinical examination included the Tegner and Lysholm activity scale, the International Knee Documentation Committee Subjective Form and KT-1000 arthrometer. Narrowing of the medial and lateral joint spaces was assessed using the IKDC knee examination score. RESULTS: Median follow-up was 10.3Â years (range 10-11). Fifteen patients were conservatively treated (median age 33Â years, range 25-39). Seventeen patients were operated (median age 31Â years, range 20-36). There was significant difference between the mean values of IKDC scores in favour of the ACL-reconstruction group of patients, 86.8 (SD 6.5) versus 77.5 (SD 13.8), respectively (pÂ =Â 0.04). The mean value of anteroposterior tibial translation was 1.5Â mm (SD 0.2) for ACL-reconstruction group of patients, while the corresponding mean value for ACL-conservative group was 4.5Â mm (SD 0.5), pÂ =Â 0.03. Four patients in ACL-reconstruction group had radiological findings of grade C or D according to IKDC form. In ACL-conservative group, five patients presented similar signs (n.s.). CONCLUSIONS: ACL reconstruction using hamstrings autograft resulted in better functional outcome and laxity measurements than ACL-conservative management. However, the incidence of radiological osteoarthritis was similar between the two groups and independent on the pre-operative grade of laxity and functional status of the patients. Equally, bone bruises were not found as a risk factor for the development of osteoarthritis after ACL rupture. LEVEL OF EVIDENCE: Prospective randomized study, Level II.</t>
  </si>
  <si>
    <t>10.1007/s00167-015-3593-9</t>
  </si>
  <si>
    <t>#332</t>
  </si>
  <si>
    <t>Tsoukas 2016</t>
  </si>
  <si>
    <t>Synthetic versus autologous reconstruction (Syn-VAR) of the medial patellofemoral ligament: a study protocol for a randomised controlled trial.</t>
  </si>
  <si>
    <t>Tucker A; McMahon S; McArdle B; Rutherford B; Acton D</t>
  </si>
  <si>
    <t>BACKGROUND: Recurrent patellar instability incidence is 5.8/100,000 population, and recurrent dislocations are reported in the range of 15-80%. Recurrent instability is multifactorial and can be associated with disorder of limb alignment, osseous development, congruity of the patella in the trochlea and soft tissue static and dynamic constraints. The multifactorial aetiology makes management challenging, and a lack studies in a heterogeneous population with robust clinical outcomes compounds this further. The options for medial patellofemoral ligament (MPFL) reconstruction include autologous graft reconstruction with semitendinosus tendon, or synthetic polyester woven grafts. In theory, in the young active patient, the surgeon may wish to preserve the hamstring tendons to reduce postoperative morbidity to the patient, reduce delay in recovery from donor site morbidity and preserve the hamstring tendons. There have been no randomised controlled trials (RCTs) to date that directly compare autologous hamstring and synthetic reconstruction methods. This trial aims to assess the functional outcomes in those undergoing MPFL reconstruction with either autologous hamstring graft reconstruction, or a commercially available synthetic polyester open woven tape. METHODS: Following a power calculation using previous studies as the pilot data, a total of 30 patients will be included in the study. Enrolment is based upon strict inclusion/exclusion criteria outlined in the "Methods". Participants will be randomized to receive either autograft or synthetic graft reconstruction. We aim to recruit 15 patients to each arm of the study. Surgery is performed by a single consultant surgeon experienced in both reconstructive options, using the default surgical technique for each. A postoperative physiotherapist-directed rehabilitation protocol will be implemented, as is routine. The primary outcome is the Kujala functional score and its change over the study period. Data on further secondary outcomes using validated outcomes scores will also be collected, specifically the Tegner and Lysholm, Banff Patellar Instability Index, and ACL Quality of Life Score. Secondary outcomes are complications and revision for any reason. The patient follow-up time is 2Â years. The first patient will be recruited in January 2018. The expected trial deadline for recruitment is December 2018, with records and results being held for 5Â years. DISCUSSION: This RCT study is the first to directly compare the efficacy of autograft versus synthetic allograft in MPFL reconstruction and the graft effects on patient-reported clinical outcomes. TRIAL REGISTRATION: ISRCTN, 16657952 . Registered on 3 March 2017. The study protocol has been approved by the Office for Research Ethics Committees of Northern Ireland (ORECNI 17/NI/0129).</t>
  </si>
  <si>
    <t>10.1186/s13063-018-2622-7</t>
  </si>
  <si>
    <t>#250</t>
  </si>
  <si>
    <t>Tucker 2018</t>
  </si>
  <si>
    <t>The effect of immediate weightbearing after anterior cruciate ligament reconstruction.</t>
  </si>
  <si>
    <t>Tyler TF; McHugh MP; Gleim GW; Nicholas SJ</t>
  </si>
  <si>
    <t>Immediate weightbearing has been advocated after anterior cruciate ligament reconstruction and is thought to enhance the return of quadriceps muscle activity and knee extension range of motion without jeopardizing graft integrity. This study examined the effect of immediate weightbearing after anterior cruciate ligament reconstruction on the return of vastus medialis oblique electromyography activity, knee extension range of motion, knee stability, physical examination, Lysholm score, and anterior knee pain. Forty-nine patients (24 men and 25 women) undergoing endoscopic central third patella tendon autograft reconstruction were randomized prospectively into two groups. Group 1 patients underwent immediate weightbearing as tolerated. Group 2 patients were kept nonweightbearing for 2 weeks. All measurements were taken before surgery, 2 weeks after surgery, and between 6 and 14 months (average, 7.3 months) followup. There was no effect of weightbearing on knee extension range of motion or vastus medialis oblique function at followup. In addition, knee stability was not compromised after surgery. Seven of 20 (35%) nonweightbearing patients and only two of 25 (8%) immediate weightbearing patients reported anterior knee pain at followup. Overall, immediate weightbearing did not compromise knee joint stability and resulted in a better outcome with a decreased incidence of anterior knee pain.</t>
  </si>
  <si>
    <t>10.1097/00003086-199812000-00019</t>
  </si>
  <si>
    <t>#651</t>
  </si>
  <si>
    <t>Tyler 1998</t>
  </si>
  <si>
    <t>The effect of creatine supplementation on strength recovery after anterior cruciate ligament (ACL) reconstruction: a randomized, placebo-controlled, double-blind trial.</t>
  </si>
  <si>
    <t>Tyler TF; Nicholas SJ; Hershman EB; Glace BW; Mullaney MJ; McHugh MP</t>
  </si>
  <si>
    <t>BACKGROUND: Creatine supplementation has been shown to augment training-induced strength gains. The purpose of this study was to examine the effect of creatine supplementation on recovery of muscle strength after anterior cruciate ligament (ACL) reconstruction. HYPOTHESIS: Creatine supplementation will facilitate strength gains after ACL reconstruction. STUDY DESIGN: Double-blind, prospective, and randomized clinical trial. METHODS: Sixty patients were randomized into creatine or placebo groups. Quadriceps and hamstring strength and power were measured isokinetically. Hip flexor, abductor, and adductor strengths were measured with a handheld dynamometer prior to surgery and at 6 weeks, 12 weeks, or 6 months after surgery. RESULTS: From 6 weeks to 12 weeks after surgery, there were significant increases in strength on the involved side for knee extension (47%), knee flexion (27%), hip flexion (20%), hip abduction (9%), and hip adduction (17%). These strength improvements were unaffected by creatine supplementation with similar effects in the creatine and placebo groups. From 6 weeks to 12 weeks after surgery, there were significant increases in power on the involved side for knee extension (46%) and knee flexion (26%), but these effects were not affected by creatine supplementation. At 6 months, creatine supplementation did not affect outcome as measured by the single leg hop test for distance or the knee outcome score. CONCLUSIONS: The results demonstrate that patients do not benefit from creatine supplementation during the first 12 weeks of rehabilitation after ACL reconstruction.</t>
  </si>
  <si>
    <t>10.1177/0363546503261731</t>
  </si>
  <si>
    <t>#585</t>
  </si>
  <si>
    <t>Tyler 2004</t>
  </si>
  <si>
    <t>Anterior cruciate ligament reconstruction by using otogenous [correction of otogeneous] hamstring tendons with home-based rehabilitation.</t>
  </si>
  <si>
    <t>Ugutmen E; Ozkan K; Kilincoglu V; Ozkan FU; Toker S; Eceviz E; Altintas F</t>
  </si>
  <si>
    <t>We investigated patients undergoing arthroscopic anterior cruciate ligament (ACL) reconstruction using otogenous hamstring tendons with a cross-pin technique to compare a post-operative home-based rehabilitation programme with a clinic-based programme. ACL reconstruction was performed on 104 patients (103 male) by the same surgeon. The mean age of the patients was 31.5 years (range 18 - 43 years) and the mean time interval between injury and operation was 34.3 months. Patients were randomly allocated to either a home-based (n = 52) or clinic-based rehabilitation programme (n = 52). Mean follow-up was 31.1 months (range 12 - 66 months). Patients underwent a series of examinations before and after surgery in order to evaluate functional recovery of their injured knee. The results demonstrated that using otogeneous hamstring tendons for ACL reconstruction was safe and produced satisfactory results. The study also demonstrated that a home-based rehabilitation programme was as effective as a clinic-based programme.</t>
  </si>
  <si>
    <t>10.1177/147323000803600206</t>
  </si>
  <si>
    <t>#508</t>
  </si>
  <si>
    <t>Ugutmen 2008</t>
  </si>
  <si>
    <t>The effect of accelerated, brace free, rehabilitation on bone tunnel enlargement after ACL reconstruction using hamstring tendons: a CT study.</t>
  </si>
  <si>
    <t>VadalÃ  A; Iorio R; De Carli A; Argento G; Di Sanzo V; Conteduca F; Ferretti A</t>
  </si>
  <si>
    <t>The mechanism of bone tunnel enlargement following anterior cruciate ligament (ACL) reconstruction is not yet clearly understood. Many authors hypothesized that aggressive rehabilitation protocols may be a potential factor for bone tunnel enlargement, especially in reconstructions performed with hamstrings autograft. The purpose of this study was to evaluate the effect of a brace free rehabilitation on the tunnel enlargement after ACL reconstruction using doubled semitendinosus and gracilis tendons (DGST): our hypothesis was that early post-operative knee motion increase the diameters of the tibial and femoral bone tunnels. Forty-five consecutive patients undergoing ACL reconstruction for chronic ACL deficiency were selected. All patients were operated by the same surgeon using autologous DGST and the same fixation devices. Patients with associated ligaments injuries and or severe chondral damage were excluded. The patients were randomly assigned to enter the control group (group A, standard post-operative rehabilitation) and the study group (group B, brace free accelerated rehabilitation). A CT scan was used to exactly determine the diameters of both femoral and tibial tunnels at various levels of lateral femoral condyle and proximal tibia, using a previously described method [17]. Measurements were done by an independent radiologist in a blinded fashion the day after the operation and at a mean follow-up of 10 months (range 9-11). Statistical analysis was performed using paired t-test. The mean femoral tunnel diameter increased significantly from 9.04 +/- 0.05 (post-operative) to 9.30 +/- 0.8 mm (follow-up) in group A and from 9.04 +/- 0.03 to 9.94 +/- 1.12 mm in group B. The mean tibial tunnel diameter increased significantly from 9.03 +/- 0.04 to 10.01 +/- 0.80 mm in group A and from 9.04 +/- 0.03 to 10.60 +/- 0.78 mm in group B. The increase in femoral and tunnel diameters observed in the study group was significantly higher than that observed in the control group. Our results suggest that bone tunnel enlargement after ACL reconstruction using hamstrings autograft can be increased by an accelerated, brace free, rehabilitation protocol.</t>
  </si>
  <si>
    <t>10.1007/s00167-006-0219-2</t>
  </si>
  <si>
    <t>#538</t>
  </si>
  <si>
    <t>VadalÃ  2007</t>
  </si>
  <si>
    <t>Comparison between two different platelet-rich plasma preparations and control applied during anterior cruciate ligament reconstruction. Is there any evidence to support their use?</t>
  </si>
  <si>
    <t>ValentÃ­ AzcÃ¡rate A; Lamo-Espinosa J; Aquerreta Beola JD; Hernandez Gonzalez M; Mora Gasque G; ValentÃ­ Nin JR</t>
  </si>
  <si>
    <t>INTRODUCTION: To compare the clinical, analytical and graft maturation effects of two different platelet-rich plasma (PRP) preparations applied during anterior cruciate ligament (ACL) reconstruction. MATERIALS AND METHODS: A total of 150 patients with ACL disruption were included in the study. Arthroscopic ACL reconstruction with patellar tendon allograft was conducted on all knees using the same protocol. One hundred patients were prospectively randomised to either a group to receive double-spinning platelet-enriched gel (PRP) with leukocytes (n=50) or to a non-gel group (n=50). Finally, we included 50 patients treated with a platelet-rich preparation from a single-spinning procedure (PRGF Endoret(Â®) Technology) without leukocytes. Inflammatory parameters, including C-reactive protein (CRP) and knee perimeters (PER), were measured 24 hours and 10 days after surgery. Postoperative pain score (visual analogue score [VAS]) was recorded the day after surgery. Follow-up visits occurred postoperatively at 3, 6, and 12 months. The International Knee Documentation Committee scale (IKDC) was included to compare functional state, and MRI was conducted 6 months after surgery. RESULTS: The PRGF group showed a statistically significant improvement in swelling and inflammatory parameters compared with the other two groups at 24 hours after surgery (p&lt;0.05). The results did not show any significant differences between groups for MRI and clinical scores. CONCLUSIONS: PRGF used in ACL allograft reconstruction was associated with reduced swelling; however, the intensity and uniformity of the graft on MRI were similar in the three groups, and there was no clinical or pain improvement compared with the control group. LEVEL OF EVIDENCE: II.</t>
  </si>
  <si>
    <t>10.1016/S0020-1383(14)70008-7</t>
  </si>
  <si>
    <t>#339</t>
  </si>
  <si>
    <t>ValentÃ­AzcÃ¡rate 2014</t>
  </si>
  <si>
    <t>The lateral tibial tunnel: does it allow for adequate fixation in ACL surgery?</t>
  </si>
  <si>
    <t>Van Der Bracht H; Cloete G; Page B; Scheffer C; Bellemans J; Verdonk P</t>
  </si>
  <si>
    <t>The purpose of this cadaver study about the ACL graft was to compare a "Lateral Tibial Tunnel" (LTT) and a "classic, anteroMedial Tibial Tunnel" (MTT), as to fixation strength and mode of failure. Ten pairs of fresh frozen human proximal tibias were used. In one of both tibias a classic anteromedial tunnel was used, versus a lateral tibial tunnel in the contralateral knee. Autologous doubled semitendinosus and gracilis tendons were fixed in the tunnels. A maximum load to failure test was performed to determine the stiffness and the strength of the graft-tibia complex. CONCLUSION: for none of the measurements was there any significant difference between both tunnels. The tibial fixation strength of a human autologous doubled hamstring graft in ACL surgery is similar, whether a lateral or an anteromedial tibial tunnel is used. This is the first study investigating fixation strength of an ACL graft in a lateral tibial tunnel.</t>
  </si>
  <si>
    <t>#400</t>
  </si>
  <si>
    <t>VanDerBracht 2012</t>
  </si>
  <si>
    <t>Repair versus reconstruction for proximal anterior cruciate ligament tears: a study protocol for a prospective multicenter randomized controlled trial.</t>
  </si>
  <si>
    <t>van der List JP; Vermeijden HD; Sierevelt IN; Rademakers MV; Falke MLM; Helmerhorst GTT; Hoogeslag RAG; van der Wal WA; van Noort A; Kerkhoffs GMMJ</t>
  </si>
  <si>
    <t>BACKGROUND: For active patients with a tear of the anterior cruciate ligament (ACL) who would like to return to active level of sports, the current surgical gold standard is reconstruction of the ACL. Recently, there has been renewed interest in repairing the ACL in selected patients with a proximally torn ligament. Repair of the ligament has (potential) advantages over reconstruction of the ligament such as decreased surgical morbidity, faster return of range of motion, and potentially decreased awareness of the knee. Studies comparing both treatments in a prospective randomized method are currently lacking. METHODS: This study is a multicenter prospective block randomized controlled trial. A total of 74 patients with acute proximal isolated ACL tears will be assigned in a 1:1 allocation ratio to either (I) ACL repair using cortical button fixation and additional suture augmentation or (II) ACL reconstruction using an all-inside autologous hamstring graft technique. The primary objective is to assess if ACL repair is non-inferior to ACL reconstruction regarding the subjective International Knee Documentation Committee (IKDC) score at two-years postoperatively. The secondary objectives are to assess if ACL repair is non-inferior with regards to (I) other patient-reported outcomes measures (i.e. Knee Injury and Osteoarthritis Outcome Score, Lysholm score, Forgotten Joint Score, patient satisfaction and pain), (II) objective outcome measures (i.e. failure of repair or graft defined as rerupture or symptomatic instability, reoperation, contralateral injury, and stability using the objective IKDC score and Rollimeter/KT-2000), (III) return to sports assessed by Tegner activity score and the ACL-Return to Sports Index at two-year follow-up, and (IV) long-term osteoarthritis at 10-year follow-up. DISCUSSION: Over the last decade there has been a resurgence of interest in repair of proximally torn ACLs. Several cohort studies have shown encouraging short-term and mid-term results using these techniques, but prospective randomized studies are lacking. Therefore, this randomized controlled trial has been designed to assess whether ACL repair is at least equivalent to the current gold standard of ACL reconstruction in both subjective and objective outcome scores. TRIAL REGISTRATION: Registered at Netherlands Trial Register ( NL9072 ) on 25th of November 2020.</t>
  </si>
  <si>
    <t>10.1186/s12891-021-04280-y</t>
  </si>
  <si>
    <t>#159</t>
  </si>
  <si>
    <t>vanderList 2021</t>
  </si>
  <si>
    <t>The effect of different graft tensioning in anterior cruciate ligament reconstruction: a prospective randomized study.</t>
  </si>
  <si>
    <t>van Kampen A; Wymenga AB; van der Heide HJ; Bakens HJ</t>
  </si>
  <si>
    <t>A prospective study was performed to establish the influence on stability of tensioning the graft after anterior cruciate ligament reconstruction with a bone-patellar tendon-bone graft. There were 38 consecutive patients randomly divided into two groups; in the first group (19 patients) the graft was tensioned at 20 N, and in the second group the tension was 40 N. Evaluation included Lysholm scores, instrumented Lachman tests, IKDC level, and lateral radiographs to measure the tibia position versus the femur. One year after surgery we did not find any significant difference between the two groups. We conclude that the importance of graft tensioning has yet to be established in the clinical situation. Based on our results, graft tension of 20 N seems to be sufficient, without the risk of overconstraining the knee joint.</t>
  </si>
  <si>
    <t>10.1016/s0749-8063(98)70022-2</t>
  </si>
  <si>
    <t>#652</t>
  </si>
  <si>
    <t>vanKampen 1998</t>
  </si>
  <si>
    <t>Comparison of the Functional Outcomes of Arthroscopic Anterior Cruciate Ligament Reconstruction through the All-inside and Outside-in Techniques: A Double-Blinded Randomized Controlled Trial.</t>
  </si>
  <si>
    <t>Varghese P; Patra SK; Das G; Patro BP; Jain G; P HM</t>
  </si>
  <si>
    <t>Objective â€ƒTo compare the functional outcomes of anterior cruciate ligament (ACL) reconstruction with hamstring autograft (HA) through the all-inside (AI) technique with adjustable-loop cortical Endobutton (Smith &amp; Nephew, Watford, Hertfordshire, England) on the sides of the femur and tibia and through the outside-in (OI) technique using an interference screw on the tibial side and a cortical Endobutton on the femoral side. Materials and Methods â€ƒThe present is a double-blinded randomized controlled trial (RCT) of 44 patients undergoing arthroscopic ACL reconstruction from February 2019 to February 2022 in a tertiary care hospital. As per computer-based randomization, the patients were distributed into two groups: the AI and OI groups. Both groups were evaluated for 12 months using the Visual Analog Scale (VAS), the Lysholm Knee Scoring Scale, and part I (pain score) and part II (function score) of the Knee Society Score (KSS). Results â€ƒOn postoperative day 2, the VAS score was significantly higher in the OI group ( p â€‰=â€‰0.0001), but insignificant ( p â€‰=â€‰0.807) at 6 weeks. At 3, 6, and 12 months of follow-up, the score on the Lysholm Knee Scoring Scale was significantly higher ( p â€‰=â€‰0.001) in the AI group. At 6 months, both parts of the KSS showed a significant difference, with the AI group presenting a better outcome ( p â€‰=â€‰0.04). However, at 12 months, the AI group presented a better score on part I of the KSS, but no differences were observed regarding part II. Conclusion â€ƒIn a follow-up of 12 months, the patients submitted to the AI technique presented better outcome scores and pain relief than those submitted to the OI technique.</t>
  </si>
  <si>
    <t>Rev Bras Ortop (Sao Paulo)</t>
  </si>
  <si>
    <t>10.1055/s-0044-1786726</t>
  </si>
  <si>
    <t>#76</t>
  </si>
  <si>
    <t>Varghese 2024</t>
  </si>
  <si>
    <t>Maintenance of hamstring strength following knee surgery.</t>
  </si>
  <si>
    <t>Vegso JJ; Genuario SE; Torg JS</t>
  </si>
  <si>
    <t>Following a variety of surgical procedures on the knee, routine clinical Cybex testing demonstrated that the hamstring muscle group loses less strength than the quadriceps group, regardless of whether the hamstrings were exercised during the rehabilitation. Two groups of postsurgical patients were randomly selected to evaluate the effects of surgery on the muscle strength of the quadriceps and hamstrings. Group I (N = 15) underwent arthrotomy and medial meniscectomy. Group II (N = 20) underwent an extraarticular substitution of the anterior cruciate ligament. All subjects were tested on a Cybex II at 60 degrees/s: Group I at 5-10 wk (mean, 7.0), and Group II at 15-22 wk (mean, 18.6). Peak torque for the quadriceps and hamstrings was measured at 30, 60, and 90 degrees. The percent deficits of the quadriceps and hamstrings were analyzed by a three-way ANOVA. The hamstring deficit was significantly less (P = 0.041) than the quadriceps deficit. A significant difference (P less than 0.001) was found between the two surgery groups. No significant difference in percent strength deficit was found at the various joint angles (30, 60, and 90 degrees). Lastly, the factors examined in the ANOVA did not contribute to a significant first or second order interaction. The authors conclude that specific hamstring strengthening postsurgically is not always indicated.</t>
  </si>
  <si>
    <t>#706</t>
  </si>
  <si>
    <t>Vegso 1985</t>
  </si>
  <si>
    <t>Efficacy of quadriceps vastus medialis dry needling in a rehabilitation protocol after surgical reconstruction of complete anterior cruciate ligament rupture.</t>
  </si>
  <si>
    <t>VelÃ¡zquez-Saornil J; RuÃ­z-RuÃ­z B; RodrÃ­guez-Sanz D; Romero-Morales C; LÃ³pez-LÃ³pez D; Calvo-Lobo C</t>
  </si>
  <si>
    <t>BACKGROUND: Several new rehabilitation modalities have been proposed after anterior cruciate ligament (ACL) reconstruction. Among these, trigger point dry needling (TrP-DN) might be useful in the treatment of myofascial pain syndrome associated with ACL reconstruction to reduce pain intensity, increase knee flexion range and modify the mechanical properties of the quadriceps muscle during late-stage rehabilitation. To date, this is the first randomized clinical trial to support the use of TrP-DN in the early rehabilitation process after ACL reconstruction. The aim of this study was to determine the pain intensity, range of motion (ROM), stability, and functionality improvements by adding quadriceps vastus medialis TrP-DN to the rehabilitation protocol (Rh) provided to subacute ACL reconstructed patients. METHODS: This randomized, single-blinded, clinical trial (NCT02699411) included 44 subacute patients with surgical reconstruction of complete ACL rupture. The patients were randomized into 2 intervention groups: Rh (nâ€Š=â€Š22) or Rhâ€Š+â€ŠTrP-DN (nâ€Š=â€Š22). Pain intensity, ROM, stability, and functionality were measured at baseline (A0) and immediately (A1), 24â€Šhours (A2), 1 week (A3), and 5 weeks (A4) after the first treatment. RESULTS: Comparing statistically significant differences (Pâ€Šâ‰¤â€Š.001; Etaâ€Š=â€Š0.198-0.360) between both groups, pain intensity (at A1), ROM (at A1, A2, and A3), and functionality (at A2, A3, and A4) were increased. Nevertheless, the rest of measurements did not show significant differences (Pâ€Š&gt;â€Š.05). CONCLUSION: Quadriceps vastus medialis TrP-DN in conjunction with a rehabilitation protocol in subacute patients with surgical reconstruction of complete ACL rupture increases ROM (short-term) and functionality (short- to mid-term). Although there was an increase in pain intensity with the addition of TrP-DN, this was not detected beyond immediately after the first treatment. Furthermore, stability does not seem to be modified after TrP-DN.</t>
  </si>
  <si>
    <t>10.1097/MD.0000000000006726</t>
  </si>
  <si>
    <t>#273</t>
  </si>
  <si>
    <t>VelÃ¡zquez-Saornil 2017</t>
  </si>
  <si>
    <t>Similar dynamic tibiofemoral movements during jump-landing and walking but distinct hamstrings strength across ACL reconstruction autograft types at mid-term follow-up.</t>
  </si>
  <si>
    <t>Vendrig T; Keizer MNJ; Brouwer RW; Houdijk H; Hoogeslag RAG</t>
  </si>
  <si>
    <t>subgroups</t>
  </si>
  <si>
    <t>download</t>
  </si>
  <si>
    <t>PURPOSE: Dynamic tibiofemoral movements following anterior cruciate ligament reconstruction (ACLR) with quadriceps tendon (QT) autografts have not yet been compared to other autografts. We aimed to compare dynamic anterior tibial translation (ATTd) and internal tibial rotation (ITRd) during jump-landing and walking among patients with QT, bone-patellar tendon-bone (BPTB) and hamstrings tendon (HT) autografts at mid-term follow-up. The secondary aim was to compare lower extremity strength among autografts. METHODS: Patients were included from a previous randomized controlled trial (randomly received primary ACLR with a QT, BPTB or HT autograft), and were prospectively assessed for additional analyses. Primary outcome measures were side-to-side differences in ATTd and ITRd during the side hop, single-leg hop for distance, triple hop for distance, double-leg drop-jump and walking, measured using 3D optoelectronic motion capture, and statistically analyzed using statistical parametric mapping. Moreover, isometric hamstrings and quadriceps strength limb symmetry index (LSI) were assessed using a dynamometer. RESULTS: Thirty patients were included at 4.7â€‰Â±â€‰1.8 years (range: 1.4-7.2) post-ACLR (nâ€‰=â€‰10 per autograft; age: 31.0â€‰Â±â€‰4.8 years). No significant between-group differences were observed for side-to-side difference in ATTd and ITRd during all dynamic tasks (pâ€‰&gt;â€‰0.05). QT and BPTB autograft groups demonstrated greater isometric hamstrings strength LSI (QTâ€‰=â€‰98.4% vs. BPTBâ€‰=â€‰99.3% vs. HTâ€‰=â€‰79.0%; pâ€‰=â€‰0.02) and greater hamstrings/quadriceps strength ratio LSI (QTâ€‰=â€‰102.0% vs. BPTBâ€‰=â€‰104.6% vs. HTâ€‰=â€‰79.6%; pâ€‰=â€‰0.01) compared to the HT autograft, but quadriceps strength was similar among autografts. CONCLUSIONS: Patients who underwent ACLR with QT autografts demonstrated similar side-to-side differences in ATTd and ITRd compared to patients with BPTB and HT autografts 5 years post-ACLR, without demonstrating graft-harvest-related strength deficits, whereas patients with HT autografts showed persistent hamstrings weakness. Graft selection should consider persistent hamstrings strength deficits in patients with HT autografts, while ATTd and ITRd are not autograft-dependent. These findings support QT autografts as a viable option for ACLR. LEVEL OF EVIDENCE: Level II.</t>
  </si>
  <si>
    <t>10.1002/ksa.70275</t>
  </si>
  <si>
    <t>#26</t>
  </si>
  <si>
    <t>Vendrig 2026</t>
  </si>
  <si>
    <t>Isokinetic eccentric training is more effective than constant load eccentric training for quadriceps rehabilitation following anterior cruciate ligament reconstruction: a randomized controlled trial.</t>
  </si>
  <si>
    <t>Vidmar MF; Baroni BM; Michelin AF; Mezzomo M; Lugokenski R; Pimentel GL; Silva MF</t>
  </si>
  <si>
    <t>OBJECTIVE: To compare the effects of conventional (constant load) eccentric training and isokinetic eccentric training on quadriceps muscle mass, strength and functional performance in recreational athletes following anterior cruciate ligament (ACL) reconstruction. METHODS: Thirty recreational male athletes (25 years old) undergoing ACL reconstruction received a standard rehabilitation program. Volunteers were randomized to conventional group (CG; nâ€¯=â€¯15) or isokinetic group (IG; nâ€¯=â€¯15) to be engaged in a 6-week (2 sessions/week) quadriceps eccentric training program at the extensor chair or at the isokinetic dynamometer, respectively. Assessments of quadriceps muscle mass (through magnetic resonance imaging), strength (through isokinetic dynamometry) and self-aware functionality (through questionnaire) were performed before and after the training programs. Single leg hop test performance was assessed only at post-training evaluation. RESULTS: IG had significantly higher improvements than CG (pâ€¯&lt;â€¯0.05) for all muscle mass outcomes (+17-23% vs. +5-9%), as well as for isometric (+34% vs. +20%) and eccentric (+85% vs. +23%) peak torques. There was no between-group difference (pâ€¯&gt;â€¯0.05) for concentric peak torque, Lysholm score, and single leg hop test. CONCLUSION: Isokinetic eccentric training promotes greater responses than conventional eccentric training on quadriceps muscle mass and strength of recreational athletes following ACL reconstruction.</t>
  </si>
  <si>
    <t>Sep-Oct</t>
  </si>
  <si>
    <t>Braz J Phys Ther</t>
  </si>
  <si>
    <t>10.1016/j.bjpt.2019.07.003</t>
  </si>
  <si>
    <t>#215</t>
  </si>
  <si>
    <t>Vidmar 2020</t>
  </si>
  <si>
    <t>Comparison of Quadriceps and Hamstring Muscle Strength after Exercises with and without Blood Flow Restriction following Anterior Cruciate Ligament Surgery: A Randomized Controlled Trial.</t>
  </si>
  <si>
    <t>Vieira de Melo RF; Komatsu WR; Freitas MS; Vieira de Melo ME; Cohen M</t>
  </si>
  <si>
    <t>BACKGROUND: Muscle mass loss occurs following anterior cruciate ligament reconstruction surgery. OBJECTIVE: To compare the gain in muscle strength in the quadriceps and hamstring muscles in patients following anterior cruciate ligament reconstruction surgery, using exercises with and without blood flow restriction. METHODS: This is a randomized controlled trial, in which 50% (n = 14) of the participants were allocated to the intervention group and the remaining 50% (n = 14) to the control group. The study included the participation of postoperative patients, with reconstruction of the anterior cruciate ligament. RESULTS: After comparing the rehabilitation of the groups, a statistical difference was observed in the quadriceps with an increase in muscle strength (p &lt; 0.01) after 12 weeks and an increase in muscle strength hamstrings (p &lt; 0.01) after 8 and 12 weeks in the injured legs of the intervention group compared to the control. In the analysis of the participants' physical function, there was an significant increase difference in the Lysholm questionnaire (p &lt; 0.01) after 8 and 12 weeks, in the KOOS pain questionnaire (p &lt; 0.01) after 4 weeks a decrease was observed, symptoms and daily activities (p &lt; 0.01) after 8 and 12 weeks, quality of life (p &lt; 0.01) after 12 weeks, and in the IKDC questionnaire (p &lt; 0.01) after 8 and 12 weeks there was an significant increase difference of the intervention group compared to the control. CONCLUSION: After anterior cruciate ligament surgery, exercises with blood flow restriction proved more efficient for improving the muscle strength of the quadriceps and hamstrings, and the physical function of the knee than the same exercises without blood flow restriction.</t>
  </si>
  <si>
    <t>10.2340/jrm.v54.2550</t>
  </si>
  <si>
    <t>#117</t>
  </si>
  <si>
    <t>VieiradeMelo 2022</t>
  </si>
  <si>
    <t>Anterior cruciate ligament injuries treated with quadriceps tendon autograft versus hamstring autograft: A randomized controlled trial.</t>
  </si>
  <si>
    <t>Vilchez-Cavazos F; DÃ¡vila-MartÃ­nez A; Garza-Castro S; Simental-MendÃ­a M; Garay-Mendoza D; Tamez-Mata Y; PeÃ±a-MartÃ­nez V; Acosta-Olivo C</t>
  </si>
  <si>
    <t>BACKGROUND: One of the most common grafts used to repair anterior cruciate ligament (ACL) rupture is the hamstring tendon (HT) autograft. However, another proposed option to repair the ACL is the quadriceps tendon (QT) autograft. This study aimed to compare the pain and clinical results between patients with ACL injury treated with QT autograft and with HT autograft. MATERIALS AND METHODS: The Ethics and Investigation Committee of our institution approved the study. The patients were randomized into two groups: one group was treated with QT autograft and the other group was treated with HT autograft. The patients were evaluated preoperatively and postoperatively using the Lysholm-Tegner score, International Knee Documentation Committee (IKDC) Subjective Knee Evaluation Form, and visual analog scale (VAS), at 2 weeks and 1, 3, 6, and 12 months. RESULTS: A total of 28 patients with a primary ACL injury were included in the study. No significant differences in VAS pain, Lysholm knee and Tegner activity scale scores, and IKDC score between the HT and QT groups were observed at any time point. All patients had favorable outcomes and significantly improved evaluation scores. CONCLUSION: The patients treated with QT autograft had clinical results and post-operative pain similar to those of patients treated with HT autograft for ACL reconstruction.</t>
  </si>
  <si>
    <t>Cir Cir</t>
  </si>
  <si>
    <t>#203</t>
  </si>
  <si>
    <t>The clinical diagnosis and results of conservative treatment of knee distortion injury.</t>
  </si>
  <si>
    <t>Viljakka T</t>
  </si>
  <si>
    <t>Distortion of the knee joint is a considerable trauma even when the knee is primarily stable. Of 50 patients, 30% displayed symptoms or signs 2 months after the injury and 36% on subsequent examination an average of 5.6 years later. In a repeat clinical examination one anterior cruciate ligament rupture was not confirmed at the primary stage (2%). For assessment of stability and extent of injury, the repeat clinical examination proved reliable. Ruptures of the meniscus were noted in 18% of the patients in connection with the primary injury. Of those who underwent a meniscus operation, 27% had further operations and, four patients of 50 had another operation as a result of a new trauma. Thus, a total of 25% of the patients required surgery. The material is biased as I sought to exclude ligament ruptures in the first instance. No patient was permanently incapacitated from work. A large portion of the later symptoms were connected with the patellofemoral joint or with the postoperative condition. Bandaging did not affect the resulting recovery rate. Regular exercise of the thigh muscles prevented the onset of quadriceps atrophy, but there was a clear deterioration in the condition of the muscles in the early stages.</t>
  </si>
  <si>
    <t>10.1007/BF00434091</t>
  </si>
  <si>
    <t>#664</t>
  </si>
  <si>
    <t>Viljakka 1997</t>
  </si>
  <si>
    <t>The effect of platelet-derived growth factors on knee stability after anterior cruciate ligament reconstruction: a prospective randomized clinical study.</t>
  </si>
  <si>
    <t>Vogrin M; Rupreht M; Crnjac A; Dinevski D; Krajnc Z; Recnik G</t>
  </si>
  <si>
    <t>BACKGROUND: Arthroscopic reconstruction is a standard surgical procedure in cases of symptomatic knee instability due to rupture of the anterior cruciate ligament. Bone-tendon-bone and hamstring tendon grafts are both in use for anterior cruciate ligament reconstruction. There are no significant differences between the two types of graft in relation to function scores, but there is a difference in anteroposterior stability when measured on the KT-2000 arthrometer: knee joints after reconstruction with bone-tendon-bone autografts are more stable than those reconstructed with hamstring tendon autografts. PURPOSE: To improve knee stability after anterior cruciate ligament reconstruction with a hamstring graft and use of platelet-derived growth factors. BASIC PROCEDURE: Platelet-leukocyte gel was produced from platelet-leukocyte-rich plasma prepared from a unit of whole blood in an autologous platelet separator. The gel was applied locally, after hamstring graft placement. Fifty patients were included in the study: 25 in the platelet gel group, 25 in a control group. We evaluated anteroposterior knee stability with the KT-2000 arthrometer before surgery and at 3 and 6 months after surgery. MAIN FINDINGS: Patients treated with the gel demonstrated significantly better anteroposterior knee stability than patients in the control group. The calculated improvements in knee stability at 6 months were 1.3 +/- 1.8 mm in the control group and 3.1 +/- 2.5 mm in the platelet gel group (P = 0.011). PRINCIPAL CONCLUSION: Platelet-leukocyte gel, applied locally, can improve knee stability in surgery for reconstruction of the anterior cruciate ligament.</t>
  </si>
  <si>
    <t>10.1007/s00508-010-1340-2</t>
  </si>
  <si>
    <t>#450</t>
  </si>
  <si>
    <t>Vogrin 2010</t>
  </si>
  <si>
    <t>ACL reconstruction in sports active people: transtibial DB technique with ST/G vs. transtibial SB technique with BPTB: preliminary results.</t>
  </si>
  <si>
    <t>Volpi P; Cervellin M; Denti M; Bait C; Melegati G; Quaglia A; de Girolamo L</t>
  </si>
  <si>
    <t>The single-bundle ACL reconstruction ensures good outcomes and it is a well-established and widespread technique. Nevertheless, some patients still present residual pain and instability. Recent studies have showed that the double-bundle technique restores better natural ACL-fitting kinematics. Long-term clinical studies comparing the two surgical techniques are not frequent and there is no instrument to evaluate function and kinematics during the knee rotation in vivo. In this randomised prospective study performed on sportive people, we compare the BPTB single-bundle ACL reconstruction technique, which is the most common surgical technique performed on these patients' category, with the ACL double-bundle reconstruction technique (DB), in order to evaluate possible differences between the groups. Comparing the two groups, no statistically significant difference regarding the post-operative Lysholm score (p=0.368) the Tegner activity scale (p=0.519) and the arthrometric evaluation with KT-1000 (p=0.74) have been observed. On the contrary, the IKDC evaluation showed a statistically significant difference (p=0.004) better results of the DB group. Moreover, as assessed by the Tegner activity scale, only patients of the DB group were able to return to sports at a pre-injury level. Our data suggest that the double bundle ST/G ACL reconstruction technique results into slightly better outcome than the traditional technique of single-bundle BPTB. The verification and quantification of the advantages of this technique is anticipated with future studies focusing to the accurate measurement of knee rotation during different activities.</t>
  </si>
  <si>
    <t>10.1016/j.injury.2010.09.029</t>
  </si>
  <si>
    <t>#441</t>
  </si>
  <si>
    <t>Volpi 2010</t>
  </si>
  <si>
    <t>Utilizing a contralateral hamstring autograft facilitates earlier isokinetic and isometric strength recovery after anterior cruciate ligament reconstruction: a randomised controlled trial.</t>
  </si>
  <si>
    <t>von Essen C; Hallgren A; Barenius B; Eriksson K</t>
  </si>
  <si>
    <t>PURPOSE: To compare muscle strength and patient reported outcomes following ACLR using a semitendinosus (ST) graft from the ipsilateral (IL) leg compared to a graft from the contralateral (CL) leg. METHODS: One-hundred and forty patients with an ACL injury were randomized to IL or CL ACLR. Patients were assessed at 6, 12 and 24Â months with isokinetic and isometric muscle strength measured using Biodex. Patient-reported outcomes and manual stability measurements were also recorded. RESULTS: Patient-related outcomes improved over time for both groups with no significant differences between groups at any time point. No differences between groups in objective knee assessment scores or rerupture rates were found. The IL group was significantly weaker in knee flexion strength at all time points compared to the CL group, additionally the IL group did not recover flexor strength within 2Â years. CONCLUSION: This study demonstrated that utilizing anÂ ST graft harvested from the uninjured limb for ACLR facilitates early isokinetic and isometric strength recovery, with no significant adverse outcomes demonstrated in other measurements and therefore be performed to reduce the risk of long-term strength deficits in the injured leg LEVEL OF EVIDENCE: II.</t>
  </si>
  <si>
    <t>10.1007/s00167-021-06491-1</t>
  </si>
  <si>
    <t>#167</t>
  </si>
  <si>
    <t>vonEssen 2021</t>
  </si>
  <si>
    <t>Minimal graft site morbidity using autogenous semitendinosus graft from the uninjured leg: a randomised controlled trial.</t>
  </si>
  <si>
    <t>von Essen C; McCallum S; Eriksson K; Barenius B</t>
  </si>
  <si>
    <t>PURPOSE: To quantify the effect on strength of semitendinosus (ST) graft harvest by comparing isokinetic and isometric muscle strength. METHODS: A cohort of 140 patients underwent anterior cruciate ligament (ACL) reconstruction (ACLR) and were randomized to ipsilateral or contralateral ST graft harvest. Isokinetic and isometric muscle strength testing using a dynamometer were collected for the operated and non-operated leg. Patients were assessed pre-surgery and at 6, 12 and 24Â months after reconstruction. RESULTS: ST graft harvest reduced isokinetic flexion muscle strength for 6Â months. At 12Â months follow up there was no significant difference between the two groups and they were all stronger than pre-injury. No other significant differences were found in any primary or secondary outcome measurements. CONCLUSION: Solitary ST graft harvest does not appear to result in a permanent reduced isometric or isokinetic quadriceps muscle strength on the side where the graft is harvested. A reduction in hamstring muscle strength of less than 10% can be seen at short-term follow-up with full recovery by 12Â months. Most patients report little or no donor site pain. Given these findings, ST autograft is an alternative graft choice that could be used for various reconstructions in terms of donor site morbidity. LEVEL OF EVIDENCE: Level II.</t>
  </si>
  <si>
    <t>10.1007/s00167-021-06686-6</t>
  </si>
  <si>
    <t>#152</t>
  </si>
  <si>
    <t>vonEssen 2022</t>
  </si>
  <si>
    <t>Effect of Intraoperative Platelet-Rich Plasma Treatment on Postoperative Donor Site Knee Pain in Patellar Tendon Autograft Anterior Cruciate Ligament Reconstruction: A Double-Blind Randomized Controlled Trial.</t>
  </si>
  <si>
    <t>Walters BL; Porter DA; Hobart SJ; Bedford BB; Hogan DE; McHugh MM; Klein DA; Harousseau K; Nicholas SJ</t>
  </si>
  <si>
    <t>BACKGROUND: Donor site morbidity in the form of anterior knee pain is a frequent complication after bone-patellar tendon-bone (BPTB) autograft anterior cruciate ligament (ACL) reconstruction. Hypothesis/Purpose: The purpose was to examine the effect of the intraoperative administration of platelet-rich plasma (PRP) on postoperative kneeling pain. It was hypothesized that PRP treatment would reduce knee pain. STUDY DESIGN: Randomized controlled trial; Level of evidence, 2. METHODS: Fifty patients (mean Â± SD age, 30 Â± 12 years) undergoing BPTB ACL autograft reconstruction were randomized to the PRP (n = 27) or sham (n = 23) treatment. In either case, 10 mL of venous blood was drawn before the induction of anesthesia and either discarded (sham) or processed (PRP) for preparation of a PRP gel to be later mixed with donor site bone chips and inserted into the patellar defect. At 12 weeks, 6 months, 1 year, and 2 years after surgery, patients completed International Knee Documentation Committee (IKDC) forms and visual analog scale pain scores for activities of daily living and kneeling. Healing indices at the donor site were assessed by routine noncontrast magnetic resonance imaging (MRI) at 6 months. Mixed-model analysis of variance was used to assess the effect of PRP on patient symptoms and MRI indices of donor site healing, as measured by the width of the donor site defect. RESULTS: Kneeling pain, pain with activities of daily living, and IKDC scores were not different between treatment groups at any of the time intervals ( P = .08-.83). Kneeling pain improved from 12 weeks to 6 months and from 1 to 2 years ( P &lt; .05). IKDC scores improved substantially from 12 weeks to 6 months ( P &lt; .001) and continued to improve to 2 years (PRP, 86 Â± 19; sham, 89 Â± 10). MRI indices of donor site healing were not different between treatment groups ( P = .53-.90). CONCLUSION: Whether randomized to receive PRP in their patellar defect or not, patients continued to have similar levels of kneeling pain and patellar defect sizes after autograft BPTB ACL reconstruction. Registration: NCT01765712 ( ClinicalTrials.gov identifier).</t>
  </si>
  <si>
    <t>10.1177/0363546518769295</t>
  </si>
  <si>
    <t>#247</t>
  </si>
  <si>
    <t>Walters 2018</t>
  </si>
  <si>
    <t>Clinical evaluation of double-bundle anterior cruciate ligament reconstruction procedure using hamstring tendon grafts: a prospective, randomized and controlled study.</t>
  </si>
  <si>
    <t>Wang JQ; Ao YF; Yu CL; Liu P; Xu Y; Chen LX</t>
  </si>
  <si>
    <t>BACKGROUND: In clinical studies there is still a lot of controversy about the increased anterior and rotational stability between double-bundle (DB) and single-bundle (SB) anterior cruciate ligament (ACL) reconstruction. The aim of this study was to evaluate the clinical results of four-tunnel DB ACL reconstruction. METHODS: Sixty-four consecutive patients with ACL ruptures from May 2005 to May 2006 were randomly assigned into two groups: 32 cases for SB ACL reconstruction and 32 cases for DB ACL reconstruction. Clinical data, including KT 2000, Biodex test, Lysholm score, Tegner score and IKDC score, were prospectively collected until at least 10 months post-operative. RESULTS: The average values of KT 2000 were (1.47 +/- 1.17) mm and (1.68 +/- 1.14) mm for the SB and DB ACL reconstruction groups at 30 degrees of knee flexion (P &gt; 0.05), and were (1.04 +/- 0.98) mm and (1.13 +/- 0.98) mm at 90 degrees of knee flexion (P &gt; 0.05). There were also no significant differences in Lysholm score, Tegner score, IKDC score and Biodex test scores between the two groups (P &gt; 0.05). The operation time of DB ACL reconstruction was 20 minutes longer than the SB ACL reconstruction (P &lt; 0.05). CONCLUSION: Double bundle ACL reconstructions have no obvious clinical advantages over single bundle ACL reconstructions.</t>
  </si>
  <si>
    <t>#483</t>
  </si>
  <si>
    <t>Wang 2009</t>
  </si>
  <si>
    <t>Shockwave therapy improves anterior cruciate ligament reconstruction.</t>
  </si>
  <si>
    <t>Wang CJ; Ko JY; Chou WY; Hsu SL; Ko SF; Huang CC; Chang HW</t>
  </si>
  <si>
    <t>BACKGROUND: Shockwave was shown to enhance the healing of anterior cruciate ligament (ACL) reconstruction in rabbits. This study evaluated the effect of extracorporeal shockwave therapy (ESWT) on ACL reconstruction in human subjects. We hypothesized that ESWT may improve human ACL reconstruction. METHODS: Fifty-three patients were randomized into two groups with 26 patients in ESWT group and 27 patients in control group. The ESWT group underwent single-bundle hamstring autograft ACL reconstruction and received ESWT immediately after surgery. The control group underwent ACL surgery without ESWT. Both groups received the same rehabilitation postoperatively. The evaluations included Lysholm score, IKDC score and KT-1000, radiograph, bone mineral density, and magnetic resonance imaging. RESULTS: ESWT group showed significantly better Lysholm score than control group at 1 and 2Â y postoperatively (PÂ &lt;Â 0.001 and 0.001, respectively). No significant difference was noted in IKDC score between the two groups (PÂ =Â 0.080 and 0.076, respectively). The KT-1000 values were significantly better in ESWT group than control group at 2Â y postoperatively (PÂ =Â 0.027). The tibia tunnel on X-ray was significantly smaller in ESWT group compared with control group at 2Â y (PÂ =Â 0.018). The bone mineral density values showed no discernable difference between the two groups at 6Â mo and 2Â y (PÂ =Â 0.522 and 0.984, respectively). On magnetic resonance imaging, ESWT group showed significant decrease in tibia tunnel enlargement at 6Â mo and 2Â y compared with the control group (PÂ =Â 0.024 and &lt;0.001, respectively). CONCLUSIONS: ESWT significantly improves the subjective Lysholm score and decreases the middle 1/3 tibia tunnel enlargement after single hamstring autograft ACL reconstruction.</t>
  </si>
  <si>
    <t>J Surg Res</t>
  </si>
  <si>
    <t>10.1016/j.jss.2014.01.050</t>
  </si>
  <si>
    <t>#360</t>
  </si>
  <si>
    <t>Wang 2014</t>
  </si>
  <si>
    <t>Paradoxical tunnel enlargement after ACL reconstruction with hamstring autografts when using Î²-TCP containing interference screws for tibial aperture fixation- prospectively comparative study.</t>
  </si>
  <si>
    <t>Wang JH; Lee ES; Lee BH</t>
  </si>
  <si>
    <t>BACKGROUND: Tibial aperture fixation with a bioabsorbable interference screw is a popular fixation method in anterior cruciate ligament reconstruction (ACLR). An interference screw containing Î²-tricalcium phosphate (Î²-TCP) to improve bony integration and biocompatibility was recently introduced. This study aims to compare the clinical outcomes and radiological results of tunnel enlargement effect between the 2 bioabsorbable fixative devices of pure poly-L-lactic acid (PLLA) interference screws and Î²-TCP-containing screws, for tibial interference fixation in ACLR using hamstring autografts. METHODS: Eighty consecutive patients who had undergone double-bundle ACLR between 2011 to 2012 were prospectively reviewed and randomly divided into two groups based on the type of tibial interference screw: 28 were assigned to the pure PLLA screw group (Group A), while the other 29 were assigned to the Î²-TCP-containing screw fixation group (Group B). Clinical evaluations and radiological analyses were conducted in both groups with a minimum 2- year follow-up. RESULTS: There was no significant difference in subjective or objective clinical outcome between the 2 groups. In radiological analyses, the use of a Î²-TCP-containing screw reduced tunnel widening in the portion of the tunnel with screw engagement compared to the pure PLLA screw, while the use of a Î²-TCP-containing screw resulted in greater tunnel enlargement in the proximal portion of the tunnel without screw engagement than use of a pure PLLA screw. CONCLUSION: Use of a Î²-TCP-containing interference screw in tibial aperture fixation reduced tunnel enlargement in the vicinity of the screw, whereas greater enlargement occurred proximal to the screw end relative to use of a pure PLLA interference screw. These paradoxical enlargements in use of Î²-TCP containing screws suggest that for reducing tunnel enlargement, the length of the interference screw should be as fit as possible with tunnel length in terms of using soft grafts. LEVEL OF EVIDENCE: II, Prospectively comparative study. TRIAL REGISTRATION: Retrospectively registered with ClinicalTrials.gov. (NCT02754674) , Date of trial registration: February 10, 2016.</t>
  </si>
  <si>
    <t>10.1186/s12891-017-1757-0</t>
  </si>
  <si>
    <t>#265</t>
  </si>
  <si>
    <t>Wang 2017</t>
  </si>
  <si>
    <t>Which technique provides more benefits in return to sports and clinical outcomes after anterior cruciate ligament reconstruction: Double-bundle or single-bundle? A randomized controlled study.</t>
  </si>
  <si>
    <t>Wang X; Xu Z; Song S; Mao Z; Huang X; Luo M; Zhou X; Xu B; Ye J; Song Y; Yu J</t>
  </si>
  <si>
    <t>BACKGROUND: The achievement of an optimal return to sport (RTS) has remained a key goal after sports-related injuries, with the ongoing debate on the effectiveness of different surgical approaches for anterior cruciate ligament (ACL) rupture. This study aims to assess clinical outcomes and RTS across various surgical methods, such as anatomical single-bundle reconstruction (ASBR), central-axial single-bundle reconstruction (CASBR), and double-bundle reconstruction (DBR). METHODS: A randomized clinical trial was conducted, comprising 191 patients who underwent ACL rupture. These patients were divided into three groups based on the ACL reconstruction techniques they received (ASBR, CASBR, DBR). Over the 2-year follow-up period, the study assessed RTS through four single-hop tests, isokinetic extension tests, and limb asymmetry indices. Postoperative graft status was determined using the signal-to-noise quotient (SNQ), while knee function was evaluated using the International Knee Documentation Committee 2000 (IKDC-2000) score, Lysholm score, Tegner score, and degree of knee laxity. A binary logistic regression model was developed to forecast the factors influencing ideal RTS. RESULTS: DBR (67.63%) and CASBR (58.00%) exhibited higher RTS passing rates compared to ASBR (30.39%; Ï‡2 = 19.57, P &lt;0.05). Quadriceps strength symmetry in the lower limbs was identified as the key determinant of RTS ( Ï‡2 = 17.08, P &lt;0.05). The RTS rate was influenced by SNQs of the graft's tibial site (odds ratio: 0.544) and quadriceps strength of the reconstructed knee joint at 60Â°/s (odds ratio: 6.346). Notably, the DBR group showed enhanced knee stability, evidenced by superior results in the Lachman test ( Ï‡2 = 13.49, P &lt;0.01), objective IKDC-2000 ( Ï‡2 = 27.02, P = 0.002), and anterior instability test ( Ï‡2 = 9.46, P &lt;0.01). Furthermore, DBR demonstrated superior clinical outcomes based on the Lysholm score (DBR: 89.57 Â± 7.72, CASBR: 83.00 Â± 12.71, ASBR: 83.21 Â± 11.95; F = 10.452, P &lt;0.01) and IKDC-2000 score (DBR: 90.95 Â± 7.00, CASBR: 84.64 Â± 12.68, ASBR: 83.63 Â± 11.41; F = 11.78, P &lt;0.01). CONCLUSION: For patients with ACL rupture, more ideal RTS rate and clinical outcomes were shown in the DBR group than in the ASBR and CASBR groups. Autograft status and quadriceps strength are postively related to RTS. TRIAL REGISTRATION: ClinicalTrials.gov (NCT05400460).</t>
  </si>
  <si>
    <t>10.1097/CM9.0000000000003267</t>
  </si>
  <si>
    <t>#70</t>
  </si>
  <si>
    <t>ageberg_2009</t>
  </si>
  <si>
    <t>Wang 2025</t>
  </si>
  <si>
    <t>Bicruciate-stabilised total knee replacements produce more normal sagittal plane kinematics than posterior-stabilised designs.</t>
  </si>
  <si>
    <t>Ward TR; Burns AW; Gillespie MJ; Scarvell JM; Smith PN</t>
  </si>
  <si>
    <t>Bicruciate-stabilised total knee replacement (TKR) aims to restore normal kinematics by replicating the function of both cruciate ligaments. We performed a prospective, randomised controlled trial in which bicruciate- and posterior-stabilised TKRs were implanted in 13 and 15 osteo-arthritic knees, respectively. The mean age of the bicruciate-stabilised group was 63.9 years (SD 10.00) and that of the posterior-stabilised group 63.2 years (SD 6.7). A control group comprised 14 normal subjects with a mean age of 67.9 years (SD 7.9). The patellar tendon angle (PTA) was measured one week pre-operatively and at seven weeks post-operatively during knee extension, flexion and step-up exercises. At near full extension during step-up, the bicruciate-stabilised TKR produced a higher mean PTA than the posterior-stabilised TKR, indicating that the bicruciate design at least partially restored the kinematic role of the anterior cruciate ligament. The bicruciate-stabilised TKR largely restored the pre-operative kinematics, whereas the posterior-stabilised TKR resulted in a consistently lower PTA at all activities. The PTA in the pre-operative knees was higher than in the control group during the step-up and at near full knee extension. Overall, both groups generated a more normal PTA than that seen in previous studies in high knee flexion. This suggested that both designs of TKR were more effective at replicating the kinematic role of the posterior cruciate ligament than those used in previous studies.</t>
  </si>
  <si>
    <t>10.1302/0301-620X.93B7.26208</t>
  </si>
  <si>
    <t>#429</t>
  </si>
  <si>
    <t>Ward 2011</t>
  </si>
  <si>
    <t>Small Social Incentives Did Not Improve the Survey Response Rate of Patients Who Underwent Orthopaedic Surgery: A Randomized Trial.</t>
  </si>
  <si>
    <t>Warwick H; Hutyra C; Politzer C; Francis A; Risoli T Jr; Green C; Verma N; Huettel S; Mather RC 3rd</t>
  </si>
  <si>
    <t>BACKGROUND: The generalizability of data derived from patient-reported outcome measures (PROMs) depends largely on the proportion of the relevant population that completes PROM surveys. However, PROM survey responses remain low, despite efforts to increase participation. Social incentives, such as the offer to make a charitable donation on behalf of the survey respondent, have generally not been effective where online surveys are concerned, but this has not been extensively tested in medicine. QUESTIONS/PURPOSES: (1) Do personalized social incentives increase response rates or response completeness for postoperative PROM surveys in an orthopaedic population? (2) Are there demographic factors associated with response and nonresponse to postoperative PROM surveys? (3) Are some demographic factors associated with increased response to social incentive offers? METHODS: Participants were selected from an institutional orthopaedics database. Patients were older than 18 years, had an email address on file, and had undergone one of the following procedures 1 to 2 years ago: Achilles tendon repair, ACL reconstruction, meniscectomy, hip arthroscopy, TKA, or THA. Of 4685 eligible patients, 3000 (64%) were randomly selected for inclusion in the study. Participants were randomized to one of four groups: (1) control: no incentive (n = 750); (2) patient donation: offer of a USD 5 donation to provide medical supplies to a pediatric orthopaedic patient (n = 751); (3) research donation: offer of a USD 5 donation to a procedure-specific research program (n = 749); or (4) explanation: explanation that response supports quality improvement (n = 750). The four groups did not differ regarding patient age, gender, race, procedure type, or time since procedure. All patients were sent an email invitation with the same PROM survey link. The proportion of patients who responded (defined here as the response rate) was measured at 4 weeks and compared between intervention groups. We used a logistic regression analysis to identify demographic factors associated with response while controlling for confounding variables and performed subgroup analyses to determine any demographic factors associated with increased response to social incentives. RESULTS: There was no difference in the overall response rate (research donation: 49% [353 of 725], patient donation: 45% [333 of 734], control: 45% [322 of 723], explanation: 44% [314 of 719]; p = 0.239) or response completeness (research donation: 89% [315 of 353], patient donation: 90% [301 of 333], control: 89% [287 of 322], explanation: 87% [274 of 314]; p = 0.647) between the four groups. Women (odds ratio [OR], 1.175; p = 0.042), older patients (&lt; 58 years: OR, 1.016 per 1-year increase; p = 0.001; 58-64 years: OR, 1.023 per 1-year increase; p &lt; 0.001; &gt; 64 years: OR, 1.021 per 1-year increase; p &lt; 0.001), and white patients (OR 2.034 compared with black patients, p &lt; 0.001) were slightly more likely to respond, after controlling for potential confounding variables such as gender, age, race, and procedure type. In subgroup analyses, men (research donation: 49% [155 of 316], patient donation: 45% [146 of 328], control: 40% [130 of 325], explanation: 39% [127 of 325]; p = 0.041) and patients younger than 58 years (research donation: 40% [140 of 351], control: 35% [130 of 371], patient donation: 32% [113 of 357], explanation: 27% [93 of 340]; p = 0.004) were slightly more likely to respond to the research donation than those with other interventions were. CONCLUSIONS: Despite small effects in specific subgroups, personalized social incentives did not increase the overall response to postoperative orthopaedic surveys. Novel and targeted strategies will be necessary to reach response thresholds that enable healthcare stakeholders to use PROMs effectively. LEVEL OF EVIDENCE: Level I, therapeutic study.</t>
  </si>
  <si>
    <t>10.1097/CORR.0000000000000732</t>
  </si>
  <si>
    <t>#223</t>
  </si>
  <si>
    <t>Warwick 2019</t>
  </si>
  <si>
    <t>Functional Resistance Training Differentially Alters Gait Kinetics After Anterior Cruciate Ligament Reconstruction: A Pilot Study.</t>
  </si>
  <si>
    <t>Washabaugh EP; Brown SR; Palmieri-Smith RM; Krishnan C</t>
  </si>
  <si>
    <t>BACKGROUND: Quadriceps weakness is common after anterior cruciate ligament (ACL) reconstruction and can alter gait mechanics. Functional resistance training (FRT) is a novel approach to retraining strength after injury, but it is unclear how it alters gait mechanics. Therefore, we tested how 3 different types of FRT devices: a knee brace resisting extension (unidirectional brace), a knee brace resisting extension and flexion (bidirectional brace), and an elastic band pulling backwards on the ankle (elastic band)-acutely alter gait kinetics in this population. HYPOTHESIS: The type of FRT device will affect ground-reaction forces (GRFs) during and after the training. Specifically, the uni- and bidirectional braces will increase GRFs when compared with the elastic band. STUDY DESIGN: Crossover study. LEVEL OF EVIDENCE: Level 2. METHODS: A total of 15 individuals with ACL reconstruction received FRT with each device over 3 separate randomized sessions. During training, participants walked on a treadmill while performing a tracking task with visual feedback. Sessions contained 5 training trials (180â€‰seconds each) with rest between. Vertical and anterior-posterior GRFs were assessed on the ACL-reconstructed leg before, during, and after training. Changes in GRFs were compared across devices using 1-dimensional statistical parametric mapping. RESULTS: Resistance applied via bidirectional brace acutely increased gait kinetics during terminal stance/pre-swing (ie, push-off), while resistance applied via elastic band acutely increased gait kinetics during initial contact/loading (ie, braking). Both braces behaved similarly, but the unidirectional brace was less effective for increasing push-off GRFs. CONCLUSION: FRT after ACL reconstruction can acutely alter gait kinetics during training. Devices can be applied to selectively alter gait kinetics. However, the long-term effects of FRT after ACL reconstruction with these devices are still unknown. CLINICAL RELEVANCE: FRT may be applied to alter gait kinetics of the involved limb after ACL reconstruction, depending on the device used.</t>
  </si>
  <si>
    <t>10.1177/19417381221104042</t>
  </si>
  <si>
    <t>#128</t>
  </si>
  <si>
    <t>Washabaugh 2023</t>
  </si>
  <si>
    <t>Braking Reaction Time After Right-Knee Anterior Cruciate Ligament Reconstruction: A Comparison ofÂ 3 Grafts.</t>
  </si>
  <si>
    <t>Wasserman BR; Singh BC; Kaplan DJ; Weinberg M; Meislin R; Jazrawi LM; Strauss EJ</t>
  </si>
  <si>
    <t>PURPOSE: To determine when patients recover the ability to safely operate the brakes of an automobile after a right-knee anterior cruciate ligament reconstruction (ACLR). METHODS: A computerized driving simulator was used to determine braking ability after an isolated right-knee ACLR. Thirty healthy volunteers were tested at 1 visit to determine normal mean values, and 27 treatment subjects were tested at 1Â week, 3Â weeks, and 6Â weeks after ACLR. Nine study subjects were treated with a patella tendon (BPTB) autograft, 9 were treated with a hamstring (HS) autograft, and 9 were treated with a tibialis anterior (TA) allograft. The driving simulator collected data on brake reaction time (BRT), brake travel time (BTT), and total brake time (TBT) at each visit. RESULTS: The control group generated a BRT of 725Â milliseconds, BTT of 2.87Â seconds, and TBT of 3.59Â seconds. At week 1, all treatment patients had significant differences compared with controls for BRT, BTT, and TBT, except the BTT of the HS group. At week 3, all measures for the allograft group and the BRT for both autograft groups were no longer significantly different compared with controls, but significant differences were found for TBT in the HS and BPTB groups (PÂ = .03, PÂ = .01). At week 6, BRT, BTT, and TBT were no longer significantly different for either the HS group or BPTB group. CONCLUSIONS: Patients who underwent a right-knee ACLR with a TA allograft regained normal braking times by week 3 postoperatively. In contrast, those treated with a BPTB or HS autograft demonstrated significantly delayed braking times at 3Â weeks but returned to normal braking ability by week 6. Those treated with an autograft had an earlier return of normalized BRT than BTT. LEVEL OF EVIDENCE: Level III, case-control series.</t>
  </si>
  <si>
    <t>10.1016/j.arthro.2016.05.043</t>
  </si>
  <si>
    <t>#291</t>
  </si>
  <si>
    <t>Wasserman 2017</t>
  </si>
  <si>
    <t>The length of the patellar tendon after unicompartmental and total knee replacement.</t>
  </si>
  <si>
    <t>Weale AE; Murray DW; Newman JH; Ackroyd CE</t>
  </si>
  <si>
    <t>Patella infera may occur after reconstruction of the anterior cruciate ligament (ACL), high tibial osteotomy and total knee replacement (TKR). Restriction of movement of the knee and pain may result. Our aim was to compare the incidence and to assess the effects of patella infera after TKR and unicompartmental knee replacement (UKR). We reviewed radiographs of the knees of 84 patients who had had either TKR or UKR as part of a randomised, controlled trial The length of the patellar tendon was measured on serial radiographs taken before, at eight months and at five years after operation. There was no significant change in the length of the patellar tendon after UKR, but a significant reduction was observed after TKR. Five years after the operation, the shortening of the tendon had increased to a mean of 3.5 mm. Of the knees with TKR reviewed at five years, 34% developed patella infera, defined as 10% or more of shortening, compared with 5% of those with UKR. Shortening was greatest in those knees which had required a lateral release; in this subgroup the mean shortening was 7.2 mm. Shortening correlated with restriction of movement and pain in the knee. Our study has shown that patella infera develops in most patients after TKR with lateral release, and in approximately 25% of patients after TKR without this additional procedure. Patella infera rarely occurs after UKR. It is associated with restriction of movement and pain in the knee. It may be an effect of the more extensive exposure required to perform TKR and may, in part, explain the better clinical results of UKR.</t>
  </si>
  <si>
    <t>10.1302/0301-620x.81b5.9590</t>
  </si>
  <si>
    <t>#645</t>
  </si>
  <si>
    <t>Weale 1999</t>
  </si>
  <si>
    <t>Bone tunnel enlargement following anterior cruciate ligament reconstruction: a randomised comparison of hamstring and patellar tendon grafts with 2-year follow-up.</t>
  </si>
  <si>
    <t>Webster KE; Feller JA; Hameister KA</t>
  </si>
  <si>
    <t>Radiographic tibial and femoral bone tunnel enlargement has been demonstrated following anterior cruciate ligament (ACL) reconstruction. This study investigated whether bone tunnel enlargement differs between four-strand hamstring (HS) and patellar tendon (PT) ACL reconstructions over the course of a 2-year follow-up. Patients undergoing primary ACL reconstruction (n = 65) were randomised to receive either a PT or HS autograft. Femoral fixation in both groups was by means of an Endobutton. On the tibial side the PT grafts were fixed using a metallic interference screw, and the HS tendons by sutures tied to a fixation post. The PT grafts were inserted such that the proximal end of the distal bone block was within 10 mm of the tibial articular surface, resulting in a portion of free patellar tendon in the femoral tunnel immediately proximal to the articular surface. Patients were reviewed after 4 months and 1 and 2 years. Tunnel enlargement was determined by measuring the widths of the femoral and tibial tunnels with a digital caliper in both lateral and anteroposterior radiographs. Because of the presence of the interference screw and the proximity of the bone block to the tibial articular surface, the tibial tunnel could not be reliably measured in the PT group. Measurements were corrected for magnification, and changes in tunnel width were recorded relative to the diameters drilled at surgery. Standard clinical measures were also noted. In 32% of patients in the PT group there was femoral tunnel obliteration from 4 months onwards. For the other patients there was a significantly greater increase in femoral tunnel width in the HS group than in the PT group at each follow-up, but no significant change with time. There was also a marked increase in tibial tunnel width in the HS group at 4 months but not thereafter. There was no relationship between tunnel enlargement and clinical measurements. Although tunnel enlargement is more common and greater with HS grafts, it does not appear to affect the clinical outcome in the first 2 postoperative years. Femoral suspensory fixation does not in itself appear to be the principal cause of femoral tunnel enlargement, at least for PT grafts.</t>
  </si>
  <si>
    <t>#630</t>
  </si>
  <si>
    <t>Efficacy of a Squat Visual Biofeedback Program After ACL Reconstruction: Protocol for a Prospective, Parallel, Randomized Controlled Trial.</t>
  </si>
  <si>
    <t>Wellsandt MJ; Weldon N; Werner DM; McManigal ML; Tao MA; Rosenthal MD; Sajja BR; Wichman CS; Baker A; Johnson C; Specht Z; Weaver BA; Knarr B; Nabower C; Wellsandt E</t>
  </si>
  <si>
    <t>BACKGROUND: Altered knee joint loading is pervasive and persistent after anterior cruciate ligament reconstruction (ACLR) and a significant driver for the development of knee osteoarthritis (OA). PURPOSE: To describe a prospective, parallel, randomized controlled trial aiming to evaluate the efficacy of an eight-week squat visual biofeedback program implemented early after ACLR. STUDY DESIGN: Randomized controlled clinical trial. METHODS: Thirty-four individuals (13-35 years of age) will be recruited for a prospective, parallel, randomized controlled trial. Embedded within progressive, criterion-based post-operative physical therapy, participants will be randomly allocated to an eight-week bodyweight squatting program either with or without visual biofeedback initiated when 50% weightbearing is allowed by the treating surgeon. Outcomes will be measured at pre- and post-intervention, six months post-ACLR, and nine months post-ACLR. The primary outcomes are 1) change in knee flexion moment impulse interlimb ratio during squatting at post-intervention, and 2) change in cartilage microstructure from pre-intervention to six months. Secondary outcomes include 1) knee flexion moment impulse interlimb ratio during squatting at six months post-ACLR, 2) peak knee flexion moment interlimb ratio during gait at post-intervention and six months post-ACLR, and 3) quadriceps strength at post-intervention and six months post-ACLR. Exploratory outcomes include knee range of motion and effusion, single-legged hop tests, daily physical activity, additional movement biomechanics, and patient-reported outcomes. DISCUSSION: This study will assess the efficacy of an eight-week squat visual biofeedback program implemented early after ACLR. Findings will inform the future development and testing of comprehensive knee loading rehabilitation interventions that seek to optimize both the magnitude and frequency of knee joint loading to prevent early knee OA after ACL injuries. LEVEL OF EVIDENCE: NA. TRIAL REGISTRATION: Clinicaltrials.gov reference: NCT05363683. Registered May 6, 2022.</t>
  </si>
  <si>
    <t>Int J Sports Phys Ther</t>
  </si>
  <si>
    <t>10.26603/001c.142879</t>
  </si>
  <si>
    <t>#38</t>
  </si>
  <si>
    <t>Wellsandt 2025</t>
  </si>
  <si>
    <t>Anterior cruciate ligament- specialized post-operative return-to-sports (ACL-SPORTS) training: a randomized control trial.</t>
  </si>
  <si>
    <t>White K; Di Stasi SL; Smith AH; Snyder-Mackler L</t>
  </si>
  <si>
    <t>BACKGROUND: Anterior cruciate ligament reconstruction (ACLR) is standard practice for athletes that wish to return to high-level activities; however functional outcomes after ACLR are poor. Quadriceps strength weakness, abnormal movement patterns and below normal knee function is reported in the months and years after ACLR. Second ACL injuries are common with even worse outcomes than primary ACLR. Modifiable limb-to-limb asymmetries have been identified in individuals who re-injure after primary ACLR, suggesting a neuromuscular training program is needed to improve post-operative outcomes. Pre-operative perturbation training, a neuromuscular training program, has been successful at improving limb symmetry prior to surgery, though benefits are not lasting after surgery. Implementing perturbation training after surgery may be successful in addressing post-operative deficits that contribute to poor functional outcomes and second ACL injury risk. METHODS/DESIGN: 80 athletes that have undergone a unilateral ACLR and wish to return to level 1 or 2 activities will be recruited for this study and randomized to one of two treatment groups. A standard care group will receive prevention exercises, quadriceps strengthening and agility exercises, while the perturbation group will receive the same exercise program with the addition of perturbation training. The primary outcomes measures will include gait biomechanics, clinical and functional measures, and knee joint loading. Return to sport rates, return to pre-injury level of activity rates, and second injury rates will be secondary measures. DISCUSSION: The results of this ACL-Specialized Post-Operative Return To Sports (ACL-SPORTS) Training program will help clinicians to better determine an effective post-operative treatment program that will improve modifiable impairments that influence outcomes after ACLR. TRIAL REGISTRATION: Randomized Control Trial NIH 5R01AR048212-07. ClinicalTrials.gov: NCT01773317.</t>
  </si>
  <si>
    <t>10.1186/1471-2474-14-108</t>
  </si>
  <si>
    <t>#384</t>
  </si>
  <si>
    <t>White 2013</t>
  </si>
  <si>
    <t>Effects of electrical muscle stimulation combined with voluntary contractions after knee ligament surgery.</t>
  </si>
  <si>
    <t>Wigerstad-Lossing I; Grimby G; Jonsson T; Morelli B; Peterson L; RenstrÃ¶m P</t>
  </si>
  <si>
    <t>The aim of the present study is to compare the effect of electrical muscle stimulation combined with voluntary muscle contractions with a program only with voluntary muscle contractions during immobilization in casts after anterior cruciate ligament surgery. Twenty-three patients, 7 women and 16 men with a mean age of 28 yr, were randomized into two groups: an experimental group (13 patients) and a control group (10 patients). Post-operatively, the patients were immobilized for 3 wk in a full leg cast with the knee flexed at an angle of 20 degrees to 30 degrees and then in a knee cast for another 3 wk. All patients had a standard program with quadriceps muscle contractions. In addition, the experimental group received electrical stimulation of the quadriceps muscle 4 X 10 min, 3 times.wk-1, at a frequency of 30 Hz. During each stimulation, the patients were requested to contract the quadriceps muscle voluntarily as well. When pre-operative measurements were compared with those at the end of the immobilization period (6 wk after the operation), a significantly larger reduction in the knee extension isometric muscle strength was found for the control group than for the experimental group. In comparisons of the data of the male subjects only, this difference was still seen to be significant. The cross-sectional area of the quadriceps muscle measured with computed tomography was significantly less reduced during the immobilization period in the experimental group than in the control group.(ABSTRACT TRUNCATED AT 250 WORDS)</t>
  </si>
  <si>
    <t>10.1249/00005768-198802000-00014</t>
  </si>
  <si>
    <t>#702</t>
  </si>
  <si>
    <t>Wigerstad-Lossing 1988</t>
  </si>
  <si>
    <t>Thigh muscle activity, knee motion, and impact force during side-step pivoting in agility-trained female basketball players.</t>
  </si>
  <si>
    <t>Wilderman DR; Ross SE; Padua DA</t>
  </si>
  <si>
    <t>CONTEXT: Improving neuromuscular control of hamstrings muscles might have implications for decreasing anterior cruciate ligament injuries in females. OBJECTIVE: To examine the effects of a 6-week agility training program on quadriceps and hamstrings muscle activation, knee flexion angles, and peak vertical ground reaction force. DESIGN: Prospective, randomized clinical research trial. SETTING: Sports medicine research laboratory. PATIENTS OR OTHER PARTICIPANTS: Thirty female intramural basketball players with no history of knee injury (age = 21.07 +/- 2.82 years, height = 171.27 +/- 4.66 cm, mass = 66.36 +/- 7.41 kg). INTERVENTION(S): Participants were assigned to an agility training group or a control group that did not participate in agility training. Participants in the agility training group trained 4 times per week for 6 weeks. MAIN OUTCOME MEASURE(S): We used surface electromyography to assess muscle activation for the rectus femoris, vastus medialis oblique, medial hamstrings, and lateral hamstrings for 50 milliseconds before initial ground contact and while the foot was in contact with the ground during a side-step pivot maneuver. Knee flexion angles (at initial ground contact, maximum knee flexion, knee flexion displacement) and peak vertical ground reaction force also were assessed during this maneuver. RESULTS: Participants in the training group increased medial hamstrings activation during ground contact after the 6-week agility training program. Both groups decreased their vastus medialis oblique muscle activation during ground contact. Knee flexion angles and peak vertical ground reaction force did not change for either group. CONCLUSIONS: Agility training improved medial hamstrings activity in female intramural basketball players during a side-step pivot maneuver. Agility training that improves hamstrings activity might have implications for reducing anterior cruciate ligament sprain injury associated with side-step pivots.</t>
  </si>
  <si>
    <t>10.4085/1062-6050-44.1.14</t>
  </si>
  <si>
    <t>#490</t>
  </si>
  <si>
    <t>Wilderman 2009</t>
  </si>
  <si>
    <t>Anterior cruciate ligament reconstruction using patellar tendon versus hamstring tendon: a prospective comparative study with 9-year follow-up.</t>
  </si>
  <si>
    <t>Wipfler B; Donner S; Zechmann CM; Springer J; Siebold R; Paessler HH</t>
  </si>
  <si>
    <t>PURPOSE: To analyze the long-term evaluation of clinical, functional, and magnetic resonance imaging (MRI) results after implant-free press-fit anterior cruciate ligament (ACL) reconstruction with bone-patella tendon (BPT) versus quadrupled hamstring tendon (HT) grafts. METHODS: Sixty-two ACL-insufficient patients were included in a prospective, randomized study (31 BPT and 31 HT). Both surgical procedures were performed without any implants by a press-fit technique by the senior author. The femoral tunnel was drilled through the anteromedial portal for anatomic placement. At 8.8 years after reconstruction, 53 patients (28 BPT and 25 HT) were examined by different clinical and functional tests. Bilateral MRI scans were performed and interpreted by an independent radiologist. RESULTS: On follow-up, the score on the International Knee Documentation Committee evaluation form was significantly better in the HT group. The clinical examination including range of motion, KT-1000 test (MEDmetric, San Diego, CA), and pivot-shift test showed no significant differences. On isokinetic testing, the mean quadriceps strength was close to normal (96%) in both groups, but the hamstring strength was lower in the HT group (100.3%/95.1%). Kneeling (1.5/1.1, P = .002), knee walking (1.72/1.14, P = .002), and single-leg hop test (95.8%/99.1%, P = .057) were better in the HT group. The MRI findings about the mean degree of cartilage lesion (International Cartilage Repair Society protocol) of the operated (2.1/2.1) and nonoperated (1.4/1.8) knee showed no significant differences. No significant difference was found in the grade of medial or lateral meniscal lesion or the number of patients having meniscal lesions when the operated and nonoperated knees were compared. Tunnel measurements, Caton-Deschamps Index, and the sagittal ACL angle were similar. CONCLUSIONS: The implant-free press-fit technique for anterior cruciate ligament reconstruction by use of bone-patellar tendon and hamstring grafts with anatomic graft placement is an innovative technique to preserve the cartilage and meniscal status without significant differences between the operated and nonoperated knees in the long term. Significantly less anterior knee pain was noted in the hamstring group, when testing for kneeling and knee walking. LEVEL OF EVIDENCE: Level II, prospective comparative study.</t>
  </si>
  <si>
    <t>#432</t>
  </si>
  <si>
    <t>Anterior cruciate ligament functional brace use in sports.</t>
  </si>
  <si>
    <t>Wojtys EM; Kothari SU; Huston LJ</t>
  </si>
  <si>
    <t>The routine use of functional knee braces in the anterior cruciate ligament-deficient, injured, or reconstructed knee, lacks biomechanical support. Although subjective reports favoring bracing are plentiful, objective proof of significant control of tibial translation is not. This in vivo study was designed to assess the effect of six popular braces on anterior tibial translation, isokinetic performance, and neuromuscular function in five chronically unstable anterior cruciate ligament-deficient knees. A knee stress test was performed on a specially designed device that allowed free tibial movement while monitoring anterior tibial translation and muscle function in the quadriceps, hamstring, and gastrocnemius muscles. Results show that braces can decrease anterior tibial translation between 28.8% and 39.1% without the stabilizing contractions of the hamstring, quadriceps, and gastrocnemius muscles. With lower extremity muscle activation and bracing, anterior tibial translation was decreased between 69.8% and 84.9%. Some improvement in spinal level muscle reaction times was seen with brace use, especially in the quadriceps muscle. Unfortunately, most braces appear to consistently slow hamstring muscle reaction times at the voluntary level.</t>
  </si>
  <si>
    <t>10.1177/036354659602400421</t>
  </si>
  <si>
    <t>#670</t>
  </si>
  <si>
    <t>Wojtys 1996</t>
  </si>
  <si>
    <t>Custom-fit versus "off-the-shelf" ACL functional braces.</t>
  </si>
  <si>
    <t>Wojtys EM; Huston LJ</t>
  </si>
  <si>
    <t>Many sports medicine practitioners believe "custom-fit" functional braces are superior in performance to "off-the-shelf" braces for anterior cruciate ligament (ACL)-deficient knees. However, this is not well substantiated. This study compares a Donjoy custom-fit ACL brace (CE 2000), Donjoy off-the-shelf brace (Goldpoint), and an athletic taping technique to determine their role in our clinical practice. Five patients (3 men and 2 women) with isolated, unilateral, chronic ACL tears with an average age of 27 years (range: 19-35 years) were used to evaluate these three restraint systems. Anterior tibial laxity, quadriceps and hamstrings strength, endurance, standing long jump, brace migration with exercise, and pattern of muscle response to forced anterior tibial displacement were studied. Each patient was tested without a brace and then in each of the three test conditions (custom brace, off-the-shelf brace, and tape), with the order of testing randomized. The Donjoy custom-fit ACL functional brace did not reduce anterior laxity or improve standing long jump, muscle strength, endurance, or muscle response times significantly more than the off-the-shelf ACL brace. Both braces improved anterior stability over knee taping when the knee muscles were contracted under the low forces used in this study. After 1 hour of exercise, brace migration was significantly greater (P=.03) for the CE-2000 custom brace (18.6 mm) than for the Goldpoint off-the-shelf brace (4.5 mm). There appears to be no advantage to the more expensive custom-fit knee brace over the off-the-shelf brace.</t>
  </si>
  <si>
    <t>Summer</t>
  </si>
  <si>
    <t>#622</t>
  </si>
  <si>
    <t>Wojtys 2001</t>
  </si>
  <si>
    <t>Continuous femoral nerve block versus intra-articular injection for pain control after anterior cruciate ligament reconstruction.</t>
  </si>
  <si>
    <t>Woods GW; O'Connor DP; Calder CT</t>
  </si>
  <si>
    <t>BACKGROUND: Continuous femoral nerve blocks have been recommended for postoperative pain control after anterior cruciate ligament reconstruction. HYPOTHESIS: A pain control protocol involving a continuous ropivacaine femoral nerve block will decrease pain and narcotic use in the first 24 hours after surgery compared with a postoperative pain control protocol involving an intra-articular injection of bupivacaine/morphine. STUDY DESIGN: Randomized controlled clinical trial; Level of evidence, 2. METHODS: Ninety subjects, aged 15 years or older, who were receiving arthroscopically assisted bone-patellar tendon-bone anterior cruciate ligament reconstruction were randomly assigned to 2 groups. The first group received a ropivacaine continuous femoral nerve block and oral hydrocodone (block group). The second group received an intra-articular bupivacaine/morphine injection and oral oxycodone (injection group). Patients in both groups could receive intramuscular injection of hydromorphone for breakthrough pain; most patients in the block group also received bolus doses of ropivacaine through the femoral catheter. Subjects rated their worst, average, and current pain levels using a visual analog scale and category-ratio scale the morning after surgery. Postoperative narcotic pain medication use was converted to morphine-equivalent doses. RESULTS: Postoperative pain ratings did not differ between the treatment groups. The largest difference in pain ratings between the groups was 0.5 cm for worst pain level (P = .345). Total narcotic use did not differ significantly between groups (1.1 morphine-equivalent doses in both groups; P = .671). CONCLUSIONS: Continuous femoral block with ropivacaine appeared to have no clinical advantage in the immediate postoperative period after anterior cruciate ligament reconstruction when compared with an intra-articular injection of bupivacaine/morphine. Both methods are effective for pain control after anterior cruciate ligament reconstruction.</t>
  </si>
  <si>
    <t>10.1177/0363546505286145</t>
  </si>
  <si>
    <t>#553</t>
  </si>
  <si>
    <t>Woods 2006</t>
  </si>
  <si>
    <t>Single-tunnel anatomic double-bundle anterior cruciate ligament reconstruction has the same effectiveness as double femoral, double tibial tunnel: A prospective randomized study.</t>
  </si>
  <si>
    <t>Xiang X; Qu Z; Sun H; Ma X; Wang W; Huang L</t>
  </si>
  <si>
    <t>PURPOSE: To investigate whether single femoral, single tibial tunnel anatomic double-bundle anterior cruciate ligament (ACL) reconstruction is equal to or superior to double femoral, double tibial tunnel ACL double-bundle anatomic reconstruction in terms of restoring the stability and functions of the knee joint. METHODS: A prospective clinical study was performed to compare 30 cases of single-tunnel ACL double-bundle anatomic reconstruction to 28 cases of double-tunnel ACL double-bundle anatomic reconstruction, with average follow-up of 36 months. All graft tendons were hamstring tendon autografts. Tunnel placements in all the cases were made anatomically. Clinical results were collected after reconstruction. Graft appearance, meniscus status and cartilage state under arthroscopy were compared and analyzed. RESULTS: Tunnel placements were in the anatomic positions in both groups. On the lateral pivot-shift test performed at 36 months postoperatively, there was no significant difference between groups. Clinical results such as International Knee Documentation Committee score, Tegner activity scale, and range of motion showed no significant differences between the groups. The mean thickness of anteromedial graft was reduced by 10.3% and that of the posterolateral graft was reduced by 11.1% from the original graft thickness evaluated by magnetic resonance imaging. No new meniscal tears were found either group; however, cartilage damage occurred in the double-tunnel group at 39.3%, and this rate was significantly higher than that in the single-tunnel group (10.0%). CONCLUSION: Single femoral, single tibial tunnel anatomic double-bundle ACL reconstruction has the same effectiveness as the double femoral, double tibial tunnel in restoring the knee's stability and functions.</t>
  </si>
  <si>
    <t>10.1097/MD.0000000000014851</t>
  </si>
  <si>
    <t>#227</t>
  </si>
  <si>
    <t>Xiang 2019</t>
  </si>
  <si>
    <t>Effects of proprioceptive training on gait and plantar pressure after anterior cruciate ligament reconstruction: study protocol for a randomized controlled trial.</t>
  </si>
  <si>
    <t>Xiaojun Z; Ming M; Jianye G; Wudong S; Yi Q; Jun C; Ningqinq H; Panpan F</t>
  </si>
  <si>
    <t>BACKGROUND: People who have undergone anterior cruciate ligament reconstruction have an increased risk of osteoarthritis. Abnormality of lower limb kinematics will occur after the operation. This may be related to lower limb muscle strength, the co-excitation of hamstrings and quadriceps femoris, and the weakness of proprioception. Proprioceptive training can improve the proprioception of lower limbs and promote the recovery of lower limb kinematics. Our research objective is to observe whether proprioceptive training can improve the proprioception of lower limbs within 3Â months after surgery and whether the recovery of proprioception can correct the abnormal lower limb kinematics. The secondary objective is to explore the underlying mechanism of postoperative lower limb gait abnormalities. METHODS/DESIGN: This study is a prospective single-center randomized clinical trial to be conducted in the Sports Medicine and Orthopedics of Zhongda Hospital Southeast University. Forty participants aged 18-50, preparing to undergo anterior cruciate ligament reconstruction, and initial anterior cruciate ligament reconstruction using hamstring tendons as grafts will be randomly assigned to the intervention or comparator group. People in the intervention group will add proprioceptive training three times a week, 20Â min each time. The intervention will be conducted on the first day after surgery. The researcher mainly collects the data of joint of sense, gait, and plantar pressure. The assessment will be divided into three stages: after signing the informed consent form (within 2Â weeks before surgery), 6Â weeks after surgery, and 12Â weeks after surgery. DISCUSSION: The main purpose of our study is to explore whether the proprioception of patients after anterior cruciate ligament reconstruction is weakened, whether the lower limb kinematics is abnormal and whether the lower limb kinematics can be corrected through proprioceptive training. TRIAL REGISTRATION: Chinese Clinical Trial Registry ChiCTR2200065808. Registered on 15 November 2022; Version 1.</t>
  </si>
  <si>
    <t>10.1186/s13063-023-07759-2</t>
  </si>
  <si>
    <t>#91</t>
  </si>
  <si>
    <t>Xiaojun 2023</t>
  </si>
  <si>
    <r>
      <rPr>
        <rFont val="Montserrat"/>
        <color rgb="FF1155CC"/>
        <sz val="11.0"/>
        <u/>
      </rPr>
      <t>aglietti_2004</t>
    </r>
  </si>
  <si>
    <t>Comparison of proprioception recovery following anterior cruciate ligament reconstruction using an artificial graft versus an autograft.</t>
  </si>
  <si>
    <t>Xu C; Liu T; Wang M; Liu C; Li B; Lian Q; Chen T; Chen F; Qiao S; Wang Z</t>
  </si>
  <si>
    <t>BACKGROUND: To compare proprioception recovery after anterior cruciate ligament reconstruction (ACLR) with a hamstring tendon autograft versus the artificial Ligament Advanced Reinforcement System (LARS). MATERIAL AND METHODS: Forty patients (9 females, 31 males) with anterior cruciate ligament (ACL) rupture were enrolled in this prospective study. Patients were randomized to two groups, 1) ACLR using a hamstring tendon autograft (nâ€‰=â€‰20) or 2) ACLR using artificial LARS (nâ€‰=â€‰20). Proprioception was assessed with knee joint position sense (JPS) passive-passive test at 45Â° and 75Â° flexions, with the contralateral healthy knee as a control baseline to calculate the JPS error. Knee JPS absolute error was used as the main outcome variable and defined as the absolute difference between the reproduction and target angles. RESULTS: JPS error in both groups at 3â€‰months after ACLR was significantly higher than that at 12â€‰months. However, no significant difference in JPS error was detected between the LARS and autograft groups at either 3 or 12â€‰months after ACLR. Analyzing JPS data by grouping patients according to whether ACLR was performed more or less than 1â€‰year following injury regardless of graft type showed a statistically significant difference between the groups at 3â€‰months, but not at 12â€‰months, after ACLR. Patients receiving the graft within 1 year of injury had a lower JPS error than those receiving the graft more than 1 year after injury at 3 months. No complications were associated with either ACLR method. CONCLUSION: ACLR with a hamstring tendon autograft or LARS artificial graft is similarly safe and effective for recovering knee proprioception.</t>
  </si>
  <si>
    <t>10.1186/s12891-022-06019-9</t>
  </si>
  <si>
    <t>#113</t>
  </si>
  <si>
    <t>Xu 2022</t>
  </si>
  <si>
    <t>Quadriceps versus hamstrings autograft in anterior cruciate ligament reconstruction: a randomized control trial.</t>
  </si>
  <si>
    <t>Yadav AK; Sharma A; Paul N; Bhakhar A; Sarkar B; Azam MQ</t>
  </si>
  <si>
    <t>PURPOSE: The use of quadriceps tendon (QT) autograft is on the rise owing to its specific attributes, such as predictable size, lower graft failure rate, and less donor site morbidity. The hypothesis for the current study is that ACL reconstruction using QT autograft results in better clinical outcomes than hamstrings tendon (HT). METHODS: Patients underwent a single-bundle, all-inside ACL reconstruction after being randomized into QT and HT groups. At 12Â months, objective outcomes (Lachman test, anterior drawer test, pivot_shift test, and side-to-side anterior translation measurement with KT-1000) and subjective outcomes (Lysholm and KOOS scores) were evaluated, along with donor site morbidity and graft failure. RESULTS: Sixty-nine patients (QT: 33, HT: 36) were included in the final analysis. At 12Â month follow-up, a negative Lachman test was found in 72.7% of cases in the QT group and 41.6% in the HT group (pâ€‰=â€‰0.04). Positive pivot_shift was more frequent in the HT group (13.9% vs. 0%, pâ€‰=â€‰0.27), while KT-1000 showed greater anterior translation in the HT group than QT (3.77â€‰Â±â€‰2.01 vs. 2.73â€‰Â±â€‰1.64Â mm, pâ€‰=â€‰0.23). Lysholm (92.4 vs. 88.2, pâ€‰=â€‰0.008) and KOOS (94.1 vs. 89.6, pâ€‰=â€‰0.01) scores were higher in the QT group. The only case of graft failure occurred in the HT group, which also had more sensory hypoesthesia (30.5%), while one patient in the QT group developed stiffness requiring arthrolysis. CONCLUSION: Quadriceps tendon autograft in ACL reconstruction offers superior translational stability and reduced donor site morbidity, with comparable PROMs and a trend toward improved rotational stability. CTRI REGISTRATION NUMBER: CTRI/2023/07/055894. EVIDENCE LEVEL: Level 1, Randomized Controlled Study.</t>
  </si>
  <si>
    <t>#36</t>
  </si>
  <si>
    <t>Double-bundle ACL reconstruction can improve rotational stability.</t>
  </si>
  <si>
    <t>Yagi M; Kuroda R; Nagamune K; Yoshiya S; Kurosaka M</t>
  </si>
  <si>
    <t>Double-bundle anterior cruciate ligament (ACL) reconstruction reproduces anteromedial and posterolateral bundles, and thus has theoretical advantages over conventional single-bundle reconstruction in controlling rotational torque in vitro. However, its superiority in clinical practice has not been proven. We analyzed rotational stability with three reconstruction techniques in 60 consecutive patients who were randomly divided into three groups (double-bundle, anteromedial single-bundle, posterolateral single-bundle). In the reconstructive procedure, the hamstring tendon was harvested and used as a free tendon graft. Followup examinations were performed 1 year after surgery. Anteroposterior laxity of the knee was examined with a KT-1000 arthrometer, whereas rotatory instability, as elicited by the pivot_shift test, was assessed using a new measurement system incorporating three-dimensional electromagnetic sensors. Routine clinical evaluations, including KT examination, demonstrated no differences among the three groups. However, using the new measurement system, patients with double-bundle ACL reconstruction showed better pivot_shift control of complex instability than patients with anteromedial and posterolateral single-bundle reconstruction.</t>
  </si>
  <si>
    <t>10.1097/BLO.0b013e31802ba45c</t>
  </si>
  <si>
    <t>#540</t>
  </si>
  <si>
    <t>Yagi 2007</t>
  </si>
  <si>
    <t>Early versus delayed start of weight-bearing after arthroscopic anterior cruciate ligament reconstruction with hamstring tendons.</t>
  </si>
  <si>
    <t>Yang X; Li Y; He C; Jin T; Huang Y</t>
  </si>
  <si>
    <t>BACKGROUND: The aim of this prospective randomized clinical study was to compare the clinical and second-look arthroscopic outcomes of early weight-bearing and delayed weight-bearing rehabilitation protocols following anterior cruciate ligament (ACL) reconstruction with hamstring tendons. METHODS: This prospective study involved 90 patients who underwent ACL reconstruction with hamstring tendons. The patients were randomly assigned to either perform weight-bearing exercises at three weeks postoperatively (group A) or at one week postoperatively (group B). Evaluation of the patients was conducted at 3, 6, and 12 months postoperatively, focusing on knee range of motion, thigh circumference, and knee function assessed using the International Knee Documentation Committee (IKDC) form and Lysholm knee score. Graft evaluation was performed based on tension, tear, and synovial coverage via second-look arthroscopy at least one year after reconstruction. RESULTS: Group B exhibited significantly greater knee extension and flexion angles at 3 and 6 months compared to group A. IKDC and Lysholm scores were significantly higher in group B at 3 and 6 months. Additionally, the difference in thigh circumference between groups A and B was smaller at all evaluation periods, indicating less muscle atrophy in group B. Furthermore, there was no significant difference in synovial coverage, graft tear, or tension between the two groups based on second-look arthroscopy findings. CONCLUSIONS: This study demonstrates that an early weight-bearing protocol leads to faster recovery of knee joint function and muscle strength, facilitating a quicker return to sports activities. Additionally, there was no significant difference in graft morphology observed at second-look arthroscopy between the two groups at one year postoperative. Therefore, clinicians are encouraged to develop suitable early weight-bearing rehabilitation protocols for patients who have undergone ACL surgery.</t>
  </si>
  <si>
    <t>10.23736/S0022-4707.24.16134-8</t>
  </si>
  <si>
    <t>#68</t>
  </si>
  <si>
    <t>Yang 2025</t>
  </si>
  <si>
    <t>Graft site morbidity with autogenous semitendinosus and gracilis tendons.</t>
  </si>
  <si>
    <t>Yasuda K; Tsujino J; Ohkoshi Y; Tanabe Y; Kaneda K</t>
  </si>
  <si>
    <t>To distinguish between morbidity caused by harvesting semitendinosus and gracilis tendons and morbidity associated with anterior cruciate ligament reconstruction surgery, we performed a prospective randomized study using 65 patients who underwent anterior cruciate ligament reconstruction using these tendons. The patients underwent either contralateral (N = 34) or ipsilateral (N = 31) graft harvest. For the nonoperated knees in the ipsilateral harvest group, isometric and isokinetic strength of the quadriceps and hamstring muscles increased to approximately 120% of the preoperative value at 12 months after surgery. Compared with these knees, the tendon harvest did not affect quadriceps muscle strength at all. However, harvest did decrease hamstring muscles strength for 9 months after surgery. The graft harvest in the knees with anterior cruciate ligament reconstruction also did not significantly affect quadriceps muscle strength, but it did significantly decrease hamstring muscles strength only at 1 month. Activity-related soreness at the donor site was rarely restricting and resolved by 3 months. This study demonstrated that the semitendinosus and gracilis tendon graft is a reasonable choice to minimize the donor site morbidity in ligament reconstruction using autografts.</t>
  </si>
  <si>
    <t>10.1177/036354659502300613</t>
  </si>
  <si>
    <t>#675</t>
  </si>
  <si>
    <t>Yasuda 1995</t>
  </si>
  <si>
    <t>Effects of initial graft tension on clinical outcome after anterior cruciate ligament reconstruction. Autogenous doubled hamstring tendons connected in series with polyester tapes.</t>
  </si>
  <si>
    <t>Yasuda K; Tsujino J; Tanabe Y; Kaneda K</t>
  </si>
  <si>
    <t>We conducted a prospective, randomized, short-term study to clarify the effects of initial graft tension on clinical outcome after arthroscopically assisted anterior cruciate ligament reconstruction with autogenous doubled semitendinosus and gracilis tendons connected in series with polyester tapes. Seventy Japanese patients with chronic, "isolated" anterior cruciate ligament tears were entered in the study. The patients were randomly divided into three groups based on initial graft tension: Group 1 (20 N), Group 2 (40 N), or Group 3 (80 N). No statistical differences were noted among the three groups with regard to their background factors. The patients were observed for 2 years or more after surgery. Postoperatively, the average side-to-side difference in anterior laxity was 2.2 +/- 2.4 mm in Group 1, 1.4 +/- 1.8 mm in Group 2, and 0.6 +/- 1.7 mm in Group 3. Analysis of variance testing showed that the postoperative laxity in Group 3 was significantly less than that in Group 1. Spearman's rank-order correlation analysis also demonstrated significant correlation between the magnitude of initial graft tension and the magnitude of the postoperative laxity. This study demonstrates that relatively high initial tension (up to 80 N) reduces the postoperative anterior laxity of the knee joint after anterior cruciate ligament reconstruction using the doubled autogenous hamstring tendons connected in series with polyester tapes.</t>
  </si>
  <si>
    <t>10.1177/036354659702500120</t>
  </si>
  <si>
    <t>#665</t>
  </si>
  <si>
    <t>Yasuda 1997</t>
  </si>
  <si>
    <t>Clinical evaluation of anatomic double-bundle anterior cruciate ligament reconstruction procedure using hamstring tendon grafts: comparisons among 3 different procedures.</t>
  </si>
  <si>
    <t>Yasuda K; Kondo E; Ichiyama H; Tanabe Y; Tohyama H</t>
  </si>
  <si>
    <t>PURPOSE: To compare the clinical outcome of anatomic double-bundle anterior cruciate ligament (ACL) reconstruction with that of nonanatomic single- and double-bundle reconstructions. TYPE OF STUDY: Prospective comparative cohort study. METHODS: Seventy-two patients with unilateral ACL-deficient knees were randomly divided into 3 groups. Concerning all background factors, there were no statistical differences among the 3 groups. In group S (n = 24), single-bundle ACL reconstruction was performed. In group N-AD (n = 24), nonanatomic double-bundle reconstruction was carried out. In group AD (n = 24), anatomic double-bundle reconstruction was performed. One surgeon performed all operations using hamstring tendon autografts. Each patient underwent clinical examinations, before surgery and at 2 years. RESULTS: No intraoperative and postoperative complications were experienced in each group. There were no significant differences concerning the time for operation among the 3 groups. The statistical analysis showed a significant difference in the postoperative side-to-side anterior laxity among the 3 groups (P = .006). The laxity was significantly less (P = .002) in group AD (1.1 mm) than in group S (2.8 mm), while there was no significant difference (P = .072) between groups AD and N-AD. Concerning the pivot-shift test, group AD was significantly superior to group S (P = .025). There were no significant differences in the range of knee motion, the muscle torque, and the International Knee Documentation Committee evaluation. CONCLUSIONS: On the basis of the KT-2000 measurement, the side-to-side anterior laxity of our anatomic double-bundle ACL reconstruction was significantly better than that of the single-bundle reconstruction with the hamstring tendon graft, although there were no significant differences in the other clinical measures among any of the 3 procedures. LEVEL OF EVIDENCE: Level II.</t>
  </si>
  <si>
    <t>10.1016/j.arthro.2005.12.017</t>
  </si>
  <si>
    <t>#551</t>
  </si>
  <si>
    <t>Yasuda 2006</t>
  </si>
  <si>
    <t>The effect of gentamicin in irrigating solutions on articular infection prophylaxis during arthroscopic ACL reconstruction.</t>
  </si>
  <si>
    <t>Yazdi H; Moradi A; Herbort M</t>
  </si>
  <si>
    <t>PURPOSE: The purpose of this study was to investigate whether gentamicin irrigation solutions provide a potential new tool to prevent joint infection after arthroscopic ACL reconstruction. METHODS: In this prospective randomized study, 360 consecutive ACL recondition patients were randomized in two groups alternately from Feb 2008 to March 2012. In the first group, 180 patients underwent ACL reconstruction with a hamstring autograft, preoperative IV antibiotics, and normal saline (0.9% sodium chloride) solution. In the second group 180 patients underwent ACL reconstruction with a hamstring autograft, preoperative IV antibiotics, and normal saline (0.9% sodium chloride solution) with added gentamicin (80 mg/L) (group 2). Three patients from group 1 and six patients from group 2 were excluded from the study due to loss of follow-up. The patients were followed for 6 months and assessed for signs of deep infection. RESULTS: In group 1, a total of 4 (2.2%) postoperative septic arthritis cases were documented. In group 2, just one postoperative deep infection (septic arthritis) was documented (0.57%). Although the rate of septic arthritis in group 1 was higher than in group 2, statistical analysis showed that the difference between using the gentamicin irrigation solution (80 mg/L) and the saline solution alone was not significant. CONCLUSIONS: Using gentamicin in irrigating solutions during arthroscopic ACL reconstruction surgery does not statistically decrease post operation septic arthritis. LEVEL OF EVIDENCE: Therapeutic Level II.</t>
  </si>
  <si>
    <t>10.1007/s00402-013-1910-7</t>
  </si>
  <si>
    <t>#364</t>
  </si>
  <si>
    <t>Yazdi 2014</t>
  </si>
  <si>
    <t>Does the hyperextension maneuver prevent knee extension loss after arthroscopic anterior cruciate ligament reconstruction?</t>
  </si>
  <si>
    <t>Yazdi H; Moradi A; Sanaie A; Ghadi A</t>
  </si>
  <si>
    <t>BACKGROUND: Disruption of the anterior cruciate ligament (ACL) is one of the most frequent musculoskeletal injuries affecting physically active men and women. In the United States, an estimated 200,000 ACL reconstructions are performed annually. One of the most common complications of ACL reconstruction is loss of extension. The purpose of this study was to assess the effects of the hyperextension maneuver on preventing knee extension loss after arthroscopic ACL reconstruction. MATERIALS AND METHODS: In this prospective randomized clinical trial study, 100 adult patients with a documented complete ACL tear were randomized to two groups. All patients underwent arthroscopic ACL reconstruction with quadrupled semitendinosus and gracilis autograft by the senior author based on the same technique and instruments. However, the hyperextension maneuver was only performed in 50 patients during autograft fixation on the tibial side (case group). The postoperative rehabilitation protocol was similar for both groups. The knee range of motion and extension limit was evaluated at 2, 6, 12, and 24Â weeks and at 1Â year postoperatively. RESULTS: One hundred patients (88 male and 12 female) aged from 17-36Â years (average 26.9Â years) were included in our study. The two groups were similar regarding age, sex, and dominant side involvement (PÂ &gt;0.4).The difference between the two groups was significant only at 2Â weeks (P &lt;0.02). After 2Â weeks, although the rate of limited extension was higher in the control group, no significant difference was seen between the groups. CONCLUSION: Although the hyperextension technique during graft fixation on the tibial side may induce better range of motion in the first 2Â weeks after ACL reconstruction surgery, this effect is not significant after 2 weeks. LEVEL OF EVIDENCE: Therapeutic level II.</t>
  </si>
  <si>
    <t>J Orthop Traumatol</t>
  </si>
  <si>
    <t>10.1007/s10195-016-0408-9</t>
  </si>
  <si>
    <t>#288</t>
  </si>
  <si>
    <t>Yazdi 2016</t>
  </si>
  <si>
    <t>Comparison of clinical outcomes and second-look arthroscopic findings after ACL reconstruction using a hamstring autograft or a tibialis allograft.</t>
  </si>
  <si>
    <t>Yoo SH; Song EK; Shin YR; Kim SK; Seon JK</t>
  </si>
  <si>
    <t>PURPOSE: The purpose of this prospective randomized clinical study was to compare the clinical and radiological outcomes, including tibial tunnel widening and the progression of osteoarthritis after ACL reconstruction using a hamstring autograft or a tibialis allograft. In addition, we compared the graft tear and synovial coverage of grafts in patients that underwent the second-look arthroscopy. METHODS: Among 184 patients with an ACL injury who underwent ACL reconstruction, 68 patients of autograft group and 64 patients of tibialis allograft group were included for this study after minimum of 2-year follow-up. The Lachman and pivot-shift tests, Tegner activity score, Lysholm knee score, and IKDC score were compared between the two groups. The quadriceps and hamstring isokinetic strengths using dynamometer were also compared. Degree of OA was determined using the Kellgren-Lawrence grading system on the weight-bearing radiographs. In total, 51 patients (26 patients in autograft group and 25 in the tibialis allograft group) underwent the second-look arthroscopy, in which we compared the apparent tear of graft and synovial coverage of grafts. RESULTS: At the final follow-up, there were no statistical significances in the two groups in Lachman and pivot-shift tests (n.s.). The Tegner activity, Lysholm knee score, and IKDC scores were similar in the two groups. Moreover, no significant differences were observed in the muscle power (n.s.). Some patients showed the progression of OA (five in autograft and four in allograft groups) without intergroup difference (n.s.). Regarding the findings of second-look arthroscopy, although there was no significant difference in graft tear, synovial coverage was better in autograft group than in allograft group. CONCLUSION: Even though hamstring autografts and tibialis allografts provided good functional outcomes without significant differences, the second-look arthroscopy revealed that hamstring autografts produced better synovial coverage than tibialis allograft. LEVEL OF EVIDENCE: I.</t>
  </si>
  <si>
    <t>#320</t>
  </si>
  <si>
    <r>
      <rPr>
        <rFont val="Montserrat"/>
        <color rgb="FF1155CC"/>
        <sz val="11.0"/>
        <u/>
      </rPr>
      <t>ahldén_2009</t>
    </r>
  </si>
  <si>
    <t>Graft tension and knee stability after anterior cruciate ligament reconstruction.</t>
  </si>
  <si>
    <t>Yoshiya S; Kurosaka M; Ouchi K; Kuroda R; Mizuno K</t>
  </si>
  <si>
    <t>This study examined the effect of the initial graft tension on the clinical outcome of anterior cruciate ligament reconstruction in a prospective randomized design. Fifty patients were enrolled in the study. In the reconstructive procedure, a bone-patellar tendon-bone graft was used. A set force of 25 N (5.6 lb) was applied in 25 patients and 50 N (11.2 lb) tension was maintained during fixation for the remaining 25 patients with the knee in full extension. In the immediate postoperative period, the anterior cruciate ligament reconstructed knee was similarly overconstrained in both groups. At 3 months, laxity of the surgically treated knee in both groups had increased significantly and become close to that of the contralateral knee. Measured laxity value showed a slight increase between 3 and 6 months, and remained similar thereafter. No significant difference in the clinical outcome was observed between the groups throughout the followup.</t>
  </si>
  <si>
    <t>10.1097/00003086-200201000-00018</t>
  </si>
  <si>
    <t>#616</t>
  </si>
  <si>
    <t>Yoshiya 2002</t>
  </si>
  <si>
    <t>[Early effectiveness of local injection of multimodal drug cocktail during anterior cruciate ligament reconstruction and its influence on cartilage].</t>
  </si>
  <si>
    <t>Yu H; Dong Z; Shi Z; Li L; Dong K; Liu H; Li Y</t>
  </si>
  <si>
    <t>OBJECTIVE: To explore the early effectiveness and influence on cartilage of local injection of multimodal drug cocktail (MDC) during anterior cruciate ligament reconstruction (ACLR). METHODS: Between February 2022 and August 2023, patients undergone arthroscopic ACLR using autologous hamstring tendons were selected as the study subjects. Among them, 90 patients met the selection criteria and were randomly divided into 3 groups ( n=30) according to the different injection drugs after ligament reconstruction. There was no significant difference in baseline data such as gender, age, body mass index, surgical side, disease duration, preoperative thigh circumference, and preoperative levels of tumor necrosis factor Î± (TNF-Î±), interleukin 6 (IL-6), IL-1, matrix metalloproteinase 3 (MMP-3), MMP-13, and aggrecan (ACAN) in synovial fluid between groups ( P&gt;0.05). After the ligament reconstruction during operation, corresponding MDC (consisting of ropivacaine, tranexamic acid, and betamethasone in group A, and ropivacaine, betamethasone, and saline in group B) or saline (group C) were injected into the joint and tendon site, respectively. The length of hospital stay, postoperative tramadol injection volume, incidence of complications, degree of knee joint swelling and range of motion, visual analogue scale (VAS) score, International Knee Documentation Committee (IKDC) score, Lyshlom score, and Hospital for Special Surgery (HSS) score were recorded and compared between groups. The T2 (*) values in different cartilage regions were detected by MRI examination and the levels of TNF-Î±, IL-6, IL-1, MMP-3, MMP-13, and ACAN in synovial fluid were detected by ELISA method. RESULTS: The patients in group A, B, and C were followed up (12.53Â±3.24), (13.14Â±2.87), and (12.82Â±3.32) months, respectively. All incisions healed by first intention. Compared with group C, group A and group B had shorter length of hospital stay, less tramadol injection volume, and lower incidence of complications, showing significant differences ( P&lt;0.05); there was no significant difference between group A and group B ( P&gt;0.05). The degree of knee swelling in group A was significantly less than that in group B and group C ( P&lt;0.05), but there was no significant difference between group B and group C ( P&gt;0.05). At 3, 6, 12, 24, and 48 hours after operation, VAS scores of group A and group B were significantly lower than those of group C ( P&lt;0.05); at 72 hours after operation, there was no significant difference among the three groups ( P&gt;0.05). At 3 days, 14 days, and 1 month after operation, the range of motion of knee joint in group A were significantly better than those in group C ( P&lt;0.05), and there was no significant difference between the other groups ( P&gt;0.05). At 1 month after operation, the IKDC score of group A and group B was significantly higher than that of group C ( P&lt;0.05); there was no significant difference among the three groups at other time points ( P&gt;0.05). There was no significant difference in Lyshlom score and HSS score among the three groups at each time point ( P&gt;0.05). At 14 days after operation, the levels of IL-1 and IL-6 in the synovial fluid in groups A and B were significantly lower than those in group C ( P&lt;0.05). There was no significant difference in the levels of TNF-Î±, MMP-3, MMP-13, and ACAN between groups A and B ( P&gt;0.05). At 1 month after operation, there was no significant difference in the above indicators among the three groups ( P&gt;0.05). At 3, 6, and 12 months after operation, there was no significant difference in the T2 (*) values of different cartilage regions among the three groups ( P&gt;0.05). CONCLUSION: Injecting MDC (ropivacaine, tranexamic acid, betamethasone) into the joint and tendon site during ACLR can achieve good early effectiveness without significant impact on cartilage.</t>
  </si>
  <si>
    <t>10.7507/1002-1892.202402054</t>
  </si>
  <si>
    <t>#81</t>
  </si>
  <si>
    <t>Yu 2024</t>
  </si>
  <si>
    <t>Effects of hamstring conditioning contraction on landing biomechanics and surface EMG: a randomized controlled trial.</t>
  </si>
  <si>
    <t>Yu T; Chen B; Ye Z; Wu J; Jiang J; Wang G</t>
  </si>
  <si>
    <t>OBJECTIVE: This study aimed to investigate the effects of post-activation potentiation (PAP) of the hamstrings on surface electromyography (sEMG) characteristics and knee joint biomechanics during landing. METHODS: This two-arm, parallel-group randomized controlled trial (1:1 allocation) included 34 male collegiate athletes assigned to a PAP group (n = 17) or a control group (n = 17). The PAP group performed a 5-s hamstring MVIC followed by an 8-min interval, whereas the control group remained seated quietly for an equivalent 8-min interval without conditioning contraction. Drop-landing tasks were completed before and after the intervention. Kinematic, kinetic, and sEMG data were collected synchronously. Wavelet decomposition was applied to hamstring sEMG signals across four frequency bands. Primary outcomes were wavelet-derived EMG power in the 60-200Â Hz frequency band for the biceps femoris and semitendinosus/semimembranosus during landing; all other EMG bands, biomechanical variables, iEMG, and co-contraction indices were considered secondary/exploratory. Trial registration: Not registered. RESULTS: For the primary outcomes, the PAP group showed significant pre-post increases in wavelet-derived EMG power within the 60-200Â Hz frequency band for both the semitendinosus/semimembranosus and biceps femoris, whereas no significant pre-post changes were observed in the control group. Post-intervention between-group comparisons further showed significantly higher 60-200Â Hz wavelet power in the PAP group than in the control group for the semitendinosus/semimembranosus (FDR-adjusted p = 0.014, 95% CI: 2100.466-6465.455) and biceps femoris (FDR-adjusted p = 0.045, 95% CI: 605.924-1131.846). Among secondary and exploratory outcomes, frequency-domain changes were observed in other bands, including increased 200-480Â Hz wavelet power in both muscles and decreased 0-20Â Hz wavelet power in the biceps femoris. Biomechanically, the PAP group demonstrated greater maximal knee flexion angles (p &lt; 0.001, 95% CI for PAP - Control [6.374, 10.699]) and reduced sagittal- (p = 0.043, 95% CI for PAP - Control [-0.323, -0.010]) and transverse-plane (p = 0.002, 95% CI for PAP - Control [-0.360, -0.068]) knee joint moments compared with the control group, indicating altered joint loading patterns during landing. CONCLUSION: Hamstring PAP was associated with acute changes in hamstring surface EMG characteristics a nd landing biomechanics, including increased 60-200Â Hz wavelet-derived EMG power, greater knee flexion, and lower frontal- and transverse-plane knee joint moments.</t>
  </si>
  <si>
    <t>Front Bioeng Biotechnol</t>
  </si>
  <si>
    <t>10.3389/fbioe.2026.1702762</t>
  </si>
  <si>
    <t>#3</t>
  </si>
  <si>
    <t>Yu 2026</t>
  </si>
  <si>
    <t>Prospective and randomized evaluation of ACL reconstruction with three techniques: a clinical and radiographic evaluation at 5 years follow-up.</t>
  </si>
  <si>
    <t>Zaffagnini S; Marcacci M; Lo Presti M; Giordano G; Iacono F; Neri MP</t>
  </si>
  <si>
    <t>A variety of graft sources have been used for ACL reconstruction to improve functions and kinematics in ACL deficient knees. The two most commonly used autogenous grafts are the central third of the patellar tendon and the hamstring tendon constructs. The choice of different grafts and different construct influence the final clinical outcome of ACL reconstruction. The 3 groups, of 25 patients each, were generated by choosing the technique (PT tendon, 4 strand hamstring, and single hamstring plus extraarticular plasty) to utilize and followed for 5 years, with an alternate systematic sampling. Our comparison has shown significant kneeling pain in the patellar tendon with respect to the groups with hamstrings techniques. Single hamstring plus extraarticular plasty achieved subjective score significantly higher with respect to the other two groups as well as for the time to resume sport. The study confirms that patellar tendon and hamstring can be equivalent options for ACL reconstruction. This study demonstrated that a superior outcome as far as subjective clinical findings were concerned, was obtained in group III. Patients in the latter group were also able to return to sports sooner than those in the bone-patellar tendon graft group and the four-strand hamstring group.</t>
  </si>
  <si>
    <t>10.1007/s00167-006-0130-x</t>
  </si>
  <si>
    <t>#544</t>
  </si>
  <si>
    <t>Zaffagnini 2006</t>
  </si>
  <si>
    <t>ST/G ACL reconstruction: double strand plus extra-articular sling vs double bundle, randomized study at 3-year follow-up.</t>
  </si>
  <si>
    <t>Zaffagnini S; Bruni D; Russo A; Takazawa Y; Lo Presti M; Giordano G; Marcacci M</t>
  </si>
  <si>
    <t>Several investigators have reported the presence of biomechanical, kinematic, anatomic, fiber orientation patterns and biological differences between the anteromedial bundle and the posterolateral bundle of ACL. The purpose of this prospective randomized study was to compare the clinical, instrumental and X-ray outcome of two ACL reconstruction techniques with hamstring tendons: one with a single intra-articular bundle associated to an extra-articular sling, the second with a more anatomic double-bundle technique that reproduces better the native ACL function. From an initial group of 100 patients who underwent ACL reconstruction, 72 patients (35 single bundle plus lateral plasty and 37 double bundle) were evaluated with IKDC, Tegner score, KT2000 arthrometer, Activity Rating Scale, Psychovitality Questionnaire and Ahlback radiographic score at a mean 3 years follow-up. Double-bundle group showed significantly better results regarding IKDC, ROM, Activity Rating Scale and time to return to sport. Also KT 2000 showed significant differences in objective stability. The double-bundle technique for ACL reconstruction described in this paper has demonstrated significantly better subjective, objective and functional results compared with a double-stranded hamstrings plus extra-articular sling at a minimum 3-year follow-up.</t>
  </si>
  <si>
    <t>10.1111/j.1600-0838.2007.00697.x</t>
  </si>
  <si>
    <t>#513</t>
  </si>
  <si>
    <t>Zaffagnini 2008</t>
  </si>
  <si>
    <t>Single-bundle patellar tendon versus non-anatomical double-bundle hamstrings ACL reconstruction: a prospective randomized study at 8-year minimum follow-up.</t>
  </si>
  <si>
    <t>Zaffagnini S; Bruni D; Marcheggiani Muccioli GM; Bonanzinga T; Lopomo N; Bignozzi S; Marcacci M</t>
  </si>
  <si>
    <t>PURPOSE: The purpose of this study was to compare subjective, objective and radiographic outcome of the lateralized single-bundle bone-patellar tendon-bone autograft with a non-anatomical double-bundle hamstring tendons autograft anterior cruciate ligament (ACL) reconstruction technique at long-term follow-up. METHODS: Seventy-nine non-consecutive randomized patients (42 men; 37 women) with unilateral ACL insufficiency were prospectively evaluated, before and after ACL reconstruction by means of the above-mentioned techniques, with a minimum follow-up of 8Â years (range 8-10Â years; mean 8.6Â years). In the double-bundle hamstrings technique, we used one tibial and one femoral tunnel combined with one "over-the-top" passage, cortical staple's fixation and we left intact hamstrings' tibial insertion. Patients were evaluated subjectively and objectively, using IKDC score, Tegner level, manual maximum displacement test with KT-2000â„¢ arthrometer. Radiographic evaluation was performed according to IKDC grading system, and re-intervention rate for meniscal lesions was also recorded. RESULTS: The subjective and objective IKDC were similar in both groups while double-bundle hamstrings group showed significantly higher Tegner level (PÂ =Â 0.0007), higher passive range of motion recovery (PÂ =Â 0.0014), faster sport resumption (PÂ =Â 0.0052), lower glide pivot-shift phenomenon (PÂ =Â 0.0302) and lower re-intervention rate (PÂ =Â 0.0116) compared with patellar tendon group. Radiographic evaluation showed significant lower objective degenerative changes in double-bundle hamstrings group at final follow-up (PÂ =Â 0.0056). CONCLUSION: Although both techniques provide satisfactory results, double-bundle ACL reconstruction shows better functional results, with a faster return to sport activity, a lower re-operation rate and lower degenerative knee changes.</t>
  </si>
  <si>
    <t>#444</t>
  </si>
  <si>
    <t>Wavelet analysis reveals differential lower limb muscle activity patterns long after anterior cruciate ligament reconstruction.</t>
  </si>
  <si>
    <t>Zandiyeh P; Parola LR; Fleming BC; Beveridge JE</t>
  </si>
  <si>
    <t>The purpose of this study was to test whether differences in muscle activity patterns between anterior cruciate ligament-reconstructed patients (ACLR) and healthy controls could be detected 10 to 15Â years post-surgery using a machine learning classification approach. Eleven ACLR subjects and 12 healthy controls were recruited from an ongoing prospective randomized clinical trial. Surface electromyography (EMG) signals were recorded from gastrocnemius medialis and lateralis, tibialis anterior, vastus medialis, rectus femoris, biceps femoris, and semitendinosus muscles. Muscle activity was analyzed using wavelet analysis and examined within four sub-phases of the hop test, as well as an average of the task as a whole. K-nearest neighbor machine learning combined with a leave-one-out validation was used to classify the muscle activity patterns as either ACLR or Control. When muscle activity was averaged across the whole hop task, activity patterns for all muscles except the tibialis anterior were identified as being different between the study cohorts. ACLR patients demonstrated continuous muscle activities that spanned take-off, airborne, and landing hop phases versus healthy controls who displayed timed and regulated islets of muscle activities specific to each hop phase. The most striking features were 25-50% greater relative quadriceps intensity and approximately 66% diminished biceps femoris intensity in ACLR patients. The current findings are in contrast to previous work using conventional co-contraction and muscle activation onset EMG measures of the same dataset, underscoring the sensitivity and potential of the wavelet approach coupled with machine learning to reveal meaningful adaptation strategies in this at-risk population.</t>
  </si>
  <si>
    <t>J Biomech</t>
  </si>
  <si>
    <t>10.1016/j.jbiomech.2022.110957</t>
  </si>
  <si>
    <t>#139</t>
  </si>
  <si>
    <t>Zandiyeh 2022</t>
  </si>
  <si>
    <t>Dry Needling for Arthrogenic Muscle Inhibition of Quadriceps Femoris in Patients after Reconstruction of Anterior Cruciate Ligament: a Protocol for a Randomized Controlled Trial.</t>
  </si>
  <si>
    <t>Zarrin M; Nakhostin Ansari N; Naghdi S; Hasson S; Forogh B; Rezaee M</t>
  </si>
  <si>
    <t>BACKGROUND: : Dry needling (DN) is recommended as a therapeutic modality for various neuromusculoskeletal disorders. No study has been performed on the impact of DN on arthrogenic muscle inhibition (AMI) after anterior cruciate ligament reconstruction (ACLR). This study protocol is aimed to investigate the impacts of DN on AMI of quadriceps femoris, corticomotor, and spinal reflex excitability in patients with ACLR. METHODS: : A double-blind, between-subject, randomized, controlled trial will be conducted to measure changes in AMI after DN. Twenty-four subjects with ACLR will be recruited to receive a DN or a sham DN, providing that they met the inclusion criteria. Three sessions of DN on the quadriceps femoris will be applied during a one-week period. The primary outcome measures are the active motor threshold, motor evoked potential, and H(max) - M(max) ratio. The secondary outcomes are the International Knee Documentation Committee subjective knee form questionnaire score and maximum quadriceps isometric torque. Data will be collected at baseline, immediately after the first session, after the third session, and at the one-month follow-up visit. DISCUSSION: : The results of this study will provide preliminary evidence regarding the effects of DN on AMI of quadriceps femoris in patients with ACLR.</t>
  </si>
  <si>
    <t>J Acupunct Meridian Stud</t>
  </si>
  <si>
    <r>
      <rPr>
        <rFont val="Montserrat"/>
        <color rgb="FF1155CC"/>
        <sz val="11.0"/>
        <u/>
      </rPr>
      <t>akelman_2016</t>
    </r>
  </si>
  <si>
    <t>10.51507/j.jams.2023.16.5.193</t>
  </si>
  <si>
    <t>#93</t>
  </si>
  <si>
    <t>Zarrin 2023</t>
  </si>
  <si>
    <t>Female Athletes With Better Psychological Readiness Are at Higher Risk for Second ACL Injury After Primary ACL Reconstruction.</t>
  </si>
  <si>
    <t>Zarzycki R; Cummer K; Arhos E; Failla M; Capin JJ; Smith AH; Snyder-Mackler L</t>
  </si>
  <si>
    <t>BACKGROUND: Approximately 1 in 4 athletes returning to sports will sustain a second anterior cruciate ligament (ACL) injury. Psychological factors related to kinesiophobia, confidence, and psychological readiness are associated with second ACL injury; however, the evidence is conflicting. HYPOTHESIS: Athletes who sustain a second ACL injury (ie, graft rupture or contralateral ACL rupture) within 2 years of ACL reconstruction (ACLR) would have greater kinesiophobia, less confidence, and lower psychological readiness prior to return to sport (RTS) compared with athletes who do not sustain a second ACL injury. STUDY DESIGN: Secondary analysis of a prospective randomized trial. LEVEL OF EVIDENCE: Level 3. METHODS: A total of 39 female Level I/II athletes completed the following measures after postoperative rehabilitation and a 10-session RTS and second ACL injury prevention program: ACL Return to Sport after Injury (ACL-RSI) scale, the 11-item Tampa Scale of Kinesiophobia (TSK-11), and question 3 on the Knee injury and Osteoarthritis Outcome Score (KOOS) quality of life (QoL) subscale. Athletes were dichotomized based on whether they sustained a second ACL injury within 2 years of ACLR or not. Independent t tests determined group differences in TSK-11, KOOS-QoL, ACL-RSI, and the 3 individual components of the ACL-RSI (ie, emotions, confidence, risk appraisal). RESULTS: Nine athletes sustained a second ACL injury (4 graft ruptures and 5 contralateral ACL ruptures). The group that sustained a second ACL injury had higher scores on the ACL-RSI (P = 0.03), higher on the risk appraisal questions of the ACL-RSI (P &lt; 0.01), and met RTS criteria sooner than athletes who did not (P = 0.04). All second ACL injuries occurred in athletes who underwent primary ACLR with hamstring tendon autografts. CONCLUSION: Athletes who sustained a second ACL within 2 years of ACLR had a more positive psychological outlook, higher scores on the specific questions related to the risk appraisal construct of the ACL-RSI, and met RTS criteria sooner than athletes who did not sustain a second ACL injury. CLINICAL RELEVANCE: Counseling athletes about delaying RTS to reduce the risk of second ACL injury may be especially important in athletes who display high psychological readiness and meet RTS criteria sooner.</t>
  </si>
  <si>
    <t>10.1177/19417381231155120</t>
  </si>
  <si>
    <t>#104</t>
  </si>
  <si>
    <t>Zarzycki 2024</t>
  </si>
  <si>
    <t>Effects of evidence-based prevention training on neuromuscular and biomechanical risk factors for ACL injury in adolescent female athletes: a randomised controlled trial.</t>
  </si>
  <si>
    <t>Zebis MK; Andersen LL; Brandt M; Myklebust G; Bencke J; Lauridsen HB; Bandholm T; Thorborg K; HÃ¶lmich P; Aagaard P</t>
  </si>
  <si>
    <t>BACKGROUND: Adolescent female football and handball players are among the athletes with the highest risk of sustaining anterior cruciate ligament (ACL) injuries. AIM: This study evaluated the effects of evidence-based lower extremity injury prevention training on neuromuscular and biomechanical risk factors for non-contact ACL injury. METHODS: 40 adolescent female football and handball players (15-16â€…years) were randomly allocated to a control group (CON, n=20) or neuromuscular training group (NMT, n=20). The NMT group performed an injury prevention programme as a warm-up before their usual training 3 times weekly for 12â€…weeks. The CON group completed their regular warm-up exercise programme before training. Players were tested while performing a side cutting movement at baseline and 12-week follow-up, using surface electromyography (EMG) and three-dimensional movement analysis. We calculated: (1) EMG amplitude from vastus lateralis (VL), semitendinosus (ST) and biceps femoris 10â€…ms prior to initial contact (IC) normalised to peak EMG amplitude recorded during maximal voluntary isometric contraction and (2) VL-ST EMG preactivity difference during the 10â€…ms prior to foot contact (primary outcome). We measured maximal knee joint valgus moment and knee valgus angle at IC. RESULTS: There was a difference between groups at follow-up in VL-ST preactivity (43% between-group difference; 95% CI 32% to 55%). No between-group differences were observed for kinematic and kinetic variables. CONCLUSIONS: A 12-week injury prevention programme in addition to training and match play in adolescent females altered the pattern of agonist-antagonist muscle preactivity during side cutting. This may represent a more ACL-protective motor strategy.</t>
  </si>
  <si>
    <t>10.1136/bjsports-2015-094776</t>
  </si>
  <si>
    <t>#322</t>
  </si>
  <si>
    <t>Zebis 2016</t>
  </si>
  <si>
    <t>Electromyography Evaluation of Bodyweight Exercise Progression in a Validated Anterior Cruciate Ligament Injury Rehabilitation Program: A Cross-Sectional Study.</t>
  </si>
  <si>
    <t>Zebis MK; SÃ¸rensen MH; Lauridsen HB; Bencke J; Andersen CH; CarlsbÃ¦k JB; Jespersen P; Kallehauge AH; Andersen LL</t>
  </si>
  <si>
    <t>OBJECTIVES: Regaining muscle strength is essential for successful outcome after anterior cruciate ligament injury, why progression of exercise intensity in anterior cruciate ligament injury rehabilitation is important. Thus, this study evaluated hamstring and quadriceps muscle activity progression during bodyweight exercises used in a validated anterior cruciate ligament injury rehabilitation program. DESIGN: The study design involved single-occasion repeated measures in a randomized manner. Twenty healthy athletes (nine females) performed nine bodyweight exercises (three exercises per rehabilitation phase). Surface electromyography signals were recorded for hamstring (semitendinosus, biceps femoris) and quadriceps (vastus medialis, vastus lateralis) muscles and normalized to isometric peak electromyography. RESULTS: Hamstring muscle activity did not increase from one rehabilitation phase to the next, ranging between 8% and 45% normalized electromyography for semitendinosus and 11% and 54% normalized electromyography for biceps femoris. Only one exercise (Cook hip lift) exhibited hamstring muscle activities more than 60% normalized electromyography. By contrast, quadriceps muscle activity increased, and late-phase exercises displayed high normalized electromyography (vastus lateralis &gt;60% and vastus medialis &gt;90% normalized electromyography). CONCLUSIONS: The examined bodyweight exercises did not progress for hamstring muscle activity but successfully progressed for quadriceps muscles activity. This study highlights the need for consensus on exercise selection when targeting the hamstring muscles in the rehabilitation after anterior cruciate ligament injury.</t>
  </si>
  <si>
    <t>10.1097/PHM.0000000000001232</t>
  </si>
  <si>
    <t>#209</t>
  </si>
  <si>
    <t>Zebis 2019</t>
  </si>
  <si>
    <t>[Anatomical ACL reconstruction by a double- versus a single-bundle technique. Prospective randomised study of short-term clinical results].</t>
  </si>
  <si>
    <t>Zeman P; Koudela K; Kasl J; NepraÅ¡ P; Zeman J; MatÄ›jka J</t>
  </si>
  <si>
    <t>PURPOSE OF THE STUDY: The aim of the study is to present a comparison of short-term results of double- versus single-bundle anatomical reconstruction of the anterior cruciate ligament (ACL) using hamstring endons and their fixation with absorbable interference screws. MATERIAL AND METHODS: A total of 110 patients with an isolated ACL lesion and the healthy contralateral knee who met the indication criteria for ACL double bundle reconstruction (TISL, 14 mm; ICNW, 12 mm) were intra-operatively allocated at random to either double-bundle group (DB, n=55) or single-bundle group (SB, n=55). At 12 months after surgery, 97 patients (DB group, n=49; SB group, n=48), comprising 68 men and 29 women, were evaluated; the average age was 29.1 years and the injury-to-surgery interval was 15.9 weeks. Pre- and post-operative subjective criteria involved the IKDC and Lysholm score. Objectively, the occurrence of graft failure, range of motion deficit, return to pre-injury sports activity, side-to-side difference in anterior laxity of both knees in 20Â° flexion on a GNRB laximeter at an applied pressure of 124 N and 250 N, and pivot_shift phenomenon were assessed. RESULTS: No statistically significant difference was found in pre-operative values between the two groups. Post-operatively, there were no significant differences in the occurrence of complete graft failure (p=0.0755; DB group, n=0; SB group, n=3), range-of-motion deficit (p=0.2277-0.9788) or return to pre-operative sports activity (p=0.2322). In the DB group, side-to-side anterior tibial shifts at a pressure of 124 N (medians=1.3 mm and 2.1 mm for DB and SB groups, respectively; p=0.0007) and at a pressure of 250 N (DB group =2.1 mm; SB group = 3.1 mm; p&lt;0.0001) were significantly different from the corresponding values in the SB group. Positive results for the pivot_shift test (PST) were significantly less frequent in the DB than the SB group (Chi-square test =0.0112). The SB group patients had a 2.9-times (odds ratio, 2.8704) higher risk of positive postoperative PST results than the DB group patients. In both groups, a comparison of pre- and post-operative criteria showed significant improvement in both the subjective and the objective results. DISCUSSION: The results of this study, in accordance with other authors' conclusions, suggest that the double-bundle technique provides better control over rotational and anterior knee laxity and therefore restores knee biomechanics better. However, other literature data do not confirm any significantly better outcomes of this method. Since only short-term results have been obtained so far, the study will continue because only the long-term results can provide conclusive evidence of an advantage of one technique over the other. CONCLUSIONS: Our study showed significantly better restoration of knee rotational and anterior laxity in the patients undergoing anatomical reconstruction of the ACL by the double-bundle technique. The other evaluated criteria did not differ in relation to the technique used.</t>
  </si>
  <si>
    <t>#356</t>
  </si>
  <si>
    <t>Zeman 2014</t>
  </si>
  <si>
    <t>Comparison of two methods of femoral tunnel preparation in single-bundle anterior cruciate ligament reconstruction: a prospective randomized study.</t>
  </si>
  <si>
    <t>Zhang Q; Zhang S; Li R; Liu Y; Cao X</t>
  </si>
  <si>
    <t>PURPOSE: To prospectively compare therapeutic effect of femoral tunnel preparation through the tibial tunnel and the anteromedial (AM) portal in single-bundle anterior cruciate ligament (ACL) reconstruction. METHODS: Between June 2008 and October 2010, 76 patients underwent single-bundle ACL reconstruction by autogenous grafting of semitendinosus and gracilis tendon. All cases were randomly divided into two groups according to the method of femoral tunnel preparation: transtibial (TT) group (n=38) and anteromedial (AM) group (n=38). Lysholm knee score and the KT-1000 anterior laxity at 30Â° of pre-and post-operation were assessed for two groups. RESULTS: Sixty-five patients (TT group, 34; AM group, 31) were followed up for more than 12 months, with a follow-up rate of 86%. The Lysholm knee score and the KT-1000 anterior laxity 12 months after operation were significantly better than before reconstruction. The Lysholm knee score and the KT-1000 anterior laxity were not significantly different between the TT and AM groups after operation. CONCLUSION: Femoral tunnel preparation through tibial tunnel or the anteromedial portal in single-bundle anterior cruciate ligament reconstruction shows same therapeutic effects.</t>
  </si>
  <si>
    <t>Acta Cir Bras</t>
  </si>
  <si>
    <t>10.1590/s0102-86502012000800010</t>
  </si>
  <si>
    <t>#407</t>
  </si>
  <si>
    <t>Zhang 2012</t>
  </si>
  <si>
    <t>The effect of remnant preservation on tibial tunnel enlargement in ACL reconstruction with hamstring autograft: a prospective randomized controlled trial.</t>
  </si>
  <si>
    <t>Zhang Q; Zhang S; Cao X; Liu L; Liu Y; Li R</t>
  </si>
  <si>
    <t>PURPOSE: To investigate the effect of remnant preservation on tibial tunnel enlargement in a single-bundle anterior cruciate ligament (ACL) reconstruction with a hamstring autograft. METHODS: From 2006 to 2009, a total of 62 patients who underwent single-bundle ACL reconstruction with a quadrupled hamstring tendon autograft were enrolled in this study. The patients were randomly divided into two groups: the preserving-remnant group and the removing-remnant group. Plain radiographs were taken at 1 week, and 3, 6, and 24 months postoperatively, and tibial tunnel enlargement was evaluated. The postoperative clinical assessment included the Lysholm rating scale and KT-1000 measurement. RESULTS: In total, 27 patients in the preserving-remnant group and 24 patients in the removing-remnant group were followed up and the median follow-up was 24.5 months (range 24-27 months). Tibial tunnel enlargement occurred within 6 months postoperatively. Positive enlargement was observed in 8 patients (29.6 %) in the preserving-remnant group and 14 patients (58.3 %) in the removing-remnant group (P = 0.0388). The percentage of tibial tunnel enlargement was 25.7 Â± 6.7 and 34.0 Â± 8.9 % in the preserving- and removing-remnant groups, respectively (P = 0.0004). In the preserving-remnant group, the average Lysholm score increased from 60.3 Â± 5.3 (51-69) to 93.0 Â± 3.5 (88-100), and the side-to-side difference of the KT-1000 changed from 6.3 Â± 0.9 (5.1-8.0) to 1.4 Â± 0.6 (0.5-2.4) mm. In the removing-remnant group, the average Lysholm score increased from 58.7 Â± 6.5 (48-71) to 91.1 Â± 3.9 (85-100), and the side-to-side difference of the KT-1000 changed from 6.5 Â± 0.8 (5.4-8.2) to 1.7 Â± 0.6 (0.6-2.8) mm. CONCLUSIONS: It is confirmed that remnant preservation in ACL reconstruction can resist tibial tunnel enlargement but that this technique does not affect the short-term clinical outcome of ACL reconstruction.</t>
  </si>
  <si>
    <t>10.1007/s00167-012-2341-7</t>
  </si>
  <si>
    <t>#398</t>
  </si>
  <si>
    <t>Zhang 2014</t>
  </si>
  <si>
    <t>The Effect of Cartilage Fragments on Femoral Tunnel Widening After Anterior Cruciate Ligament Reconstruction: A Prospective Randomized Controlled Study.</t>
  </si>
  <si>
    <t>Zhang C; Pan J; Chen JD; Zhang YJ; Gu PC; Lin XJ; Cai YZ</t>
  </si>
  <si>
    <t>PURPOSE: To analyze the effect of cartilage fragments on tunnel widening and tendon-bone integration at 2Â years' follow-up after anterior cruciate ligament reconstruction (ACLR). METHODS: A prospective randomized controlled study was performed in 116 patients who underwent ACLR with autologous hamstring tendons augmented with cartilage fragments (study group, nÂ = 56) or without any augmentation (control group, nÂ = 60). All patients were followed up for 25.6Â months (range, 24-28Â months), and the International Knee Documentation Committee score, Lysholm score, and visual analog scale score were determined. Computed tomography scans of all patients were obtained 2Â years after surgery to evaluate the diameter of the femoral tunnel and thereby assess the amount of tunnel widening. Magnetic resonance imaging evaluation was performed 2Â years postoperatively to evaluate the status of the graft in the femoral tunnel. In addition, 5 patients underwent biopsy of the tendon-bone interface at 24Â months postoperatively with histologic assessment and transmission electron microscopy. RESULTS: A total of 107 patients completed the follow-up. There were no significant differences between the 2 groups in terms of International Knee Documentation Committee score (PÂ = .07), Lysholm score (PÂ = .10), and visual analog scale score (PÂ = .57) at 24Â months' follow-up. The femoral tunnel diameter and the tunnel widening percentage in the study group were significantly smaller than those in the control group (P &lt; .001). The signal-noise quotient value of the graft in the femoral tunnel was 10.4 Â± 7.0 in the study group, which was significantly lower than that in the control group (19.5 Â± 9.2, P &lt; .001). Histologic studies of the tendon-bone interface showed that there were more bone formations containing chondroid cells with aligned connective tissue in the study group compared with the control group; in addition, the diameter of the collagen fibrils in the study group was considerably thicker than that in the control group (P &lt; .05). CONCLUSIONS: The use of cartilage fragments was effective in preventing femoral tunnel widening and seemed to promote the tendon-bone integration process after ACLR. LEVEL OF EVIDENCE: Level II, prospective randomized controlled study.</t>
  </si>
  <si>
    <r>
      <rPr>
        <rFont val="Montserrat"/>
        <color rgb="FF1155CC"/>
        <sz val="11.0"/>
        <u/>
      </rPr>
      <t>anderson_2001</t>
    </r>
  </si>
  <si>
    <t>10.1016/j.arthro.2018.03.011</t>
  </si>
  <si>
    <t>#249</t>
  </si>
  <si>
    <t>Zhang 2018</t>
  </si>
  <si>
    <t>Maturity Progression of the Entire Anterior Cruciate Ligament Graft of Insertion-Preserved Hamstring Tendons by 5 Years: A Prospective Randomized Controlled Study Based on Magnetic Resonance Imaging Evaluation.</t>
  </si>
  <si>
    <t>Zhang Y; Liu S; Chen Q; Hu Y; Sun Y; Chen J</t>
  </si>
  <si>
    <t>BACKGROUND: It has been reported that insertion-preserved hamstring tendon autografts (IP-HT) have better maturity than free hamstring tendon autografts (FHT) at 2 years after anterior cruciate ligament reconstruction (ACLR); however, whether insertion preservation improves the maturity of the entire autograft and clinical outcomes at 5 years after ACLR is still unclear. PURPOSE: To investigate the clinical outcomes and maturity of different segments using insertion-preserved and free hamstring tendon autografts up to 5 years after ACLR. STUDY DESIGN: Randomized controlled trial; Level of evidence, 2. METHODS: 45 patients who underwent isolated ACLR with hamstring tendon autografts were enrolled and randomized into 2 groups. The study group had ACLR with IP-HT, whereas the control group had ACLR with FHT. The International Knee Documentation Committee and Tegner scores, Lysholm activity score, and KT-1000 arthrometer measurements were evaluated preoperatively and at 6, 12, 24, and 60 months postoperatively. Three-dimensional-reconstruction MRI examinations were performed at 6, 12, 24, and 60 months to evaluate the signal/noise quotient (SNQ) values of femoral tunnel graft, intra-articular graft, and tibial tunnel graft. RESULTS: At 60 months, the SNQ values of the intra-articular and tunnel sections for the grafts in both groups showed no difference; the clinical outcomes were improved compared with before surgery (P &lt; .001) and were similar in both groups. In the early stage, all graft segments in the IP-HT group had lower SNQ values than those of the FHT group. At 6 months, the entire graft in the FHT group and the femoral tunnel section in the IP-HT group had the maximum SNQ values, whereas the femoral tunnel graft had the highest SNQ value compared with intra-articular and tibial tunnel graft in each group. SNQ values of the intra-articular and tibial tunnel graft in the IP-HT group had no significant change within 60 months. CONCLUSION: All patients had similar clinical outcomes and graft maturity at 60 months postoperatively. The SNQ values and progressions varied at different graft sites and were highest for the femoral tunnel graft. All significantly changing SNQ values reached the maximum value at 6 months. Compared with FHT autograft, the graft maturity of IP-HT autograft recovered earlier and appeared more stable within the 60-month follow-up; however, no significant association was found between graft maturity and clinical scores.</t>
  </si>
  <si>
    <t>10.1177/0363546520951507</t>
  </si>
  <si>
    <t>#179</t>
  </si>
  <si>
    <t>Zhang 2020</t>
  </si>
  <si>
    <t>Impact of whey protein isolate and eccentric training on quadriceps mass and strength in patients with anterior cruciate ligament rupture: A randomized controlled trial.</t>
  </si>
  <si>
    <t>Zhang X; Huang H; Yu Y; Yang J; Liang Z; Chang C</t>
  </si>
  <si>
    <t>OBJECTIVE: To examine the effects of combining whey protein isolate supplement with preoperative isokinetic eccentric training on quadriceps mass and strength following anterior cruciate ligament rupture. DESIGN: Randomized controlled trial. SUBJECTS: A total of 37 male subjects with anterior cruciate ligament rupture. METHODS: Participants were randomly assigned to an isokinetic eccentric training group (nâ€‰=â€‰19) or an isokinetic eccentric training + whey protein isolate group (nâ€‰=â€‰18). Both groups received isokinetic eccentric training for 6 weeks. The isokinetic eccentric training + whey protein isolate group received 22 g whey protein isolate daily. RESULTS: After the intervention, the cross-sectional area of the affected quadriceps had increased only in the isokinetic eccentric training + whey protein isolate group (7.6â€‰Â±â€‰6.8%; pâ€‰=â€‰0.012), whereas there was no change in the isokinetic eccentric training group (3.7â€‰Â±â€‰4.5%; pâ€‰=â€‰0.11). Both groups showed increased quadriceps strength; however, there were no further effects for the isokinetic eccentric training + whey protein isolate group. Lysholm and IKDC 2000 knee function scores increased only in the isokinetic eccentric training + whey protein isolate group (pâ€‰&lt;â€‰0.01). CONCLUSION: Although the study showed numerically better outcomes for the combination of whey protein isolate supplement with isokinetic eccentric training compared with isokinetic eccentric training alone, no statistically significant differences were demonstrated between the groups.</t>
  </si>
  <si>
    <t>10.2340/16501977-2664</t>
  </si>
  <si>
    <t>#198</t>
  </si>
  <si>
    <t>Regarding "Tranexamic Acid Has No Effect on Postoperative Hemarthrosis or Pain Control After Anterior Cruciate Ligament Reconstruction Using Bone-Patellar Tendon-Bone Autograft: A Double-Blind, Randomized, Controlled Trial".</t>
  </si>
  <si>
    <t>Zhang S; Dai Y; Xiao C</t>
  </si>
  <si>
    <t>10.1016/j.arthro.2021.02.039</t>
  </si>
  <si>
    <t>#155</t>
  </si>
  <si>
    <t>Zhang 2021</t>
  </si>
  <si>
    <t>Radial Extracorporeal Shock Wave Therapy Enhances Graft Maturation at 2-Year Follow-up After ACL Reconstruction: A Randomized Controlled Trial.</t>
  </si>
  <si>
    <t>Zhang S; Wen A; Li S; Yao W; Liu C; Lin Z; Jin Z; Chen J; Hua Y; Chen S; Li Y</t>
  </si>
  <si>
    <t>BACKGROUND: Graft maturation is an important prognostic factor for hamstring autograft anterior cruciate ligament reconstruction (ACLR). It remains unclear whether extracorporeal shock wave therapy (ESWT) can promote graft healing after ACLR. PURPOSE: To evaluate the therapeutic and graft maturation effects of ESWT in hamstring autograft ACLR. STUDY DESIGN: Randomized controlled trial; Level of evidence, 1. METHODS: Between May 18, 2019, and September 20, 2019, we randomly assigned 30 patients who met study inclusion criteria to 2 groups. Patients in the control group followed a 5-week advanced rehabilitation training program (30 minutes/session, 5 times/week) starting at 3 months postoperatively. In the ESWT group, together with the 5-week advanced rehabilitation training, radial ESWT was applied once a week for 5 weeks. Functional scores (Lysholm, International Knee Documentation Committee, and Tegner scores), KT-1000 arthrometer knee laxity measurement, and magnetic resonance imaging scans were assessed at 3 months (baseline), 6 months, and 24 months postoperatively. To evaluate graft maturation, we assessed the graft signal-to-noise quotients (SNQs) of the tibial, intra-articular, and femoral sides on magnetic resonance imaging scans. Data were compared between the ESWT and control groups. RESULTS: In total, 26 patients (13 with ESWT, 13 controls) were assessed. There were no significant between-group differences on any assessment at baseline, and no significant within-group or between-group differences were found in knee laxity at any point. At 24-month follow-up, the ESWT group had significantly higher Lysholm and Tegner scores compared with the controls (P = .012 and .017, respectively). Regarding graft maturation, at 6-month follow-up, the SNQ of the tibial intraosseous graft was significantly lower in the ESWT group versus controls (P = .006), but no differences were detected at the femoral intraosseous graft (P = .321) or the intra-articular graft (P = .314). At 24-month follow-up, the SNQs of the femoral intraosseous graft and intra-articular graft were significantly lower in the ESWT group versus controls (P = .020 and .044, respectively) but no difference was found at the tibial intraosseous graft (P = .579). CONCLUSION: Both enhanced graft maturation and improved functional scores at 24-month follow-up were seen in patients who received radial ESWT during rehabilitation after hamstring autograft ACLR. REGISTRATION: ChiCTR1900022853 (Chinese Clinical Trial Registry).</t>
  </si>
  <si>
    <t>10.1177/23259671221116340</t>
  </si>
  <si>
    <t>#108</t>
  </si>
  <si>
    <t>Zhang 2022</t>
  </si>
  <si>
    <t>Knee Cartilage Change within 5 Years after Aclr Using Hamstring Tendons with Preserved Tibial-Insertion: A Prospective Randomized Controlled Study Based on Magnetic Resonance Imaging.</t>
  </si>
  <si>
    <t>Zhang Y; Liu S; Sun Y; Xie Y; Chen J</t>
  </si>
  <si>
    <t>Background: Comparing to anterior cruciate ligament reconstructions (ACLR) with free hamstring tendon (FHT), ACLR with preserved tibial-insertion hamstring tendon (HT-PTI) could ensure the blood supply of the graft and avoid graft necrosis. Yet, whether HT-PTI could protect the cartilage and clinical outcomes in mid-long period after ACLR was still unclear. Purpose: To compare the cartilage change and clinical results between the HT-PTI and FHT in 5 years after ACLR. Study design: Randomized controlled trial; Level of evidence, 2. Methods: A total of 45 patients who underwent isolated ACLR with the autograft of hamstring tendons were enrolled and randomized into 2 groups. The study group undertook ACLR with HT-PTI, whereas the control group had FHT. At pre-operation, and 6, 12, 24, and 60 months post-operation, all cases underwent evaluation with Knee Injury and Osteoarthritis Outcome Score (KOOS), and MR examination. The knee cartilage was divided into 8 sub-regions of which the T2 value and cartilage volume on MRI were measured and documented. The data of two groups were compared and their correlations were analyzed. Results: A total of 18 patients in the HT-PTI group and 19 patients in the FHT group completed the follow-up. The KOOS scores were improved at each follow-up time point (p &lt; 0.001), reached the most superior at 12 months and maintained until 60 months but had no significant difference between the two groups. At 60 months, the cartilage in most subregions in FHT group had higher T2 values than those of pre-operation (p &lt; 0.05) and also higher than HT-PTI group; The cartilage volume changes (CV%) are positive at 6 months and negative from 12 to 60 months in the FHT group, while being negative at all time points in the HT-PTI group. The values of absolute CV% in most subregions in FHT group were significantly higher than those in the HT-PTI group at 6 and 60 months (p &lt; 0.05). Conclusion: The improvement of KOOS score peaked at 12 months in all cases and had no difference between the two groups. The cartilage in the FHT group had more volume loss, earlier and wider damage than that in the HT-PTI group within 5 years. No significant correlation was found among KOOS score, CV%, and T2 value.</t>
  </si>
  <si>
    <t>10.3390/jcm11206157</t>
  </si>
  <si>
    <t>#115</t>
  </si>
  <si>
    <t>Ultrasound guided proximal adductor canal and pes anserinus blocks improve early recovery after arthroscopic ACL reconstruction.</t>
  </si>
  <si>
    <t>Zhang D; Wang X; Huang G; Wu L; He Y; Huang Y; Zhang G</t>
  </si>
  <si>
    <t>To explore the impact of ultrasound-guided proximal adductor canal and pes anserinus tendon block on early recovery after anterior cruciate ligament reconstruction surgery via daytime knee arthroscopy. A total of 127 patients, aged 18-60 years, with ASA class I-II, undergoing anterior cruciate ligament reconstruction via knee arthroscopy under general anesthesia with laryngeal mask airway intubation, were selected. These patients were randomly divided into three groups: Group C (43 cases), Group N(1) (41 cases), and Group N(2) (43 cases). Control group C: received proximal block of the adductor canal with 0.5% ropivacaine (15Â ml); Experimental group N(1): received proximal block of the adductor canal combined with tendon block of the pes anserinus with 0.5% ropivacaine (15Â ml per site); Experimental group N(2): received proximal block of the adductor canal combined with tendon block of the pes anserinus with 0.5% ropivacaine plus 5Â mg dexamethasone (15Â ml per site). Record the VAS scores at each time point after awakening, 3Â h after surgery, 6Â h after surgery, 12Â h after surgery, 24Â h after surgery, 48Â h after surgery, and 72Â h after surgery during rest and knee flexion activities of the knee joint. Record the quadriceps muscle strength after awakening, Ramsay sedation score after awakening, time of first ambulation after surgery, and the amount of sufentanil, propofol, and remifentanil used during the operation. Record the amount of tramadol and flurbiprofen axetil added postoperatively. Record the anxiety scores and rapid eye movement sleep behavior disorder scores before and 3 days after surgery. Record the occurrence of breakthrough pain and adverse reactions 3 days after surgery. Compared with Group C, both Group N(1) and Group N(2) showed significantly lower rest and activity VAS scores at all time points on postoperative day 3 (Pâ€‰&lt;â€‰0.05), earlier time to first ambulation after surgery (Pâ€‰&lt;â€‰0.05), significantly lower HADS-A scores and sleep scores on postoperative day 3 (Pâ€‰&lt;â€‰0.05), significantly higher Ramsay sedation scores after awakening (Pâ€‰&lt;â€‰0.05), and significantly reduced use of additional tramadol and flurbiprofen axetil after surgery (Pâ€‰&lt;â€‰0.05). The intraoperative sufentanil dosage was also significantly reduced (Pâ€‰&lt;â€‰0.05). There were no statistically significant differences in quadriceps muscle strength and adverse reactions during the awakening period among the three groups (Pâ€‰&gt;â€‰0.05). Ultrasound-guided proximal adductor canal and pes anserinus tendon block (15Â ml of 0.5% ropivacaine each) can effectively alleviate pain 3 days after anterior cruciate ligament reconstruction surgery under knee arthroscopy, with good analgesic effects, and has minimal impact on quadriceps muscle strength after awakening, promoting early postoperative ambulation; at the same time, this blocking method can reduce the occurrence of postoperative anxiety and sleep disorders.</t>
  </si>
  <si>
    <t>10.1038/s41598-025-94343-0</t>
  </si>
  <si>
    <t>#51</t>
  </si>
  <si>
    <t>Zhang 2025</t>
  </si>
  <si>
    <t>Effect of repetitive transcranial magnetic stimulation on quadriceps function in participants in the early postoperative period after anterior cruciate ligament reconstruction: a randomized controlled trial.</t>
  </si>
  <si>
    <t>Zhang S; Zhao Y; Li W; Bai R; Shi C; Han J; Zhang Y; Mi J</t>
  </si>
  <si>
    <t>BACKGROUND: Insufficient quadriceps activation is likely to occur in the early postoperative period after anterior cruciate ligament reconstruction (ACLR). Transcranial magnetic stimulation (TMS) has a positive effect on the activation and contractility of the quadriceps femoris. To investigate the effect of repetitive transcranial magnetic stimulation (rTMS) on quadriceps femoris function in participants during the early postoperative period following anterior cruciate ligament reconstruction (ACLR). METHODS: Fifty six participants received rehabilitation education and a recommended routine training and knee flexion and extension exercise plan. In addition to this, the REAL group received 2 weeks of transcranial magnetic stimulation treatment. The resting motor threshold (RMT), root mean square (RMS) value, difference in knee extension angle between the healthy and affected sides, visual analog scale (VAS) score, and difference in the circumference of the vastus medialis oblique between the healthy and affected sides were assessed at baseline and 2 weeks after treatment. RESULTS: Compared with those in the SHAM group, the improvements in the RMT and RMS value of the vastus medialis oblique, the difference in the knee extension angle between the healthy and affected sides, and the VAS score in the REAL group were more significant (pâ€‰&lt;â€‰0.001). There was no significant between-group difference in the difference in the circumference of the vastus medialis oblique between the healthy and affected sides (pâ€‰&gt;â€‰0.05). CONCLUSION: The use of rTMS, the goal of which is to increase the excitability of the corticospinal pathway, can promote the activation of the quadriceps femoris, prevent muscle atrophy, and accelerate the recovery of muscle strength in participants in the early postoperative period after ACLR. TRIAL REGISTRATION: The Registration number of the Chinese Clinical Trial Registry is ChiCTR2300076522, 11/10/2023.</t>
  </si>
  <si>
    <t>10.1186/s12891-025-09478-y</t>
  </si>
  <si>
    <t>#30</t>
  </si>
  <si>
    <t>Zhang 2026</t>
  </si>
  <si>
    <t>Double-bundle anterior cruciate ligament reconstruction: four versus eight strands of hamstring tendon graft.</t>
  </si>
  <si>
    <t>Zhao J; He Y; Wang J</t>
  </si>
  <si>
    <t>PURPOSE: The purpose of this study was to compare the clinical results of a double-bundle anterior cruciate ligament (ACL) reconstruction with 4 strands versus 8 strands of hamstring tendon graft. METHODS: Seventy-six patients with chronic ACL rupture were randomly separated into two groups for double-bundle ACL reconstruction. In the 4-strand hamstring graft (4SHG) group, the semitendinosus tendon was used to make two 2-stranded hamstring tendon grafts, whereas in the 8-strand hamstring graft (8SHG) group, the semitendinosus tendon was used to make one 4SHG and the gracilis tendon was used to make the other 4SHG. The 4SHG group comprised 33 patients and the 8SHG group comprised 35 patients, with a minimum follow-up of 2 years. International Knee Documentation Committee (IKDC) and Lysholm scales were used to evaluate the clinical results. RESULTS: In the 4SHG group the side-to-side difference was less than 3 mm in 26 patients (78.8%), 3 to 5 mm in 4 patients (12.1%), and 6 to 10 mm in 3 patients (9.0%), with a mean value of 2.8 +/- 0.5 mm; the pivot-shift test was negative in 29 patients (89.9%) and positive in 4 (12.1%). In the 8SHG group the side-to-side difference was less than 3 mm in 32 patients (91.4%), 3 to 5 mm in 2 patients (5.7%), and 6 mm in 1 patient (2.9%) (P = .004), with a mean value of 1.3 +/- 0.4 mm (P = .0003); the pivot-shift test was negative in 34 patients (97.1%) and positive in 1 (2.9%). According to the IKDC scale, 29 patients (87.9%) in the 4SHG group and 33 patients (94.3%) in the 8SHG group had a grade of normal or nearly normal. In the 4SHG and 8SHG groups the mean IKDC subjective knee evaluation results were 86.4 +/- 4.2 and 96.3 +/- 2.8 (P = .0007), respectively, and the mean Lysholm scores were 89.6 +/- 3.7 and 96.5 +/- 2.9 (P = .0006), respectively. CONCLUSIONS: On the basis of KT-1000 examination (MEDmetric, San Diego, CA) and clinical measures, double-bundle ACL reconstruction with 8SHG yields significantly better results than double-bundle ACL reconstruction with 4SHG, with a mean side-to-side difference in anterior knee laxity of 1.3 +/- 0.4 mm versus 2.8 +/- 0.5 mm (P = .0003), IKDC subjective result of 96.3 +/- 2.8 versus 86.4 +/- 4.2 (P = .0007), and Lysholm score of 96.5 +/- 2.9 versus 89.6 +/- 3.7 (P = .0006). LEVEL OF EVIDENCE: Level II, lesser-quality randomized controlled trial.</t>
  </si>
  <si>
    <t>10.1016/j.arthro.2007.01.022</t>
  </si>
  <si>
    <r>
      <rPr>
        <rFont val="Montserrat"/>
        <color rgb="FF1155CC"/>
        <sz val="11.0"/>
        <u/>
      </rPr>
      <t>anz_2023</t>
    </r>
  </si>
  <si>
    <t>#522</t>
  </si>
  <si>
    <t>Zhao 2007</t>
  </si>
  <si>
    <t>Blood flow restriction as an adjunct during mid-stage rehabilitation after ACL reconstruction: a randomized sham-controlled study.</t>
  </si>
  <si>
    <t>Zheng QY; Chen L; Zhu YS; Wang RS; Chen P</t>
  </si>
  <si>
    <t>PURPOSE: To determine whether adjunctive blood flow restriction (BFR) training during postoperative weeks 13-20 is associated with differences in functional, strength, balance, muscle morphology, and neuromuscular outcomes compared with sham BFR following anterior cruciate ligament reconstruction (ACLR). METHODS: In this single-centre randomized controlled trial, 48 patients aged 18-35 years who underwent primary unilateral ACLR were randomly assigned to a BFR group or a Sham-BFR group. From postoperative weeks 13 to 20, both groups performed identical low-load resistance training (30% one-repetition maximum) twice weekly. The BFR group received individualized blood flow restriction at 40% arterial occlusion pressure, whereas the Sham-BFR group underwent the same protocol with minimal cuff pressure. Outcomes assessed at postoperative week 24 included the International Knee Documentation Committee (IKDC) score, Tegner Activity Scale, knee range of motion (ROM), isometric knee extensor and flexor strength, quadriceps muscle thickness, Y-Balance Test performance, and quadriceps surface electromyography (sEMG). RESULTS: Forty-three patients completed the study (BFR, nâ€‰=â€‰21; Sham-BFR, nâ€‰=â€‰22). At 24 weeks postoperatively, the BFR group demonstrated statistically significantly higher IKDC score and Tegner Activity Scale than the Sham-BFR group (pâ€‰&lt;â€‰0.01). Knee extensor and flexor strength, Y-Balance Test composite scores, and quadriceps sEMG amplitudes were also significantly greater in the BFR group (pâ€‰&lt;â€‰0.05). No significant between-group differences were observed in knee ROM or quadriceps muscle thickness. CONCLUSION: Adjunctive BFR training during mid-stage ACLR rehabilitation was associated with more favourable functional, strength, balance, and neuromuscular outcomes than sham BFR at 24 weeks postoperatively. These findings should be interpreted cautiously because baseline outcome measurements and immediate post-intervention assessments were not available. TRIAL REGISTRATION: (Chinese Clinical Trial Registry ( https://www.chictr.org.cn ), No. ChiCTR2400087631, 31/07/2024).</t>
  </si>
  <si>
    <t>10.1186/s12891-026-09908-5</t>
  </si>
  <si>
    <t>#12</t>
  </si>
  <si>
    <t>Zheng 2026</t>
  </si>
  <si>
    <t>Cross-education does not accelerate the rehabilitation of neuromuscular functions after ACL reconstruction: a randomized controlled clinical trial.</t>
  </si>
  <si>
    <t>Zult T; Gokeler A; van Raay JJAM; Brouwer RW; Zijdewind I; Farthing JP; HortobÃ¡gyi T</t>
  </si>
  <si>
    <t>PURPOSE: Cross-education reduces quadriceps weakness 8Â weeks after anterior cruciate ligament (ACL) surgery, but the long-term effects are unknown. We investigated whether cross-education, as an adjuvant to the standard rehabilitation, would accelerate recovery of quadriceps strength and neuromuscular function up to 26 weeks post-surgery. METHODS: Group allocation was randomized. The experimental (nâ€‰=â€‰22) and control (nâ€‰=â€‰21) group received standard rehabilitation. In addition, the experimental group strength trained the quadriceps of the non-injured leg in weeks 1-12 post-surgery (i.e., cross-education). Primary and secondary outcomes were measured in both legs 29â€‰Â±â€‰23Â days prior to surgery and at 5, 12, and 26 weeks post-surgery. RESULTS: The primary outcome showed time and cross-education effects. Maximal quadriceps strength in the reconstructed leg decreased 35% and 12% at, respectively, 5 and 12 weeks post-surgery and improved 11% at 26 weeks post-surgery, where strength of the non-injured leg showed a gradual increase post-surgery up to 14% (all pâ€‰â‰¤â€‰0.015). Limb symmetry deteriorated 9-10% more for the experimental than control group at 5 and 12 weeks post-surgery (both pâ€‰â‰¤â€‰0.030). One of 34 secondary outcomes revealed a cross-education effect: Voluntary quadriceps activation of the reconstructed leg was 6% reduced for the experimental vs. control group at 12 weeks post-surgery (pâ€‰=â€‰0.023). Both legs improved force control (22-34%) and dynamic balance (6-7%) at 26 weeks post-surgery (all pâ€‰â‰¤â€‰0.043). Knee joint proprioception and static balance remained unchanged. CONCLUSION: Standard rehabilitation improved maximal quadriceps strength, force control, and dynamic balance in both legs relative to pre-surgery but adding cross-education did not accelerate recovery following ACL reconstruction.</t>
  </si>
  <si>
    <t>10.1007/s00421-018-3892-1</t>
  </si>
  <si>
    <t>#245</t>
  </si>
  <si>
    <t>Zult 2018</t>
  </si>
  <si>
    <t>Cross-education does not improve early and late-phase rehabilitation outcomes after ACL reconstruction: a randomized controlled clinical trial.</t>
  </si>
  <si>
    <t>PURPOSE: Limited evidence suggests that cross-education affords clinical benefits in the initial 8Â weeks after anterior cruciate ligament (ACL) reconstruction, but it is unknown if such cross-education effects are reproducible and still present in later phases of rehabilitation. We examined whether cross-education, as an adjuvant to standard therapy, would accelerate the rehabilitation up to 26Â weeks after ACL reconstruction by attenuating quadriceps weakness. METHODS: ACL-reconstructed patients were randomized into experimental (nâ€‰=â€‰22) and control groups (nâ€‰=â€‰21). Both groups received standard care after ACL reconstruction. In addition, the experimental group strength trained the quadriceps of the non-operated leg during weeks 1-12 after surgery (i.e., cross-education). Self-reported knee function was assessed with the Hughston Clinic Knee score as the primary outcome. Secondary outcomes were maximal quadriceps and hamstring strength and single leg hop distance. All outcomes were measured 29â€‰Â±â€‰23Â days prior to surgery, as a reference, and at 5-week, 12-week, and 26-week post-surgery. RESULTS: Both groups scored 12% worse on self-reported knee function 5-week post-surgery (95% CI 7-17) and showed 15% improvement 26-week post-surgery (95% CI -â€‰20 to -â€‰10). No cross-education effect was found. Interestingly, males scored 8-10% worse than females at each time point post-surgery. None of 33 secondary outcomes showed a cross-education effect. At 26-week post-surgery, both legs improved maximal quadriceps (5-14%) and hamstring strength (7-18%), and the non-injured leg improved 2% in hop distance. The ACL recovery was not affected by limb dominance and age. CONCLUSION: 26Â weeks of standard care improved self-reported knee function and maximal leg strength relative to pre-surgery and adding cross-education did not further accelerate ACL recovery. LEVEL OF EVIDENCE: I. CLINICAL TRIAL REGISTRY NAME AND REGISTRATION: This randomized controlled clinical trial is registered at the Dutch trial register ( http://www.trialregister.nl ) under NTR4395.</t>
  </si>
  <si>
    <t>10.1007/s00167-018-5116-y</t>
  </si>
  <si>
    <t>#238</t>
  </si>
  <si>
    <t>Zult 2019</t>
  </si>
  <si>
    <r>
      <rPr>
        <rFont val="Montserrat"/>
        <color rgb="FF1155CC"/>
        <sz val="11.0"/>
        <u/>
      </rPr>
      <t>aune_2001</t>
    </r>
  </si>
  <si>
    <r>
      <rPr>
        <rFont val="Montserrat"/>
        <color rgb="FF1155CC"/>
        <sz val="11.0"/>
        <u/>
      </rPr>
      <t>barenius_2010</t>
    </r>
  </si>
  <si>
    <r>
      <rPr>
        <rFont val="Montserrat"/>
        <color rgb="FF1155CC"/>
        <sz val="11.0"/>
        <u/>
      </rPr>
      <t>barenius_2014</t>
    </r>
  </si>
  <si>
    <t>Duplicate report of the same study.</t>
  </si>
  <si>
    <r>
      <rPr>
        <rFont val="Montserrat"/>
        <color rgb="FF1155CC"/>
        <sz val="11.0"/>
        <u/>
      </rPr>
      <t>barié_2020</t>
    </r>
  </si>
  <si>
    <r>
      <rPr>
        <rFont val="Montserrat"/>
        <color rgb="FF1155CC"/>
        <sz val="11.0"/>
        <u/>
      </rPr>
      <t>beynnon_2002</t>
    </r>
  </si>
  <si>
    <r>
      <rPr>
        <rFont val="Montserrat"/>
        <color rgb="FF1155CC"/>
        <sz val="11.0"/>
        <u/>
      </rPr>
      <t>bi_2018</t>
    </r>
  </si>
  <si>
    <r>
      <rPr>
        <rFont val="Montserrat"/>
        <color rgb="FF1155CC"/>
        <sz val="11.0"/>
        <u/>
      </rPr>
      <t>björnsson_2016</t>
    </r>
  </si>
  <si>
    <r>
      <rPr>
        <rFont val="Montserrat"/>
        <color rgb="FF1155CC"/>
        <sz val="11.0"/>
        <u/>
      </rPr>
      <t>bottoni_2015</t>
    </r>
  </si>
  <si>
    <r>
      <rPr>
        <rFont val="Montserrat"/>
        <color rgb="FF1155CC"/>
        <sz val="11.0"/>
        <u/>
      </rPr>
      <t>brand_2000</t>
    </r>
  </si>
  <si>
    <t>Did not report any of the specified outcomes.</t>
  </si>
  <si>
    <r>
      <rPr>
        <rFont val="Montserrat"/>
        <color rgb="FF1155CC"/>
        <sz val="11.0"/>
        <u/>
      </rPr>
      <t>breker_2025</t>
    </r>
  </si>
  <si>
    <r>
      <rPr>
        <rFont val="Montserrat"/>
        <color rgb="FF1155CC"/>
        <sz val="11.0"/>
        <u/>
      </rPr>
      <t>buescu_2017</t>
    </r>
  </si>
  <si>
    <r>
      <rPr>
        <rFont val="Montserrat"/>
        <color rgb="FF1155CC"/>
        <sz val="11.0"/>
        <u/>
      </rPr>
      <t>butt_2024</t>
    </r>
  </si>
  <si>
    <r>
      <rPr>
        <rFont val="Montserrat"/>
        <color rgb="FF1155CC"/>
        <sz val="11.0"/>
        <u/>
      </rPr>
      <t>calvert_2025</t>
    </r>
  </si>
  <si>
    <r>
      <rPr>
        <rFont val="Montserrat"/>
        <color rgb="FF1155CC"/>
        <sz val="11.0"/>
        <u/>
      </rPr>
      <t>carter_edinger_1999</t>
    </r>
  </si>
  <si>
    <r>
      <rPr>
        <rFont val="Montserrat"/>
        <color rgb="FF1155CC"/>
        <sz val="11.0"/>
        <u/>
      </rPr>
      <t>covey_2018</t>
    </r>
  </si>
  <si>
    <r>
      <rPr>
        <rFont val="Montserrat"/>
        <color rgb="FF1155CC"/>
        <sz val="11.0"/>
        <u/>
      </rPr>
      <t>cruz_2022</t>
    </r>
  </si>
  <si>
    <r>
      <rPr>
        <rFont val="Montserrat"/>
        <color rgb="FF1155CC"/>
        <sz val="11.0"/>
        <u/>
      </rPr>
      <t>ejerhed_2003</t>
    </r>
  </si>
  <si>
    <r>
      <rPr>
        <rFont val="Montserrat"/>
        <color rgb="FF1155CC"/>
        <sz val="11.0"/>
        <u/>
      </rPr>
      <t>eriksson_2001</t>
    </r>
  </si>
  <si>
    <r>
      <rPr>
        <rFont val="Montserrat"/>
        <color rgb="FF1155CC"/>
        <sz val="11.0"/>
        <u/>
      </rPr>
      <t>eriksson_2006</t>
    </r>
  </si>
  <si>
    <r>
      <rPr>
        <rFont val="Montserrat"/>
        <color rgb="FF1155CC"/>
        <sz val="11.0"/>
        <u/>
      </rPr>
      <t>feller_webster_2003</t>
    </r>
  </si>
  <si>
    <r>
      <rPr>
        <rFont val="Montserrat"/>
        <color rgb="FF1155CC"/>
        <sz val="11.0"/>
        <u/>
      </rPr>
      <t>garcia-linage_2025</t>
    </r>
  </si>
  <si>
    <t>Non-English.</t>
  </si>
  <si>
    <r>
      <rPr>
        <rFont val="Montserrat"/>
        <color rgb="FF1155CC"/>
        <sz val="11.0"/>
        <u/>
      </rPr>
      <t>gerber_2007</t>
    </r>
  </si>
  <si>
    <r>
      <rPr>
        <rFont val="Montserrat"/>
        <color rgb="FF1155CC"/>
        <sz val="11.0"/>
        <u/>
      </rPr>
      <t>ghalayini_2010</t>
    </r>
  </si>
  <si>
    <t>Did not compare at least two of the specified subgroups.</t>
  </si>
  <si>
    <r>
      <rPr>
        <rFont val="Montserrat"/>
        <color rgb="FF1155CC"/>
        <sz val="11.0"/>
        <u/>
      </rPr>
      <t>gifstad_2013</t>
    </r>
  </si>
  <si>
    <t>gobbi_francisco_2006</t>
  </si>
  <si>
    <r>
      <rPr>
        <rFont val="Montserrat"/>
        <color rgb="FF1155CC"/>
        <sz val="11.0"/>
        <u/>
      </rPr>
      <t>guglielmetti_2021</t>
    </r>
  </si>
  <si>
    <r>
      <rPr>
        <rFont val="Montserrat"/>
        <color rgb="FF1155CC"/>
        <sz val="11.0"/>
        <u/>
      </rPr>
      <t>harilainen_2006</t>
    </r>
  </si>
  <si>
    <r>
      <rPr>
        <rFont val="Montserrat"/>
        <color rgb="FF1155CC"/>
        <sz val="11.0"/>
        <u/>
      </rPr>
      <t>heijne_werner_2010</t>
    </r>
  </si>
  <si>
    <r>
      <rPr>
        <rFont val="Montserrat"/>
        <color rgb="FF1155CC"/>
        <sz val="11.0"/>
        <u/>
      </rPr>
      <t>holm_2010</t>
    </r>
  </si>
  <si>
    <r>
      <rPr>
        <rFont val="Montserrat"/>
        <color rgb="FF1155CC"/>
        <sz val="11.0"/>
        <u/>
      </rPr>
      <t>horstmann_2022</t>
    </r>
  </si>
  <si>
    <r>
      <rPr>
        <rFont val="Montserrat"/>
        <color rgb="FF1155CC"/>
        <sz val="11.0"/>
        <u/>
      </rPr>
      <t>ibrahim_2005</t>
    </r>
  </si>
  <si>
    <r>
      <rPr>
        <rFont val="Montserrat"/>
        <color rgb="FF1155CC"/>
        <sz val="11.0"/>
        <u/>
      </rPr>
      <t>iliopoulos_2017</t>
    </r>
  </si>
  <si>
    <r>
      <rPr>
        <rFont val="Montserrat"/>
        <color rgb="FF1155CC"/>
        <sz val="11.0"/>
        <u/>
      </rPr>
      <t>irrgang_2021</t>
    </r>
  </si>
  <si>
    <r>
      <rPr>
        <rFont val="Montserrat"/>
        <color rgb="FF1155CC"/>
        <sz val="11.0"/>
        <u/>
      </rPr>
      <t>jansson_1999</t>
    </r>
  </si>
  <si>
    <r>
      <rPr>
        <rFont val="Montserrat"/>
        <color rgb="FF1155CC"/>
        <sz val="11.0"/>
        <u/>
      </rPr>
      <t>jansson_2003</t>
    </r>
  </si>
  <si>
    <r>
      <rPr>
        <rFont val="Montserrat"/>
        <color rgb="FF1155CC"/>
        <sz val="11.0"/>
        <u/>
      </rPr>
      <t>johns_2026</t>
    </r>
  </si>
  <si>
    <r>
      <rPr>
        <rFont val="Montserrat"/>
        <color rgb="FF1155CC"/>
        <sz val="11.0"/>
        <u/>
      </rPr>
      <t>kautzner_2015</t>
    </r>
  </si>
  <si>
    <r>
      <rPr>
        <rFont val="Montserrat"/>
        <color rgb="FF1155CC"/>
        <sz val="11.0"/>
        <u/>
      </rPr>
      <t>komzak_2022</t>
    </r>
  </si>
  <si>
    <t>view</t>
  </si>
  <si>
    <t>patellar</t>
  </si>
  <si>
    <t>hamstring</t>
  </si>
  <si>
    <t>quadriceps</t>
  </si>
  <si>
    <t>peroneus</t>
  </si>
  <si>
    <t>Achilles</t>
  </si>
  <si>
    <t>tibialis</t>
  </si>
  <si>
    <t>Lysholm</t>
  </si>
  <si>
    <t>Lachman</t>
  </si>
  <si>
    <t>Ageberg (2009)</t>
  </si>
  <si>
    <r>
      <rPr>
        <rFont val="Montserrat"/>
        <color rgb="FF1155CC"/>
        <sz val="11.0"/>
        <u/>
      </rPr>
      <t>konrads_2016</t>
    </r>
  </si>
  <si>
    <r>
      <rPr>
        <rFont val="Montserrat"/>
        <color rgb="FF1155CC"/>
        <sz val="11.0"/>
        <u/>
      </rPr>
      <t>laoruengthana_2009</t>
    </r>
  </si>
  <si>
    <r>
      <rPr>
        <rFont val="Montserrat"/>
        <color rgb="FF1155CC"/>
        <sz val="11.0"/>
        <u/>
      </rPr>
      <t>lawhorn_2012</t>
    </r>
  </si>
  <si>
    <t>Aglietti (2004)</t>
  </si>
  <si>
    <r>
      <rPr>
        <rFont val="Montserrat"/>
        <color rgb="FF1155CC"/>
        <sz val="11.0"/>
        <u/>
      </rPr>
      <t>aglietti_2004</t>
    </r>
  </si>
  <si>
    <r>
      <rPr>
        <rFont val="Montserrat"/>
        <color rgb="FF1155CC"/>
        <sz val="11.0"/>
        <u/>
      </rPr>
      <t>laxdal_2004</t>
    </r>
  </si>
  <si>
    <t>Ahldén (2009)</t>
  </si>
  <si>
    <r>
      <rPr>
        <rFont val="Montserrat"/>
        <color rgb="FF1155CC"/>
        <sz val="11.0"/>
        <u/>
      </rPr>
      <t>ahldén_2009</t>
    </r>
  </si>
  <si>
    <r>
      <rPr>
        <rFont val="Montserrat"/>
        <color rgb="FF1155CC"/>
        <sz val="11.0"/>
        <u/>
      </rPr>
      <t>laxdal_2005</t>
    </r>
  </si>
  <si>
    <t>Akelman (2016)</t>
  </si>
  <si>
    <r>
      <rPr>
        <rFont val="Montserrat"/>
        <color rgb="FF1155CC"/>
        <sz val="11.0"/>
        <u/>
      </rPr>
      <t>akelman_2016</t>
    </r>
  </si>
  <si>
    <r>
      <rPr>
        <rFont val="Montserrat"/>
        <color rgb="FF1155CC"/>
        <sz val="11.0"/>
        <u/>
      </rPr>
      <t>leitgeb_2014</t>
    </r>
  </si>
  <si>
    <t>Anderson (2001)</t>
  </si>
  <si>
    <r>
      <rPr>
        <rFont val="Montserrat"/>
        <color rgb="FF1155CC"/>
        <sz val="11.0"/>
        <u/>
      </rPr>
      <t>anderson_2001</t>
    </r>
  </si>
  <si>
    <t>lachman, instrumented_laxity</t>
  </si>
  <si>
    <r>
      <rPr>
        <rFont val="Montserrat"/>
        <color rgb="FF1155CC"/>
        <sz val="11.0"/>
        <u/>
      </rPr>
      <t>li_2015</t>
    </r>
  </si>
  <si>
    <t>Anz (2023)</t>
  </si>
  <si>
    <r>
      <rPr>
        <rFont val="Montserrat"/>
        <color rgb="FF1155CC"/>
        <sz val="11.0"/>
        <u/>
      </rPr>
      <t>anz_2023</t>
    </r>
  </si>
  <si>
    <t>Aune (2001)</t>
  </si>
  <si>
    <r>
      <rPr>
        <rFont val="Montserrat"/>
        <color rgb="FF1155CC"/>
        <sz val="11.0"/>
        <u/>
      </rPr>
      <t>aune_2001</t>
    </r>
  </si>
  <si>
    <r>
      <rPr>
        <rFont val="Montserrat"/>
        <color rgb="FF1155CC"/>
        <sz val="11.0"/>
        <u/>
      </rPr>
      <t>lidén_2007</t>
    </r>
  </si>
  <si>
    <r>
      <rPr>
        <rFont val="Montserrat"/>
        <color rgb="FF1155CC"/>
        <sz val="11.0"/>
        <u/>
      </rPr>
      <t>lind_2020</t>
    </r>
  </si>
  <si>
    <t>Barenius (2010)</t>
  </si>
  <si>
    <t>barenius_2010</t>
  </si>
  <si>
    <t>Barenius (2014)</t>
  </si>
  <si>
    <r>
      <rPr>
        <rFont val="Montserrat"/>
        <color rgb="FF1155CC"/>
        <sz val="11.0"/>
        <u/>
      </rPr>
      <t>barenius_2014</t>
    </r>
  </si>
  <si>
    <r>
      <rPr>
        <rFont val="Montserrat"/>
        <color rgb="FF1155CC"/>
        <sz val="11.0"/>
        <u/>
      </rPr>
      <t>lucidi_2025</t>
    </r>
  </si>
  <si>
    <t>Barié (2020)</t>
  </si>
  <si>
    <r>
      <rPr>
        <rFont val="Montserrat"/>
        <color rgb="FF1155CC"/>
        <sz val="11.0"/>
        <u/>
      </rPr>
      <t>barié_2020</t>
    </r>
  </si>
  <si>
    <r>
      <rPr>
        <rFont val="Montserrat"/>
        <color rgb="FF1155CC"/>
        <sz val="11.0"/>
        <u/>
      </rPr>
      <t>lui_2012</t>
    </r>
  </si>
  <si>
    <t>Beynnon (2002)</t>
  </si>
  <si>
    <r>
      <rPr>
        <rFont val="Montserrat"/>
        <color rgb="FF1155CC"/>
        <sz val="11.0"/>
        <u/>
      </rPr>
      <t>lund_2014</t>
    </r>
  </si>
  <si>
    <r>
      <rPr>
        <rFont val="Montserrat"/>
        <color rgb="FF1155CC"/>
        <sz val="11.0"/>
        <u/>
      </rPr>
      <t>beynnon_2002</t>
    </r>
  </si>
  <si>
    <t>Bi (2018)</t>
  </si>
  <si>
    <r>
      <rPr>
        <rFont val="Montserrat"/>
        <color rgb="FF1155CC"/>
        <sz val="11.0"/>
        <u/>
      </rPr>
      <t>bi_2018</t>
    </r>
  </si>
  <si>
    <r>
      <rPr>
        <rFont val="Montserrat"/>
        <color rgb="FF1155CC"/>
        <sz val="11.0"/>
        <u/>
      </rPr>
      <t>maletis_2007</t>
    </r>
  </si>
  <si>
    <t>Björnsson (2016)</t>
  </si>
  <si>
    <r>
      <rPr>
        <rFont val="Montserrat"/>
        <color rgb="FF1155CC"/>
        <sz val="11.0"/>
        <u/>
      </rPr>
      <t>björnsson_2016</t>
    </r>
  </si>
  <si>
    <r>
      <rPr>
        <rFont val="Montserrat"/>
        <color rgb="FF1155CC"/>
        <sz val="11.0"/>
        <u/>
      </rPr>
      <t>malik_2026</t>
    </r>
  </si>
  <si>
    <t>Bottoni (2015)</t>
  </si>
  <si>
    <r>
      <rPr>
        <rFont val="Montserrat"/>
        <color rgb="FF1155CC"/>
        <sz val="11.0"/>
        <u/>
      </rPr>
      <t>bottoni_2015</t>
    </r>
  </si>
  <si>
    <t>Brand (2000)</t>
  </si>
  <si>
    <t>brand_2000</t>
  </si>
  <si>
    <r>
      <rPr>
        <rFont val="Montserrat"/>
        <color rgb="FF1155CC"/>
        <sz val="11.0"/>
        <u/>
      </rPr>
      <t>martin_2024</t>
    </r>
  </si>
  <si>
    <t>Breker (2025)</t>
  </si>
  <si>
    <r>
      <rPr>
        <rFont val="Montserrat"/>
        <color rgb="FF1155CC"/>
        <sz val="11.0"/>
        <u/>
      </rPr>
      <t>breker_2025</t>
    </r>
  </si>
  <si>
    <t>martin-alguacil_2018</t>
  </si>
  <si>
    <t>Buescu (2017)</t>
  </si>
  <si>
    <t>buescu_2017</t>
  </si>
  <si>
    <t>martin-alguacil_2019</t>
  </si>
  <si>
    <t>Butt (2024)</t>
  </si>
  <si>
    <r>
      <rPr>
        <rFont val="Montserrat"/>
        <color rgb="FF1155CC"/>
        <sz val="11.0"/>
        <u/>
      </rPr>
      <t>butt_2024</t>
    </r>
  </si>
  <si>
    <r>
      <rPr>
        <rFont val="Montserrat"/>
        <color rgb="FF1155CC"/>
        <sz val="11.0"/>
        <u/>
      </rPr>
      <t>matsumoto_2006</t>
    </r>
  </si>
  <si>
    <t>Calvert (2025)</t>
  </si>
  <si>
    <r>
      <rPr>
        <rFont val="Montserrat"/>
        <color rgb="FF1155CC"/>
        <sz val="11.0"/>
        <u/>
      </rPr>
      <t>calvert_2025</t>
    </r>
  </si>
  <si>
    <r>
      <rPr>
        <rFont val="Montserrat"/>
        <color rgb="FF1155CC"/>
        <sz val="11.0"/>
        <u/>
      </rPr>
      <t>mccormack_2006</t>
    </r>
  </si>
  <si>
    <t>Carter &amp; Edinger (1999)</t>
  </si>
  <si>
    <t>carter &amp; edinger_1999</t>
  </si>
  <si>
    <r>
      <rPr>
        <rFont val="Montserrat"/>
        <color rgb="FF1155CC"/>
        <sz val="11.0"/>
        <u/>
      </rPr>
      <t>mohammadi_2013</t>
    </r>
  </si>
  <si>
    <r>
      <rPr>
        <rFont val="Montserrat"/>
        <color rgb="FF1155CC"/>
        <sz val="11.0"/>
        <u/>
      </rPr>
      <t>mohtadi_2016a</t>
    </r>
  </si>
  <si>
    <t>Covey (2018)</t>
  </si>
  <si>
    <t>covey_2018</t>
  </si>
  <si>
    <r>
      <rPr>
        <rFont val="Montserrat"/>
        <color rgb="FF1155CC"/>
        <sz val="11.0"/>
        <u/>
      </rPr>
      <t>mohtadi_2016b</t>
    </r>
  </si>
  <si>
    <t>Cruz (2022)</t>
  </si>
  <si>
    <r>
      <rPr>
        <rFont val="Montserrat"/>
        <color rgb="FF1155CC"/>
        <sz val="11.0"/>
        <u/>
      </rPr>
      <t>cruz_2022</t>
    </r>
  </si>
  <si>
    <r>
      <rPr>
        <rFont val="Montserrat"/>
        <color rgb="FF1155CC"/>
        <sz val="11.0"/>
        <u/>
      </rPr>
      <t>mohtadi_chan_2019</t>
    </r>
  </si>
  <si>
    <t>ikdc_subjective, pivot_shift, lachman, instrumented_laxity, graft_failure</t>
  </si>
  <si>
    <t>Ejerhed (2003)</t>
  </si>
  <si>
    <r>
      <rPr>
        <rFont val="Montserrat"/>
        <color rgb="FF1155CC"/>
        <sz val="11.0"/>
        <u/>
      </rPr>
      <t>moraiti_2010</t>
    </r>
  </si>
  <si>
    <r>
      <rPr>
        <rFont val="Montserrat"/>
        <color rgb="FF1155CC"/>
        <sz val="11.0"/>
        <u/>
      </rPr>
      <t>ejerhed_2003</t>
    </r>
  </si>
  <si>
    <r>
      <rPr>
        <rFont val="Montserrat"/>
        <color rgb="FF1155CC"/>
        <sz val="11.0"/>
        <u/>
      </rPr>
      <t>mouzopoulos_2015</t>
    </r>
  </si>
  <si>
    <t>Eriksson (2001)</t>
  </si>
  <si>
    <t>eriksson_2001</t>
  </si>
  <si>
    <t>Eriksson (2006)</t>
  </si>
  <si>
    <r>
      <rPr>
        <rFont val="Montserrat"/>
        <color rgb="FF1155CC"/>
        <sz val="11.0"/>
        <u/>
      </rPr>
      <t>noh_2011</t>
    </r>
  </si>
  <si>
    <r>
      <rPr>
        <rFont val="Montserrat"/>
        <color rgb="FF1155CC"/>
        <sz val="11.0"/>
        <u/>
      </rPr>
      <t>eriksson_2006</t>
    </r>
  </si>
  <si>
    <t>Feller (Webster (2003)</t>
  </si>
  <si>
    <r>
      <rPr>
        <rFont val="Montserrat"/>
        <color rgb="FF1155CC"/>
        <sz val="11.0"/>
        <u/>
      </rPr>
      <t>feller_webster_2003</t>
    </r>
  </si>
  <si>
    <r>
      <rPr>
        <rFont val="Montserrat"/>
        <color rgb="FF1155CC"/>
        <sz val="11.0"/>
        <u/>
      </rPr>
      <t>nurmi_2004</t>
    </r>
  </si>
  <si>
    <t>Garcia-Linage (2025)</t>
  </si>
  <si>
    <t>garcia-linage_2025</t>
  </si>
  <si>
    <t>Gerber (2007)</t>
  </si>
  <si>
    <r>
      <rPr>
        <rFont val="Montserrat"/>
        <color rgb="FF1155CC"/>
        <sz val="11.0"/>
        <u/>
      </rPr>
      <t>gerber_2007</t>
    </r>
  </si>
  <si>
    <r>
      <rPr>
        <rFont val="Montserrat"/>
        <color rgb="FF1155CC"/>
        <sz val="11.0"/>
        <u/>
      </rPr>
      <t>oneill_1996</t>
    </r>
  </si>
  <si>
    <t>Ghalayini (2010)</t>
  </si>
  <si>
    <t>ghalayini_2010</t>
  </si>
  <si>
    <r>
      <rPr>
        <rFont val="Montserrat"/>
        <color rgb="FF1155CC"/>
        <sz val="11.0"/>
        <u/>
      </rPr>
      <t>papalia_2015</t>
    </r>
  </si>
  <si>
    <t>Gifstad (2013)</t>
  </si>
  <si>
    <r>
      <rPr>
        <rFont val="Montserrat"/>
        <color rgb="FF1155CC"/>
        <sz val="11.0"/>
        <u/>
      </rPr>
      <t>gifstad_2013</t>
    </r>
  </si>
  <si>
    <r>
      <rPr>
        <rFont val="Montserrat"/>
        <color rgb="FF1155CC"/>
        <sz val="11.0"/>
        <u/>
      </rPr>
      <t>pässler_2015</t>
    </r>
  </si>
  <si>
    <r>
      <rPr>
        <rFont val="Montserrat"/>
        <color rgb="FF1155CC"/>
        <sz val="11.0"/>
        <u/>
      </rPr>
      <t>pigozzi_2004</t>
    </r>
  </si>
  <si>
    <r>
      <rPr>
        <rFont val="Montserrat"/>
        <color rgb="FF1155CC"/>
        <sz val="11.0"/>
        <u/>
      </rPr>
      <t>pinczewski_2007</t>
    </r>
  </si>
  <si>
    <r>
      <rPr>
        <rFont val="Montserrat"/>
        <color rgb="FF1155CC"/>
        <sz val="11.0"/>
        <u/>
      </rPr>
      <t>popovic_2024</t>
    </r>
  </si>
  <si>
    <r>
      <rPr>
        <rFont val="Montserrat"/>
        <color rgb="FF1155CC"/>
        <sz val="11.0"/>
        <u/>
      </rPr>
      <t>röpke_2001</t>
    </r>
  </si>
  <si>
    <t>Gobbi (Francisco (2006)</t>
  </si>
  <si>
    <r>
      <rPr>
        <rFont val="Montserrat"/>
        <color rgb="FF1155CC"/>
        <sz val="11.0"/>
        <u/>
      </rPr>
      <t>sajovic_2006</t>
    </r>
  </si>
  <si>
    <r>
      <rPr>
        <rFont val="Montserrat"/>
        <color rgb="FF1155CC"/>
        <sz val="11.0"/>
        <u/>
      </rPr>
      <t>sajovic_2008</t>
    </r>
  </si>
  <si>
    <t>Guglielmetti (2021)</t>
  </si>
  <si>
    <r>
      <rPr>
        <rFont val="Montserrat"/>
        <color rgb="FF1155CC"/>
        <sz val="11.0"/>
        <u/>
      </rPr>
      <t>guglielmetti_2021</t>
    </r>
  </si>
  <si>
    <r>
      <rPr>
        <rFont val="Montserrat"/>
        <color rgb="FF1155CC"/>
        <sz val="11.0"/>
        <u/>
      </rPr>
      <t>sajovic_2011</t>
    </r>
  </si>
  <si>
    <r>
      <rPr>
        <rFont val="Montserrat"/>
        <color rgb="FF1155CC"/>
        <sz val="11.0"/>
        <u/>
      </rPr>
      <t>sajovic_2018</t>
    </r>
  </si>
  <si>
    <t>Harilainen (2006)</t>
  </si>
  <si>
    <r>
      <rPr>
        <rFont val="Montserrat"/>
        <color rgb="FF1155CC"/>
        <sz val="11.0"/>
        <u/>
      </rPr>
      <t>harilainen_2006</t>
    </r>
  </si>
  <si>
    <r>
      <rPr>
        <rFont val="Montserrat"/>
        <color rgb="FF1155CC"/>
        <sz val="11.0"/>
        <u/>
      </rPr>
      <t>sato_2005</t>
    </r>
  </si>
  <si>
    <t>Heijne (Werner (2010)</t>
  </si>
  <si>
    <r>
      <rPr>
        <rFont val="Montserrat"/>
        <color rgb="FF1155CC"/>
        <sz val="11.0"/>
        <u/>
      </rPr>
      <t>heijne_werner_2010</t>
    </r>
  </si>
  <si>
    <r>
      <rPr>
        <rFont val="Montserrat"/>
        <color rgb="FF1155CC"/>
        <sz val="11.0"/>
        <u/>
      </rPr>
      <t>sinding_2020</t>
    </r>
  </si>
  <si>
    <t>Holm (2010)</t>
  </si>
  <si>
    <r>
      <rPr>
        <rFont val="Montserrat"/>
        <color rgb="FF1155CC"/>
        <sz val="11.0"/>
        <u/>
      </rPr>
      <t>holm_2010</t>
    </r>
  </si>
  <si>
    <t>BPTB, HT, QT</t>
  </si>
  <si>
    <r>
      <rPr>
        <rFont val="Montserrat"/>
        <color rgb="FF1155CC"/>
        <sz val="11.0"/>
        <u/>
      </rPr>
      <t>smith_2020</t>
    </r>
  </si>
  <si>
    <r>
      <rPr>
        <rFont val="Montserrat"/>
        <color rgb="FF1155CC"/>
        <sz val="11.0"/>
        <u/>
      </rPr>
      <t>sonnery-cottet_2020</t>
    </r>
  </si>
  <si>
    <t>Horstmann (2022)</t>
  </si>
  <si>
    <r>
      <rPr>
        <rFont val="Montserrat"/>
        <color rgb="FF1155CC"/>
        <sz val="11.0"/>
        <u/>
      </rPr>
      <t>horstmann_2022</t>
    </r>
  </si>
  <si>
    <r>
      <rPr>
        <rFont val="Montserrat"/>
        <color rgb="FF1155CC"/>
        <sz val="11.0"/>
        <u/>
      </rPr>
      <t>sonnery-cottet_2026</t>
    </r>
  </si>
  <si>
    <t>Ibrahim (2005)</t>
  </si>
  <si>
    <r>
      <rPr>
        <rFont val="Montserrat"/>
        <color rgb="FF1155CC"/>
        <sz val="11.0"/>
        <u/>
      </rPr>
      <t>ibrahim_2005</t>
    </r>
  </si>
  <si>
    <r>
      <rPr>
        <rFont val="Montserrat"/>
        <color rgb="FF1155CC"/>
        <sz val="11.0"/>
        <u/>
      </rPr>
      <t>sumanont_2024</t>
    </r>
  </si>
  <si>
    <t>Iliopoulos (2017)</t>
  </si>
  <si>
    <r>
      <rPr>
        <rFont val="Montserrat"/>
        <color rgb="FF1155CC"/>
        <sz val="11.0"/>
        <u/>
      </rPr>
      <t>tang_2023</t>
    </r>
  </si>
  <si>
    <r>
      <rPr>
        <rFont val="Montserrat"/>
        <color rgb="FF1155CC"/>
        <sz val="11.0"/>
        <u/>
      </rPr>
      <t>iliopoulos_2017</t>
    </r>
  </si>
  <si>
    <r>
      <rPr>
        <rFont val="Montserrat"/>
        <color rgb="FF1155CC"/>
        <sz val="11.0"/>
        <u/>
      </rPr>
      <t>taylor_2009</t>
    </r>
  </si>
  <si>
    <t>Irrgang (2021)</t>
  </si>
  <si>
    <t>irrgang_2021</t>
  </si>
  <si>
    <r>
      <rPr>
        <rFont val="Montserrat"/>
        <color rgb="FF1155CC"/>
        <sz val="11.0"/>
        <u/>
      </rPr>
      <t>tibesku_2003</t>
    </r>
  </si>
  <si>
    <t>Jansson (1999)</t>
  </si>
  <si>
    <t>jansson_1999</t>
  </si>
  <si>
    <t>vendrig_2026</t>
  </si>
  <si>
    <t>1</t>
  </si>
  <si>
    <t>2</t>
  </si>
  <si>
    <t>Jansson (2003)</t>
  </si>
  <si>
    <r>
      <rPr>
        <rFont val="Montserrat"/>
        <color rgb="FF1155CC"/>
        <sz val="11.0"/>
        <u/>
      </rPr>
      <t>jansson_2003</t>
    </r>
  </si>
  <si>
    <t>3</t>
  </si>
  <si>
    <t>vilchez-cavazos_2020</t>
  </si>
  <si>
    <t>Johns (2026)</t>
  </si>
  <si>
    <t>johns_2026</t>
  </si>
  <si>
    <t>4</t>
  </si>
  <si>
    <r>
      <rPr>
        <rFont val="Montserrat"/>
        <color rgb="FF1155CC"/>
        <sz val="11.0"/>
        <u/>
      </rPr>
      <t>wasserman_2017</t>
    </r>
  </si>
  <si>
    <t>5</t>
  </si>
  <si>
    <t>6</t>
  </si>
  <si>
    <t>7</t>
  </si>
  <si>
    <t>Kautzner (2015)</t>
  </si>
  <si>
    <t>8</t>
  </si>
  <si>
    <r>
      <rPr>
        <rFont val="Montserrat"/>
        <color rgb="FF1155CC"/>
        <sz val="11.0"/>
        <u/>
      </rPr>
      <t>kautzner_2015</t>
    </r>
  </si>
  <si>
    <r>
      <rPr>
        <rFont val="Montserrat"/>
        <color rgb="FF1155CC"/>
        <sz val="11.0"/>
        <u/>
      </rPr>
      <t>webster_2001</t>
    </r>
  </si>
  <si>
    <t>9</t>
  </si>
  <si>
    <r>
      <rPr>
        <rFont val="Montserrat"/>
        <color rgb="FF1155CC"/>
        <sz val="11.0"/>
        <u/>
      </rPr>
      <t>wipfler_2011</t>
    </r>
  </si>
  <si>
    <t>Komzak (2022)</t>
  </si>
  <si>
    <r>
      <rPr>
        <rFont val="Montserrat"/>
        <color rgb="FF1155CC"/>
        <sz val="11.0"/>
        <u/>
      </rPr>
      <t>komzak_2022</t>
    </r>
  </si>
  <si>
    <t>10</t>
  </si>
  <si>
    <r>
      <rPr>
        <rFont val="Montserrat"/>
        <color rgb="FF1155CC"/>
        <sz val="11.0"/>
        <u/>
      </rPr>
      <t>yadav_2025</t>
    </r>
  </si>
  <si>
    <t>11</t>
  </si>
  <si>
    <t>Konrads (2016)</t>
  </si>
  <si>
    <r>
      <rPr>
        <rFont val="Montserrat"/>
        <color rgb="FF1155CC"/>
        <sz val="11.0"/>
        <u/>
      </rPr>
      <t>yoo_2017</t>
    </r>
  </si>
  <si>
    <r>
      <rPr>
        <rFont val="Montserrat"/>
        <color rgb="FF1155CC"/>
        <sz val="11.0"/>
        <u/>
      </rPr>
      <t>konrads_2016</t>
    </r>
  </si>
  <si>
    <t>12</t>
  </si>
  <si>
    <t>Laoruengthana (2009)</t>
  </si>
  <si>
    <t>Lawhorn (2012)</t>
  </si>
  <si>
    <t>Laxdal (2005)</t>
  </si>
  <si>
    <t>Leitgeb (2014)</t>
  </si>
  <si>
    <t>Lachman, instrumented_laxity</t>
  </si>
  <si>
    <t>13</t>
  </si>
  <si>
    <t>Li (2015)</t>
  </si>
  <si>
    <t>Lidén (2007)</t>
  </si>
  <si>
    <r>
      <rPr>
        <rFont val="Montserrat"/>
        <color rgb="FF1155CC"/>
        <sz val="11.0"/>
        <u/>
      </rPr>
      <t>zaffagnini_2006</t>
    </r>
  </si>
  <si>
    <t>14</t>
  </si>
  <si>
    <r>
      <rPr>
        <rFont val="Montserrat"/>
        <color rgb="FF1155CC"/>
        <sz val="11.0"/>
        <u/>
      </rPr>
      <t>laoruengthana_2009</t>
    </r>
  </si>
  <si>
    <t>Lind (2020)</t>
  </si>
  <si>
    <t>15</t>
  </si>
  <si>
    <t>Lucidi (2025)</t>
  </si>
  <si>
    <t>Lui (2012)</t>
  </si>
  <si>
    <t>Lund (2014)</t>
  </si>
  <si>
    <t>Maletis (2007)</t>
  </si>
  <si>
    <t>16</t>
  </si>
  <si>
    <t>Malik (2026)</t>
  </si>
  <si>
    <r>
      <rPr>
        <rFont val="Montserrat"/>
        <color rgb="FF1155CC"/>
        <sz val="11.0"/>
        <u/>
      </rPr>
      <t>zaffagnini_2011</t>
    </r>
  </si>
  <si>
    <t>Matsumoto (2006)</t>
  </si>
  <si>
    <t>17</t>
  </si>
  <si>
    <t>Mohtadi (2016B)</t>
  </si>
  <si>
    <t>18</t>
  </si>
  <si>
    <t>Mohtadi (Chan (2019)</t>
  </si>
  <si>
    <t>IKDC, pivot_shift, Lachman, instrumented_laxity, Graft rupture</t>
  </si>
  <si>
    <t>Moraiti (2010)</t>
  </si>
  <si>
    <t>Noh (2011)</t>
  </si>
  <si>
    <t>Oneill (1996)</t>
  </si>
  <si>
    <t>19</t>
  </si>
  <si>
    <t>Papalia (2015)</t>
  </si>
  <si>
    <t>Pinczewski (2007)</t>
  </si>
  <si>
    <t>20</t>
  </si>
  <si>
    <r>
      <rPr>
        <rFont val="Montserrat"/>
        <color rgb="FF1155CC"/>
        <sz val="11.0"/>
        <u/>
      </rPr>
      <t>lawhorn_2012</t>
    </r>
  </si>
  <si>
    <t>Popovic (2024)</t>
  </si>
  <si>
    <t>Sajovic (2018)</t>
  </si>
  <si>
    <t>Sinding (2020)</t>
  </si>
  <si>
    <t>Smith (2020)</t>
  </si>
  <si>
    <t>21</t>
  </si>
  <si>
    <t>22</t>
  </si>
  <si>
    <t>Sonnery-Cottet (2020)</t>
  </si>
  <si>
    <t>IKDC, Tegner, Lysholm, instrumented_laxity, pivot_shift, Lachman</t>
  </si>
  <si>
    <t>Sonnery-Cottet (2026)</t>
  </si>
  <si>
    <t>Tang (2023)</t>
  </si>
  <si>
    <t>Taylor (2009)</t>
  </si>
  <si>
    <t>23</t>
  </si>
  <si>
    <t>Vilchez-Cavazos (2020)</t>
  </si>
  <si>
    <t>Webster (2001)</t>
  </si>
  <si>
    <t>Laxdal (2004)</t>
  </si>
  <si>
    <t>Wipfler (2011)</t>
  </si>
  <si>
    <t>laxdal_2004</t>
  </si>
  <si>
    <t>Yadav (2025)</t>
  </si>
  <si>
    <t>24</t>
  </si>
  <si>
    <t>Year</t>
  </si>
  <si>
    <t>Yoo (2017)</t>
  </si>
  <si>
    <t>Data source</t>
  </si>
  <si>
    <t>ID: DOI</t>
  </si>
  <si>
    <t>Char: Methods</t>
  </si>
  <si>
    <t>Char: Participants</t>
  </si>
  <si>
    <t>Char: Interventions</t>
  </si>
  <si>
    <t>Char: Outcomes</t>
  </si>
  <si>
    <t>Char: Notes</t>
  </si>
  <si>
    <t>Cov: Disease severity</t>
  </si>
  <si>
    <t>Cov: Treatment duration</t>
  </si>
  <si>
    <t>Zaffagnini (2011)</t>
  </si>
  <si>
    <t>PUB</t>
  </si>
  <si>
    <t>25</t>
  </si>
  <si>
    <r>
      <rPr>
        <rFont val="Montserrat"/>
        <color rgb="FF1155CC"/>
        <sz val="11.0"/>
        <u/>
      </rPr>
      <t>laxdal_2005</t>
    </r>
  </si>
  <si>
    <t>26</t>
  </si>
  <si>
    <t>27</t>
  </si>
  <si>
    <t>28</t>
  </si>
  <si>
    <t>29</t>
  </si>
  <si>
    <t>30</t>
  </si>
  <si>
    <t>31</t>
  </si>
  <si>
    <r>
      <rPr>
        <rFont val="Montserrat"/>
        <color rgb="FF1155CC"/>
        <sz val="11.0"/>
        <u/>
      </rPr>
      <t>leitgeb_2014</t>
    </r>
  </si>
  <si>
    <t>32</t>
  </si>
  <si>
    <t>33</t>
  </si>
  <si>
    <t>34</t>
  </si>
  <si>
    <t>35</t>
  </si>
  <si>
    <t>36</t>
  </si>
  <si>
    <t>37</t>
  </si>
  <si>
    <t>38</t>
  </si>
  <si>
    <t>39</t>
  </si>
  <si>
    <r>
      <rPr>
        <rFont val="Montserrat"/>
        <color rgb="FF1155CC"/>
        <sz val="11.0"/>
        <u/>
      </rPr>
      <t>li_2015</t>
    </r>
  </si>
  <si>
    <t>40</t>
  </si>
  <si>
    <t>41</t>
  </si>
  <si>
    <r>
      <rPr>
        <rFont val="Montserrat"/>
        <color rgb="FF1155CC"/>
        <sz val="11.0"/>
        <u/>
      </rPr>
      <t>lidén_2007</t>
    </r>
  </si>
  <si>
    <t>42</t>
  </si>
  <si>
    <t>43</t>
  </si>
  <si>
    <r>
      <rPr>
        <rFont val="Montserrat"/>
        <color rgb="FF1155CC"/>
        <sz val="11.0"/>
        <u/>
      </rPr>
      <t>lind_2020</t>
    </r>
  </si>
  <si>
    <t>44</t>
  </si>
  <si>
    <t>45</t>
  </si>
  <si>
    <t>46</t>
  </si>
  <si>
    <t>47</t>
  </si>
  <si>
    <t>48</t>
  </si>
  <si>
    <r>
      <rPr>
        <rFont val="Montserrat"/>
        <color rgb="FF1155CC"/>
        <sz val="11.0"/>
        <u/>
      </rPr>
      <t>lucidi_2025</t>
    </r>
  </si>
  <si>
    <t>49</t>
  </si>
  <si>
    <t>50</t>
  </si>
  <si>
    <r>
      <rPr>
        <rFont val="Montserrat"/>
        <color rgb="FF1155CC"/>
        <sz val="11.0"/>
        <u/>
      </rPr>
      <t>lui_2012</t>
    </r>
  </si>
  <si>
    <t>51</t>
  </si>
  <si>
    <t>52</t>
  </si>
  <si>
    <r>
      <rPr>
        <rFont val="Montserrat"/>
        <color rgb="FF1155CC"/>
        <sz val="11.0"/>
        <u/>
      </rPr>
      <t>lund_2014</t>
    </r>
  </si>
  <si>
    <t>53</t>
  </si>
  <si>
    <t>54</t>
  </si>
  <si>
    <t>55</t>
  </si>
  <si>
    <r>
      <rPr>
        <rFont val="Montserrat"/>
        <color rgb="FF1155CC"/>
        <sz val="11.0"/>
        <u/>
      </rPr>
      <t>maletis_2007</t>
    </r>
  </si>
  <si>
    <t>56</t>
  </si>
  <si>
    <t>57</t>
  </si>
  <si>
    <t>58</t>
  </si>
  <si>
    <t>59</t>
  </si>
  <si>
    <r>
      <rPr>
        <rFont val="Montserrat"/>
        <color rgb="FF1155CC"/>
        <sz val="11.0"/>
        <u/>
      </rPr>
      <t>malik_2026</t>
    </r>
  </si>
  <si>
    <t>60</t>
  </si>
  <si>
    <t>Martin (2024)</t>
  </si>
  <si>
    <t>61</t>
  </si>
  <si>
    <t>martin_2024</t>
  </si>
  <si>
    <t>62</t>
  </si>
  <si>
    <t>Martin-Alguacil (2018)</t>
  </si>
  <si>
    <t>63</t>
  </si>
  <si>
    <t>64</t>
  </si>
  <si>
    <t>65</t>
  </si>
  <si>
    <t>Martin-Alguacil (2019)</t>
  </si>
  <si>
    <t>66</t>
  </si>
  <si>
    <r>
      <rPr>
        <rFont val="Montserrat"/>
        <color rgb="FF1155CC"/>
        <sz val="11.0"/>
        <u/>
      </rPr>
      <t>matsumoto_2006</t>
    </r>
  </si>
  <si>
    <t>67</t>
  </si>
  <si>
    <t>68</t>
  </si>
  <si>
    <t>Mccormack (2006)</t>
  </si>
  <si>
    <t>mccormack_2006</t>
  </si>
  <si>
    <t>Mohammadi (2013)</t>
  </si>
  <si>
    <t>mohammadi_2013</t>
  </si>
  <si>
    <t>Mohtadi (2016a)</t>
  </si>
  <si>
    <t>mohtadi_2016a</t>
  </si>
  <si>
    <r>
      <rPr>
        <rFont val="Montserrat"/>
        <color rgb="FF1155CC"/>
        <sz val="11.0"/>
        <u/>
      </rPr>
      <t>mohtadi_2016b</t>
    </r>
  </si>
  <si>
    <r>
      <rPr>
        <rFont val="Montserrat"/>
        <color rgb="FF1155CC"/>
        <sz val="11.0"/>
        <u/>
      </rPr>
      <t>mohtadi_chan_2019</t>
    </r>
  </si>
  <si>
    <r>
      <rPr>
        <rFont val="Montserrat"/>
        <color rgb="FF1155CC"/>
        <sz val="11.0"/>
        <u/>
      </rPr>
      <t>moraiti_2010</t>
    </r>
  </si>
  <si>
    <t>Mouzopoulos (2015)</t>
  </si>
  <si>
    <t>mouzopoulos_2015</t>
  </si>
  <si>
    <r>
      <rPr>
        <rFont val="Montserrat"/>
        <color rgb="FF1155CC"/>
        <sz val="11.0"/>
        <u/>
      </rPr>
      <t>noh_2011</t>
    </r>
  </si>
  <si>
    <t>Nurmi (2004)</t>
  </si>
  <si>
    <t>nurmi_2004</t>
  </si>
  <si>
    <t>Outcome</t>
  </si>
  <si>
    <t>Data type</t>
  </si>
  <si>
    <t>Effect measure</t>
  </si>
  <si>
    <t>Arm</t>
  </si>
  <si>
    <t>Reference arm</t>
  </si>
  <si>
    <t>Sample size</t>
  </si>
  <si>
    <t>Mean</t>
  </si>
  <si>
    <t>SE</t>
  </si>
  <si>
    <t>Variance</t>
  </si>
  <si>
    <t>CI level</t>
  </si>
  <si>
    <t>CI start</t>
  </si>
  <si>
    <t>CI end</t>
  </si>
  <si>
    <t>Exp mean</t>
  </si>
  <si>
    <t>Exp CI start</t>
  </si>
  <si>
    <t>Exp CI end</t>
  </si>
  <si>
    <t>t-test</t>
  </si>
  <si>
    <t>z-test</t>
  </si>
  <si>
    <t>P value</t>
  </si>
  <si>
    <t>Footnotes</t>
  </si>
  <si>
    <r>
      <rPr>
        <rFont val="Montserrat"/>
        <color rgb="FF1155CC"/>
        <sz val="11.0"/>
        <u/>
      </rPr>
      <t>oneill_1996</t>
    </r>
  </si>
  <si>
    <r>
      <rPr>
        <rFont val="Montserrat"/>
        <color rgb="FF1155CC"/>
        <sz val="11.0"/>
        <u/>
      </rPr>
      <t>papalia_2015</t>
    </r>
  </si>
  <si>
    <t>Pässler (2015)</t>
  </si>
  <si>
    <t>pässler_2015</t>
  </si>
  <si>
    <t>Pigozzi (2004)</t>
  </si>
  <si>
    <t>pigozzi_2004</t>
  </si>
  <si>
    <r>
      <rPr>
        <rFont val="Montserrat"/>
        <color rgb="FF1155CC"/>
        <sz val="11.0"/>
        <u/>
      </rPr>
      <t>pinczewski_2007</t>
    </r>
  </si>
  <si>
    <r>
      <rPr>
        <rFont val="Montserrat"/>
        <color rgb="FF1155CC"/>
        <sz val="11.0"/>
        <u/>
      </rPr>
      <t>popovic_2024</t>
    </r>
  </si>
  <si>
    <t>Röpke (2001)</t>
  </si>
  <si>
    <t>röpke_2001</t>
  </si>
  <si>
    <t>Sajovic (2006)</t>
  </si>
  <si>
    <t>sajovic_2006</t>
  </si>
  <si>
    <t>Sajovic (2008)</t>
  </si>
  <si>
    <t>sajovic_2008</t>
  </si>
  <si>
    <t>Sajovic (2011)</t>
  </si>
  <si>
    <t>sajovic_2011</t>
  </si>
  <si>
    <r>
      <rPr>
        <rFont val="Montserrat"/>
        <color rgb="FF1155CC"/>
        <sz val="11.0"/>
        <u/>
      </rPr>
      <t>sajovic_2018</t>
    </r>
  </si>
  <si>
    <t>Sato (2005)</t>
  </si>
  <si>
    <t>sato_2005</t>
  </si>
  <si>
    <r>
      <rPr>
        <rFont val="Montserrat"/>
        <color rgb="FF1155CC"/>
        <sz val="11.0"/>
        <u/>
      </rPr>
      <t>sinding_2020</t>
    </r>
  </si>
  <si>
    <r>
      <rPr>
        <rFont val="Montserrat"/>
        <color rgb="FF1155CC"/>
        <sz val="11.0"/>
        <u/>
      </rPr>
      <t>smith_2020</t>
    </r>
  </si>
  <si>
    <r>
      <rPr>
        <rFont val="Montserrat"/>
        <color rgb="FF1155CC"/>
        <sz val="11.0"/>
        <u/>
      </rPr>
      <t>sonnery-cottet_2020</t>
    </r>
  </si>
  <si>
    <t>A</t>
  </si>
  <si>
    <t>B</t>
  </si>
  <si>
    <t>D</t>
  </si>
  <si>
    <t>E</t>
  </si>
  <si>
    <t>achilles</t>
  </si>
  <si>
    <r>
      <rPr>
        <rFont val="Montserrat"/>
        <color rgb="FF1155CC"/>
        <sz val="11.0"/>
        <u/>
      </rPr>
      <t>sonnery-cottet_2026</t>
    </r>
  </si>
  <si>
    <t>F</t>
  </si>
  <si>
    <t>Sumanont (2024)</t>
  </si>
  <si>
    <t>sumanont_2024</t>
  </si>
  <si>
    <r>
      <rPr>
        <rFont val="Montserrat"/>
        <color rgb="FF1155CC"/>
        <sz val="11.0"/>
        <u/>
      </rPr>
      <t>tang_2023</t>
    </r>
  </si>
  <si>
    <r>
      <rPr>
        <rFont val="Montserrat"/>
        <color rgb="FF1155CC"/>
        <sz val="11.0"/>
        <u/>
      </rPr>
      <t>taylor_2009</t>
    </r>
  </si>
  <si>
    <t>Tibesku (2003)</t>
  </si>
  <si>
    <t>tibesku_2003</t>
  </si>
  <si>
    <r>
      <rPr>
        <rFont val="Montserrat"/>
        <color rgb="FF1155CC"/>
        <sz val="11.0"/>
        <u/>
      </rPr>
      <t>webster_2001</t>
    </r>
  </si>
  <si>
    <r>
      <rPr>
        <rFont val="Montserrat"/>
        <color rgb="FF1155CC"/>
        <sz val="11.0"/>
        <u/>
      </rPr>
      <t>wipfler_2011</t>
    </r>
  </si>
  <si>
    <r>
      <rPr>
        <rFont val="Montserrat"/>
        <color rgb="FF1155CC"/>
        <sz val="11.0"/>
        <u/>
      </rPr>
      <t>yadav_2025</t>
    </r>
  </si>
  <si>
    <r>
      <rPr>
        <rFont val="Montserrat"/>
        <color rgb="FF1155CC"/>
        <sz val="11.0"/>
        <u/>
      </rPr>
      <t>yoo_2017</t>
    </r>
  </si>
  <si>
    <t>Zaffagnini (2006)</t>
  </si>
  <si>
    <t>zaffagnini_2006</t>
  </si>
  <si>
    <r>
      <rPr>
        <rFont val="Montserrat"/>
        <color rgb="FF1155CC"/>
        <sz val="11.0"/>
        <u/>
      </rPr>
      <t>zaffagnini_2011</t>
    </r>
  </si>
  <si>
    <t>Dai (2025)</t>
  </si>
  <si>
    <t>dai_2025</t>
  </si>
  <si>
    <t>Awaiting assignment</t>
  </si>
  <si>
    <t>Drogset (2009)</t>
  </si>
  <si>
    <t>drogset_2009</t>
  </si>
  <si>
    <t>Gupta (2017)</t>
  </si>
  <si>
    <t>gupta_2017</t>
  </si>
  <si>
    <t>Beard (2001)</t>
  </si>
  <si>
    <t>beard_2001</t>
  </si>
  <si>
    <t>Kang (2014)</t>
  </si>
  <si>
    <t>kang_2014</t>
  </si>
  <si>
    <t>Shaieb (2002)</t>
  </si>
  <si>
    <t>shaieb_2002</t>
  </si>
  <si>
    <r>
      <rPr>
        <rFont val="Montserrat"/>
        <b/>
        <i/>
        <color theme="1"/>
      </rPr>
      <t>k,</t>
    </r>
    <r>
      <rPr>
        <rFont val="Montserrat"/>
        <b/>
        <color theme="1"/>
      </rPr>
      <t xml:space="preserve"> studies</t>
    </r>
  </si>
  <si>
    <t>Volpi (2010)</t>
  </si>
  <si>
    <t>volpi_2010</t>
  </si>
  <si>
    <t>direct</t>
  </si>
  <si>
    <t>indirect</t>
  </si>
  <si>
    <t>Webster (2015)</t>
  </si>
  <si>
    <t>webster_2015</t>
  </si>
  <si>
    <t>Mcrae (2013)</t>
  </si>
  <si>
    <t>mcrae_2013</t>
  </si>
  <si>
    <r>
      <rPr>
        <rFont val="Montserrat"/>
        <color rgb="FF1155CC"/>
        <sz val="11.0"/>
        <u/>
      </rPr>
      <t>calvert_2025</t>
    </r>
  </si>
  <si>
    <r>
      <rPr>
        <rFont val="Montserrat"/>
        <color rgb="FF1155CC"/>
        <sz val="11.0"/>
        <u/>
      </rPr>
      <t>horstmann_2022</t>
    </r>
  </si>
  <si>
    <r>
      <rPr>
        <rFont val="Montserrat"/>
        <color rgb="FF1155CC"/>
        <sz val="11.0"/>
        <u/>
      </rPr>
      <t>lind_2020</t>
    </r>
  </si>
  <si>
    <r>
      <rPr>
        <rFont val="Montserrat"/>
        <color rgb="FF1155CC"/>
        <sz val="11.0"/>
        <u/>
      </rPr>
      <t>sinding_2020</t>
    </r>
  </si>
  <si>
    <r>
      <rPr>
        <rFont val="Montserrat"/>
        <color rgb="FF1155CC"/>
        <sz val="11.0"/>
        <u/>
      </rPr>
      <t>smith_2020</t>
    </r>
  </si>
  <si>
    <r>
      <rPr>
        <rFont val="Montserrat"/>
        <color rgb="FF1155CC"/>
        <sz val="11.0"/>
        <u/>
      </rPr>
      <t>tang_2023</t>
    </r>
  </si>
  <si>
    <r>
      <rPr>
        <rFont val="Montserrat"/>
        <color rgb="FF1155CC"/>
        <sz val="11.0"/>
        <u/>
      </rPr>
      <t>horstmann_2022</t>
    </r>
  </si>
  <si>
    <r>
      <rPr>
        <rFont val="Montserrat"/>
        <color rgb="FF1155CC"/>
        <sz val="11.0"/>
        <u/>
      </rPr>
      <t>yadav_2025</t>
    </r>
  </si>
  <si>
    <r>
      <rPr>
        <rFont val="Montserrat"/>
        <color rgb="FF1155CC"/>
        <sz val="11.0"/>
        <u/>
      </rPr>
      <t>lind_2020</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</si>
</sst>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
  </numFmts>
  <fonts count="28">
    <font>
      <sz val="10.0"/>
      <color rgb="FF000000"/>
      <name val="Arial"/>
      <scheme val="minor"/>
    </font>
    <font>
      <color theme="1"/>
      <name val="Montserrat"/>
    </font>
    <font>
      <b/>
      <sz val="9.0"/>
      <color theme="1"/>
      <name val="Montserrat"/>
    </font>
    <font>
      <color theme="1"/>
      <name val="Arial"/>
      <scheme val="minor"/>
    </font>
    <font>
      <sz val="9.0"/>
      <color theme="1"/>
      <name val="Montserrat"/>
    </font>
    <font>
      <u/>
      <color rgb="FF0000FF"/>
    </font>
    <font>
      <u/>
      <sz val="9.0"/>
      <color rgb="FF1155CC"/>
      <name val="Montserrat"/>
    </font>
    <font>
      <b/>
      <color theme="1"/>
      <name val="Arial"/>
      <scheme val="minor"/>
    </font>
    <font>
      <u/>
      <sz val="9.0"/>
      <color rgb="FF0000FF"/>
      <name val="Montserrat"/>
    </font>
    <font>
      <i/>
      <sz val="9.0"/>
      <color theme="1"/>
      <name val="Montserrat"/>
    </font>
    <font>
      <sz val="9.0"/>
      <color theme="1"/>
      <name val="Arial"/>
      <scheme val="minor"/>
    </font>
    <font>
      <sz val="9.0"/>
      <color theme="1"/>
      <name val="Arial"/>
    </font>
    <font>
      <color theme="1"/>
      <name val="Arial"/>
    </font>
    <font>
      <sz val="11.0"/>
      <color rgb="FF000000"/>
      <name val="Arial"/>
    </font>
    <font>
      <sz val="11.0"/>
      <color rgb="FF000000"/>
      <name val="&quot;Calibri Light&quot;"/>
    </font>
    <font>
      <b/>
      <sz val="11.0"/>
      <color rgb="FF000000"/>
      <name val="Arial"/>
    </font>
    <font>
      <sz val="11.0"/>
      <color rgb="FF000000"/>
      <name val="&quot;Aptos Narrow&quot;"/>
    </font>
    <font>
      <b/>
      <sz val="11.0"/>
      <color rgb="FF000000"/>
      <name val="&quot;Aptos Narrow&quot;"/>
    </font>
    <font>
      <b/>
      <color theme="1"/>
      <name val="Montserrat"/>
    </font>
    <font>
      <sz val="11.0"/>
      <color rgb="FF000000"/>
      <name val="Montserrat"/>
    </font>
    <font>
      <u/>
      <color rgb="FF0000FF"/>
      <name val="Montserrat"/>
    </font>
    <font>
      <u/>
      <sz val="11.0"/>
      <color rgb="FF0000FF"/>
      <name val="Montserrat"/>
    </font>
    <font>
      <u/>
      <sz val="11.0"/>
      <color rgb="FF000000"/>
      <name val="Montserrat"/>
    </font>
    <font>
      <sz val="11.0"/>
      <color theme="1"/>
      <name val="Montserrat"/>
    </font>
    <font>
      <u/>
      <color rgb="FF0000FF"/>
      <name val="Montserrat"/>
    </font>
    <font>
      <b/>
      <sz val="11.0"/>
      <color rgb="FF000000"/>
      <name val="Calibri"/>
    </font>
    <font>
      <sz val="11.0"/>
      <color rgb="FF000000"/>
      <name val="Calibri"/>
    </font>
    <font/>
  </fonts>
  <fills count="4">
    <fill>
      <patternFill patternType="none"/>
    </fill>
    <fill>
      <patternFill patternType="lightGray"/>
    </fill>
    <fill>
      <patternFill patternType="solid">
        <fgColor rgb="FFCCCCCC"/>
        <bgColor rgb="FFCCCCCC"/>
      </patternFill>
    </fill>
    <fill>
      <patternFill patternType="solid">
        <fgColor rgb="FFFFF2CC"/>
        <bgColor rgb="FFFFF2CC"/>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81">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horizontal="center" readingOrder="0" vertical="center"/>
    </xf>
    <xf borderId="0" fillId="0" fontId="3" numFmtId="0" xfId="0" applyAlignment="1" applyFont="1">
      <alignment readingOrder="0"/>
    </xf>
    <xf borderId="0" fillId="0" fontId="3" numFmtId="0" xfId="0" applyFont="1"/>
    <xf borderId="1" fillId="0" fontId="2" numFmtId="0" xfId="0" applyAlignment="1" applyBorder="1" applyFont="1">
      <alignment readingOrder="0" vertical="center"/>
    </xf>
    <xf borderId="1" fillId="0" fontId="2" numFmtId="0" xfId="0" applyBorder="1" applyFont="1"/>
    <xf borderId="1" fillId="0" fontId="4" numFmtId="0" xfId="0" applyAlignment="1" applyBorder="1" applyFont="1">
      <alignment readingOrder="0" vertical="center"/>
    </xf>
    <xf borderId="1" fillId="0" fontId="2" numFmtId="0" xfId="0" applyAlignment="1" applyBorder="1" applyFont="1">
      <alignment horizontal="center"/>
    </xf>
    <xf borderId="1" fillId="0" fontId="4" numFmtId="0" xfId="0" applyAlignment="1" applyBorder="1" applyFont="1">
      <alignment horizontal="center" readingOrder="0" vertical="center"/>
    </xf>
    <xf borderId="0" fillId="0" fontId="5" numFmtId="0" xfId="0" applyFont="1"/>
    <xf borderId="1" fillId="0" fontId="2" numFmtId="2" xfId="0" applyAlignment="1" applyBorder="1" applyFont="1" applyNumberFormat="1">
      <alignment horizontal="center" readingOrder="0" vertical="center"/>
    </xf>
    <xf borderId="0" fillId="0" fontId="1" numFmtId="0" xfId="0" applyFont="1"/>
    <xf borderId="1" fillId="0" fontId="4" numFmtId="2" xfId="0" applyAlignment="1" applyBorder="1" applyFont="1" applyNumberFormat="1">
      <alignment horizontal="center" readingOrder="0" vertical="center"/>
    </xf>
    <xf borderId="1" fillId="0" fontId="6" numFmtId="0" xfId="0" applyBorder="1" applyFont="1"/>
    <xf borderId="1" fillId="0" fontId="4" numFmtId="0" xfId="0" applyAlignment="1" applyBorder="1" applyFont="1">
      <alignment horizontal="center" vertical="center"/>
    </xf>
    <xf borderId="1" fillId="0" fontId="7" numFmtId="0" xfId="0" applyAlignment="1" applyBorder="1" applyFont="1">
      <alignment horizontal="center" readingOrder="0"/>
    </xf>
    <xf borderId="1" fillId="0" fontId="8" numFmtId="0" xfId="0" applyAlignment="1" applyBorder="1" applyFont="1">
      <alignment vertical="center"/>
    </xf>
    <xf borderId="1" fillId="0" fontId="4" numFmtId="0" xfId="0" applyAlignment="1" applyBorder="1" applyFont="1">
      <alignment horizontal="center"/>
    </xf>
    <xf borderId="1" fillId="0" fontId="4" numFmtId="0" xfId="0" applyAlignment="1" applyBorder="1" applyFont="1">
      <alignment vertical="center"/>
    </xf>
    <xf borderId="1" fillId="0" fontId="4" numFmtId="1" xfId="0" applyAlignment="1" applyBorder="1" applyFont="1" applyNumberFormat="1">
      <alignment horizontal="center" readingOrder="0" vertical="center"/>
    </xf>
    <xf borderId="1" fillId="0" fontId="4" numFmtId="2" xfId="0" applyAlignment="1" applyBorder="1" applyFont="1" applyNumberFormat="1">
      <alignment horizontal="center" vertical="center"/>
    </xf>
    <xf borderId="1" fillId="0" fontId="2" numFmtId="0" xfId="0" applyAlignment="1" applyBorder="1" applyFont="1">
      <alignment readingOrder="0" vertical="top"/>
    </xf>
    <xf borderId="1" fillId="0" fontId="2" numFmtId="0" xfId="0" applyAlignment="1" applyBorder="1" applyFont="1">
      <alignment horizontal="center" readingOrder="0" vertical="top"/>
    </xf>
    <xf borderId="2" fillId="0" fontId="2" numFmtId="0" xfId="0" applyAlignment="1" applyBorder="1" applyFont="1">
      <alignment horizontal="center" readingOrder="0" vertical="top"/>
    </xf>
    <xf borderId="3" fillId="0" fontId="2" numFmtId="164" xfId="0" applyAlignment="1" applyBorder="1" applyFont="1" applyNumberFormat="1">
      <alignment horizontal="left" readingOrder="0" vertical="top"/>
    </xf>
    <xf borderId="3" fillId="0" fontId="2" numFmtId="164" xfId="0" applyAlignment="1" applyBorder="1" applyFont="1" applyNumberFormat="1">
      <alignment horizontal="center" readingOrder="0" vertical="top"/>
    </xf>
    <xf borderId="1" fillId="0" fontId="4" numFmtId="1" xfId="0" applyAlignment="1" applyBorder="1" applyFont="1" applyNumberFormat="1">
      <alignment horizontal="center" vertical="center"/>
    </xf>
    <xf borderId="1" fillId="0" fontId="4" numFmtId="0" xfId="0" applyAlignment="1" applyBorder="1" applyFont="1">
      <alignment horizontal="center" readingOrder="0" vertical="top"/>
    </xf>
    <xf borderId="1" fillId="0" fontId="4" numFmtId="0" xfId="0" applyAlignment="1" applyBorder="1" applyFont="1">
      <alignment horizontal="left" readingOrder="0" vertical="top"/>
    </xf>
    <xf borderId="3" fillId="0" fontId="4" numFmtId="164" xfId="0" applyAlignment="1" applyBorder="1" applyFont="1" applyNumberFormat="1">
      <alignment horizontal="center" readingOrder="0" vertical="top"/>
    </xf>
    <xf borderId="1" fillId="0" fontId="4" numFmtId="0" xfId="0" applyAlignment="1" applyBorder="1" applyFont="1">
      <alignment readingOrder="0" vertical="top"/>
    </xf>
    <xf borderId="3" fillId="0" fontId="4" numFmtId="0" xfId="0" applyAlignment="1" applyBorder="1" applyFont="1">
      <alignment horizontal="center" readingOrder="0" vertical="top"/>
    </xf>
    <xf borderId="1" fillId="0" fontId="4" numFmtId="0" xfId="0" applyAlignment="1" applyBorder="1" applyFont="1">
      <alignment vertical="top"/>
    </xf>
    <xf borderId="1" fillId="0" fontId="4" numFmtId="0" xfId="0" applyAlignment="1" applyBorder="1" applyFont="1">
      <alignment horizontal="center" vertical="top"/>
    </xf>
    <xf borderId="2" fillId="0" fontId="4" numFmtId="0" xfId="0" applyAlignment="1" applyBorder="1" applyFont="1">
      <alignment horizontal="center" readingOrder="0" vertical="top"/>
    </xf>
    <xf borderId="3" fillId="0" fontId="4" numFmtId="164" xfId="0" applyAlignment="1" applyBorder="1" applyFont="1" applyNumberFormat="1">
      <alignment horizontal="left" vertical="top"/>
    </xf>
    <xf borderId="3" fillId="0" fontId="4" numFmtId="164" xfId="0" applyAlignment="1" applyBorder="1" applyFont="1" applyNumberFormat="1">
      <alignment horizontal="center" vertical="top"/>
    </xf>
    <xf borderId="1" fillId="0" fontId="4" numFmtId="164" xfId="0" applyAlignment="1" applyBorder="1" applyFont="1" applyNumberFormat="1">
      <alignment horizontal="center" readingOrder="0" vertical="top"/>
    </xf>
    <xf borderId="1" fillId="0" fontId="4" numFmtId="0" xfId="0" applyAlignment="1" applyBorder="1" applyFont="1">
      <alignment horizontal="left" vertical="top"/>
    </xf>
    <xf borderId="1" fillId="0" fontId="4" numFmtId="2" xfId="0" applyAlignment="1" applyBorder="1" applyFont="1" applyNumberFormat="1">
      <alignment horizontal="center" readingOrder="0" vertical="top"/>
    </xf>
    <xf borderId="1" fillId="0" fontId="4" numFmtId="164" xfId="0" applyAlignment="1" applyBorder="1" applyFont="1" applyNumberFormat="1">
      <alignment horizontal="center" vertical="top"/>
    </xf>
    <xf borderId="2" fillId="0" fontId="4" numFmtId="0" xfId="0" applyAlignment="1" applyBorder="1" applyFont="1">
      <alignment horizontal="center" vertical="top"/>
    </xf>
    <xf borderId="1" fillId="0" fontId="9" numFmtId="0" xfId="0" applyAlignment="1" applyBorder="1" applyFont="1">
      <alignment vertical="top"/>
    </xf>
    <xf borderId="1" fillId="0" fontId="9" numFmtId="0" xfId="0" applyAlignment="1" applyBorder="1" applyFont="1">
      <alignment horizontal="center" readingOrder="0" vertical="top"/>
    </xf>
    <xf borderId="2" fillId="0" fontId="9" numFmtId="0" xfId="0" applyAlignment="1" applyBorder="1" applyFont="1">
      <alignment horizontal="center" vertical="top"/>
    </xf>
    <xf borderId="3" fillId="0" fontId="9" numFmtId="164" xfId="0" applyAlignment="1" applyBorder="1" applyFont="1" applyNumberFormat="1">
      <alignment horizontal="left" readingOrder="0" vertical="top"/>
    </xf>
    <xf borderId="3" fillId="0" fontId="9" numFmtId="164" xfId="0" applyAlignment="1" applyBorder="1" applyFont="1" applyNumberFormat="1">
      <alignment horizontal="center" readingOrder="0" vertical="top"/>
    </xf>
    <xf borderId="1" fillId="0" fontId="9" numFmtId="164" xfId="0" applyAlignment="1" applyBorder="1" applyFont="1" applyNumberFormat="1">
      <alignment horizontal="center" readingOrder="0" vertical="top"/>
    </xf>
    <xf borderId="1" fillId="0" fontId="9" numFmtId="0" xfId="0" applyAlignment="1" applyBorder="1" applyFont="1">
      <alignment horizontal="center" vertical="top"/>
    </xf>
    <xf borderId="1" fillId="0" fontId="9" numFmtId="0" xfId="0" applyAlignment="1" applyBorder="1" applyFont="1">
      <alignment horizontal="left" vertical="top"/>
    </xf>
    <xf borderId="2" fillId="0" fontId="9" numFmtId="0" xfId="0" applyAlignment="1" applyBorder="1" applyFont="1">
      <alignment horizontal="center" readingOrder="0" vertical="top"/>
    </xf>
    <xf borderId="3" fillId="0" fontId="9" numFmtId="164" xfId="0" applyAlignment="1" applyBorder="1" applyFont="1" applyNumberFormat="1">
      <alignment horizontal="left" vertical="top"/>
    </xf>
    <xf borderId="3" fillId="0" fontId="9" numFmtId="164" xfId="0" applyAlignment="1" applyBorder="1" applyFont="1" applyNumberFormat="1">
      <alignment horizontal="center" vertical="top"/>
    </xf>
    <xf borderId="3" fillId="0" fontId="4" numFmtId="164" xfId="0" applyAlignment="1" applyBorder="1" applyFont="1" applyNumberFormat="1">
      <alignment horizontal="left" readingOrder="0" vertical="top"/>
    </xf>
    <xf borderId="1" fillId="0" fontId="4" numFmtId="2" xfId="0" applyAlignment="1" applyBorder="1" applyFont="1" applyNumberFormat="1">
      <alignment horizontal="center"/>
    </xf>
    <xf borderId="1" fillId="0" fontId="9" numFmtId="164" xfId="0" applyAlignment="1" applyBorder="1" applyFont="1" applyNumberFormat="1">
      <alignment horizontal="center" vertical="top"/>
    </xf>
    <xf borderId="1" fillId="0" fontId="10" numFmtId="0" xfId="0" applyAlignment="1" applyBorder="1" applyFont="1">
      <alignment horizontal="center" readingOrder="0" vertical="center"/>
    </xf>
    <xf borderId="0" fillId="0" fontId="4" numFmtId="0" xfId="0" applyAlignment="1" applyFont="1">
      <alignment vertical="top"/>
    </xf>
    <xf borderId="0" fillId="0" fontId="4" numFmtId="0" xfId="0" applyAlignment="1" applyFont="1">
      <alignment horizontal="center" vertical="top"/>
    </xf>
    <xf borderId="0" fillId="0" fontId="4" numFmtId="0" xfId="0" applyAlignment="1" applyFont="1">
      <alignment horizontal="center" readingOrder="0" vertical="top"/>
    </xf>
    <xf borderId="0" fillId="0" fontId="4" numFmtId="164" xfId="0" applyAlignment="1" applyFont="1" applyNumberFormat="1">
      <alignment horizontal="left" vertical="top"/>
    </xf>
    <xf borderId="0" fillId="0" fontId="4" numFmtId="164" xfId="0" applyAlignment="1" applyFont="1" applyNumberFormat="1">
      <alignment horizontal="center" readingOrder="0" vertical="top"/>
    </xf>
    <xf borderId="0" fillId="0" fontId="4" numFmtId="0" xfId="0" applyAlignment="1" applyFont="1">
      <alignment horizontal="left" vertical="top"/>
    </xf>
    <xf borderId="0" fillId="0" fontId="4" numFmtId="164" xfId="0" applyAlignment="1" applyFont="1" applyNumberFormat="1">
      <alignment horizontal="center" vertical="top"/>
    </xf>
    <xf borderId="0" fillId="0" fontId="11" numFmtId="0" xfId="0" applyAlignment="1" applyFont="1">
      <alignment horizontal="center"/>
    </xf>
    <xf borderId="0" fillId="0" fontId="4" numFmtId="0" xfId="0" applyAlignment="1" applyFont="1">
      <alignment horizontal="center" vertical="center"/>
    </xf>
    <xf borderId="0" fillId="0" fontId="12" numFmtId="0" xfId="0" applyAlignment="1" applyFont="1">
      <alignment vertical="bottom"/>
    </xf>
    <xf borderId="0" fillId="0" fontId="4" numFmtId="0" xfId="0" applyAlignment="1" applyFont="1">
      <alignment horizontal="center" readingOrder="0" vertical="center"/>
    </xf>
    <xf borderId="0" fillId="0" fontId="2" numFmtId="0" xfId="0" applyAlignment="1" applyFont="1">
      <alignment horizontal="center" readingOrder="0" vertical="top"/>
    </xf>
    <xf borderId="1" fillId="0" fontId="4" numFmtId="164" xfId="0" applyAlignment="1" applyBorder="1" applyFont="1" applyNumberFormat="1">
      <alignment horizontal="center" vertical="center"/>
    </xf>
    <xf borderId="1" fillId="0" fontId="4" numFmtId="0" xfId="0" applyAlignment="1" applyBorder="1" applyFont="1">
      <alignment horizontal="center" vertical="center"/>
    </xf>
    <xf borderId="1" fillId="0" fontId="4" numFmtId="164" xfId="0" applyAlignment="1" applyBorder="1" applyFont="1" applyNumberFormat="1">
      <alignment horizontal="left" vertical="center"/>
    </xf>
    <xf borderId="0" fillId="0" fontId="1" numFmtId="0" xfId="0" applyAlignment="1" applyFont="1">
      <alignment horizontal="left"/>
    </xf>
    <xf borderId="0" fillId="0" fontId="1" numFmtId="0" xfId="0" applyAlignment="1" applyFont="1">
      <alignment horizontal="center"/>
    </xf>
    <xf borderId="0" fillId="2" fontId="1" numFmtId="0" xfId="0" applyAlignment="1" applyFill="1" applyFont="1">
      <alignment horizontal="center" readingOrder="0"/>
    </xf>
    <xf borderId="1" fillId="2" fontId="4" numFmtId="0" xfId="0" applyAlignment="1" applyBorder="1" applyFill="1" applyFont="1">
      <alignment horizontal="center" vertical="center"/>
    </xf>
    <xf borderId="1" fillId="2" fontId="4" numFmtId="0" xfId="0" applyAlignment="1" applyBorder="1" applyFill="1" applyFont="1">
      <alignment readingOrder="0" vertical="center"/>
    </xf>
    <xf borderId="1" fillId="2" fontId="4" numFmtId="164" xfId="0" applyAlignment="1" applyBorder="1" applyFill="1" applyFont="1" applyNumberFormat="1">
      <alignment horizontal="center" vertical="center"/>
    </xf>
    <xf borderId="1" fillId="2" fontId="4" numFmtId="164" xfId="0" applyAlignment="1" applyBorder="1" applyFill="1" applyFont="1" applyNumberFormat="1">
      <alignment horizontal="left" vertical="center"/>
    </xf>
    <xf borderId="1" fillId="0" fontId="9" numFmtId="0" xfId="0" applyAlignment="1" applyBorder="1" applyFont="1">
      <alignment vertical="center"/>
    </xf>
    <xf borderId="1" fillId="0" fontId="9" numFmtId="0" xfId="0" applyAlignment="1" applyBorder="1" applyFont="1">
      <alignment horizontal="center" readingOrder="0" vertical="center"/>
    </xf>
    <xf borderId="1" fillId="0" fontId="9" numFmtId="0" xfId="0" applyAlignment="1" applyBorder="1" applyFont="1">
      <alignment horizontal="center" vertical="center"/>
    </xf>
    <xf borderId="1" fillId="0" fontId="9" numFmtId="164" xfId="0" applyAlignment="1" applyBorder="1" applyFont="1" applyNumberFormat="1">
      <alignment horizontal="center" vertical="center"/>
    </xf>
    <xf borderId="1" fillId="0" fontId="9" numFmtId="0" xfId="0" applyAlignment="1" applyBorder="1" applyFont="1">
      <alignment horizontal="center" vertical="center"/>
    </xf>
    <xf borderId="1" fillId="2" fontId="4" numFmtId="0" xfId="0" applyAlignment="1" applyBorder="1" applyFill="1" applyFont="1">
      <alignment horizontal="center" readingOrder="0" vertical="center"/>
    </xf>
    <xf borderId="1" fillId="0" fontId="4" numFmtId="0" xfId="0" applyAlignment="1" applyBorder="1" applyFont="1">
      <alignment horizontal="left" readingOrder="0" vertical="center"/>
    </xf>
    <xf borderId="1" fillId="2" fontId="4" numFmtId="0" xfId="0" applyAlignment="1" applyBorder="1" applyFill="1" applyFont="1">
      <alignment horizontal="left" readingOrder="0" vertical="center"/>
    </xf>
    <xf borderId="3" fillId="0" fontId="4" numFmtId="0" xfId="0" applyAlignment="1" applyBorder="1" applyFont="1">
      <alignment horizontal="center" vertical="center"/>
    </xf>
    <xf borderId="0" fillId="0" fontId="1" numFmtId="164" xfId="0" applyAlignment="1" applyFont="1" applyNumberFormat="1">
      <alignment horizontal="center" vertical="top"/>
    </xf>
    <xf borderId="0" fillId="0" fontId="1" numFmtId="0" xfId="0" applyAlignment="1" applyFont="1">
      <alignment horizontal="center" vertical="top"/>
    </xf>
    <xf borderId="0" fillId="0" fontId="1" numFmtId="0" xfId="0" applyAlignment="1" applyFont="1">
      <alignment horizontal="left" vertical="top"/>
    </xf>
    <xf borderId="0" fillId="0" fontId="13" numFmtId="0" xfId="0" applyAlignment="1" applyFont="1">
      <alignment horizontal="center" readingOrder="0" shrinkToFit="0" vertical="bottom" wrapText="0"/>
    </xf>
    <xf borderId="0" fillId="0" fontId="14" numFmtId="0" xfId="0" applyAlignment="1" applyFont="1">
      <alignment readingOrder="0" shrinkToFit="0" vertical="bottom" wrapText="0"/>
    </xf>
    <xf borderId="0" fillId="0" fontId="14" numFmtId="0" xfId="0" applyAlignment="1" applyFont="1">
      <alignment horizontal="center" readingOrder="0" shrinkToFit="0" vertical="bottom" wrapText="0"/>
    </xf>
    <xf borderId="0" fillId="0" fontId="3" numFmtId="4" xfId="0" applyAlignment="1" applyFont="1" applyNumberFormat="1">
      <alignment horizontal="left" readingOrder="0"/>
    </xf>
    <xf borderId="0" fillId="0" fontId="3" numFmtId="4" xfId="0" applyAlignment="1" applyFont="1" applyNumberFormat="1">
      <alignment horizontal="left"/>
    </xf>
    <xf borderId="0" fillId="0" fontId="15" numFmtId="0" xfId="0" applyAlignment="1" applyFont="1">
      <alignment horizontal="center" readingOrder="0" shrinkToFit="0" vertical="bottom" wrapText="0"/>
    </xf>
    <xf borderId="0" fillId="0" fontId="3" numFmtId="3" xfId="0" applyAlignment="1" applyFont="1" applyNumberFormat="1">
      <alignment horizontal="left"/>
    </xf>
    <xf borderId="0" fillId="0" fontId="14" numFmtId="0" xfId="0" applyAlignment="1" applyFont="1">
      <alignment horizontal="center" shrinkToFit="0" vertical="bottom" wrapText="0"/>
    </xf>
    <xf borderId="0" fillId="0" fontId="7" numFmtId="0" xfId="0" applyAlignment="1" applyFont="1">
      <alignment readingOrder="0"/>
    </xf>
    <xf borderId="0" fillId="0" fontId="7" numFmtId="164" xfId="0" applyAlignment="1" applyFont="1" applyNumberFormat="1">
      <alignment readingOrder="0"/>
    </xf>
    <xf borderId="1" fillId="0" fontId="4" numFmtId="164" xfId="0" applyAlignment="1" applyBorder="1" applyFont="1" applyNumberFormat="1">
      <alignment readingOrder="0" vertical="center"/>
    </xf>
    <xf borderId="0" fillId="0" fontId="3" numFmtId="164" xfId="0" applyFont="1" applyNumberFormat="1"/>
    <xf borderId="1" fillId="0" fontId="4" numFmtId="164" xfId="0" applyAlignment="1" applyBorder="1" applyFont="1" applyNumberFormat="1">
      <alignment vertical="center"/>
    </xf>
    <xf borderId="1" fillId="0" fontId="4" numFmtId="164" xfId="0" applyAlignment="1" applyBorder="1" applyFont="1" applyNumberFormat="1">
      <alignment horizontal="center" readingOrder="0" vertical="center"/>
    </xf>
    <xf borderId="0" fillId="0" fontId="10" numFmtId="0" xfId="0" applyAlignment="1" applyFont="1">
      <alignment horizontal="center" readingOrder="0" vertical="center"/>
    </xf>
    <xf borderId="0" fillId="0" fontId="4" numFmtId="0" xfId="0" applyAlignment="1" applyFont="1">
      <alignment vertical="center"/>
    </xf>
    <xf borderId="1" fillId="0" fontId="2" numFmtId="0" xfId="0" applyAlignment="1" applyBorder="1" applyFont="1">
      <alignment horizontal="center" readingOrder="0"/>
    </xf>
    <xf borderId="1" fillId="0" fontId="2" numFmtId="0" xfId="0" applyBorder="1" applyFont="1"/>
    <xf borderId="1" fillId="0" fontId="2" numFmtId="1" xfId="0" applyAlignment="1" applyBorder="1" applyFont="1" applyNumberFormat="1">
      <alignment horizontal="center"/>
    </xf>
    <xf borderId="1" fillId="0" fontId="4" numFmtId="0" xfId="0" applyBorder="1" applyFont="1"/>
    <xf borderId="1" fillId="0" fontId="4" numFmtId="0" xfId="0" applyAlignment="1" applyBorder="1" applyFont="1">
      <alignment horizontal="center" vertical="bottom"/>
    </xf>
    <xf borderId="1" fillId="0" fontId="4" numFmtId="1" xfId="0" applyAlignment="1" applyBorder="1" applyFont="1" applyNumberFormat="1">
      <alignment horizontal="center" vertical="bottom"/>
    </xf>
    <xf borderId="1" fillId="0" fontId="4" numFmtId="0" xfId="0" applyAlignment="1" applyBorder="1" applyFont="1">
      <alignment horizontal="center" readingOrder="0"/>
    </xf>
    <xf borderId="0" fillId="0" fontId="3" numFmtId="0" xfId="0" applyFont="1"/>
    <xf borderId="1" fillId="0" fontId="2" numFmtId="0" xfId="0" applyAlignment="1" applyBorder="1" applyFont="1">
      <alignment horizontal="left" readingOrder="0" vertical="center"/>
    </xf>
    <xf borderId="1" fillId="0" fontId="2" numFmtId="1" xfId="0" applyAlignment="1" applyBorder="1" applyFont="1" applyNumberFormat="1">
      <alignment horizontal="center" readingOrder="0" vertical="center"/>
    </xf>
    <xf borderId="1" fillId="0" fontId="4" numFmtId="1" xfId="0" applyAlignment="1" applyBorder="1" applyFont="1" applyNumberFormat="1">
      <alignment horizontal="center" readingOrder="0"/>
    </xf>
    <xf borderId="1" fillId="0" fontId="4" numFmtId="9" xfId="0" applyAlignment="1" applyBorder="1" applyFont="1" applyNumberFormat="1">
      <alignment horizontal="center" readingOrder="0"/>
    </xf>
    <xf borderId="1" fillId="0" fontId="4" numFmtId="1" xfId="0" applyAlignment="1" applyBorder="1" applyFont="1" applyNumberFormat="1">
      <alignment horizontal="center"/>
    </xf>
    <xf borderId="0" fillId="0" fontId="3" numFmtId="0" xfId="0" applyAlignment="1" applyFont="1">
      <alignment horizontal="center"/>
    </xf>
    <xf borderId="1" fillId="3" fontId="2" numFmtId="165" xfId="0" applyAlignment="1" applyBorder="1" applyFill="1" applyFont="1" applyNumberFormat="1">
      <alignment horizontal="center" readingOrder="0" vertical="center"/>
    </xf>
    <xf borderId="1" fillId="0" fontId="2" numFmtId="2" xfId="0" applyAlignment="1" applyBorder="1" applyFont="1" applyNumberFormat="1">
      <alignment horizontal="center" readingOrder="0" vertical="center"/>
    </xf>
    <xf borderId="1" fillId="0" fontId="2" numFmtId="165" xfId="0" applyAlignment="1" applyBorder="1" applyFont="1" applyNumberFormat="1">
      <alignment horizontal="center" readingOrder="0" vertical="center"/>
    </xf>
    <xf borderId="1" fillId="0" fontId="12" numFmtId="1" xfId="0" applyAlignment="1" applyBorder="1" applyFont="1" applyNumberFormat="1">
      <alignment vertical="bottom"/>
    </xf>
    <xf borderId="1" fillId="0" fontId="4" numFmtId="0" xfId="0" applyBorder="1" applyFont="1"/>
    <xf borderId="1" fillId="3" fontId="4" numFmtId="1" xfId="0" applyAlignment="1" applyBorder="1" applyFill="1" applyFont="1" applyNumberFormat="1">
      <alignment horizontal="center" vertical="bottom"/>
    </xf>
    <xf borderId="1" fillId="0" fontId="4" numFmtId="165" xfId="0" applyAlignment="1" applyBorder="1" applyFont="1" applyNumberFormat="1">
      <alignment horizontal="center" readingOrder="0"/>
    </xf>
    <xf borderId="1" fillId="0" fontId="4" numFmtId="165" xfId="0" applyAlignment="1" applyBorder="1" applyFont="1" applyNumberFormat="1">
      <alignment horizontal="center"/>
    </xf>
    <xf borderId="0" fillId="0" fontId="4" numFmtId="0" xfId="0" applyFont="1"/>
    <xf borderId="1" fillId="0" fontId="4" numFmtId="0" xfId="0" applyAlignment="1" applyBorder="1" applyFont="1">
      <alignment readingOrder="0"/>
    </xf>
    <xf borderId="0" fillId="0" fontId="1" numFmtId="0" xfId="0" applyAlignment="1" applyFont="1">
      <alignment horizontal="center" readingOrder="0"/>
    </xf>
    <xf borderId="1" fillId="0" fontId="10" numFmtId="0" xfId="0" applyAlignment="1" applyBorder="1" applyFont="1">
      <alignment vertical="center"/>
    </xf>
    <xf borderId="0" fillId="0" fontId="16" numFmtId="0" xfId="0" applyAlignment="1" applyFont="1">
      <alignment readingOrder="0" shrinkToFit="0" vertical="bottom" wrapText="0"/>
    </xf>
    <xf borderId="0" fillId="0" fontId="17" numFmtId="0" xfId="0" applyAlignment="1" applyFont="1">
      <alignment readingOrder="0" shrinkToFit="0" vertical="bottom" wrapText="0"/>
    </xf>
    <xf borderId="1" fillId="3" fontId="4" numFmtId="1" xfId="0" applyAlignment="1" applyBorder="1" applyFill="1" applyFont="1" applyNumberFormat="1">
      <alignment horizontal="center" readingOrder="0" vertical="bottom"/>
    </xf>
    <xf borderId="0" fillId="0" fontId="3" numFmtId="2" xfId="0" applyFont="1" applyNumberFormat="1"/>
    <xf borderId="0" fillId="0" fontId="3" numFmtId="165" xfId="0" applyAlignment="1" applyFont="1" applyNumberFormat="1">
      <alignment horizontal="center" readingOrder="0"/>
    </xf>
    <xf borderId="0" fillId="0" fontId="7" numFmtId="0" xfId="0" applyAlignment="1" applyFont="1">
      <alignment horizontal="center" readingOrder="0"/>
    </xf>
    <xf borderId="0" fillId="0" fontId="3" numFmtId="165" xfId="0" applyAlignment="1" applyFont="1" applyNumberFormat="1">
      <alignment horizontal="center"/>
    </xf>
    <xf borderId="0" fillId="0" fontId="3" numFmtId="1" xfId="0" applyFont="1" applyNumberFormat="1"/>
    <xf borderId="1" fillId="0" fontId="4" numFmtId="9" xfId="0" applyAlignment="1" applyBorder="1" applyFont="1" applyNumberFormat="1">
      <alignment horizontal="center" vertical="bottom"/>
    </xf>
    <xf borderId="0" fillId="0" fontId="4" numFmtId="0" xfId="0" applyAlignment="1" applyFont="1">
      <alignment horizontal="center"/>
    </xf>
    <xf borderId="0" fillId="0" fontId="4" numFmtId="1" xfId="0" applyAlignment="1" applyFont="1" applyNumberFormat="1">
      <alignment horizontal="center"/>
    </xf>
    <xf borderId="0" fillId="0" fontId="3" numFmtId="0" xfId="0" applyAlignment="1" applyFont="1">
      <alignment readingOrder="0"/>
    </xf>
    <xf borderId="0" fillId="0" fontId="18" numFmtId="0" xfId="0" applyAlignment="1" applyFont="1">
      <alignment horizontal="center" readingOrder="0" vertical="center"/>
    </xf>
    <xf borderId="1" fillId="0" fontId="18" numFmtId="0" xfId="0" applyAlignment="1" applyBorder="1" applyFont="1">
      <alignment horizontal="center" readingOrder="0" vertical="center"/>
    </xf>
    <xf borderId="1" fillId="0" fontId="1" numFmtId="0" xfId="0" applyAlignment="1" applyBorder="1" applyFont="1">
      <alignment readingOrder="0" textRotation="90"/>
    </xf>
    <xf borderId="0" fillId="0" fontId="1" numFmtId="0" xfId="0" applyAlignment="1" applyFont="1">
      <alignment horizontal="center" vertical="center"/>
    </xf>
    <xf borderId="0" fillId="0" fontId="19" numFmtId="0" xfId="0" applyAlignment="1" applyFont="1">
      <alignment horizontal="center" readingOrder="0" vertical="center"/>
    </xf>
    <xf borderId="1" fillId="0" fontId="20" numFmtId="0" xfId="0" applyAlignment="1" applyBorder="1" applyFont="1">
      <alignment readingOrder="0" vertical="center"/>
    </xf>
    <xf borderId="1" fillId="0" fontId="1" numFmtId="0" xfId="0" applyAlignment="1" applyBorder="1" applyFont="1">
      <alignment readingOrder="0" vertical="center"/>
    </xf>
    <xf borderId="1" fillId="0" fontId="21" numFmtId="0" xfId="0" applyAlignment="1" applyBorder="1" applyFont="1">
      <alignment readingOrder="0" vertical="center"/>
    </xf>
    <xf borderId="1" fillId="0" fontId="1" numFmtId="0" xfId="0" applyAlignment="1" applyBorder="1" applyFont="1">
      <alignment horizontal="center"/>
    </xf>
    <xf borderId="0" fillId="0" fontId="1" numFmtId="0" xfId="0" applyAlignment="1" applyFont="1">
      <alignment vertical="center"/>
    </xf>
    <xf borderId="1" fillId="0" fontId="22" numFmtId="0" xfId="0" applyAlignment="1" applyBorder="1" applyFont="1">
      <alignment readingOrder="0" vertical="center"/>
    </xf>
    <xf borderId="1" fillId="0" fontId="1" numFmtId="0" xfId="0" applyAlignment="1" applyBorder="1" applyFont="1">
      <alignment readingOrder="0" vertical="center"/>
    </xf>
    <xf borderId="0" fillId="0" fontId="23" numFmtId="0" xfId="0" applyAlignment="1" applyFont="1">
      <alignment horizontal="center" readingOrder="0" vertical="center"/>
    </xf>
    <xf borderId="1" fillId="0" fontId="1" numFmtId="0" xfId="0" applyAlignment="1" applyBorder="1" applyFont="1">
      <alignment readingOrder="0"/>
    </xf>
    <xf borderId="1" fillId="0" fontId="18" numFmtId="0" xfId="0" applyAlignment="1" applyBorder="1" applyFont="1">
      <alignment readingOrder="0"/>
    </xf>
    <xf borderId="1" fillId="0" fontId="1" numFmtId="0" xfId="0" applyAlignment="1" applyBorder="1" applyFont="1">
      <alignment readingOrder="0"/>
    </xf>
    <xf borderId="1" fillId="0" fontId="24" numFmtId="0" xfId="0" applyAlignment="1" applyBorder="1" applyFont="1">
      <alignment readingOrder="0"/>
    </xf>
    <xf borderId="1" fillId="0" fontId="1" numFmtId="0" xfId="0" applyAlignment="1" applyBorder="1" applyFont="1">
      <alignment vertical="center"/>
    </xf>
    <xf borderId="0" fillId="0" fontId="25" numFmtId="0" xfId="0" applyAlignment="1" applyFont="1">
      <alignment readingOrder="0" shrinkToFit="0" vertical="bottom" wrapText="1"/>
    </xf>
    <xf borderId="0" fillId="0" fontId="3" numFmtId="0" xfId="0" applyAlignment="1" applyFont="1">
      <alignment shrinkToFit="0" wrapText="1"/>
    </xf>
    <xf borderId="0" fillId="0" fontId="26" numFmtId="0" xfId="0" applyAlignment="1" applyFont="1">
      <alignment readingOrder="0" shrinkToFit="0" vertical="bottom" wrapText="1"/>
    </xf>
    <xf borderId="0" fillId="0" fontId="26" numFmtId="0" xfId="0" applyAlignment="1" applyFont="1">
      <alignment shrinkToFit="0" vertical="bottom" wrapText="1"/>
    </xf>
    <xf borderId="0" fillId="0" fontId="3" numFmtId="0" xfId="0" applyAlignment="1" applyFont="1">
      <alignment readingOrder="0" shrinkToFit="0" wrapText="1"/>
    </xf>
    <xf borderId="1" fillId="0" fontId="1" numFmtId="0" xfId="0" applyBorder="1" applyFont="1"/>
    <xf borderId="0" fillId="0" fontId="3" numFmtId="0" xfId="0" applyAlignment="1" applyFont="1">
      <alignment horizontal="center" readingOrder="0"/>
    </xf>
    <xf borderId="1" fillId="0" fontId="3" numFmtId="0" xfId="0" applyAlignment="1" applyBorder="1" applyFont="1">
      <alignment horizontal="center" readingOrder="0"/>
    </xf>
    <xf borderId="2" fillId="0" fontId="3" numFmtId="0" xfId="0" applyAlignment="1" applyBorder="1" applyFont="1">
      <alignment horizontal="center" readingOrder="0"/>
    </xf>
    <xf borderId="3" fillId="0" fontId="27" numFmtId="0" xfId="0" applyBorder="1" applyFont="1"/>
    <xf borderId="1" fillId="0" fontId="3" numFmtId="0" xfId="0" applyAlignment="1" applyBorder="1" applyFont="1">
      <alignment horizontal="center"/>
    </xf>
    <xf borderId="1" fillId="0" fontId="3" numFmtId="0" xfId="0" applyAlignment="1" applyBorder="1" applyFont="1">
      <alignment readingOrder="0"/>
    </xf>
    <xf borderId="1" fillId="0" fontId="3" numFmtId="0" xfId="0" applyBorder="1" applyFont="1"/>
    <xf borderId="1" fillId="0" fontId="18" numFmtId="0" xfId="0" applyAlignment="1" applyBorder="1" applyFont="1">
      <alignment readingOrder="0" textRotation="90"/>
    </xf>
    <xf borderId="1" fillId="0" fontId="1" numFmtId="0" xfId="0" applyAlignment="1" applyBorder="1" applyFont="1">
      <alignment horizontal="center" readingOrder="0"/>
    </xf>
    <xf borderId="0" fillId="0" fontId="1" numFmtId="2" xfId="0" applyAlignment="1" applyFont="1" applyNumberFormat="1">
      <alignment horizontal="center"/>
    </xf>
    <xf borderId="0" fillId="0" fontId="1" numFmtId="2" xfId="0" applyFont="1" applyNumberFormat="1"/>
  </cellXfs>
  <cellStyles count="1">
    <cellStyle xfId="0" name="Normal" builtinId="0"/>
  </cellStyles>
  <dxfs count="6">
    <dxf>
      <font/>
      <fill>
        <patternFill patternType="solid">
          <fgColor rgb="FFF4CCCC"/>
          <bgColor rgb="FFF4CCCC"/>
        </patternFill>
      </fill>
      <border/>
    </dxf>
    <dxf>
      <font/>
      <fill>
        <patternFill patternType="solid">
          <fgColor rgb="FFEAD1DC"/>
          <bgColor rgb="FFEAD1DC"/>
        </patternFill>
      </fill>
      <border/>
    </dxf>
    <dxf>
      <font/>
      <fill>
        <patternFill patternType="solid">
          <fgColor rgb="FFFFF2CC"/>
          <bgColor rgb="FFFFF2CC"/>
        </patternFill>
      </fill>
      <border/>
    </dxf>
    <dxf>
      <font/>
      <fill>
        <patternFill patternType="solid">
          <fgColor rgb="FFD9D2E9"/>
          <bgColor rgb="FFD9D2E9"/>
        </patternFill>
      </fill>
      <border/>
    </dxf>
    <dxf>
      <font/>
      <fill>
        <patternFill patternType="solid">
          <fgColor rgb="FFCFE2F3"/>
          <bgColor rgb="FFCFE2F3"/>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https://github.com/d-wkim/phd/blob/main/data/pdf/gerber_2007.pdf" TargetMode="External"/><Relationship Id="rId42" Type="http://schemas.openxmlformats.org/officeDocument/2006/relationships/hyperlink" Target="https://github.com/d-wkim/phd/blob/main/data/pdf/gifstad_2013.pdf" TargetMode="External"/><Relationship Id="rId41" Type="http://schemas.openxmlformats.org/officeDocument/2006/relationships/hyperlink" Target="https://github.com/d-wkim/phd/blob/main/data/pdf/gifstad_2013.pdf" TargetMode="External"/><Relationship Id="rId44" Type="http://schemas.openxmlformats.org/officeDocument/2006/relationships/hyperlink" Target="https://github.com/d-wkim/phd/blob/main/data/pdf/gobbi_francisco_2006.pdf" TargetMode="External"/><Relationship Id="rId43" Type="http://schemas.openxmlformats.org/officeDocument/2006/relationships/hyperlink" Target="https://github.com/d-wkim/phd/blob/main/data/pdf/gobbi_francisco_2006.pdf" TargetMode="External"/><Relationship Id="rId46" Type="http://schemas.openxmlformats.org/officeDocument/2006/relationships/hyperlink" Target="https://github.com/d-wkim/phd/blob/main/data/pdf/guglielmetti_2021.pdf" TargetMode="External"/><Relationship Id="rId45" Type="http://schemas.openxmlformats.org/officeDocument/2006/relationships/hyperlink" Target="https://github.com/d-wkim/phd/blob/main/data/pdf/guglielmetti_2021.pdf" TargetMode="External"/><Relationship Id="rId107" Type="http://schemas.openxmlformats.org/officeDocument/2006/relationships/hyperlink" Target="https://github.com/d-wkim/phd/blob/main/data/pdf/popovic_2024.pdf" TargetMode="External"/><Relationship Id="rId106" Type="http://schemas.openxmlformats.org/officeDocument/2006/relationships/hyperlink" Target="https://github.com/d-wkim/phd/blob/main/data/pdf/pinczewski_2007.pdf" TargetMode="External"/><Relationship Id="rId105" Type="http://schemas.openxmlformats.org/officeDocument/2006/relationships/hyperlink" Target="https://github.com/d-wkim/phd/blob/main/data/pdf/pinczewski_2007.pdf" TargetMode="External"/><Relationship Id="rId104" Type="http://schemas.openxmlformats.org/officeDocument/2006/relationships/hyperlink" Target="https://github.com/d-wkim/phd/blob/main/data/pdf/papalia_2015.pdf" TargetMode="External"/><Relationship Id="rId109" Type="http://schemas.openxmlformats.org/officeDocument/2006/relationships/hyperlink" Target="https://github.com/d-wkim/phd/blob/main/data/pdf/sajovic_2018.pdf" TargetMode="External"/><Relationship Id="rId108" Type="http://schemas.openxmlformats.org/officeDocument/2006/relationships/hyperlink" Target="https://github.com/d-wkim/phd/blob/main/data/pdf/popovic_2024.pdf" TargetMode="External"/><Relationship Id="rId48" Type="http://schemas.openxmlformats.org/officeDocument/2006/relationships/hyperlink" Target="https://github.com/d-wkim/phd/blob/main/data/pdf/harilainen_2006.pdf" TargetMode="External"/><Relationship Id="rId47" Type="http://schemas.openxmlformats.org/officeDocument/2006/relationships/hyperlink" Target="https://github.com/d-wkim/phd/blob/main/data/pdf/harilainen_2006.pdf" TargetMode="External"/><Relationship Id="rId49" Type="http://schemas.openxmlformats.org/officeDocument/2006/relationships/hyperlink" Target="https://github.com/d-wkim/phd/blob/main/data/pdf/heijne_werner_2010.pdf" TargetMode="External"/><Relationship Id="rId103" Type="http://schemas.openxmlformats.org/officeDocument/2006/relationships/hyperlink" Target="https://github.com/d-wkim/phd/blob/main/data/pdf/papalia_2015.pdf" TargetMode="External"/><Relationship Id="rId102" Type="http://schemas.openxmlformats.org/officeDocument/2006/relationships/hyperlink" Target="https://github.com/d-wkim/phd/blob/main/data/pdf/oneill_1996.pdf" TargetMode="External"/><Relationship Id="rId101" Type="http://schemas.openxmlformats.org/officeDocument/2006/relationships/hyperlink" Target="https://github.com/d-wkim/phd/blob/main/data/pdf/oneill_1996.pdf" TargetMode="External"/><Relationship Id="rId100" Type="http://schemas.openxmlformats.org/officeDocument/2006/relationships/hyperlink" Target="https://github.com/d-wkim/phd/blob/main/data/pdf/noh_2011.pdf" TargetMode="External"/><Relationship Id="rId31" Type="http://schemas.openxmlformats.org/officeDocument/2006/relationships/hyperlink" Target="https://github.com/d-wkim/phd/blob/main/data/pdf/cruz_2022.pdf" TargetMode="External"/><Relationship Id="rId30" Type="http://schemas.openxmlformats.org/officeDocument/2006/relationships/hyperlink" Target="https://github.com/d-wkim/phd/blob/main/data/pdf/calvert_2025.pdf" TargetMode="External"/><Relationship Id="rId33" Type="http://schemas.openxmlformats.org/officeDocument/2006/relationships/hyperlink" Target="https://github.com/d-wkim/phd/blob/main/data/pdf/ejerhed_2003.pdf" TargetMode="External"/><Relationship Id="rId32" Type="http://schemas.openxmlformats.org/officeDocument/2006/relationships/hyperlink" Target="https://github.com/d-wkim/phd/blob/main/data/pdf/cruz_2022.pdf" TargetMode="External"/><Relationship Id="rId35" Type="http://schemas.openxmlformats.org/officeDocument/2006/relationships/hyperlink" Target="https://github.com/d-wkim/phd/blob/main/data/pdf/eriksson_2006.pdf" TargetMode="External"/><Relationship Id="rId34" Type="http://schemas.openxmlformats.org/officeDocument/2006/relationships/hyperlink" Target="https://github.com/d-wkim/phd/blob/main/data/pdf/ejerhed_2003.pdf" TargetMode="External"/><Relationship Id="rId37" Type="http://schemas.openxmlformats.org/officeDocument/2006/relationships/hyperlink" Target="https://github.com/d-wkim/phd/blob/main/data/pdf/feller_webster_2003.pdf" TargetMode="External"/><Relationship Id="rId36" Type="http://schemas.openxmlformats.org/officeDocument/2006/relationships/hyperlink" Target="https://github.com/d-wkim/phd/blob/main/data/pdf/eriksson_2006.pdf" TargetMode="External"/><Relationship Id="rId39" Type="http://schemas.openxmlformats.org/officeDocument/2006/relationships/hyperlink" Target="https://github.com/d-wkim/phd/blob/main/data/pdf/gerber_2007.pdf" TargetMode="External"/><Relationship Id="rId38" Type="http://schemas.openxmlformats.org/officeDocument/2006/relationships/hyperlink" Target="https://github.com/d-wkim/phd/blob/main/data/pdf/feller_webster_2003.pdf" TargetMode="External"/><Relationship Id="rId20" Type="http://schemas.openxmlformats.org/officeDocument/2006/relationships/hyperlink" Target="https://github.com/d-wkim/phd/blob/main/data/pdf/bi_2018.pdf" TargetMode="External"/><Relationship Id="rId22" Type="http://schemas.openxmlformats.org/officeDocument/2006/relationships/hyperlink" Target="https://github.com/d-wkim/phd/blob/main/data/pdf/bj%C3%B6rnsson_2016.pdf" TargetMode="External"/><Relationship Id="rId21" Type="http://schemas.openxmlformats.org/officeDocument/2006/relationships/hyperlink" Target="https://github.com/d-wkim/phd/blob/main/data/pdf/bj%C3%B6rnsson_2016.pdf" TargetMode="External"/><Relationship Id="rId24" Type="http://schemas.openxmlformats.org/officeDocument/2006/relationships/hyperlink" Target="https://github.com/d-wkim/phd/blob/main/data/pdf/bottoni_2015.pdf" TargetMode="External"/><Relationship Id="rId23" Type="http://schemas.openxmlformats.org/officeDocument/2006/relationships/hyperlink" Target="https://github.com/d-wkim/phd/blob/main/data/pdf/bottoni_2015.pdf" TargetMode="External"/><Relationship Id="rId129" Type="http://schemas.openxmlformats.org/officeDocument/2006/relationships/hyperlink" Target="https://github.com/d-wkim/phd/blob/main/data/pdf/yoo_2017.pdf" TargetMode="External"/><Relationship Id="rId128" Type="http://schemas.openxmlformats.org/officeDocument/2006/relationships/hyperlink" Target="https://github.com/d-wkim/phd/blob/main/data/pdf/yadav_2025.pdf" TargetMode="External"/><Relationship Id="rId127" Type="http://schemas.openxmlformats.org/officeDocument/2006/relationships/hyperlink" Target="https://github.com/d-wkim/phd/blob/main/data/pdf/yadav_2025.pdf" TargetMode="External"/><Relationship Id="rId126" Type="http://schemas.openxmlformats.org/officeDocument/2006/relationships/hyperlink" Target="https://github.com/d-wkim/phd/blob/main/data/pdf/wipfler_2011.pdf" TargetMode="External"/><Relationship Id="rId26" Type="http://schemas.openxmlformats.org/officeDocument/2006/relationships/hyperlink" Target="https://github.com/d-wkim/phd/blob/main/data/pdf/breker_2025.pdf" TargetMode="External"/><Relationship Id="rId121" Type="http://schemas.openxmlformats.org/officeDocument/2006/relationships/hyperlink" Target="https://github.com/d-wkim/phd/blob/main/data/pdf/vilchez-cavazos_2020.pdf" TargetMode="External"/><Relationship Id="rId25" Type="http://schemas.openxmlformats.org/officeDocument/2006/relationships/hyperlink" Target="https://github.com/d-wkim/phd/blob/main/data/pdf/breker_2025.pdf" TargetMode="External"/><Relationship Id="rId120" Type="http://schemas.openxmlformats.org/officeDocument/2006/relationships/hyperlink" Target="https://github.com/d-wkim/phd/blob/main/data/pdf/taylor_2009.pdf" TargetMode="External"/><Relationship Id="rId28" Type="http://schemas.openxmlformats.org/officeDocument/2006/relationships/hyperlink" Target="https://github.com/d-wkim/phd/blob/main/data/pdf/butt_2024.pdf" TargetMode="External"/><Relationship Id="rId27" Type="http://schemas.openxmlformats.org/officeDocument/2006/relationships/hyperlink" Target="https://github.com/d-wkim/phd/blob/main/data/pdf/butt_2024.pdf" TargetMode="External"/><Relationship Id="rId125" Type="http://schemas.openxmlformats.org/officeDocument/2006/relationships/hyperlink" Target="https://github.com/d-wkim/phd/blob/main/data/pdf/wipfler_2011.pdf" TargetMode="External"/><Relationship Id="rId29" Type="http://schemas.openxmlformats.org/officeDocument/2006/relationships/hyperlink" Target="https://github.com/d-wkim/phd/blob/main/data/pdf/calvert_2025.pdf" TargetMode="External"/><Relationship Id="rId124" Type="http://schemas.openxmlformats.org/officeDocument/2006/relationships/hyperlink" Target="https://github.com/d-wkim/phd/blob/main/data/pdf/webster_2001.pdf" TargetMode="External"/><Relationship Id="rId123" Type="http://schemas.openxmlformats.org/officeDocument/2006/relationships/hyperlink" Target="https://github.com/d-wkim/phd/blob/main/data/pdf/webster_2001.pdf" TargetMode="External"/><Relationship Id="rId122" Type="http://schemas.openxmlformats.org/officeDocument/2006/relationships/hyperlink" Target="https://github.com/d-wkim/phd/blob/main/data/pdf/vilchez-cavazos_2020.pdf" TargetMode="External"/><Relationship Id="rId95" Type="http://schemas.openxmlformats.org/officeDocument/2006/relationships/hyperlink" Target="https://github.com/d-wkim/phd/blob/main/data/pdf/mohtadi_chan_2019.pdf" TargetMode="External"/><Relationship Id="rId94" Type="http://schemas.openxmlformats.org/officeDocument/2006/relationships/hyperlink" Target="https://github.com/d-wkim/phd/blob/main/data/pdf/mohtadi_2016a.pdf" TargetMode="External"/><Relationship Id="rId97" Type="http://schemas.openxmlformats.org/officeDocument/2006/relationships/hyperlink" Target="https://github.com/d-wkim/phd/blob/main/data/pdf/moraiti_2010.pdf" TargetMode="External"/><Relationship Id="rId96" Type="http://schemas.openxmlformats.org/officeDocument/2006/relationships/hyperlink" Target="https://github.com/d-wkim/phd/blob/main/data/pdf/mohtadi_chan_2019.pdf" TargetMode="External"/><Relationship Id="rId11" Type="http://schemas.openxmlformats.org/officeDocument/2006/relationships/hyperlink" Target="https://github.com/d-wkim/phd/blob/main/data/pdf/aune_2001.pdf" TargetMode="External"/><Relationship Id="rId99" Type="http://schemas.openxmlformats.org/officeDocument/2006/relationships/hyperlink" Target="https://github.com/d-wkim/phd/blob/main/data/pdf/noh_2011.pdf" TargetMode="External"/><Relationship Id="rId10" Type="http://schemas.openxmlformats.org/officeDocument/2006/relationships/hyperlink" Target="https://github.com/d-wkim/phd/blob/main/data/pdf/anz_2023.pdf" TargetMode="External"/><Relationship Id="rId98" Type="http://schemas.openxmlformats.org/officeDocument/2006/relationships/hyperlink" Target="https://github.com/d-wkim/phd/blob/main/data/pdf/moraiti_2010.pdf" TargetMode="External"/><Relationship Id="rId13" Type="http://schemas.openxmlformats.org/officeDocument/2006/relationships/hyperlink" Target="https://github.com/d-wkim/phd/blob/main/data/pdf/barenius_2010.pdf" TargetMode="External"/><Relationship Id="rId12" Type="http://schemas.openxmlformats.org/officeDocument/2006/relationships/hyperlink" Target="https://github.com/d-wkim/phd/blob/main/data/pdf/aune_2001.pdf" TargetMode="External"/><Relationship Id="rId91" Type="http://schemas.openxmlformats.org/officeDocument/2006/relationships/hyperlink" Target="https://github.com/d-wkim/phd/blob/main/data/pdf/matsumoto_2006.pdf" TargetMode="External"/><Relationship Id="rId90" Type="http://schemas.openxmlformats.org/officeDocument/2006/relationships/hyperlink" Target="https://github.com/d-wkim/phd/blob/main/data/pdf/malik_2026.pdf" TargetMode="External"/><Relationship Id="rId93" Type="http://schemas.openxmlformats.org/officeDocument/2006/relationships/hyperlink" Target="https://github.com/d-wkim/phd/blob/main/data/pdf/mohtadi_2016a.pdf" TargetMode="External"/><Relationship Id="rId92" Type="http://schemas.openxmlformats.org/officeDocument/2006/relationships/hyperlink" Target="https://github.com/d-wkim/phd/blob/main/data/pdf/matsumoto_2006.pdf" TargetMode="External"/><Relationship Id="rId118" Type="http://schemas.openxmlformats.org/officeDocument/2006/relationships/hyperlink" Target="https://github.com/d-wkim/phd/blob/main/data/pdf/tang_2023.pdf" TargetMode="External"/><Relationship Id="rId117" Type="http://schemas.openxmlformats.org/officeDocument/2006/relationships/hyperlink" Target="https://github.com/d-wkim/phd/blob/main/data/pdf/tang_2023.pdf" TargetMode="External"/><Relationship Id="rId116" Type="http://schemas.openxmlformats.org/officeDocument/2006/relationships/hyperlink" Target="https://github.com/d-wkim/phd/blob/main/data/pdf/sonnery-cottet_2026.pdf" TargetMode="External"/><Relationship Id="rId115" Type="http://schemas.openxmlformats.org/officeDocument/2006/relationships/hyperlink" Target="https://github.com/d-wkim/phd/blob/main/data/pdf/sonnery-cottet_2026.pdf" TargetMode="External"/><Relationship Id="rId119" Type="http://schemas.openxmlformats.org/officeDocument/2006/relationships/hyperlink" Target="https://github.com/d-wkim/phd/blob/main/data/pdf/taylor_2009.pdf" TargetMode="External"/><Relationship Id="rId15" Type="http://schemas.openxmlformats.org/officeDocument/2006/relationships/hyperlink" Target="https://github.com/d-wkim/phd/blob/main/data/pdf/bari%C3%A9_2020.pdf" TargetMode="External"/><Relationship Id="rId110" Type="http://schemas.openxmlformats.org/officeDocument/2006/relationships/hyperlink" Target="https://github.com/d-wkim/phd/blob/main/data/pdf/sajovic_2018.pdf" TargetMode="External"/><Relationship Id="rId14" Type="http://schemas.openxmlformats.org/officeDocument/2006/relationships/hyperlink" Target="https://github.com/d-wkim/phd/blob/main/data/pdf/barenius_2010.pdf" TargetMode="External"/><Relationship Id="rId17" Type="http://schemas.openxmlformats.org/officeDocument/2006/relationships/hyperlink" Target="https://github.com/d-wkim/phd/blob/main/data/pdf/beynnon_2002.pdf" TargetMode="External"/><Relationship Id="rId16" Type="http://schemas.openxmlformats.org/officeDocument/2006/relationships/hyperlink" Target="https://github.com/d-wkim/phd/blob/main/data/pdf/bari%C3%A9_2020.pdf" TargetMode="External"/><Relationship Id="rId19" Type="http://schemas.openxmlformats.org/officeDocument/2006/relationships/hyperlink" Target="https://github.com/d-wkim/phd/blob/main/data/pdf/bi_2018.pdf" TargetMode="External"/><Relationship Id="rId114" Type="http://schemas.openxmlformats.org/officeDocument/2006/relationships/hyperlink" Target="https://github.com/d-wkim/phd/blob/main/data/pdf/smith_2020.pdf" TargetMode="External"/><Relationship Id="rId18" Type="http://schemas.openxmlformats.org/officeDocument/2006/relationships/hyperlink" Target="https://github.com/d-wkim/phd/blob/main/data/pdf/beynnon_2002.pdf" TargetMode="External"/><Relationship Id="rId113" Type="http://schemas.openxmlformats.org/officeDocument/2006/relationships/hyperlink" Target="https://github.com/d-wkim/phd/blob/main/data/pdf/smith_2020.pdf" TargetMode="External"/><Relationship Id="rId112" Type="http://schemas.openxmlformats.org/officeDocument/2006/relationships/hyperlink" Target="https://github.com/d-wkim/phd/blob/main/data/pdf/sinding_2020.pdf" TargetMode="External"/><Relationship Id="rId111" Type="http://schemas.openxmlformats.org/officeDocument/2006/relationships/hyperlink" Target="https://github.com/d-wkim/phd/blob/main/data/pdf/sinding_2020.pdf" TargetMode="External"/><Relationship Id="rId84" Type="http://schemas.openxmlformats.org/officeDocument/2006/relationships/hyperlink" Target="https://github.com/d-wkim/phd/blob/main/data/pdf/lui_2012.pdf" TargetMode="External"/><Relationship Id="rId83" Type="http://schemas.openxmlformats.org/officeDocument/2006/relationships/hyperlink" Target="https://github.com/d-wkim/phd/blob/main/data/pdf/lui_2012.pdf" TargetMode="External"/><Relationship Id="rId86" Type="http://schemas.openxmlformats.org/officeDocument/2006/relationships/hyperlink" Target="https://github.com/d-wkim/phd/blob/main/data/pdf/lund_2014.pdf" TargetMode="External"/><Relationship Id="rId85" Type="http://schemas.openxmlformats.org/officeDocument/2006/relationships/hyperlink" Target="https://github.com/d-wkim/phd/blob/main/data/pdf/lund_2014.pdf" TargetMode="External"/><Relationship Id="rId88" Type="http://schemas.openxmlformats.org/officeDocument/2006/relationships/hyperlink" Target="https://github.com/d-wkim/phd/blob/main/data/pdf/maletis_2007.pdf" TargetMode="External"/><Relationship Id="rId87" Type="http://schemas.openxmlformats.org/officeDocument/2006/relationships/hyperlink" Target="https://github.com/d-wkim/phd/blob/main/data/pdf/maletis_2007.pdf" TargetMode="External"/><Relationship Id="rId89" Type="http://schemas.openxmlformats.org/officeDocument/2006/relationships/hyperlink" Target="https://github.com/d-wkim/phd/blob/main/data/pdf/malik_2026.pdf" TargetMode="External"/><Relationship Id="rId80" Type="http://schemas.openxmlformats.org/officeDocument/2006/relationships/hyperlink" Target="https://github.com/d-wkim/phd/blob/main/data/pdf/lind_2020.pdf" TargetMode="External"/><Relationship Id="rId82" Type="http://schemas.openxmlformats.org/officeDocument/2006/relationships/hyperlink" Target="https://github.com/d-wkim/phd/blob/main/data/pdf/lucidi_2025.pdf" TargetMode="External"/><Relationship Id="rId81" Type="http://schemas.openxmlformats.org/officeDocument/2006/relationships/hyperlink" Target="https://github.com/d-wkim/phd/blob/main/data/pdf/lucidi_2025.pdf" TargetMode="External"/><Relationship Id="rId1" Type="http://schemas.openxmlformats.org/officeDocument/2006/relationships/hyperlink" Target="https://github.com/d-wkim/phd/blob/main/data/pdf/aglietti_2004.pdf" TargetMode="External"/><Relationship Id="rId2" Type="http://schemas.openxmlformats.org/officeDocument/2006/relationships/hyperlink" Target="https://github.com/d-wkim/phd/blob/main/data/pdf/aglietti_2004.pdf" TargetMode="External"/><Relationship Id="rId3" Type="http://schemas.openxmlformats.org/officeDocument/2006/relationships/hyperlink" Target="https://github.com/d-wkim/phd/blob/main/data/pdf/ahld%C3%A9n_2009.pdf" TargetMode="External"/><Relationship Id="rId4" Type="http://schemas.openxmlformats.org/officeDocument/2006/relationships/hyperlink" Target="https://github.com/d-wkim/phd/blob/main/data/pdf/ahld%C3%A9n_2009.pdf" TargetMode="External"/><Relationship Id="rId9" Type="http://schemas.openxmlformats.org/officeDocument/2006/relationships/hyperlink" Target="https://github.com/d-wkim/phd/blob/main/data/pdf/anz_2023.pdf" TargetMode="External"/><Relationship Id="rId5" Type="http://schemas.openxmlformats.org/officeDocument/2006/relationships/hyperlink" Target="https://github.com/d-wkim/phd/blob/main/data/pdf/akelman_2016.pdf" TargetMode="External"/><Relationship Id="rId6" Type="http://schemas.openxmlformats.org/officeDocument/2006/relationships/hyperlink" Target="https://github.com/d-wkim/phd/blob/main/data/pdf/akelman_2016.pdf" TargetMode="External"/><Relationship Id="rId7" Type="http://schemas.openxmlformats.org/officeDocument/2006/relationships/hyperlink" Target="https://github.com/d-wkim/phd/blob/main/data/pdf/anderson_2001.pdf" TargetMode="External"/><Relationship Id="rId8" Type="http://schemas.openxmlformats.org/officeDocument/2006/relationships/hyperlink" Target="https://github.com/d-wkim/phd/blob/main/data/pdf/anderson_2001.pdf" TargetMode="External"/><Relationship Id="rId73" Type="http://schemas.openxmlformats.org/officeDocument/2006/relationships/hyperlink" Target="https://github.com/d-wkim/phd/blob/main/data/pdf/leitgeb_2014.pdf" TargetMode="External"/><Relationship Id="rId72" Type="http://schemas.openxmlformats.org/officeDocument/2006/relationships/hyperlink" Target="https://github.com/d-wkim/phd/blob/main/data/pdf/laxdal_2005.pdf" TargetMode="External"/><Relationship Id="rId75" Type="http://schemas.openxmlformats.org/officeDocument/2006/relationships/hyperlink" Target="https://github.com/d-wkim/phd/blob/main/data/pdf/li_2015.pdf" TargetMode="External"/><Relationship Id="rId74" Type="http://schemas.openxmlformats.org/officeDocument/2006/relationships/hyperlink" Target="https://github.com/d-wkim/phd/blob/main/data/pdf/leitgeb_2014.pdf" TargetMode="External"/><Relationship Id="rId77" Type="http://schemas.openxmlformats.org/officeDocument/2006/relationships/hyperlink" Target="https://github.com/d-wkim/phd/blob/main/data/pdf/lid%C3%A9n_2007.pdf" TargetMode="External"/><Relationship Id="rId76" Type="http://schemas.openxmlformats.org/officeDocument/2006/relationships/hyperlink" Target="https://github.com/d-wkim/phd/blob/main/data/pdf/li_2015.pdf" TargetMode="External"/><Relationship Id="rId79" Type="http://schemas.openxmlformats.org/officeDocument/2006/relationships/hyperlink" Target="https://github.com/d-wkim/phd/blob/main/data/pdf/lind_2020.pdf" TargetMode="External"/><Relationship Id="rId78" Type="http://schemas.openxmlformats.org/officeDocument/2006/relationships/hyperlink" Target="https://github.com/d-wkim/phd/blob/main/data/pdf/lid%C3%A9n_2007.pdf" TargetMode="External"/><Relationship Id="rId71" Type="http://schemas.openxmlformats.org/officeDocument/2006/relationships/hyperlink" Target="https://github.com/d-wkim/phd/blob/main/data/pdf/laxdal_2005.pdf" TargetMode="External"/><Relationship Id="rId70" Type="http://schemas.openxmlformats.org/officeDocument/2006/relationships/hyperlink" Target="https://github.com/d-wkim/phd/blob/main/data/pdf/lawhorn_2012.pdf" TargetMode="External"/><Relationship Id="rId132" Type="http://schemas.openxmlformats.org/officeDocument/2006/relationships/hyperlink" Target="https://github.com/d-wkim/phd/blob/main/data/pdf/zaffagnini_2011.pdf" TargetMode="External"/><Relationship Id="rId131" Type="http://schemas.openxmlformats.org/officeDocument/2006/relationships/hyperlink" Target="https://github.com/d-wkim/phd/blob/main/data/pdf/zaffagnini_2011.pdf" TargetMode="External"/><Relationship Id="rId130" Type="http://schemas.openxmlformats.org/officeDocument/2006/relationships/hyperlink" Target="https://github.com/d-wkim/phd/blob/main/data/pdf/yoo_2017.pdf" TargetMode="External"/><Relationship Id="rId133" Type="http://schemas.openxmlformats.org/officeDocument/2006/relationships/drawing" Target="../drawings/drawing10.xml"/><Relationship Id="rId62" Type="http://schemas.openxmlformats.org/officeDocument/2006/relationships/hyperlink" Target="https://github.com/d-wkim/phd/blob/main/data/pdf/kautzner_2015.pdf" TargetMode="External"/><Relationship Id="rId61" Type="http://schemas.openxmlformats.org/officeDocument/2006/relationships/hyperlink" Target="https://github.com/d-wkim/phd/blob/main/data/pdf/kautzner_2015.pdf" TargetMode="External"/><Relationship Id="rId64" Type="http://schemas.openxmlformats.org/officeDocument/2006/relationships/hyperlink" Target="https://github.com/d-wkim/phd/blob/main/data/pdf/komzak_2022.pdf" TargetMode="External"/><Relationship Id="rId63" Type="http://schemas.openxmlformats.org/officeDocument/2006/relationships/hyperlink" Target="https://github.com/d-wkim/phd/blob/main/data/pdf/komzak_2022.pdf" TargetMode="External"/><Relationship Id="rId66" Type="http://schemas.openxmlformats.org/officeDocument/2006/relationships/hyperlink" Target="https://github.com/d-wkim/phd/blob/main/data/pdf/konrads_2016.pdf" TargetMode="External"/><Relationship Id="rId65" Type="http://schemas.openxmlformats.org/officeDocument/2006/relationships/hyperlink" Target="https://github.com/d-wkim/phd/blob/main/data/pdf/konrads_2016.pdf" TargetMode="External"/><Relationship Id="rId68" Type="http://schemas.openxmlformats.org/officeDocument/2006/relationships/hyperlink" Target="https://github.com/d-wkim/phd/blob/main/data/pdf/laoruengthana_2009.pdf" TargetMode="External"/><Relationship Id="rId67" Type="http://schemas.openxmlformats.org/officeDocument/2006/relationships/hyperlink" Target="https://github.com/d-wkim/phd/blob/main/data/pdf/laoruengthana_2009.pdf" TargetMode="External"/><Relationship Id="rId60" Type="http://schemas.openxmlformats.org/officeDocument/2006/relationships/hyperlink" Target="https://github.com/d-wkim/phd/blob/main/data/pdf/jansson_2003.pdf" TargetMode="External"/><Relationship Id="rId69" Type="http://schemas.openxmlformats.org/officeDocument/2006/relationships/hyperlink" Target="https://github.com/d-wkim/phd/blob/main/data/pdf/lawhorn_2012.pdf" TargetMode="External"/><Relationship Id="rId51" Type="http://schemas.openxmlformats.org/officeDocument/2006/relationships/hyperlink" Target="https://github.com/d-wkim/phd/blob/main/data/pdf/holm_2010.pdf" TargetMode="External"/><Relationship Id="rId50" Type="http://schemas.openxmlformats.org/officeDocument/2006/relationships/hyperlink" Target="https://github.com/d-wkim/phd/blob/main/data/pdf/heijne_werner_2010.pdf" TargetMode="External"/><Relationship Id="rId53" Type="http://schemas.openxmlformats.org/officeDocument/2006/relationships/hyperlink" Target="https://github.com/d-wkim/phd/blob/main/data/pdf/horstmann_2022.pdf" TargetMode="External"/><Relationship Id="rId52" Type="http://schemas.openxmlformats.org/officeDocument/2006/relationships/hyperlink" Target="https://github.com/d-wkim/phd/blob/main/data/pdf/holm_2010.pdf" TargetMode="External"/><Relationship Id="rId55" Type="http://schemas.openxmlformats.org/officeDocument/2006/relationships/hyperlink" Target="https://github.com/d-wkim/phd/blob/main/data/pdf/ibrahim_2005.pdf" TargetMode="External"/><Relationship Id="rId54" Type="http://schemas.openxmlformats.org/officeDocument/2006/relationships/hyperlink" Target="https://github.com/d-wkim/phd/blob/main/data/pdf/horstmann_2022.pdf" TargetMode="External"/><Relationship Id="rId57" Type="http://schemas.openxmlformats.org/officeDocument/2006/relationships/hyperlink" Target="https://github.com/d-wkim/phd/blob/main/data/pdf/iliopoulos_2017.pdf" TargetMode="External"/><Relationship Id="rId56" Type="http://schemas.openxmlformats.org/officeDocument/2006/relationships/hyperlink" Target="https://github.com/d-wkim/phd/blob/main/data/pdf/ibrahim_2005.pdf" TargetMode="External"/><Relationship Id="rId59" Type="http://schemas.openxmlformats.org/officeDocument/2006/relationships/hyperlink" Target="https://github.com/d-wkim/phd/blob/main/data/pdf/jansson_2003.pdf" TargetMode="External"/><Relationship Id="rId58" Type="http://schemas.openxmlformats.org/officeDocument/2006/relationships/hyperlink" Target="https://github.com/d-wkim/phd/blob/main/data/pdf/iliopoulos_2017.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40" Type="http://schemas.openxmlformats.org/officeDocument/2006/relationships/hyperlink" Target="https://github.com/d-wkim/phd/blob/main/data/pdf/lind_2020.pdf" TargetMode="External"/><Relationship Id="rId42" Type="http://schemas.openxmlformats.org/officeDocument/2006/relationships/hyperlink" Target="https://github.com/d-wkim/phd/blob/main/data/pdf/lund_2014.pdf" TargetMode="External"/><Relationship Id="rId41" Type="http://schemas.openxmlformats.org/officeDocument/2006/relationships/hyperlink" Target="https://github.com/d-wkim/phd/blob/main/data/pdf/lui_2012.pdf" TargetMode="External"/><Relationship Id="rId44" Type="http://schemas.openxmlformats.org/officeDocument/2006/relationships/hyperlink" Target="https://github.com/d-wkim/phd/blob/main/data/pdf/matsumoto_2006.pdf" TargetMode="External"/><Relationship Id="rId43" Type="http://schemas.openxmlformats.org/officeDocument/2006/relationships/hyperlink" Target="https://github.com/d-wkim/phd/blob/main/data/pdf/malik_2026.pdf" TargetMode="External"/><Relationship Id="rId46" Type="http://schemas.openxmlformats.org/officeDocument/2006/relationships/hyperlink" Target="https://github.com/d-wkim/phd/blob/main/data/pdf/sinding_2020.pdf" TargetMode="External"/><Relationship Id="rId45" Type="http://schemas.openxmlformats.org/officeDocument/2006/relationships/hyperlink" Target="https://github.com/d-wkim/phd/blob/main/data/pdf/papalia_2015.pdf" TargetMode="External"/><Relationship Id="rId48" Type="http://schemas.openxmlformats.org/officeDocument/2006/relationships/hyperlink" Target="https://github.com/d-wkim/phd/blob/main/data/pdf/vilchez-cavazos_2020.pdf" TargetMode="External"/><Relationship Id="rId47" Type="http://schemas.openxmlformats.org/officeDocument/2006/relationships/hyperlink" Target="https://github.com/d-wkim/phd/blob/main/data/pdf/tang_2023.pdf" TargetMode="External"/><Relationship Id="rId49" Type="http://schemas.openxmlformats.org/officeDocument/2006/relationships/hyperlink" Target="https://github.com/d-wkim/phd/blob/main/data/pdf/zaffagnini_2011.pdf" TargetMode="External"/><Relationship Id="rId31" Type="http://schemas.openxmlformats.org/officeDocument/2006/relationships/hyperlink" Target="https://github.com/d-wkim/phd/blob/main/data/pdf/bj%C3%B6rnsson_2016.pdf" TargetMode="External"/><Relationship Id="rId30" Type="http://schemas.openxmlformats.org/officeDocument/2006/relationships/hyperlink" Target="https://github.com/d-wkim/phd/blob/main/data/pdf/bari%C3%A9_2020.pdf" TargetMode="External"/><Relationship Id="rId33" Type="http://schemas.openxmlformats.org/officeDocument/2006/relationships/hyperlink" Target="https://github.com/d-wkim/phd/blob/main/data/pdf/butt_2024.pdf" TargetMode="External"/><Relationship Id="rId32" Type="http://schemas.openxmlformats.org/officeDocument/2006/relationships/hyperlink" Target="https://github.com/d-wkim/phd/blob/main/data/pdf/bottoni_2015.pdf" TargetMode="External"/><Relationship Id="rId35" Type="http://schemas.openxmlformats.org/officeDocument/2006/relationships/hyperlink" Target="https://github.com/d-wkim/phd/blob/main/data/pdf/guglielmetti_2021.pdf" TargetMode="External"/><Relationship Id="rId34" Type="http://schemas.openxmlformats.org/officeDocument/2006/relationships/hyperlink" Target="https://github.com/d-wkim/phd/blob/main/data/pdf/calvert_2025.pdf" TargetMode="External"/><Relationship Id="rId37" Type="http://schemas.openxmlformats.org/officeDocument/2006/relationships/hyperlink" Target="https://github.com/d-wkim/phd/blob/main/data/pdf/iliopoulos_2017.pdf" TargetMode="External"/><Relationship Id="rId36" Type="http://schemas.openxmlformats.org/officeDocument/2006/relationships/hyperlink" Target="https://github.com/d-wkim/phd/blob/main/data/pdf/horstmann_2022.pdf" TargetMode="External"/><Relationship Id="rId39" Type="http://schemas.openxmlformats.org/officeDocument/2006/relationships/hyperlink" Target="https://github.com/d-wkim/phd/blob/main/data/pdf/li_2015.pdf" TargetMode="External"/><Relationship Id="rId38" Type="http://schemas.openxmlformats.org/officeDocument/2006/relationships/hyperlink" Target="https://github.com/d-wkim/phd/blob/main/data/pdf/komzak_2022.pdf" TargetMode="External"/><Relationship Id="rId20" Type="http://schemas.openxmlformats.org/officeDocument/2006/relationships/hyperlink" Target="https://github.com/d-wkim/phd/blob/main/data/pdf/gobbi_francisco_2006.pdf" TargetMode="External"/><Relationship Id="rId22" Type="http://schemas.openxmlformats.org/officeDocument/2006/relationships/hyperlink" Target="https://github.com/d-wkim/phd/blob/main/data/pdf/konrads_2016.pdf" TargetMode="External"/><Relationship Id="rId21" Type="http://schemas.openxmlformats.org/officeDocument/2006/relationships/hyperlink" Target="https://github.com/d-wkim/phd/blob/main/data/pdf/harilainen_2006.pdf" TargetMode="External"/><Relationship Id="rId24" Type="http://schemas.openxmlformats.org/officeDocument/2006/relationships/hyperlink" Target="https://github.com/d-wkim/phd/blob/main/data/pdf/lawhorn_2012.pdf" TargetMode="External"/><Relationship Id="rId23" Type="http://schemas.openxmlformats.org/officeDocument/2006/relationships/hyperlink" Target="https://github.com/d-wkim/phd/blob/main/data/pdf/laoruengthana_2009.pdf" TargetMode="External"/><Relationship Id="rId26" Type="http://schemas.openxmlformats.org/officeDocument/2006/relationships/hyperlink" Target="https://github.com/d-wkim/phd/blob/main/data/pdf/maletis_2007.pdf" TargetMode="External"/><Relationship Id="rId25" Type="http://schemas.openxmlformats.org/officeDocument/2006/relationships/hyperlink" Target="https://github.com/d-wkim/phd/blob/main/data/pdf/lid%C3%A9n_2007.pdf" TargetMode="External"/><Relationship Id="rId28" Type="http://schemas.openxmlformats.org/officeDocument/2006/relationships/hyperlink" Target="https://github.com/d-wkim/phd/blob/main/data/pdf/sajovic_2018.pdf" TargetMode="External"/><Relationship Id="rId27" Type="http://schemas.openxmlformats.org/officeDocument/2006/relationships/hyperlink" Target="https://github.com/d-wkim/phd/blob/main/data/pdf/oneill_1996.pdf" TargetMode="External"/><Relationship Id="rId29" Type="http://schemas.openxmlformats.org/officeDocument/2006/relationships/hyperlink" Target="https://github.com/d-wkim/phd/blob/main/data/pdf/webster_2001.pdf" TargetMode="External"/><Relationship Id="rId11" Type="http://schemas.openxmlformats.org/officeDocument/2006/relationships/hyperlink" Target="https://github.com/d-wkim/phd/blob/main/data/pdf/smith_2020.pdf" TargetMode="External"/><Relationship Id="rId10" Type="http://schemas.openxmlformats.org/officeDocument/2006/relationships/hyperlink" Target="https://github.com/d-wkim/phd/blob/main/data/pdf/popovic_2024.pdf" TargetMode="External"/><Relationship Id="rId13" Type="http://schemas.openxmlformats.org/officeDocument/2006/relationships/hyperlink" Target="https://github.com/d-wkim/phd/blob/main/data/pdf/taylor_2009.pdf" TargetMode="External"/><Relationship Id="rId12" Type="http://schemas.openxmlformats.org/officeDocument/2006/relationships/hyperlink" Target="https://github.com/d-wkim/phd/blob/main/data/pdf/sonnery-cottet_2026.pdf" TargetMode="External"/><Relationship Id="rId15" Type="http://schemas.openxmlformats.org/officeDocument/2006/relationships/hyperlink" Target="https://github.com/d-wkim/phd/blob/main/data/pdf/yadav_2025.pdf" TargetMode="External"/><Relationship Id="rId14" Type="http://schemas.openxmlformats.org/officeDocument/2006/relationships/hyperlink" Target="https://github.com/d-wkim/phd/blob/main/data/pdf/wipfler_2011.pdf" TargetMode="External"/><Relationship Id="rId17" Type="http://schemas.openxmlformats.org/officeDocument/2006/relationships/hyperlink" Target="https://github.com/d-wkim/phd/blob/main/data/pdf/anderson_2001.pdf" TargetMode="External"/><Relationship Id="rId16" Type="http://schemas.openxmlformats.org/officeDocument/2006/relationships/hyperlink" Target="https://github.com/d-wkim/phd/blob/main/data/pdf/ahld%C3%A9n_2009.pdf" TargetMode="External"/><Relationship Id="rId19" Type="http://schemas.openxmlformats.org/officeDocument/2006/relationships/hyperlink" Target="https://github.com/d-wkim/phd/blob/main/data/pdf/feller_webster_2003.pdf" TargetMode="External"/><Relationship Id="rId18" Type="http://schemas.openxmlformats.org/officeDocument/2006/relationships/hyperlink" Target="https://github.com/d-wkim/phd/blob/main/data/pdf/beynnon_2002.pdf" TargetMode="External"/><Relationship Id="rId1" Type="http://schemas.openxmlformats.org/officeDocument/2006/relationships/hyperlink" Target="https://github.com/d-wkim/phd/blob/main/data/pdf/cruz_2022.pdf" TargetMode="External"/><Relationship Id="rId2" Type="http://schemas.openxmlformats.org/officeDocument/2006/relationships/hyperlink" Target="https://github.com/d-wkim/phd/blob/main/data/pdf/kautzner_2015.pdf" TargetMode="External"/><Relationship Id="rId3" Type="http://schemas.openxmlformats.org/officeDocument/2006/relationships/hyperlink" Target="https://github.com/d-wkim/phd/blob/main/data/pdf/laxdal_2005.pdf" TargetMode="External"/><Relationship Id="rId4" Type="http://schemas.openxmlformats.org/officeDocument/2006/relationships/hyperlink" Target="https://github.com/d-wkim/phd/blob/main/data/pdf/lucidi_2025.pdf" TargetMode="External"/><Relationship Id="rId9" Type="http://schemas.openxmlformats.org/officeDocument/2006/relationships/hyperlink" Target="https://github.com/d-wkim/phd/blob/main/data/pdf/pinczewski_2007.pdf" TargetMode="External"/><Relationship Id="rId5" Type="http://schemas.openxmlformats.org/officeDocument/2006/relationships/hyperlink" Target="https://github.com/d-wkim/phd/blob/main/data/pdf/mohtadi_2016a.pdf" TargetMode="External"/><Relationship Id="rId6" Type="http://schemas.openxmlformats.org/officeDocument/2006/relationships/hyperlink" Target="https://github.com/d-wkim/phd/blob/main/data/pdf/mohtadi_chan_2019.pdf" TargetMode="External"/><Relationship Id="rId7" Type="http://schemas.openxmlformats.org/officeDocument/2006/relationships/hyperlink" Target="https://github.com/d-wkim/phd/blob/main/data/pdf/moraiti_2010.pdf" TargetMode="External"/><Relationship Id="rId8" Type="http://schemas.openxmlformats.org/officeDocument/2006/relationships/hyperlink" Target="https://github.com/d-wkim/phd/blob/main/data/pdf/noh_2011.pdf" TargetMode="External"/><Relationship Id="rId62" Type="http://schemas.openxmlformats.org/officeDocument/2006/relationships/hyperlink" Target="https://github.com/d-wkim/phd/blob/main/data/pdf/jansson_2003.pdf" TargetMode="External"/><Relationship Id="rId61" Type="http://schemas.openxmlformats.org/officeDocument/2006/relationships/hyperlink" Target="https://github.com/d-wkim/phd/blob/main/data/pdf/ibrahim_2005.pdf" TargetMode="External"/><Relationship Id="rId64" Type="http://schemas.openxmlformats.org/officeDocument/2006/relationships/hyperlink" Target="https://github.com/d-wkim/phd/blob/main/data/pdf/yoo_2017.pdf" TargetMode="External"/><Relationship Id="rId63" Type="http://schemas.openxmlformats.org/officeDocument/2006/relationships/hyperlink" Target="https://github.com/d-wkim/phd/blob/main/data/pdf/leitgeb_2014.pdf" TargetMode="External"/><Relationship Id="rId66" Type="http://schemas.openxmlformats.org/officeDocument/2006/relationships/drawing" Target="../drawings/drawing15.xml"/><Relationship Id="rId65" Type="http://schemas.openxmlformats.org/officeDocument/2006/relationships/hyperlink" Target="https://github.com/d-wkim/phd/blob/main/data/pdf/ageberg_2009.pdf" TargetMode="External"/><Relationship Id="rId60" Type="http://schemas.openxmlformats.org/officeDocument/2006/relationships/hyperlink" Target="https://github.com/d-wkim/phd/blob/main/data/pdf/holm_2010.pdf" TargetMode="External"/><Relationship Id="rId51" Type="http://schemas.openxmlformats.org/officeDocument/2006/relationships/hyperlink" Target="https://github.com/d-wkim/phd/blob/main/data/pdf/akelman_2016.pdf" TargetMode="External"/><Relationship Id="rId50" Type="http://schemas.openxmlformats.org/officeDocument/2006/relationships/hyperlink" Target="https://github.com/d-wkim/phd/blob/main/data/pdf/aglietti_2004.pdf" TargetMode="External"/><Relationship Id="rId53" Type="http://schemas.openxmlformats.org/officeDocument/2006/relationships/hyperlink" Target="https://github.com/d-wkim/phd/blob/main/data/pdf/barenius_2010.pdf" TargetMode="External"/><Relationship Id="rId52" Type="http://schemas.openxmlformats.org/officeDocument/2006/relationships/hyperlink" Target="https://github.com/d-wkim/phd/blob/main/data/pdf/aune_2001.pdf" TargetMode="External"/><Relationship Id="rId55" Type="http://schemas.openxmlformats.org/officeDocument/2006/relationships/hyperlink" Target="https://github.com/d-wkim/phd/blob/main/data/pdf/ejerhed_2003.pdf" TargetMode="External"/><Relationship Id="rId54" Type="http://schemas.openxmlformats.org/officeDocument/2006/relationships/hyperlink" Target="https://github.com/d-wkim/phd/blob/main/data/pdf/breker_2025.pdf" TargetMode="External"/><Relationship Id="rId57" Type="http://schemas.openxmlformats.org/officeDocument/2006/relationships/hyperlink" Target="https://github.com/d-wkim/phd/blob/main/data/pdf/gerber_2007.pdf" TargetMode="External"/><Relationship Id="rId56" Type="http://schemas.openxmlformats.org/officeDocument/2006/relationships/hyperlink" Target="https://github.com/d-wkim/phd/blob/main/data/pdf/eriksson_2006.pdf" TargetMode="External"/><Relationship Id="rId59" Type="http://schemas.openxmlformats.org/officeDocument/2006/relationships/hyperlink" Target="https://github.com/d-wkim/phd/blob/main/data/pdf/heijne_werner_2010.pdf" TargetMode="External"/><Relationship Id="rId58" Type="http://schemas.openxmlformats.org/officeDocument/2006/relationships/hyperlink" Target="https://github.com/d-wkim/phd/blob/main/data/pdf/gifstad_2013.pdf"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40" Type="http://schemas.openxmlformats.org/officeDocument/2006/relationships/hyperlink" Target="https://raw.githubusercontent.com/d-wkim/phd/refs/heads/main/data/pdf/jansson_1999.pdf" TargetMode="External"/><Relationship Id="rId42" Type="http://schemas.openxmlformats.org/officeDocument/2006/relationships/hyperlink" Target="https://raw.githubusercontent.com/d-wkim/phd/refs/heads/main/data/pdf/johns_2026.pdf" TargetMode="External"/><Relationship Id="rId41" Type="http://schemas.openxmlformats.org/officeDocument/2006/relationships/hyperlink" Target="https://raw.githubusercontent.com/d-wkim/phd/refs/heads/main/data/pdf/jansson_2003.pdf" TargetMode="External"/><Relationship Id="rId44" Type="http://schemas.openxmlformats.org/officeDocument/2006/relationships/hyperlink" Target="https://raw.githubusercontent.com/d-wkim/phd/refs/heads/main/data/pdf/komzak_2022.pdf" TargetMode="External"/><Relationship Id="rId43" Type="http://schemas.openxmlformats.org/officeDocument/2006/relationships/hyperlink" Target="https://raw.githubusercontent.com/d-wkim/phd/refs/heads/main/data/pdf/kautzner_2015.pdf" TargetMode="External"/><Relationship Id="rId46" Type="http://schemas.openxmlformats.org/officeDocument/2006/relationships/hyperlink" Target="https://raw.githubusercontent.com/d-wkim/phd/refs/heads/main/data/pdf/laoruengthana_2009.pdf" TargetMode="External"/><Relationship Id="rId45" Type="http://schemas.openxmlformats.org/officeDocument/2006/relationships/hyperlink" Target="https://raw.githubusercontent.com/d-wkim/phd/refs/heads/main/data/pdf/konrads_2016.pdf" TargetMode="External"/><Relationship Id="rId48" Type="http://schemas.openxmlformats.org/officeDocument/2006/relationships/hyperlink" Target="https://raw.githubusercontent.com/d-wkim/phd/refs/heads/main/data/pdf/laxdal_2004.pdf" TargetMode="External"/><Relationship Id="rId47" Type="http://schemas.openxmlformats.org/officeDocument/2006/relationships/hyperlink" Target="https://raw.githubusercontent.com/d-wkim/phd/refs/heads/main/data/pdf/lawhorn_2012.pdf" TargetMode="External"/><Relationship Id="rId49" Type="http://schemas.openxmlformats.org/officeDocument/2006/relationships/hyperlink" Target="https://raw.githubusercontent.com/d-wkim/phd/refs/heads/main/data/pdf/laxdal_2005.pdf" TargetMode="External"/><Relationship Id="rId101" Type="http://schemas.openxmlformats.org/officeDocument/2006/relationships/drawing" Target="../drawings/drawing28.xml"/><Relationship Id="rId100" Type="http://schemas.openxmlformats.org/officeDocument/2006/relationships/hyperlink" Target="https://raw.githubusercontent.com/d-wkim/phd/refs/heads/main/data/pdf/zaffagnini_2011.pdf" TargetMode="External"/><Relationship Id="rId31" Type="http://schemas.openxmlformats.org/officeDocument/2006/relationships/hyperlink" Target="https://raw.githubusercontent.com/d-wkim/phd/refs/heads/main/data/pdf/gobbi_francisco_2006.pdf" TargetMode="External"/><Relationship Id="rId30" Type="http://schemas.openxmlformats.org/officeDocument/2006/relationships/hyperlink" Target="https://raw.githubusercontent.com/d-wkim/phd/refs/heads/main/data/pdf/gifstad_2013.pdf" TargetMode="External"/><Relationship Id="rId33" Type="http://schemas.openxmlformats.org/officeDocument/2006/relationships/hyperlink" Target="https://raw.githubusercontent.com/d-wkim/phd/refs/heads/main/data/pdf/harilainen_2006.pdf" TargetMode="External"/><Relationship Id="rId32" Type="http://schemas.openxmlformats.org/officeDocument/2006/relationships/hyperlink" Target="https://raw.githubusercontent.com/d-wkim/phd/refs/heads/main/data/pdf/guglielmetti_2021.pdf" TargetMode="External"/><Relationship Id="rId35" Type="http://schemas.openxmlformats.org/officeDocument/2006/relationships/hyperlink" Target="https://raw.githubusercontent.com/d-wkim/phd/refs/heads/main/data/pdf/holm_2010.pdf" TargetMode="External"/><Relationship Id="rId34" Type="http://schemas.openxmlformats.org/officeDocument/2006/relationships/hyperlink" Target="https://raw.githubusercontent.com/d-wkim/phd/refs/heads/main/data/pdf/heijne_werner_2010.pdf" TargetMode="External"/><Relationship Id="rId37" Type="http://schemas.openxmlformats.org/officeDocument/2006/relationships/hyperlink" Target="https://raw.githubusercontent.com/d-wkim/phd/refs/heads/main/data/pdf/ibrahim_2005.pdf" TargetMode="External"/><Relationship Id="rId36" Type="http://schemas.openxmlformats.org/officeDocument/2006/relationships/hyperlink" Target="https://raw.githubusercontent.com/d-wkim/phd/refs/heads/main/data/pdf/horstmann_2022.pdf" TargetMode="External"/><Relationship Id="rId39" Type="http://schemas.openxmlformats.org/officeDocument/2006/relationships/hyperlink" Target="https://raw.githubusercontent.com/d-wkim/phd/refs/heads/main/data/pdf/irrgang_2021.pdf" TargetMode="External"/><Relationship Id="rId38" Type="http://schemas.openxmlformats.org/officeDocument/2006/relationships/hyperlink" Target="https://raw.githubusercontent.com/d-wkim/phd/refs/heads/main/data/pdf/iliopoulos_2017.pdf" TargetMode="External"/><Relationship Id="rId20" Type="http://schemas.openxmlformats.org/officeDocument/2006/relationships/hyperlink" Target="https://raw.githubusercontent.com/d-wkim/phd/refs/heads/main/data/pdf/carter_edinger_1999.pdf" TargetMode="External"/><Relationship Id="rId22" Type="http://schemas.openxmlformats.org/officeDocument/2006/relationships/hyperlink" Target="https://raw.githubusercontent.com/d-wkim/phd/refs/heads/main/data/pdf/cruz_2022.pdf" TargetMode="External"/><Relationship Id="rId21" Type="http://schemas.openxmlformats.org/officeDocument/2006/relationships/hyperlink" Target="https://raw.githubusercontent.com/d-wkim/phd/refs/heads/main/data/pdf/covey_2018.pdf" TargetMode="External"/><Relationship Id="rId24" Type="http://schemas.openxmlformats.org/officeDocument/2006/relationships/hyperlink" Target="https://raw.githubusercontent.com/d-wkim/phd/refs/heads/main/data/pdf/eriksson_2001.pdf" TargetMode="External"/><Relationship Id="rId23" Type="http://schemas.openxmlformats.org/officeDocument/2006/relationships/hyperlink" Target="https://raw.githubusercontent.com/d-wkim/phd/refs/heads/main/data/pdf/ejerhed_2003.pdf" TargetMode="External"/><Relationship Id="rId26" Type="http://schemas.openxmlformats.org/officeDocument/2006/relationships/hyperlink" Target="https://raw.githubusercontent.com/d-wkim/phd/refs/heads/main/data/pdf/feller_webster_2003.pdf" TargetMode="External"/><Relationship Id="rId25" Type="http://schemas.openxmlformats.org/officeDocument/2006/relationships/hyperlink" Target="https://raw.githubusercontent.com/d-wkim/phd/refs/heads/main/data/pdf/eriksson_2006.pdf" TargetMode="External"/><Relationship Id="rId28" Type="http://schemas.openxmlformats.org/officeDocument/2006/relationships/hyperlink" Target="https://raw.githubusercontent.com/d-wkim/phd/refs/heads/main/data/pdf/gerber_2007.pdf" TargetMode="External"/><Relationship Id="rId27" Type="http://schemas.openxmlformats.org/officeDocument/2006/relationships/hyperlink" Target="https://raw.githubusercontent.com/d-wkim/phd/refs/heads/main/data/pdf/garcia-linage_2025.pdf" TargetMode="External"/><Relationship Id="rId29" Type="http://schemas.openxmlformats.org/officeDocument/2006/relationships/hyperlink" Target="https://raw.githubusercontent.com/d-wkim/phd/refs/heads/main/data/pdf/ghalayini_2010.pdf" TargetMode="External"/><Relationship Id="rId95" Type="http://schemas.openxmlformats.org/officeDocument/2006/relationships/hyperlink" Target="https://raw.githubusercontent.com/d-wkim/phd/refs/heads/main/data/pdf/webster_2001.pdf" TargetMode="External"/><Relationship Id="rId94" Type="http://schemas.openxmlformats.org/officeDocument/2006/relationships/hyperlink" Target="https://raw.githubusercontent.com/d-wkim/phd/refs/heads/main/data/pdf/wasserman_2017.pdf" TargetMode="External"/><Relationship Id="rId97" Type="http://schemas.openxmlformats.org/officeDocument/2006/relationships/hyperlink" Target="https://raw.githubusercontent.com/d-wkim/phd/refs/heads/main/data/pdf/yadav_2025.pdf" TargetMode="External"/><Relationship Id="rId96" Type="http://schemas.openxmlformats.org/officeDocument/2006/relationships/hyperlink" Target="https://raw.githubusercontent.com/d-wkim/phd/refs/heads/main/data/pdf/wipfler_2011.pdf" TargetMode="External"/><Relationship Id="rId11" Type="http://schemas.openxmlformats.org/officeDocument/2006/relationships/hyperlink" Target="https://raw.githubusercontent.com/d-wkim/phd/refs/heads/main/data/pdf/beynnon_2002.pdf" TargetMode="External"/><Relationship Id="rId99" Type="http://schemas.openxmlformats.org/officeDocument/2006/relationships/hyperlink" Target="https://raw.githubusercontent.com/d-wkim/phd/refs/heads/main/data/pdf/zaffagnini_2006.pdf" TargetMode="External"/><Relationship Id="rId10" Type="http://schemas.openxmlformats.org/officeDocument/2006/relationships/hyperlink" Target="https://raw.githubusercontent.com/d-wkim/phd/refs/heads/main/data/pdf/bari%C3%A9_2020.pdf" TargetMode="External"/><Relationship Id="rId98" Type="http://schemas.openxmlformats.org/officeDocument/2006/relationships/hyperlink" Target="https://raw.githubusercontent.com/d-wkim/phd/refs/heads/main/data/pdf/yoo_2017.pdf" TargetMode="External"/><Relationship Id="rId13" Type="http://schemas.openxmlformats.org/officeDocument/2006/relationships/hyperlink" Target="https://raw.githubusercontent.com/d-wkim/phd/refs/heads/main/data/pdf/bj%C3%B6rnsson_2016.pdf" TargetMode="External"/><Relationship Id="rId12" Type="http://schemas.openxmlformats.org/officeDocument/2006/relationships/hyperlink" Target="https://raw.githubusercontent.com/d-wkim/phd/refs/heads/main/data/pdf/bi_2018.pdf" TargetMode="External"/><Relationship Id="rId91" Type="http://schemas.openxmlformats.org/officeDocument/2006/relationships/hyperlink" Target="https://raw.githubusercontent.com/d-wkim/phd/refs/heads/main/data/pdf/tibesku_2003.pdf" TargetMode="External"/><Relationship Id="rId90" Type="http://schemas.openxmlformats.org/officeDocument/2006/relationships/hyperlink" Target="https://raw.githubusercontent.com/d-wkim/phd/refs/heads/main/data/pdf/taylor_2009.pdf" TargetMode="External"/><Relationship Id="rId93" Type="http://schemas.openxmlformats.org/officeDocument/2006/relationships/hyperlink" Target="https://raw.githubusercontent.com/d-wkim/phd/refs/heads/main/data/pdf/vilchez_cavazos_2020.pdf" TargetMode="External"/><Relationship Id="rId92" Type="http://schemas.openxmlformats.org/officeDocument/2006/relationships/hyperlink" Target="https://raw.githubusercontent.com/d-wkim/phd/refs/heads/main/data/pdf/vendrig_2026.pdf" TargetMode="External"/><Relationship Id="rId15" Type="http://schemas.openxmlformats.org/officeDocument/2006/relationships/hyperlink" Target="https://raw.githubusercontent.com/d-wkim/phd/refs/heads/main/data/pdf/brand_2000.pdf" TargetMode="External"/><Relationship Id="rId14" Type="http://schemas.openxmlformats.org/officeDocument/2006/relationships/hyperlink" Target="https://raw.githubusercontent.com/d-wkim/phd/refs/heads/main/data/pdf/bottoni_2015.pdf" TargetMode="External"/><Relationship Id="rId17" Type="http://schemas.openxmlformats.org/officeDocument/2006/relationships/hyperlink" Target="https://raw.githubusercontent.com/d-wkim/phd/refs/heads/main/data/pdf/buescu_2017.pdf" TargetMode="External"/><Relationship Id="rId16" Type="http://schemas.openxmlformats.org/officeDocument/2006/relationships/hyperlink" Target="https://raw.githubusercontent.com/d-wkim/phd/refs/heads/main/data/pdf/breker_2025.pdf" TargetMode="External"/><Relationship Id="rId19" Type="http://schemas.openxmlformats.org/officeDocument/2006/relationships/hyperlink" Target="https://raw.githubusercontent.com/d-wkim/phd/refs/heads/main/data/pdf/calvert_2025.pdf" TargetMode="External"/><Relationship Id="rId18" Type="http://schemas.openxmlformats.org/officeDocument/2006/relationships/hyperlink" Target="https://raw.githubusercontent.com/d-wkim/phd/refs/heads/main/data/pdf/butt_2024.pdf" TargetMode="External"/><Relationship Id="rId84" Type="http://schemas.openxmlformats.org/officeDocument/2006/relationships/hyperlink" Target="https://raw.githubusercontent.com/d-wkim/phd/refs/heads/main/data/pdf/sinding_2020.pdf" TargetMode="External"/><Relationship Id="rId83" Type="http://schemas.openxmlformats.org/officeDocument/2006/relationships/hyperlink" Target="https://raw.githubusercontent.com/d-wkim/phd/refs/heads/main/data/pdf/sato_2005.pdf" TargetMode="External"/><Relationship Id="rId86" Type="http://schemas.openxmlformats.org/officeDocument/2006/relationships/hyperlink" Target="https://raw.githubusercontent.com/d-wkim/phd/refs/heads/main/data/pdf/sonnery-cottet_2020.pdf" TargetMode="External"/><Relationship Id="rId85" Type="http://schemas.openxmlformats.org/officeDocument/2006/relationships/hyperlink" Target="https://raw.githubusercontent.com/d-wkim/phd/refs/heads/main/data/pdf/smith_2020.pdf" TargetMode="External"/><Relationship Id="rId88" Type="http://schemas.openxmlformats.org/officeDocument/2006/relationships/hyperlink" Target="https://raw.githubusercontent.com/d-wkim/phd/refs/heads/main/data/pdf/sumanont_2024.pdf" TargetMode="External"/><Relationship Id="rId87" Type="http://schemas.openxmlformats.org/officeDocument/2006/relationships/hyperlink" Target="https://raw.githubusercontent.com/d-wkim/phd/refs/heads/main/data/pdf/sonnery-cottet_2026.pdf" TargetMode="External"/><Relationship Id="rId89" Type="http://schemas.openxmlformats.org/officeDocument/2006/relationships/hyperlink" Target="https://raw.githubusercontent.com/d-wkim/phd/refs/heads/main/data/pdf/tang_2023.pdf" TargetMode="External"/><Relationship Id="rId80" Type="http://schemas.openxmlformats.org/officeDocument/2006/relationships/hyperlink" Target="https://raw.githubusercontent.com/d-wkim/phd/refs/heads/main/data/pdf/sajovic_2008.pdf" TargetMode="External"/><Relationship Id="rId82" Type="http://schemas.openxmlformats.org/officeDocument/2006/relationships/hyperlink" Target="https://raw.githubusercontent.com/d-wkim/phd/refs/heads/main/data/pdf/sajovic_2018.pdf" TargetMode="External"/><Relationship Id="rId81" Type="http://schemas.openxmlformats.org/officeDocument/2006/relationships/hyperlink" Target="https://raw.githubusercontent.com/d-wkim/phd/refs/heads/main/data/pdf/sajovic_2011.pdf" TargetMode="External"/><Relationship Id="rId1" Type="http://schemas.openxmlformats.org/officeDocument/2006/relationships/hyperlink" Target="https://raw.githubusercontent.com/d-wkim/phd/refs/heads/main/data/pdf/ageberg_2009.pdf" TargetMode="External"/><Relationship Id="rId2" Type="http://schemas.openxmlformats.org/officeDocument/2006/relationships/hyperlink" Target="https://raw.githubusercontent.com/d-wkim/phd/refs/heads/main/data/pdf/aglietti_2004.pdf" TargetMode="External"/><Relationship Id="rId3" Type="http://schemas.openxmlformats.org/officeDocument/2006/relationships/hyperlink" Target="https://raw.githubusercontent.com/d-wkim/phd/refs/heads/main/data/pdf/ahld%C3%A9n_2009.pdf" TargetMode="External"/><Relationship Id="rId4" Type="http://schemas.openxmlformats.org/officeDocument/2006/relationships/hyperlink" Target="https://raw.githubusercontent.com/d-wkim/phd/refs/heads/main/data/pdf/akelman_2016.pdf" TargetMode="External"/><Relationship Id="rId9" Type="http://schemas.openxmlformats.org/officeDocument/2006/relationships/hyperlink" Target="https://raw.githubusercontent.com/d-wkim/phd/refs/heads/main/data/pdf/barenius_2014.pdf" TargetMode="External"/><Relationship Id="rId5" Type="http://schemas.openxmlformats.org/officeDocument/2006/relationships/hyperlink" Target="https://raw.githubusercontent.com/d-wkim/phd/refs/heads/main/data/pdf/anderson_2001.pdf" TargetMode="External"/><Relationship Id="rId6" Type="http://schemas.openxmlformats.org/officeDocument/2006/relationships/hyperlink" Target="https://raw.githubusercontent.com/d-wkim/phd/refs/heads/main/data/pdf/anz_2023.pdf" TargetMode="External"/><Relationship Id="rId7" Type="http://schemas.openxmlformats.org/officeDocument/2006/relationships/hyperlink" Target="https://raw.githubusercontent.com/d-wkim/phd/refs/heads/main/data/pdf/aune_2001.pdf" TargetMode="External"/><Relationship Id="rId8" Type="http://schemas.openxmlformats.org/officeDocument/2006/relationships/hyperlink" Target="https://raw.githubusercontent.com/d-wkim/phd/refs/heads/main/data/pdf/barenius_2010.pdf" TargetMode="External"/><Relationship Id="rId73" Type="http://schemas.openxmlformats.org/officeDocument/2006/relationships/hyperlink" Target="https://raw.githubusercontent.com/d-wkim/phd/refs/heads/main/data/pdf/papalia_2015.pdf" TargetMode="External"/><Relationship Id="rId72" Type="http://schemas.openxmlformats.org/officeDocument/2006/relationships/hyperlink" Target="https://raw.githubusercontent.com/d-wkim/phd/refs/heads/main/data/pdf/oneill_1996.pdf" TargetMode="External"/><Relationship Id="rId75" Type="http://schemas.openxmlformats.org/officeDocument/2006/relationships/hyperlink" Target="https://raw.githubusercontent.com/d-wkim/phd/refs/heads/main/data/pdf/pigozzi_2004.pdf" TargetMode="External"/><Relationship Id="rId74" Type="http://schemas.openxmlformats.org/officeDocument/2006/relationships/hyperlink" Target="https://raw.githubusercontent.com/d-wkim/phd/refs/heads/main/data/pdf/p%C3%A4ssler_2015.pdf" TargetMode="External"/><Relationship Id="rId77" Type="http://schemas.openxmlformats.org/officeDocument/2006/relationships/hyperlink" Target="https://raw.githubusercontent.com/d-wkim/phd/refs/heads/main/data/pdf/popovic_2024.pdf" TargetMode="External"/><Relationship Id="rId76" Type="http://schemas.openxmlformats.org/officeDocument/2006/relationships/hyperlink" Target="https://raw.githubusercontent.com/d-wkim/phd/refs/heads/main/data/pdf/pinczewski_2007.pdf" TargetMode="External"/><Relationship Id="rId79" Type="http://schemas.openxmlformats.org/officeDocument/2006/relationships/hyperlink" Target="https://raw.githubusercontent.com/d-wkim/phd/refs/heads/main/data/pdf/sajovic_2006.pdf" TargetMode="External"/><Relationship Id="rId78" Type="http://schemas.openxmlformats.org/officeDocument/2006/relationships/hyperlink" Target="https://raw.githubusercontent.com/d-wkim/phd/refs/heads/main/data/pdf/r%C3%B6pke_2001.pdf" TargetMode="External"/><Relationship Id="rId71" Type="http://schemas.openxmlformats.org/officeDocument/2006/relationships/hyperlink" Target="https://raw.githubusercontent.com/d-wkim/phd/refs/heads/main/data/pdf/nurmi_2004.pdf" TargetMode="External"/><Relationship Id="rId70" Type="http://schemas.openxmlformats.org/officeDocument/2006/relationships/hyperlink" Target="https://raw.githubusercontent.com/d-wkim/phd/refs/heads/main/data/pdf/noh_2011.pdf" TargetMode="External"/><Relationship Id="rId62" Type="http://schemas.openxmlformats.org/officeDocument/2006/relationships/hyperlink" Target="https://raw.githubusercontent.com/d-wkim/phd/refs/heads/main/data/pdf/matsumoto_2006.pdf" TargetMode="External"/><Relationship Id="rId61" Type="http://schemas.openxmlformats.org/officeDocument/2006/relationships/hyperlink" Target="https://raw.githubusercontent.com/d-wkim/phd/refs/heads/main/data/pdf/martin-alguacil_2019.pdf" TargetMode="External"/><Relationship Id="rId64" Type="http://schemas.openxmlformats.org/officeDocument/2006/relationships/hyperlink" Target="https://raw.githubusercontent.com/d-wkim/phd/refs/heads/main/data/pdf/mohammadi_2013.pdf" TargetMode="External"/><Relationship Id="rId63" Type="http://schemas.openxmlformats.org/officeDocument/2006/relationships/hyperlink" Target="https://raw.githubusercontent.com/d-wkim/phd/refs/heads/main/data/pdf/mccormack_2006.pdf" TargetMode="External"/><Relationship Id="rId66" Type="http://schemas.openxmlformats.org/officeDocument/2006/relationships/hyperlink" Target="https://raw.githubusercontent.com/d-wkim/phd/refs/heads/main/data/pdf/mohtadi_2016b.pdf" TargetMode="External"/><Relationship Id="rId65" Type="http://schemas.openxmlformats.org/officeDocument/2006/relationships/hyperlink" Target="https://raw.githubusercontent.com/d-wkim/phd/refs/heads/main/data/pdf/mohtadi_2016a.pdf" TargetMode="External"/><Relationship Id="rId68" Type="http://schemas.openxmlformats.org/officeDocument/2006/relationships/hyperlink" Target="https://raw.githubusercontent.com/d-wkim/phd/refs/heads/main/data/pdf/moraiti_2010.pdf" TargetMode="External"/><Relationship Id="rId67" Type="http://schemas.openxmlformats.org/officeDocument/2006/relationships/hyperlink" Target="https://raw.githubusercontent.com/d-wkim/phd/refs/heads/main/data/pdf/mohtadi_chan_2019.pdf" TargetMode="External"/><Relationship Id="rId60" Type="http://schemas.openxmlformats.org/officeDocument/2006/relationships/hyperlink" Target="https://raw.githubusercontent.com/d-wkim/phd/refs/heads/main/data/pdf/martin-alguacil_2018.pdf" TargetMode="External"/><Relationship Id="rId69" Type="http://schemas.openxmlformats.org/officeDocument/2006/relationships/hyperlink" Target="https://raw.githubusercontent.com/d-wkim/phd/refs/heads/main/data/pdf/mouzopoulos_2015.pdf" TargetMode="External"/><Relationship Id="rId51" Type="http://schemas.openxmlformats.org/officeDocument/2006/relationships/hyperlink" Target="https://raw.githubusercontent.com/d-wkim/phd/refs/heads/main/data/pdf/li_2015.pdf" TargetMode="External"/><Relationship Id="rId50" Type="http://schemas.openxmlformats.org/officeDocument/2006/relationships/hyperlink" Target="https://raw.githubusercontent.com/d-wkim/phd/refs/heads/main/data/pdf/leitgeb_2014.pdf" TargetMode="External"/><Relationship Id="rId53" Type="http://schemas.openxmlformats.org/officeDocument/2006/relationships/hyperlink" Target="https://raw.githubusercontent.com/d-wkim/phd/refs/heads/main/data/pdf/lind_2020.pdf" TargetMode="External"/><Relationship Id="rId52" Type="http://schemas.openxmlformats.org/officeDocument/2006/relationships/hyperlink" Target="https://raw.githubusercontent.com/d-wkim/phd/refs/heads/main/data/pdf/lid%C3%A9n_2007.pdf" TargetMode="External"/><Relationship Id="rId55" Type="http://schemas.openxmlformats.org/officeDocument/2006/relationships/hyperlink" Target="https://raw.githubusercontent.com/d-wkim/phd/refs/heads/main/data/pdf/lui_2012.pdf" TargetMode="External"/><Relationship Id="rId54" Type="http://schemas.openxmlformats.org/officeDocument/2006/relationships/hyperlink" Target="https://raw.githubusercontent.com/d-wkim/phd/refs/heads/main/data/pdf/lucidi_2025.pdf" TargetMode="External"/><Relationship Id="rId57" Type="http://schemas.openxmlformats.org/officeDocument/2006/relationships/hyperlink" Target="https://raw.githubusercontent.com/d-wkim/phd/refs/heads/main/data/pdf/maletis_2007.pdf" TargetMode="External"/><Relationship Id="rId56" Type="http://schemas.openxmlformats.org/officeDocument/2006/relationships/hyperlink" Target="https://raw.githubusercontent.com/d-wkim/phd/refs/heads/main/data/pdf/lund_2014.pdf" TargetMode="External"/><Relationship Id="rId59" Type="http://schemas.openxmlformats.org/officeDocument/2006/relationships/hyperlink" Target="https://raw.githubusercontent.com/d-wkim/phd/refs/heads/main/data/pdf/martin_2024.pdf" TargetMode="External"/><Relationship Id="rId58" Type="http://schemas.openxmlformats.org/officeDocument/2006/relationships/hyperlink" Target="https://raw.githubusercontent.com/d-wkim/phd/refs/heads/main/data/pdf/malik_2026.pdf" TargetMode="Externa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40" Type="http://schemas.openxmlformats.org/officeDocument/2006/relationships/hyperlink" Target="https://raw.githubusercontent.com/d-wkim/phd/refs/heads/main/data/pdf/lid%C3%A9n_2007.pdf" TargetMode="External"/><Relationship Id="rId42" Type="http://schemas.openxmlformats.org/officeDocument/2006/relationships/hyperlink" Target="https://raw.githubusercontent.com/d-wkim/phd/refs/heads/main/data/pdf/lucidi_2025.pdf" TargetMode="External"/><Relationship Id="rId41" Type="http://schemas.openxmlformats.org/officeDocument/2006/relationships/hyperlink" Target="https://raw.githubusercontent.com/d-wkim/phd/refs/heads/main/data/pdf/lind_2020.pdf" TargetMode="External"/><Relationship Id="rId44" Type="http://schemas.openxmlformats.org/officeDocument/2006/relationships/hyperlink" Target="https://raw.githubusercontent.com/d-wkim/phd/refs/heads/main/data/pdf/lund_2014.pdf" TargetMode="External"/><Relationship Id="rId43" Type="http://schemas.openxmlformats.org/officeDocument/2006/relationships/hyperlink" Target="https://raw.githubusercontent.com/d-wkim/phd/refs/heads/main/data/pdf/lui_2012.pdf" TargetMode="External"/><Relationship Id="rId46" Type="http://schemas.openxmlformats.org/officeDocument/2006/relationships/hyperlink" Target="https://raw.githubusercontent.com/d-wkim/phd/refs/heads/main/data/pdf/malik_2026.pdf" TargetMode="External"/><Relationship Id="rId45" Type="http://schemas.openxmlformats.org/officeDocument/2006/relationships/hyperlink" Target="https://raw.githubusercontent.com/d-wkim/phd/refs/heads/main/data/pdf/maletis_2007.pdf" TargetMode="External"/><Relationship Id="rId48" Type="http://schemas.openxmlformats.org/officeDocument/2006/relationships/hyperlink" Target="https://raw.githubusercontent.com/d-wkim/phd/refs/heads/main/data/pdf/mohtadi_2016b.pdf" TargetMode="External"/><Relationship Id="rId47" Type="http://schemas.openxmlformats.org/officeDocument/2006/relationships/hyperlink" Target="https://raw.githubusercontent.com/d-wkim/phd/refs/heads/main/data/pdf/matsumoto_2006.pdf" TargetMode="External"/><Relationship Id="rId49" Type="http://schemas.openxmlformats.org/officeDocument/2006/relationships/hyperlink" Target="https://raw.githubusercontent.com/d-wkim/phd/refs/heads/main/data/pdf/mohtadi_chan_2019.pdf" TargetMode="External"/><Relationship Id="rId31" Type="http://schemas.openxmlformats.org/officeDocument/2006/relationships/hyperlink" Target="https://raw.githubusercontent.com/d-wkim/phd/refs/heads/main/data/pdf/jansson_2003.pdf" TargetMode="External"/><Relationship Id="rId30" Type="http://schemas.openxmlformats.org/officeDocument/2006/relationships/hyperlink" Target="https://raw.githubusercontent.com/d-wkim/phd/refs/heads/main/data/pdf/iliopoulos_2017.pdf" TargetMode="External"/><Relationship Id="rId33" Type="http://schemas.openxmlformats.org/officeDocument/2006/relationships/hyperlink" Target="https://raw.githubusercontent.com/d-wkim/phd/refs/heads/main/data/pdf/komzak_2022.pdf" TargetMode="External"/><Relationship Id="rId32" Type="http://schemas.openxmlformats.org/officeDocument/2006/relationships/hyperlink" Target="https://raw.githubusercontent.com/d-wkim/phd/refs/heads/main/data/pdf/kautzner_2015.pdf" TargetMode="External"/><Relationship Id="rId35" Type="http://schemas.openxmlformats.org/officeDocument/2006/relationships/hyperlink" Target="https://raw.githubusercontent.com/d-wkim/phd/refs/heads/main/data/pdf/laoruengthana_2009.pdf" TargetMode="External"/><Relationship Id="rId34" Type="http://schemas.openxmlformats.org/officeDocument/2006/relationships/hyperlink" Target="https://raw.githubusercontent.com/d-wkim/phd/refs/heads/main/data/pdf/konrads_2016.pdf" TargetMode="External"/><Relationship Id="rId37" Type="http://schemas.openxmlformats.org/officeDocument/2006/relationships/hyperlink" Target="https://raw.githubusercontent.com/d-wkim/phd/refs/heads/main/data/pdf/laxdal_2005.pdf" TargetMode="External"/><Relationship Id="rId36" Type="http://schemas.openxmlformats.org/officeDocument/2006/relationships/hyperlink" Target="https://raw.githubusercontent.com/d-wkim/phd/refs/heads/main/data/pdf/lawhorn_2012.pdf" TargetMode="External"/><Relationship Id="rId39" Type="http://schemas.openxmlformats.org/officeDocument/2006/relationships/hyperlink" Target="https://raw.githubusercontent.com/d-wkim/phd/refs/heads/main/data/pdf/li_2015.pdf" TargetMode="External"/><Relationship Id="rId38" Type="http://schemas.openxmlformats.org/officeDocument/2006/relationships/hyperlink" Target="https://raw.githubusercontent.com/d-wkim/phd/refs/heads/main/data/pdf/leitgeb_2014.pdf" TargetMode="External"/><Relationship Id="rId20" Type="http://schemas.openxmlformats.org/officeDocument/2006/relationships/hyperlink" Target="https://raw.githubusercontent.com/d-wkim/phd/refs/heads/main/data/pdf/feller_webster_2003.pdf" TargetMode="External"/><Relationship Id="rId22" Type="http://schemas.openxmlformats.org/officeDocument/2006/relationships/hyperlink" Target="https://raw.githubusercontent.com/d-wkim/phd/refs/heads/main/data/pdf/gifstad_2013.pdf" TargetMode="External"/><Relationship Id="rId21" Type="http://schemas.openxmlformats.org/officeDocument/2006/relationships/hyperlink" Target="https://raw.githubusercontent.com/d-wkim/phd/refs/heads/main/data/pdf/gerber_2007.pdf" TargetMode="External"/><Relationship Id="rId24" Type="http://schemas.openxmlformats.org/officeDocument/2006/relationships/hyperlink" Target="https://raw.githubusercontent.com/d-wkim/phd/refs/heads/main/data/pdf/guglielmetti_2021.pdf" TargetMode="External"/><Relationship Id="rId23" Type="http://schemas.openxmlformats.org/officeDocument/2006/relationships/hyperlink" Target="https://raw.githubusercontent.com/d-wkim/phd/refs/heads/main/data/pdf/gobbi_francisco_2006.pdf" TargetMode="External"/><Relationship Id="rId26" Type="http://schemas.openxmlformats.org/officeDocument/2006/relationships/hyperlink" Target="https://raw.githubusercontent.com/d-wkim/phd/refs/heads/main/data/pdf/heijne_werner_2010.pdf" TargetMode="External"/><Relationship Id="rId25" Type="http://schemas.openxmlformats.org/officeDocument/2006/relationships/hyperlink" Target="https://raw.githubusercontent.com/d-wkim/phd/refs/heads/main/data/pdf/harilainen_2006.pdf" TargetMode="External"/><Relationship Id="rId28" Type="http://schemas.openxmlformats.org/officeDocument/2006/relationships/hyperlink" Target="https://raw.githubusercontent.com/d-wkim/phd/refs/heads/main/data/pdf/horstmann_2022.pdf" TargetMode="External"/><Relationship Id="rId27" Type="http://schemas.openxmlformats.org/officeDocument/2006/relationships/hyperlink" Target="https://raw.githubusercontent.com/d-wkim/phd/refs/heads/main/data/pdf/holm_2010.pdf" TargetMode="External"/><Relationship Id="rId29" Type="http://schemas.openxmlformats.org/officeDocument/2006/relationships/hyperlink" Target="https://raw.githubusercontent.com/d-wkim/phd/refs/heads/main/data/pdf/ibrahim_2005.pdf" TargetMode="External"/><Relationship Id="rId11" Type="http://schemas.openxmlformats.org/officeDocument/2006/relationships/hyperlink" Target="https://raw.githubusercontent.com/d-wkim/phd/refs/heads/main/data/pdf/bi_2018.pdf" TargetMode="External"/><Relationship Id="rId10" Type="http://schemas.openxmlformats.org/officeDocument/2006/relationships/hyperlink" Target="https://raw.githubusercontent.com/d-wkim/phd/refs/heads/main/data/pdf/beynnon_2002.pdf" TargetMode="External"/><Relationship Id="rId13" Type="http://schemas.openxmlformats.org/officeDocument/2006/relationships/hyperlink" Target="https://raw.githubusercontent.com/d-wkim/phd/refs/heads/main/data/pdf/bottoni_2015.pdf" TargetMode="External"/><Relationship Id="rId12" Type="http://schemas.openxmlformats.org/officeDocument/2006/relationships/hyperlink" Target="https://raw.githubusercontent.com/d-wkim/phd/refs/heads/main/data/pdf/bj%C3%B6rnsson_2016.pdf" TargetMode="External"/><Relationship Id="rId15" Type="http://schemas.openxmlformats.org/officeDocument/2006/relationships/hyperlink" Target="https://raw.githubusercontent.com/d-wkim/phd/refs/heads/main/data/pdf/butt_2024.pdf" TargetMode="External"/><Relationship Id="rId14" Type="http://schemas.openxmlformats.org/officeDocument/2006/relationships/hyperlink" Target="https://raw.githubusercontent.com/d-wkim/phd/refs/heads/main/data/pdf/breker_2025.pdf" TargetMode="External"/><Relationship Id="rId17" Type="http://schemas.openxmlformats.org/officeDocument/2006/relationships/hyperlink" Target="https://raw.githubusercontent.com/d-wkim/phd/refs/heads/main/data/pdf/cruz_2022.pdf" TargetMode="External"/><Relationship Id="rId16" Type="http://schemas.openxmlformats.org/officeDocument/2006/relationships/hyperlink" Target="https://raw.githubusercontent.com/d-wkim/phd/refs/heads/main/data/pdf/calvert_2025.pdf" TargetMode="External"/><Relationship Id="rId19" Type="http://schemas.openxmlformats.org/officeDocument/2006/relationships/hyperlink" Target="https://raw.githubusercontent.com/d-wkim/phd/refs/heads/main/data/pdf/eriksson_2006.pdf" TargetMode="External"/><Relationship Id="rId18" Type="http://schemas.openxmlformats.org/officeDocument/2006/relationships/hyperlink" Target="https://raw.githubusercontent.com/d-wkim/phd/refs/heads/main/data/pdf/ejerhed_2003.pdf" TargetMode="External"/><Relationship Id="rId1" Type="http://schemas.openxmlformats.org/officeDocument/2006/relationships/hyperlink" Target="https://raw.githubusercontent.com/d-wkim/phd/refs/heads/main/data/pdf/ageberg_2009.pdf" TargetMode="External"/><Relationship Id="rId2" Type="http://schemas.openxmlformats.org/officeDocument/2006/relationships/hyperlink" Target="https://raw.githubusercontent.com/d-wkim/phd/refs/heads/main/data/pdf/aglietti_2004.pdf" TargetMode="External"/><Relationship Id="rId3" Type="http://schemas.openxmlformats.org/officeDocument/2006/relationships/hyperlink" Target="https://raw.githubusercontent.com/d-wkim/phd/refs/heads/main/data/pdf/ahld%C3%A9n_2009.pdf" TargetMode="External"/><Relationship Id="rId4" Type="http://schemas.openxmlformats.org/officeDocument/2006/relationships/hyperlink" Target="https://raw.githubusercontent.com/d-wkim/phd/refs/heads/main/data/pdf/akelman_2016.pdf" TargetMode="External"/><Relationship Id="rId9" Type="http://schemas.openxmlformats.org/officeDocument/2006/relationships/hyperlink" Target="https://raw.githubusercontent.com/d-wkim/phd/refs/heads/main/data/pdf/bari%C3%A9_2020.pdf" TargetMode="External"/><Relationship Id="rId5" Type="http://schemas.openxmlformats.org/officeDocument/2006/relationships/hyperlink" Target="https://raw.githubusercontent.com/d-wkim/phd/refs/heads/main/data/pdf/anderson_2001.pdf" TargetMode="External"/><Relationship Id="rId6" Type="http://schemas.openxmlformats.org/officeDocument/2006/relationships/hyperlink" Target="https://raw.githubusercontent.com/d-wkim/phd/refs/heads/main/data/pdf/anz_2023.pdf" TargetMode="External"/><Relationship Id="rId7" Type="http://schemas.openxmlformats.org/officeDocument/2006/relationships/hyperlink" Target="https://raw.githubusercontent.com/d-wkim/phd/refs/heads/main/data/pdf/aune_2001.pdf" TargetMode="External"/><Relationship Id="rId8" Type="http://schemas.openxmlformats.org/officeDocument/2006/relationships/hyperlink" Target="https://raw.githubusercontent.com/d-wkim/phd/refs/heads/main/data/pdf/barenius_2014.pdf" TargetMode="External"/><Relationship Id="rId62" Type="http://schemas.openxmlformats.org/officeDocument/2006/relationships/hyperlink" Target="https://raw.githubusercontent.com/d-wkim/phd/refs/heads/main/data/pdf/taylor_2009.pdf" TargetMode="External"/><Relationship Id="rId61" Type="http://schemas.openxmlformats.org/officeDocument/2006/relationships/hyperlink" Target="https://raw.githubusercontent.com/d-wkim/phd/refs/heads/main/data/pdf/tang_2023.pdf" TargetMode="External"/><Relationship Id="rId64" Type="http://schemas.openxmlformats.org/officeDocument/2006/relationships/hyperlink" Target="https://raw.githubusercontent.com/d-wkim/phd/refs/heads/main/data/pdf/webster_2001.pdf" TargetMode="External"/><Relationship Id="rId63" Type="http://schemas.openxmlformats.org/officeDocument/2006/relationships/hyperlink" Target="https://raw.githubusercontent.com/d-wkim/phd/refs/heads/main/data/pdf/vilchez_cavazos_2020.pdf" TargetMode="External"/><Relationship Id="rId66" Type="http://schemas.openxmlformats.org/officeDocument/2006/relationships/hyperlink" Target="https://raw.githubusercontent.com/d-wkim/phd/refs/heads/main/data/pdf/yadav_2025.pdf" TargetMode="External"/><Relationship Id="rId65" Type="http://schemas.openxmlformats.org/officeDocument/2006/relationships/hyperlink" Target="https://raw.githubusercontent.com/d-wkim/phd/refs/heads/main/data/pdf/wipfler_2011.pdf" TargetMode="External"/><Relationship Id="rId68" Type="http://schemas.openxmlformats.org/officeDocument/2006/relationships/hyperlink" Target="https://raw.githubusercontent.com/d-wkim/phd/refs/heads/main/data/pdf/zaffagnini_2011.pdf" TargetMode="External"/><Relationship Id="rId67" Type="http://schemas.openxmlformats.org/officeDocument/2006/relationships/hyperlink" Target="https://raw.githubusercontent.com/d-wkim/phd/refs/heads/main/data/pdf/yoo_2017.pdf" TargetMode="External"/><Relationship Id="rId60" Type="http://schemas.openxmlformats.org/officeDocument/2006/relationships/hyperlink" Target="https://raw.githubusercontent.com/d-wkim/phd/refs/heads/main/data/pdf/sonnery-cottet_2026.pdf" TargetMode="External"/><Relationship Id="rId69" Type="http://schemas.openxmlformats.org/officeDocument/2006/relationships/drawing" Target="../drawings/drawing30.xml"/><Relationship Id="rId51" Type="http://schemas.openxmlformats.org/officeDocument/2006/relationships/hyperlink" Target="https://raw.githubusercontent.com/d-wkim/phd/refs/heads/main/data/pdf/noh_2011.pdf" TargetMode="External"/><Relationship Id="rId50" Type="http://schemas.openxmlformats.org/officeDocument/2006/relationships/hyperlink" Target="https://raw.githubusercontent.com/d-wkim/phd/refs/heads/main/data/pdf/moraiti_2010.pdf" TargetMode="External"/><Relationship Id="rId53" Type="http://schemas.openxmlformats.org/officeDocument/2006/relationships/hyperlink" Target="https://raw.githubusercontent.com/d-wkim/phd/refs/heads/main/data/pdf/papalia_2015.pdf" TargetMode="External"/><Relationship Id="rId52" Type="http://schemas.openxmlformats.org/officeDocument/2006/relationships/hyperlink" Target="https://raw.githubusercontent.com/d-wkim/phd/refs/heads/main/data/pdf/oneill_1996.pdf" TargetMode="External"/><Relationship Id="rId55" Type="http://schemas.openxmlformats.org/officeDocument/2006/relationships/hyperlink" Target="https://raw.githubusercontent.com/d-wkim/phd/refs/heads/main/data/pdf/popovic_2024.pdf" TargetMode="External"/><Relationship Id="rId54" Type="http://schemas.openxmlformats.org/officeDocument/2006/relationships/hyperlink" Target="https://raw.githubusercontent.com/d-wkim/phd/refs/heads/main/data/pdf/pinczewski_2007.pdf" TargetMode="External"/><Relationship Id="rId57" Type="http://schemas.openxmlformats.org/officeDocument/2006/relationships/hyperlink" Target="https://raw.githubusercontent.com/d-wkim/phd/refs/heads/main/data/pdf/sinding_2020.pdf" TargetMode="External"/><Relationship Id="rId56" Type="http://schemas.openxmlformats.org/officeDocument/2006/relationships/hyperlink" Target="https://raw.githubusercontent.com/d-wkim/phd/refs/heads/main/data/pdf/sajovic_2018.pdf" TargetMode="External"/><Relationship Id="rId59" Type="http://schemas.openxmlformats.org/officeDocument/2006/relationships/hyperlink" Target="https://raw.githubusercontent.com/d-wkim/phd/refs/heads/main/data/pdf/sonnery-cottet_2020.pdf" TargetMode="External"/><Relationship Id="rId58" Type="http://schemas.openxmlformats.org/officeDocument/2006/relationships/hyperlink" Target="https://raw.githubusercontent.com/d-wkim/phd/refs/heads/main/data/pdf/smith_2020.pdf" TargetMode="Externa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0" Type="http://schemas.openxmlformats.org/officeDocument/2006/relationships/drawing" Target="../drawings/drawing40.xml"/><Relationship Id="rId1" Type="http://schemas.openxmlformats.org/officeDocument/2006/relationships/hyperlink" Target="https://raw.githubusercontent.com/d-wkim/phd/refs/heads/main/data/pdf/calvert_2025.pdf" TargetMode="External"/><Relationship Id="rId2" Type="http://schemas.openxmlformats.org/officeDocument/2006/relationships/hyperlink" Target="https://raw.githubusercontent.com/d-wkim/phd/refs/heads/main/data/pdf/horstmann_2022.pdf" TargetMode="External"/><Relationship Id="rId3" Type="http://schemas.openxmlformats.org/officeDocument/2006/relationships/hyperlink" Target="https://raw.githubusercontent.com/d-wkim/phd/refs/heads/main/data/pdf/lind_2020.pdf" TargetMode="External"/><Relationship Id="rId4" Type="http://schemas.openxmlformats.org/officeDocument/2006/relationships/hyperlink" Target="https://raw.githubusercontent.com/d-wkim/phd/refs/heads/main/data/pdf/sinding_2020.pdf" TargetMode="External"/><Relationship Id="rId9" Type="http://schemas.openxmlformats.org/officeDocument/2006/relationships/hyperlink" Target="https://raw.githubusercontent.com/d-wkim/phd/refs/heads/main/data/pdf/lind_2020.pdf" TargetMode="External"/><Relationship Id="rId5" Type="http://schemas.openxmlformats.org/officeDocument/2006/relationships/hyperlink" Target="https://raw.githubusercontent.com/d-wkim/phd/refs/heads/main/data/pdf/smith_2020.pdf" TargetMode="External"/><Relationship Id="rId6" Type="http://schemas.openxmlformats.org/officeDocument/2006/relationships/hyperlink" Target="https://raw.githubusercontent.com/d-wkim/phd/refs/heads/main/data/pdf/tang_2023.pdf" TargetMode="External"/><Relationship Id="rId7" Type="http://schemas.openxmlformats.org/officeDocument/2006/relationships/hyperlink" Target="https://raw.githubusercontent.com/d-wkim/phd/refs/heads/main/data/pdf/horstmann_2022.pdf" TargetMode="External"/><Relationship Id="rId8" Type="http://schemas.openxmlformats.org/officeDocument/2006/relationships/hyperlink" Target="https://raw.githubusercontent.com/d-wkim/phd/refs/heads/main/data/pdf/yadav_2025.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5.0"/>
    <col customWidth="1" min="2" max="2" width="21.0"/>
    <col customWidth="1" min="3" max="3" width="5.0"/>
    <col customWidth="1" min="4" max="4" width="11.13"/>
    <col customWidth="1" min="5" max="5" width="20.75"/>
    <col customWidth="1" min="6" max="6" width="15.75"/>
    <col customWidth="1" min="7" max="7" width="4.5"/>
    <col customWidth="1" min="8" max="8" width="8.0"/>
    <col customWidth="1" min="9" max="9" width="5.38"/>
    <col customWidth="1" min="10" max="10" width="6.38"/>
    <col customWidth="1" min="11" max="11" width="7.38"/>
    <col customWidth="1" min="12" max="12" width="8.88"/>
    <col customWidth="1" min="13" max="13" width="11.13"/>
  </cols>
  <sheetData>
    <row r="1">
      <c r="A1" s="2" t="s">
        <v>0</v>
      </c>
      <c r="B1" s="5" t="s">
        <v>3</v>
      </c>
      <c r="C1" s="2" t="s">
        <v>0</v>
      </c>
      <c r="D1" s="2" t="s">
        <v>4</v>
      </c>
      <c r="E1" s="7" t="s">
        <v>5</v>
      </c>
      <c r="F1" s="9" t="s">
        <v>6</v>
      </c>
      <c r="G1" s="2" t="s">
        <v>9</v>
      </c>
      <c r="H1" s="11" t="s">
        <v>10</v>
      </c>
      <c r="I1" s="11" t="s">
        <v>18</v>
      </c>
      <c r="J1" s="11" t="s">
        <v>21</v>
      </c>
      <c r="K1" s="13" t="s">
        <v>25</v>
      </c>
      <c r="L1" s="11" t="s">
        <v>28</v>
      </c>
      <c r="M1" s="11" t="s">
        <v>29</v>
      </c>
    </row>
    <row r="2">
      <c r="A2" s="15">
        <v>6.0</v>
      </c>
      <c r="B2" s="17" t="str">
        <f t="shared" ref="B2:B3" si="1">HYPERLINK("https://github.com/d-wkim/phd/blob/main/data/pdf/anz_2023.pdf","Anz et al., 2023")</f>
        <v>Anz et al., 2023</v>
      </c>
      <c r="C2" s="15">
        <v>6.0</v>
      </c>
      <c r="D2" s="9" t="s">
        <v>42</v>
      </c>
      <c r="E2" s="19" t="s">
        <v>59</v>
      </c>
      <c r="F2" s="9" t="s">
        <v>64</v>
      </c>
      <c r="G2" s="9">
        <v>8.0</v>
      </c>
      <c r="H2" s="20">
        <v>0.0</v>
      </c>
      <c r="I2" s="21">
        <f t="shared" ref="I2:I6" si="2">iferror(P_SD(G2,H2),"")</f>
        <v>0.1767766953</v>
      </c>
      <c r="J2" s="13" t="str">
        <f>VLOOKUP($A2,covariates!$A$3:$Z$1126,6,false)</f>
        <v/>
      </c>
      <c r="K2" s="13" t="str">
        <f>VLOOKUP($A2,covariates!$A$3:$H$1126,5,false)</f>
        <v>at surgery</v>
      </c>
      <c r="L2" s="13" t="str">
        <f>VLOOKUP($A2,covariates!$A$3:$H$1126,5,false)</f>
        <v>at surgery</v>
      </c>
      <c r="M2" s="13" t="str">
        <f>VLOOKUP($A2,covariates!$A$3:$H$1126,5,false)</f>
        <v>at surgery</v>
      </c>
    </row>
    <row r="3">
      <c r="A3" s="15">
        <v>6.0</v>
      </c>
      <c r="B3" s="17" t="str">
        <f t="shared" si="1"/>
        <v>Anz et al., 2023</v>
      </c>
      <c r="C3" s="15">
        <v>6.0</v>
      </c>
      <c r="D3" s="9" t="s">
        <v>84</v>
      </c>
      <c r="E3" s="19" t="s">
        <v>59</v>
      </c>
      <c r="F3" s="9" t="s">
        <v>64</v>
      </c>
      <c r="G3" s="9">
        <v>8.0</v>
      </c>
      <c r="H3" s="20">
        <v>0.0</v>
      </c>
      <c r="I3" s="21">
        <f t="shared" si="2"/>
        <v>0.1767766953</v>
      </c>
      <c r="J3" s="13" t="str">
        <f>VLOOKUP($A3,covariates!$A$3:$H$1126,5,false)</f>
        <v>at surgery</v>
      </c>
      <c r="K3" s="13"/>
      <c r="L3" s="13" t="str">
        <f>VLOOKUP($A3,covariates!$A$3:$H$1126,6,false)</f>
        <v/>
      </c>
      <c r="M3" s="13" t="str">
        <f>VLOOKUP($A3,covariates!$A$3:$H$1126,6,false)</f>
        <v/>
      </c>
    </row>
    <row r="4">
      <c r="A4" s="9">
        <v>43.0</v>
      </c>
      <c r="B4" s="17" t="str">
        <f t="shared" ref="B4:B5" si="3">HYPERLINK("https://github.com/d-wkim/phd/blob/main/data/pdf/kautzner_2015.pdf","Kautzner et al., 2015")</f>
        <v>Kautzner et al., 2015</v>
      </c>
      <c r="C4" s="9">
        <v>43.0</v>
      </c>
      <c r="D4" s="9" t="s">
        <v>42</v>
      </c>
      <c r="E4" s="7" t="s">
        <v>59</v>
      </c>
      <c r="F4" s="9" t="s">
        <v>64</v>
      </c>
      <c r="G4" s="9">
        <v>74.0</v>
      </c>
      <c r="H4" s="20">
        <v>0.0</v>
      </c>
      <c r="I4" s="21">
        <f t="shared" si="2"/>
        <v>0.05812381937</v>
      </c>
      <c r="J4" s="13" t="str">
        <f>VLOOKUP($A4,covariates!$A$3:$H$1126,5,false)</f>
        <v>at surgery</v>
      </c>
      <c r="K4" s="13"/>
      <c r="L4" s="13" t="str">
        <f>VLOOKUP($A4,covariates!$A$3:$H$1126,6,false)</f>
        <v/>
      </c>
      <c r="M4" s="13" t="str">
        <f>VLOOKUP($A4,covariates!$A$3:$H$1126,6,false)</f>
        <v/>
      </c>
    </row>
    <row r="5">
      <c r="A5" s="9">
        <v>43.0</v>
      </c>
      <c r="B5" s="17" t="str">
        <f t="shared" si="3"/>
        <v>Kautzner et al., 2015</v>
      </c>
      <c r="C5" s="9">
        <v>43.0</v>
      </c>
      <c r="D5" s="9" t="s">
        <v>84</v>
      </c>
      <c r="E5" s="7" t="s">
        <v>59</v>
      </c>
      <c r="F5" s="9" t="s">
        <v>64</v>
      </c>
      <c r="G5" s="9">
        <v>73.0</v>
      </c>
      <c r="H5" s="20">
        <v>2.0</v>
      </c>
      <c r="I5" s="21">
        <f t="shared" si="2"/>
        <v>0.3008452023</v>
      </c>
      <c r="J5" s="13" t="str">
        <f>VLOOKUP($A5,covariates!$A$3:$H$1126,5,false)</f>
        <v>at surgery</v>
      </c>
      <c r="K5" s="13"/>
      <c r="L5" s="13" t="str">
        <f>VLOOKUP($A5,covariates!$A$3:$H$1126,6,false)</f>
        <v/>
      </c>
      <c r="M5" s="13" t="str">
        <f>VLOOKUP($A5,covariates!$A$3:$H$1126,6,false)</f>
        <v/>
      </c>
    </row>
    <row r="6">
      <c r="A6" s="15">
        <v>49.0</v>
      </c>
      <c r="B6" s="17" t="str">
        <f t="shared" ref="B6:B7" si="4">HYPERLINK("https://github.com/d-wkim/phd/blob/main/data/pdf/laxdal_2005.pdf","Laxdal et al., 2005")</f>
        <v>Laxdal et al., 2005</v>
      </c>
      <c r="C6" s="15">
        <v>49.0</v>
      </c>
      <c r="D6" s="9" t="s">
        <v>42</v>
      </c>
      <c r="E6" s="7" t="s">
        <v>59</v>
      </c>
      <c r="F6" s="9" t="s">
        <v>64</v>
      </c>
      <c r="G6" s="9">
        <v>40.0</v>
      </c>
      <c r="H6" s="20">
        <v>1.0</v>
      </c>
      <c r="I6" s="21">
        <f t="shared" si="2"/>
        <v>0.2432521277</v>
      </c>
      <c r="J6" s="13" t="str">
        <f>VLOOKUP($A6,covariates!$A$3:$H$1126,5,false)</f>
        <v>at surgery</v>
      </c>
      <c r="K6" s="13"/>
      <c r="L6" s="13" t="str">
        <f>VLOOKUP($A6,covariates!$A$3:$H$1126,6,false)</f>
        <v/>
      </c>
      <c r="M6" s="13" t="str">
        <f>VLOOKUP($A6,covariates!$A$3:$H$1126,6,false)</f>
        <v/>
      </c>
    </row>
    <row r="7">
      <c r="A7" s="9">
        <v>49.0</v>
      </c>
      <c r="B7" s="17" t="str">
        <f t="shared" si="4"/>
        <v>Laxdal et al., 2005</v>
      </c>
      <c r="C7" s="9">
        <v>49.0</v>
      </c>
      <c r="D7" s="9" t="s">
        <v>84</v>
      </c>
      <c r="E7" s="7" t="s">
        <v>59</v>
      </c>
      <c r="F7" s="9" t="s">
        <v>64</v>
      </c>
      <c r="G7" s="9">
        <v>78.0</v>
      </c>
      <c r="H7" s="20">
        <v>2.0</v>
      </c>
      <c r="I7" s="13">
        <v>0.4205959625771342</v>
      </c>
      <c r="J7" s="13" t="str">
        <f>VLOOKUP($A7,covariates!$A$3:$H$1126,5,false)</f>
        <v>at surgery</v>
      </c>
      <c r="K7" s="13"/>
      <c r="L7" s="13" t="str">
        <f>VLOOKUP($A7,covariates!$A$3:$H$1126,6,false)</f>
        <v/>
      </c>
      <c r="M7" s="13" t="str">
        <f>VLOOKUP($A7,covariates!$A$3:$H$1126,6,false)</f>
        <v/>
      </c>
    </row>
    <row r="8">
      <c r="A8" s="15">
        <v>54.0</v>
      </c>
      <c r="B8" s="17" t="str">
        <f t="shared" ref="B8:B9" si="5">HYPERLINK("https://github.com/d-wkim/phd/blob/main/data/pdf/lucidi_2025.pdf","Lucidi et al., 2025")</f>
        <v>Lucidi et al., 2025</v>
      </c>
      <c r="C8" s="15">
        <v>54.0</v>
      </c>
      <c r="D8" s="9" t="s">
        <v>42</v>
      </c>
      <c r="E8" s="19" t="s">
        <v>59</v>
      </c>
      <c r="F8" s="9" t="s">
        <v>64</v>
      </c>
      <c r="G8" s="9">
        <v>19.0</v>
      </c>
      <c r="H8" s="20">
        <v>7.0</v>
      </c>
      <c r="I8" s="21">
        <f t="shared" ref="I8:I25" si="6">iferror(P_SD(G8,H8),"")</f>
        <v>2.72431184</v>
      </c>
      <c r="J8" s="13" t="str">
        <f>VLOOKUP($A8,covariates!$A$3:$H$1126,5,false)</f>
        <v>at surgery</v>
      </c>
      <c r="K8" s="13"/>
      <c r="L8" s="13" t="str">
        <f>VLOOKUP($A8,covariates!$A$3:$H$1126,6,false)</f>
        <v/>
      </c>
      <c r="M8" s="13" t="str">
        <f>VLOOKUP($A8,covariates!$A$3:$H$1126,6,false)</f>
        <v/>
      </c>
    </row>
    <row r="9">
      <c r="A9" s="15">
        <v>54.0</v>
      </c>
      <c r="B9" s="17" t="str">
        <f t="shared" si="5"/>
        <v>Lucidi et al., 2025</v>
      </c>
      <c r="C9" s="15">
        <v>54.0</v>
      </c>
      <c r="D9" s="9" t="s">
        <v>84</v>
      </c>
      <c r="E9" s="19" t="s">
        <v>59</v>
      </c>
      <c r="F9" s="9" t="s">
        <v>64</v>
      </c>
      <c r="G9" s="9">
        <v>20.0</v>
      </c>
      <c r="H9" s="20">
        <v>3.0</v>
      </c>
      <c r="I9" s="21">
        <f t="shared" si="6"/>
        <v>0.9207338731</v>
      </c>
      <c r="J9" s="13" t="str">
        <f>VLOOKUP($A9,covariates!$A$3:$H$1126,5,false)</f>
        <v>at surgery</v>
      </c>
      <c r="K9" s="13"/>
      <c r="L9" s="13" t="str">
        <f>VLOOKUP($A9,covariates!$A$3:$H$1126,6,false)</f>
        <v/>
      </c>
      <c r="M9" s="13" t="str">
        <f>VLOOKUP($A9,covariates!$A$3:$H$1126,6,false)</f>
        <v/>
      </c>
    </row>
    <row r="10">
      <c r="A10" s="15">
        <v>66.0</v>
      </c>
      <c r="B10" s="17" t="str">
        <f t="shared" ref="B10:B11" si="7">HYPERLINK("https://github.com/d-wkim/phd/blob/main/data/pdf/mohtadi_2016a.pdf","Mohtadi et al., 2016")</f>
        <v>Mohtadi et al., 2016</v>
      </c>
      <c r="C10" s="15">
        <v>66.0</v>
      </c>
      <c r="D10" s="9" t="s">
        <v>42</v>
      </c>
      <c r="E10" s="19" t="s">
        <v>59</v>
      </c>
      <c r="F10" s="9" t="s">
        <v>64</v>
      </c>
      <c r="G10" s="9">
        <v>110.0</v>
      </c>
      <c r="H10" s="20">
        <v>19.0</v>
      </c>
      <c r="I10" s="21">
        <f t="shared" si="6"/>
        <v>2.247447532</v>
      </c>
      <c r="J10" s="13" t="str">
        <f>VLOOKUP($A10,covariates!$A$3:$H$1126,5,false)</f>
        <v>at surgery</v>
      </c>
      <c r="K10" s="13"/>
      <c r="L10" s="13" t="str">
        <f>VLOOKUP($A10,covariates!$A$3:$H$1126,6,false)</f>
        <v/>
      </c>
      <c r="M10" s="13" t="str">
        <f>VLOOKUP($A10,covariates!$A$3:$H$1126,6,false)</f>
        <v/>
      </c>
    </row>
    <row r="11">
      <c r="A11" s="15">
        <v>66.0</v>
      </c>
      <c r="B11" s="17" t="str">
        <f t="shared" si="7"/>
        <v>Mohtadi et al., 2016</v>
      </c>
      <c r="C11" s="15">
        <v>66.0</v>
      </c>
      <c r="D11" s="9" t="s">
        <v>84</v>
      </c>
      <c r="E11" s="19" t="s">
        <v>59</v>
      </c>
      <c r="F11" s="9" t="s">
        <v>64</v>
      </c>
      <c r="G11" s="9">
        <v>110.0</v>
      </c>
      <c r="H11" s="20">
        <v>24.0</v>
      </c>
      <c r="I11" s="21">
        <f t="shared" si="6"/>
        <v>2.987885672</v>
      </c>
      <c r="J11" s="13" t="str">
        <f>VLOOKUP($A11,covariates!$A$3:$H$1126,5,false)</f>
        <v>at surgery</v>
      </c>
      <c r="K11" s="13"/>
      <c r="L11" s="13" t="str">
        <f>VLOOKUP($A11,covariates!$A$3:$H$1126,6,false)</f>
        <v/>
      </c>
      <c r="M11" s="13" t="str">
        <f>VLOOKUP($A11,covariates!$A$3:$H$1126,6,false)</f>
        <v/>
      </c>
    </row>
    <row r="12">
      <c r="A12" s="15">
        <v>76.0</v>
      </c>
      <c r="B12" s="17" t="str">
        <f t="shared" ref="B12:B13" si="8">HYPERLINK("https://github.com/d-wkim/phd/blob/main/data/pdf/pinczewski_2007.pdf","Pinczewski et al., 2007")</f>
        <v>Pinczewski et al., 2007</v>
      </c>
      <c r="C12" s="15">
        <v>76.0</v>
      </c>
      <c r="D12" s="9" t="s">
        <v>42</v>
      </c>
      <c r="E12" s="7" t="s">
        <v>59</v>
      </c>
      <c r="F12" s="9" t="s">
        <v>64</v>
      </c>
      <c r="G12" s="9">
        <v>90.0</v>
      </c>
      <c r="H12" s="20">
        <v>7.0</v>
      </c>
      <c r="I12" s="21">
        <f t="shared" si="6"/>
        <v>0.857243944</v>
      </c>
      <c r="J12" s="13" t="str">
        <f>VLOOKUP($A12,covariates!$A$3:$H$1126,5,false)</f>
        <v>at surgery</v>
      </c>
      <c r="K12" s="13"/>
      <c r="L12" s="13" t="str">
        <f>VLOOKUP($A12,covariates!$A$3:$H$1126,6,false)</f>
        <v/>
      </c>
      <c r="M12" s="13" t="str">
        <f>VLOOKUP($A12,covariates!$A$3:$H$1126,6,false)</f>
        <v/>
      </c>
    </row>
    <row r="13">
      <c r="A13" s="15">
        <v>76.0</v>
      </c>
      <c r="B13" s="17" t="str">
        <f t="shared" si="8"/>
        <v>Pinczewski et al., 2007</v>
      </c>
      <c r="C13" s="15">
        <v>76.0</v>
      </c>
      <c r="D13" s="9" t="s">
        <v>84</v>
      </c>
      <c r="E13" s="7" t="s">
        <v>59</v>
      </c>
      <c r="F13" s="9" t="s">
        <v>64</v>
      </c>
      <c r="G13" s="9">
        <v>90.0</v>
      </c>
      <c r="H13" s="20">
        <v>12.0</v>
      </c>
      <c r="I13" s="21">
        <f t="shared" si="6"/>
        <v>1.520325798</v>
      </c>
      <c r="J13" s="13" t="str">
        <f>VLOOKUP($A13,covariates!$A$3:$H$1126,5,false)</f>
        <v>at surgery</v>
      </c>
      <c r="K13" s="13"/>
      <c r="L13" s="13" t="str">
        <f>VLOOKUP($A13,covariates!$A$3:$H$1126,6,false)</f>
        <v/>
      </c>
      <c r="M13" s="13" t="str">
        <f>VLOOKUP($A13,covariates!$A$3:$H$1126,6,false)</f>
        <v/>
      </c>
    </row>
    <row r="14">
      <c r="A14" s="15">
        <v>77.0</v>
      </c>
      <c r="B14" s="17" t="str">
        <f t="shared" ref="B14:B15" si="9">HYPERLINK("https://github.com/d-wkim/phd/blob/main/data/pdf/popovic_2024.pdf","Popovic et al., 2024")</f>
        <v>Popovic et al., 2024</v>
      </c>
      <c r="C14" s="15">
        <v>77.0</v>
      </c>
      <c r="D14" s="9" t="s">
        <v>42</v>
      </c>
      <c r="E14" s="7" t="s">
        <v>59</v>
      </c>
      <c r="F14" s="9" t="s">
        <v>64</v>
      </c>
      <c r="G14" s="9">
        <v>38.0</v>
      </c>
      <c r="H14" s="20">
        <v>3.0</v>
      </c>
      <c r="I14" s="21">
        <f t="shared" si="6"/>
        <v>0.6164414003</v>
      </c>
      <c r="J14" s="13" t="str">
        <f>VLOOKUP($A14,covariates!$A$3:$H$1126,5,false)</f>
        <v>at surgery</v>
      </c>
      <c r="K14" s="13"/>
      <c r="L14" s="13" t="str">
        <f>VLOOKUP($A14,covariates!$A$3:$H$1126,6,false)</f>
        <v/>
      </c>
      <c r="M14" s="13" t="str">
        <f>VLOOKUP($A14,covariates!$A$3:$H$1126,6,false)</f>
        <v/>
      </c>
    </row>
    <row r="15">
      <c r="A15" s="15">
        <v>77.0</v>
      </c>
      <c r="B15" s="17" t="str">
        <f t="shared" si="9"/>
        <v>Popovic et al., 2024</v>
      </c>
      <c r="C15" s="15">
        <v>77.0</v>
      </c>
      <c r="D15" s="9" t="s">
        <v>84</v>
      </c>
      <c r="E15" s="7" t="s">
        <v>59</v>
      </c>
      <c r="F15" s="9" t="s">
        <v>64</v>
      </c>
      <c r="G15" s="9">
        <v>33.0</v>
      </c>
      <c r="H15" s="20">
        <v>4.0</v>
      </c>
      <c r="I15" s="21">
        <f t="shared" si="6"/>
        <v>0.891397652</v>
      </c>
      <c r="J15" s="13" t="str">
        <f>VLOOKUP($A15,covariates!$A$3:$H$1126,5,false)</f>
        <v>at surgery</v>
      </c>
      <c r="K15" s="13"/>
      <c r="L15" s="13" t="str">
        <f>VLOOKUP($A15,covariates!$A$3:$H$1126,6,false)</f>
        <v/>
      </c>
      <c r="M15" s="13" t="str">
        <f>VLOOKUP($A15,covariates!$A$3:$H$1126,6,false)</f>
        <v/>
      </c>
    </row>
    <row r="16">
      <c r="A16" s="15">
        <v>85.0</v>
      </c>
      <c r="B16" s="17" t="str">
        <f t="shared" ref="B16:B17" si="10">HYPERLINK("https://github.com/d-wkim/phd/blob/main/data/pdf/smith_2020.pdf","Smith et al., 2020")</f>
        <v>Smith et al., 2020</v>
      </c>
      <c r="C16" s="15">
        <v>85.0</v>
      </c>
      <c r="D16" s="9" t="s">
        <v>42</v>
      </c>
      <c r="E16" s="19" t="s">
        <v>59</v>
      </c>
      <c r="F16" s="9" t="s">
        <v>64</v>
      </c>
      <c r="G16" s="9">
        <v>32.0</v>
      </c>
      <c r="H16" s="20">
        <v>0.0</v>
      </c>
      <c r="I16" s="21">
        <f t="shared" si="6"/>
        <v>0.08838834765</v>
      </c>
      <c r="J16" s="13" t="str">
        <f>VLOOKUP($A16,covariates!$A$3:$H$1126,5,false)</f>
        <v>at surgery</v>
      </c>
      <c r="K16" s="13"/>
      <c r="L16" s="13" t="str">
        <f>VLOOKUP($A16,covariates!$A$3:$H$1126,6,false)</f>
        <v/>
      </c>
      <c r="M16" s="13" t="str">
        <f>VLOOKUP($A16,covariates!$A$3:$H$1126,6,false)</f>
        <v/>
      </c>
    </row>
    <row r="17">
      <c r="A17" s="15">
        <v>85.0</v>
      </c>
      <c r="B17" s="17" t="str">
        <f t="shared" si="10"/>
        <v>Smith et al., 2020</v>
      </c>
      <c r="C17" s="15">
        <v>85.0</v>
      </c>
      <c r="D17" s="9" t="s">
        <v>84</v>
      </c>
      <c r="E17" s="19" t="s">
        <v>59</v>
      </c>
      <c r="F17" s="9" t="s">
        <v>64</v>
      </c>
      <c r="G17" s="9">
        <v>32.0</v>
      </c>
      <c r="H17" s="20">
        <v>2.0</v>
      </c>
      <c r="I17" s="21">
        <f t="shared" si="6"/>
        <v>0.4714045208</v>
      </c>
      <c r="J17" s="13" t="str">
        <f>VLOOKUP($A17,covariates!$A$3:$H$1126,5,false)</f>
        <v>at surgery</v>
      </c>
      <c r="K17" s="13"/>
      <c r="L17" s="13" t="str">
        <f>VLOOKUP($A17,covariates!$A$3:$H$1126,6,false)</f>
        <v/>
      </c>
      <c r="M17" s="13" t="str">
        <f>VLOOKUP($A17,covariates!$A$3:$H$1126,6,false)</f>
        <v/>
      </c>
    </row>
    <row r="18">
      <c r="A18" s="15">
        <v>87.0</v>
      </c>
      <c r="B18" s="17" t="str">
        <f t="shared" ref="B18:B19" si="11">HYPERLINK("https://github.com/d-wkim/phd/blob/main/data/pdf/sonnery-cottet_2026.pdf","Sonnery-cottet et al., 2026")</f>
        <v>Sonnery-cottet et al., 2026</v>
      </c>
      <c r="C18" s="15">
        <v>87.0</v>
      </c>
      <c r="D18" s="9" t="s">
        <v>42</v>
      </c>
      <c r="E18" s="19" t="s">
        <v>59</v>
      </c>
      <c r="F18" s="9" t="s">
        <v>64</v>
      </c>
      <c r="G18" s="9">
        <v>273.0</v>
      </c>
      <c r="H18" s="20">
        <v>12.0</v>
      </c>
      <c r="I18" s="21">
        <f t="shared" si="6"/>
        <v>0.7913176074</v>
      </c>
      <c r="J18" s="13" t="str">
        <f>VLOOKUP($A18,covariates!$A$3:$H$1126,5,false)</f>
        <v>at surgery</v>
      </c>
      <c r="K18" s="13"/>
      <c r="L18" s="13" t="str">
        <f>VLOOKUP($A18,covariates!$A$3:$H$1126,6,false)</f>
        <v/>
      </c>
      <c r="M18" s="13" t="str">
        <f>VLOOKUP($A18,covariates!$A$3:$H$1126,6,false)</f>
        <v/>
      </c>
    </row>
    <row r="19">
      <c r="A19" s="15">
        <v>87.0</v>
      </c>
      <c r="B19" s="17" t="str">
        <f t="shared" si="11"/>
        <v>Sonnery-cottet et al., 2026</v>
      </c>
      <c r="C19" s="15">
        <v>87.0</v>
      </c>
      <c r="D19" s="9" t="s">
        <v>84</v>
      </c>
      <c r="E19" s="19" t="s">
        <v>59</v>
      </c>
      <c r="F19" s="9" t="s">
        <v>64</v>
      </c>
      <c r="G19" s="9">
        <v>283.0</v>
      </c>
      <c r="H19" s="20">
        <v>12.0</v>
      </c>
      <c r="I19" s="21">
        <f t="shared" si="6"/>
        <v>0.7759503617</v>
      </c>
      <c r="J19" s="13" t="str">
        <f>VLOOKUP($A19,covariates!$A$3:$H$1126,5,false)</f>
        <v>at surgery</v>
      </c>
      <c r="K19" s="13"/>
      <c r="L19" s="13" t="str">
        <f>VLOOKUP($A19,covariates!$A$3:$H$1126,6,false)</f>
        <v/>
      </c>
      <c r="M19" s="13" t="str">
        <f>VLOOKUP($A19,covariates!$A$3:$H$1126,6,false)</f>
        <v/>
      </c>
    </row>
    <row r="20">
      <c r="A20" s="15">
        <v>90.0</v>
      </c>
      <c r="B20" s="17" t="str">
        <f t="shared" ref="B20:B21" si="12">HYPERLINK("https://github.com/d-wkim/phd/blob/main/data/pdf/taylor_2009.pdf","Taylor et al., 2009")</f>
        <v>Taylor et al., 2009</v>
      </c>
      <c r="C20" s="15">
        <v>90.0</v>
      </c>
      <c r="D20" s="9" t="s">
        <v>42</v>
      </c>
      <c r="E20" s="7" t="s">
        <v>59</v>
      </c>
      <c r="F20" s="9" t="s">
        <v>64</v>
      </c>
      <c r="G20" s="9">
        <v>32.0</v>
      </c>
      <c r="H20" s="20">
        <v>3.0</v>
      </c>
      <c r="I20" s="21">
        <f t="shared" si="6"/>
        <v>0.6827237887</v>
      </c>
      <c r="J20" s="13" t="str">
        <f>VLOOKUP($A20,covariates!$A$3:$H$1126,5,false)</f>
        <v>at surgery</v>
      </c>
      <c r="K20" s="13"/>
      <c r="L20" s="13" t="str">
        <f>VLOOKUP($A20,covariates!$A$3:$H$1126,6,false)</f>
        <v/>
      </c>
      <c r="M20" s="13" t="str">
        <f>VLOOKUP($A20,covariates!$A$3:$H$1126,6,false)</f>
        <v/>
      </c>
    </row>
    <row r="21">
      <c r="A21" s="15">
        <v>90.0</v>
      </c>
      <c r="B21" s="17" t="str">
        <f t="shared" si="12"/>
        <v>Taylor et al., 2009</v>
      </c>
      <c r="C21" s="15">
        <v>90.0</v>
      </c>
      <c r="D21" s="9" t="s">
        <v>84</v>
      </c>
      <c r="E21" s="7" t="s">
        <v>59</v>
      </c>
      <c r="F21" s="9" t="s">
        <v>64</v>
      </c>
      <c r="G21" s="9">
        <v>32.0</v>
      </c>
      <c r="H21" s="20">
        <v>4.0</v>
      </c>
      <c r="I21" s="21">
        <f t="shared" si="6"/>
        <v>0.9091372901</v>
      </c>
      <c r="J21" s="13" t="str">
        <f>VLOOKUP($A21,covariates!$A$3:$H$1126,5,false)</f>
        <v>at surgery</v>
      </c>
      <c r="K21" s="13"/>
      <c r="L21" s="13" t="str">
        <f>VLOOKUP($A21,covariates!$A$3:$H$1126,6,false)</f>
        <v/>
      </c>
      <c r="M21" s="13" t="str">
        <f>VLOOKUP($A21,covariates!$A$3:$H$1126,6,false)</f>
        <v/>
      </c>
    </row>
    <row r="22">
      <c r="A22" s="15">
        <v>96.0</v>
      </c>
      <c r="B22" s="17" t="str">
        <f t="shared" ref="B22:B23" si="13">HYPERLINK("https://github.com/d-wkim/phd/blob/main/data/pdf/wipfler_2011.pdf","Wipfler et al., 2011")</f>
        <v>Wipfler et al., 2011</v>
      </c>
      <c r="C22" s="15">
        <v>96.0</v>
      </c>
      <c r="D22" s="9" t="s">
        <v>42</v>
      </c>
      <c r="E22" s="19" t="s">
        <v>59</v>
      </c>
      <c r="F22" s="9" t="s">
        <v>64</v>
      </c>
      <c r="G22" s="9">
        <v>29.0</v>
      </c>
      <c r="H22" s="20">
        <v>3.0</v>
      </c>
      <c r="I22" s="21">
        <f t="shared" si="6"/>
        <v>0.7249260317</v>
      </c>
      <c r="J22" s="13" t="str">
        <f>VLOOKUP($A22,covariates!$A$3:$H$1126,5,false)</f>
        <v>at surgery</v>
      </c>
      <c r="K22" s="13"/>
      <c r="L22" s="13" t="str">
        <f>VLOOKUP($A22,covariates!$A$3:$H$1126,6,false)</f>
        <v/>
      </c>
      <c r="M22" s="13" t="str">
        <f>VLOOKUP($A22,covariates!$A$3:$H$1126,6,false)</f>
        <v/>
      </c>
    </row>
    <row r="23">
      <c r="A23" s="15">
        <v>96.0</v>
      </c>
      <c r="B23" s="17" t="str">
        <f t="shared" si="13"/>
        <v>Wipfler et al., 2011</v>
      </c>
      <c r="C23" s="15">
        <v>96.0</v>
      </c>
      <c r="D23" s="9" t="s">
        <v>84</v>
      </c>
      <c r="E23" s="19" t="s">
        <v>59</v>
      </c>
      <c r="F23" s="9" t="s">
        <v>64</v>
      </c>
      <c r="G23" s="9">
        <v>25.0</v>
      </c>
      <c r="H23" s="20">
        <v>3.0</v>
      </c>
      <c r="I23" s="21">
        <f t="shared" si="6"/>
        <v>0.7954545455</v>
      </c>
      <c r="J23" s="13" t="str">
        <f>VLOOKUP($A23,covariates!$A$3:$H$1126,5,false)</f>
        <v>at surgery</v>
      </c>
      <c r="K23" s="13"/>
      <c r="L23" s="13" t="str">
        <f>VLOOKUP($A23,covariates!$A$3:$H$1126,6,false)</f>
        <v/>
      </c>
      <c r="M23" s="13" t="str">
        <f>VLOOKUP($A23,covariates!$A$3:$H$1126,6,false)</f>
        <v/>
      </c>
    </row>
    <row r="24">
      <c r="A24" s="15">
        <v>97.0</v>
      </c>
      <c r="B24" s="17" t="str">
        <f t="shared" ref="B24:B25" si="14">HYPERLINK("https://github.com/d-wkim/phd/blob/main/data/pdf/yadav_2025.pdf","Yadav et al., 2025")</f>
        <v>Yadav et al., 2025</v>
      </c>
      <c r="C24" s="15">
        <v>97.0</v>
      </c>
      <c r="D24" s="9" t="s">
        <v>84</v>
      </c>
      <c r="E24" s="7" t="s">
        <v>59</v>
      </c>
      <c r="F24" s="9" t="s">
        <v>64</v>
      </c>
      <c r="G24" s="9">
        <v>36.0</v>
      </c>
      <c r="H24" s="20">
        <v>1.0</v>
      </c>
      <c r="I24" s="21">
        <f t="shared" si="6"/>
        <v>0.2571428571</v>
      </c>
      <c r="J24" s="13" t="str">
        <f>VLOOKUP($A24,covariates!$A$3:$H$1126,5,false)</f>
        <v>at surgery</v>
      </c>
      <c r="K24" s="13"/>
      <c r="L24" s="13" t="str">
        <f>VLOOKUP($A24,covariates!$A$3:$H$1126,6,false)</f>
        <v/>
      </c>
      <c r="M24" s="13" t="str">
        <f>VLOOKUP($A24,covariates!$A$3:$H$1126,6,false)</f>
        <v/>
      </c>
    </row>
    <row r="25">
      <c r="A25" s="15">
        <v>97.0</v>
      </c>
      <c r="B25" s="17" t="str">
        <f t="shared" si="14"/>
        <v>Yadav et al., 2025</v>
      </c>
      <c r="C25" s="15">
        <v>97.0</v>
      </c>
      <c r="D25" s="9" t="s">
        <v>200</v>
      </c>
      <c r="E25" s="7" t="s">
        <v>59</v>
      </c>
      <c r="F25" s="9" t="s">
        <v>64</v>
      </c>
      <c r="G25" s="9">
        <v>33.0</v>
      </c>
      <c r="H25" s="20">
        <v>0.0</v>
      </c>
      <c r="I25" s="21">
        <f t="shared" si="6"/>
        <v>0.08703882798</v>
      </c>
      <c r="J25" s="13" t="str">
        <f>VLOOKUP($A25,covariates!$A$3:$H$1126,5,false)</f>
        <v>at surgery</v>
      </c>
      <c r="K25" s="13"/>
      <c r="L25" s="13" t="str">
        <f>VLOOKUP($A25,covariates!$A$3:$H$1126,6,false)</f>
        <v/>
      </c>
      <c r="M25" s="13" t="str">
        <f>VLOOKUP($A25,covariates!$A$3:$H$1126,6,false)</f>
        <v/>
      </c>
    </row>
    <row r="26">
      <c r="A26" s="15">
        <v>10.0</v>
      </c>
      <c r="B26" s="17" t="str">
        <f t="shared" ref="B26:B27" si="15">HYPERLINK("https://github.com/d-wkim/phd/blob/main/data/pdf/barié_2020.pdf","Barié et al., 2020")</f>
        <v>Barié et al., 2020</v>
      </c>
      <c r="C26" s="15">
        <v>10.0</v>
      </c>
      <c r="D26" s="9" t="s">
        <v>42</v>
      </c>
      <c r="E26" s="7" t="s">
        <v>220</v>
      </c>
      <c r="F26" s="9" t="s">
        <v>222</v>
      </c>
      <c r="G26" s="9">
        <v>43.0</v>
      </c>
      <c r="H26" s="13">
        <v>91.0</v>
      </c>
      <c r="I26" s="13">
        <v>7.3</v>
      </c>
      <c r="J26" s="13" t="str">
        <f>VLOOKUP($A26,covariates!$A$3:$H$1126,5,false)</f>
        <v>at surgery</v>
      </c>
      <c r="K26" s="55" t="str">
        <f>VLOOKUP($A26,covariates!$A$3:$H$1126,6,false)</f>
        <v/>
      </c>
      <c r="L26" s="55">
        <f>VLOOKUP($A26,covariates!$A$3:$H$1126,7,false)</f>
        <v>30.6</v>
      </c>
      <c r="M26" s="55">
        <f>VLOOKUP($A26,covariates!$A$3:$H$1126,8,false)</f>
        <v>7.5</v>
      </c>
    </row>
    <row r="27">
      <c r="A27" s="15">
        <v>10.0</v>
      </c>
      <c r="B27" s="17" t="str">
        <f t="shared" si="15"/>
        <v>Barié et al., 2020</v>
      </c>
      <c r="C27" s="15">
        <v>10.0</v>
      </c>
      <c r="D27" s="9" t="s">
        <v>200</v>
      </c>
      <c r="E27" s="7" t="s">
        <v>220</v>
      </c>
      <c r="F27" s="9" t="s">
        <v>222</v>
      </c>
      <c r="G27" s="9">
        <v>43.0</v>
      </c>
      <c r="H27" s="13">
        <v>92.0</v>
      </c>
      <c r="I27" s="13">
        <v>11.5</v>
      </c>
      <c r="J27" s="13" t="str">
        <f>VLOOKUP($A27,covariates!$A$3:$H$1126,5,false)</f>
        <v>at surgery</v>
      </c>
      <c r="K27" s="55" t="str">
        <f>VLOOKUP($A27,covariates!$A$3:$H$1126,6,false)</f>
        <v/>
      </c>
      <c r="L27" s="55">
        <f>VLOOKUP($A27,covariates!$A$3:$H$1126,7,false)</f>
        <v>30.6</v>
      </c>
      <c r="M27" s="55">
        <f>VLOOKUP($A27,covariates!$A$3:$H$1126,8,false)</f>
        <v>7.5</v>
      </c>
    </row>
    <row r="28">
      <c r="A28" s="15">
        <v>12.0</v>
      </c>
      <c r="B28" s="17" t="str">
        <f t="shared" ref="B28:B29" si="16">HYPERLINK("https://github.com/d-wkim/phd/blob/main/data/pdf/bi_2018.pdf","Bi et al., 2018")</f>
        <v>Bi et al., 2018</v>
      </c>
      <c r="C28" s="15">
        <v>12.0</v>
      </c>
      <c r="D28" s="9" t="s">
        <v>84</v>
      </c>
      <c r="E28" s="7" t="s">
        <v>220</v>
      </c>
      <c r="F28" s="9" t="s">
        <v>222</v>
      </c>
      <c r="G28" s="9">
        <v>62.0</v>
      </c>
      <c r="H28" s="13">
        <v>90.4</v>
      </c>
      <c r="I28" s="13">
        <v>7.1</v>
      </c>
      <c r="J28" s="13" t="str">
        <f>VLOOKUP($A28,covariates!$A$3:$H$1126,5,false)</f>
        <v>at surgery</v>
      </c>
      <c r="K28" s="55" t="str">
        <f>VLOOKUP($A28,covariates!$A$3:$H$1126,6,false)</f>
        <v/>
      </c>
      <c r="L28" s="55">
        <f>VLOOKUP($A28,covariates!$A$3:$H$1126,7,false)</f>
        <v>27.9</v>
      </c>
      <c r="M28" s="55">
        <f>VLOOKUP($A28,covariates!$A$3:$H$1126,8,false)</f>
        <v>6.7</v>
      </c>
    </row>
    <row r="29">
      <c r="A29" s="15">
        <v>12.0</v>
      </c>
      <c r="B29" s="17" t="str">
        <f t="shared" si="16"/>
        <v>Bi et al., 2018</v>
      </c>
      <c r="C29" s="15">
        <v>12.0</v>
      </c>
      <c r="D29" s="9" t="s">
        <v>186</v>
      </c>
      <c r="E29" s="7" t="s">
        <v>220</v>
      </c>
      <c r="F29" s="9" t="s">
        <v>222</v>
      </c>
      <c r="G29" s="9">
        <v>62.0</v>
      </c>
      <c r="H29" s="13">
        <v>89.3</v>
      </c>
      <c r="I29" s="13">
        <v>8.4</v>
      </c>
      <c r="J29" s="13" t="str">
        <f>VLOOKUP($A29,covariates!$A$3:$H$1126,5,false)</f>
        <v>at surgery</v>
      </c>
      <c r="K29" s="55" t="str">
        <f>VLOOKUP($A29,covariates!$A$3:$H$1126,6,false)</f>
        <v/>
      </c>
      <c r="L29" s="55">
        <f>VLOOKUP($A29,covariates!$A$3:$H$1126,7,false)</f>
        <v>27.9</v>
      </c>
      <c r="M29" s="55">
        <f>VLOOKUP($A29,covariates!$A$3:$H$1126,8,false)</f>
        <v>6.7</v>
      </c>
    </row>
    <row r="30">
      <c r="A30" s="15">
        <v>13.0</v>
      </c>
      <c r="B30" s="17" t="str">
        <f t="shared" ref="B30:B31" si="17">HYPERLINK("https://github.com/d-wkim/phd/blob/main/data/pdf/björnsson_2016.pdf","Björnsson et al., 2016")</f>
        <v>Björnsson et al., 2016</v>
      </c>
      <c r="C30" s="15">
        <v>13.0</v>
      </c>
      <c r="D30" s="9" t="s">
        <v>42</v>
      </c>
      <c r="E30" s="7" t="s">
        <v>220</v>
      </c>
      <c r="F30" s="9" t="s">
        <v>222</v>
      </c>
      <c r="G30" s="9">
        <v>61.0</v>
      </c>
      <c r="H30" s="13">
        <v>67.3</v>
      </c>
      <c r="I30" s="13">
        <v>20.8</v>
      </c>
      <c r="J30" s="13" t="str">
        <f>VLOOKUP($A30,covariates!$A$3:$H$1126,5,false)</f>
        <v>at surgery</v>
      </c>
      <c r="K30" s="55" t="str">
        <f>VLOOKUP($A30,covariates!$A$3:$H$1126,6,false)</f>
        <v/>
      </c>
      <c r="L30" s="55">
        <f>VLOOKUP($A30,covariates!$A$3:$H$1126,7,false)</f>
        <v>28.2</v>
      </c>
      <c r="M30" s="55">
        <f>VLOOKUP($A30,covariates!$A$3:$H$1126,8,false)</f>
        <v>9.1</v>
      </c>
    </row>
    <row r="31">
      <c r="A31" s="15">
        <v>13.0</v>
      </c>
      <c r="B31" s="17" t="str">
        <f t="shared" si="17"/>
        <v>Björnsson et al., 2016</v>
      </c>
      <c r="C31" s="15">
        <v>13.0</v>
      </c>
      <c r="D31" s="9" t="s">
        <v>84</v>
      </c>
      <c r="E31" s="7" t="s">
        <v>220</v>
      </c>
      <c r="F31" s="9" t="s">
        <v>222</v>
      </c>
      <c r="G31" s="9">
        <v>86.0</v>
      </c>
      <c r="H31" s="13">
        <v>74.0</v>
      </c>
      <c r="I31" s="13">
        <v>18.8</v>
      </c>
      <c r="J31" s="13" t="str">
        <f>VLOOKUP($A31,covariates!$A$3:$H$1126,5,false)</f>
        <v>at surgery</v>
      </c>
      <c r="K31" s="55" t="str">
        <f>VLOOKUP($A31,covariates!$A$3:$H$1126,6,false)</f>
        <v/>
      </c>
      <c r="L31" s="55">
        <f>VLOOKUP($A31,covariates!$A$3:$H$1126,7,false)</f>
        <v>28.2</v>
      </c>
      <c r="M31" s="55">
        <f>VLOOKUP($A31,covariates!$A$3:$H$1126,8,false)</f>
        <v>9.1</v>
      </c>
    </row>
    <row r="32">
      <c r="A32" s="15">
        <v>14.0</v>
      </c>
      <c r="B32" s="17" t="str">
        <f t="shared" ref="B32:B33" si="18">HYPERLINK("https://github.com/d-wkim/phd/blob/main/data/pdf/bottoni_2015.pdf","Bottoni et al., 2015")</f>
        <v>Bottoni et al., 2015</v>
      </c>
      <c r="C32" s="15">
        <v>14.0</v>
      </c>
      <c r="D32" s="9" t="s">
        <v>84</v>
      </c>
      <c r="E32" s="7" t="s">
        <v>220</v>
      </c>
      <c r="F32" s="9" t="s">
        <v>222</v>
      </c>
      <c r="G32" s="9">
        <v>44.0</v>
      </c>
      <c r="H32" s="13">
        <v>79.5</v>
      </c>
      <c r="I32" s="13">
        <v>24.7</v>
      </c>
      <c r="J32" s="13" t="str">
        <f>VLOOKUP($A32,covariates!$A$3:$H$1126,5,false)</f>
        <v>at surgery</v>
      </c>
      <c r="K32" s="55" t="str">
        <f>VLOOKUP($A32,covariates!$A$3:$H$1126,6,false)</f>
        <v/>
      </c>
      <c r="L32" s="55">
        <f>VLOOKUP($A32,covariates!$A$3:$H$1126,7,false)</f>
        <v>28.9</v>
      </c>
      <c r="M32" s="55">
        <f>VLOOKUP($A32,covariates!$A$3:$H$1126,8,false)</f>
        <v>5.8</v>
      </c>
    </row>
    <row r="33">
      <c r="A33" s="15">
        <v>14.0</v>
      </c>
      <c r="B33" s="17" t="str">
        <f t="shared" si="18"/>
        <v>Bottoni et al., 2015</v>
      </c>
      <c r="C33" s="15">
        <v>14.0</v>
      </c>
      <c r="D33" s="9" t="s">
        <v>205</v>
      </c>
      <c r="E33" s="7" t="s">
        <v>220</v>
      </c>
      <c r="F33" s="9" t="s">
        <v>222</v>
      </c>
      <c r="G33" s="9">
        <v>36.0</v>
      </c>
      <c r="H33" s="13">
        <v>81.1</v>
      </c>
      <c r="I33" s="13">
        <v>23.1</v>
      </c>
      <c r="J33" s="13" t="str">
        <f>VLOOKUP($A33,covariates!$A$3:$H$1126,5,false)</f>
        <v>at surgery</v>
      </c>
      <c r="K33" s="55" t="str">
        <f>VLOOKUP($A33,covariates!$A$3:$H$1126,6,false)</f>
        <v/>
      </c>
      <c r="L33" s="55">
        <f>VLOOKUP($A33,covariates!$A$3:$H$1126,7,false)</f>
        <v>28.9</v>
      </c>
      <c r="M33" s="55">
        <f>VLOOKUP($A33,covariates!$A$3:$H$1126,8,false)</f>
        <v>5.8</v>
      </c>
    </row>
    <row r="34">
      <c r="A34" s="15">
        <v>18.0</v>
      </c>
      <c r="B34" s="17" t="str">
        <f t="shared" ref="B34:B35" si="19">HYPERLINK("https://github.com/d-wkim/phd/blob/main/data/pdf/butt_2024.pdf","Butt et al., 2024")</f>
        <v>Butt et al., 2024</v>
      </c>
      <c r="C34" s="15">
        <v>18.0</v>
      </c>
      <c r="D34" s="9" t="s">
        <v>84</v>
      </c>
      <c r="E34" s="7" t="s">
        <v>220</v>
      </c>
      <c r="F34" s="9" t="s">
        <v>222</v>
      </c>
      <c r="G34" s="9">
        <v>30.0</v>
      </c>
      <c r="H34" s="13">
        <v>89.7</v>
      </c>
      <c r="I34" s="13">
        <v>5.7</v>
      </c>
      <c r="J34" s="13" t="str">
        <f>VLOOKUP($A34,covariates!$A$3:$H$1126,5,false)</f>
        <v>at surgery</v>
      </c>
      <c r="K34" s="55" t="str">
        <f>VLOOKUP($A34,covariates!$A$3:$H$1126,6,false)</f>
        <v/>
      </c>
      <c r="L34" s="55">
        <f>VLOOKUP($A34,covariates!$A$3:$H$1126,7,false)</f>
        <v>29.17</v>
      </c>
      <c r="M34" s="55">
        <f>VLOOKUP($A34,covariates!$A$3:$H$1126,8,false)</f>
        <v>5.03</v>
      </c>
    </row>
    <row r="35">
      <c r="A35" s="15">
        <v>18.0</v>
      </c>
      <c r="B35" s="17" t="str">
        <f t="shared" si="19"/>
        <v>Butt et al., 2024</v>
      </c>
      <c r="C35" s="15">
        <v>18.0</v>
      </c>
      <c r="D35" s="9" t="s">
        <v>186</v>
      </c>
      <c r="E35" s="7" t="s">
        <v>220</v>
      </c>
      <c r="F35" s="9" t="s">
        <v>222</v>
      </c>
      <c r="G35" s="9">
        <v>30.0</v>
      </c>
      <c r="H35" s="13">
        <v>89.9</v>
      </c>
      <c r="I35" s="13">
        <v>9.8</v>
      </c>
      <c r="J35" s="13" t="str">
        <f>VLOOKUP($A35,covariates!$A$3:$H$1126,5,false)</f>
        <v>at surgery</v>
      </c>
      <c r="K35" s="55" t="str">
        <f>VLOOKUP($A35,covariates!$A$3:$H$1126,6,false)</f>
        <v/>
      </c>
      <c r="L35" s="55">
        <f>VLOOKUP($A35,covariates!$A$3:$H$1126,7,false)</f>
        <v>29.17</v>
      </c>
      <c r="M35" s="55">
        <f>VLOOKUP($A35,covariates!$A$3:$H$1126,8,false)</f>
        <v>5.03</v>
      </c>
    </row>
    <row r="36">
      <c r="A36" s="15">
        <v>19.0</v>
      </c>
      <c r="B36" s="17" t="str">
        <f t="shared" ref="B36:B37" si="20">HYPERLINK("https://github.com/d-wkim/phd/blob/main/data/pdf/calvert_2025.pdf","Calvert et al., 2025")</f>
        <v>Calvert et al., 2025</v>
      </c>
      <c r="C36" s="15">
        <v>19.0</v>
      </c>
      <c r="D36" s="9" t="s">
        <v>84</v>
      </c>
      <c r="E36" s="7" t="s">
        <v>220</v>
      </c>
      <c r="F36" s="9" t="s">
        <v>222</v>
      </c>
      <c r="G36" s="9">
        <v>92.0</v>
      </c>
      <c r="H36" s="13">
        <v>92.0</v>
      </c>
      <c r="I36" s="13">
        <v>8.0</v>
      </c>
      <c r="J36" s="13" t="str">
        <f>VLOOKUP($A36,covariates!$A$3:$H$1126,5,false)</f>
        <v>at surgery</v>
      </c>
      <c r="K36" s="55" t="str">
        <f>VLOOKUP($A36,covariates!$A$3:$H$1126,6,false)</f>
        <v/>
      </c>
      <c r="L36" s="55">
        <f>VLOOKUP($A36,covariates!$A$3:$H$1126,7,false)</f>
        <v>29.4</v>
      </c>
      <c r="M36" s="55">
        <f>VLOOKUP($A36,covariates!$A$3:$H$1126,8,false)</f>
        <v>7.7</v>
      </c>
    </row>
    <row r="37">
      <c r="A37" s="15">
        <v>19.0</v>
      </c>
      <c r="B37" s="17" t="str">
        <f t="shared" si="20"/>
        <v>Calvert et al., 2025</v>
      </c>
      <c r="C37" s="15">
        <v>19.0</v>
      </c>
      <c r="D37" s="9" t="s">
        <v>200</v>
      </c>
      <c r="E37" s="7" t="s">
        <v>220</v>
      </c>
      <c r="F37" s="9" t="s">
        <v>222</v>
      </c>
      <c r="G37" s="9">
        <v>89.0</v>
      </c>
      <c r="H37" s="13">
        <v>89.0</v>
      </c>
      <c r="I37" s="13">
        <v>10.0</v>
      </c>
      <c r="J37" s="13" t="str">
        <f>VLOOKUP($A37,covariates!$A$3:$H$1126,5,false)</f>
        <v>at surgery</v>
      </c>
      <c r="K37" s="55" t="str">
        <f>VLOOKUP($A37,covariates!$A$3:$H$1126,6,false)</f>
        <v/>
      </c>
      <c r="L37" s="55">
        <f>VLOOKUP($A37,covariates!$A$3:$H$1126,7,false)</f>
        <v>29.4</v>
      </c>
      <c r="M37" s="55">
        <f>VLOOKUP($A37,covariates!$A$3:$H$1126,8,false)</f>
        <v>7.7</v>
      </c>
    </row>
    <row r="38">
      <c r="A38" s="15">
        <v>32.0</v>
      </c>
      <c r="B38" s="17" t="str">
        <f t="shared" ref="B38:B39" si="21">HYPERLINK("https://github.com/d-wkim/phd/blob/main/data/pdf/guglielmetti_2021.pdf","Guglielmetti et al., 2021")</f>
        <v>Guglielmetti et al., 2021</v>
      </c>
      <c r="C38" s="15">
        <v>32.0</v>
      </c>
      <c r="D38" s="9" t="s">
        <v>42</v>
      </c>
      <c r="E38" s="7" t="s">
        <v>220</v>
      </c>
      <c r="F38" s="9" t="s">
        <v>222</v>
      </c>
      <c r="G38" s="9">
        <v>31.0</v>
      </c>
      <c r="H38" s="13">
        <v>88.75</v>
      </c>
      <c r="I38" s="13">
        <v>9.27</v>
      </c>
      <c r="J38" s="13" t="str">
        <f>VLOOKUP($A38,covariates!$A$3:$H$1126,5,false)</f>
        <v>at surgery</v>
      </c>
      <c r="K38" s="55" t="str">
        <f>VLOOKUP($A38,covariates!$A$3:$H$1126,6,false)</f>
        <v/>
      </c>
      <c r="L38" s="55">
        <f>VLOOKUP($A38,covariates!$A$3:$H$1126,7,false)</f>
        <v>25.2</v>
      </c>
      <c r="M38" s="55">
        <f>VLOOKUP($A38,covariates!$A$3:$H$1126,8,false)</f>
        <v>5.48</v>
      </c>
    </row>
    <row r="39">
      <c r="A39" s="15">
        <v>32.0</v>
      </c>
      <c r="B39" s="17" t="str">
        <f t="shared" si="21"/>
        <v>Guglielmetti et al., 2021</v>
      </c>
      <c r="C39" s="15">
        <v>32.0</v>
      </c>
      <c r="D39" s="9" t="s">
        <v>84</v>
      </c>
      <c r="E39" s="7" t="s">
        <v>220</v>
      </c>
      <c r="F39" s="9" t="s">
        <v>222</v>
      </c>
      <c r="G39" s="9">
        <v>31.0</v>
      </c>
      <c r="H39" s="13">
        <v>91.0</v>
      </c>
      <c r="I39" s="13">
        <v>9.07</v>
      </c>
      <c r="J39" s="13" t="str">
        <f>VLOOKUP($A39,covariates!$A$3:$H$1126,5,false)</f>
        <v>at surgery</v>
      </c>
      <c r="K39" s="55" t="str">
        <f>VLOOKUP($A39,covariates!$A$3:$H$1126,6,false)</f>
        <v/>
      </c>
      <c r="L39" s="55">
        <f>VLOOKUP($A39,covariates!$A$3:$H$1126,7,false)</f>
        <v>25.2</v>
      </c>
      <c r="M39" s="55">
        <f>VLOOKUP($A39,covariates!$A$3:$H$1126,8,false)</f>
        <v>5.48</v>
      </c>
    </row>
    <row r="40">
      <c r="A40" s="15">
        <v>36.0</v>
      </c>
      <c r="B40" s="17" t="str">
        <f t="shared" ref="B40:B41" si="22">HYPERLINK("https://github.com/d-wkim/phd/blob/main/data/pdf/horstmann_2022.pdf","Horstmann et al., 2022")</f>
        <v>Horstmann et al., 2022</v>
      </c>
      <c r="C40" s="15">
        <v>36.0</v>
      </c>
      <c r="D40" s="9" t="s">
        <v>84</v>
      </c>
      <c r="E40" s="7" t="s">
        <v>220</v>
      </c>
      <c r="F40" s="9" t="s">
        <v>222</v>
      </c>
      <c r="G40" s="57">
        <v>26.0</v>
      </c>
      <c r="H40" s="13">
        <v>83.7</v>
      </c>
      <c r="I40" s="13">
        <v>12.7</v>
      </c>
      <c r="J40" s="13" t="str">
        <f>VLOOKUP($A40,covariates!$A$3:$H$1126,5,false)</f>
        <v>at surgery</v>
      </c>
      <c r="K40" s="55" t="str">
        <f>VLOOKUP($A40,covariates!$A$3:$H$1126,6,false)</f>
        <v/>
      </c>
      <c r="L40" s="55">
        <f>VLOOKUP($A40,covariates!$A$3:$H$1126,7,false)</f>
        <v>32.7</v>
      </c>
      <c r="M40" s="55">
        <f>VLOOKUP($A40,covariates!$A$3:$H$1126,8,false)</f>
        <v>11.4</v>
      </c>
    </row>
    <row r="41">
      <c r="A41" s="15">
        <v>36.0</v>
      </c>
      <c r="B41" s="17" t="str">
        <f t="shared" si="22"/>
        <v>Horstmann et al., 2022</v>
      </c>
      <c r="C41" s="15">
        <v>36.0</v>
      </c>
      <c r="D41" s="9" t="s">
        <v>200</v>
      </c>
      <c r="E41" s="7" t="s">
        <v>220</v>
      </c>
      <c r="F41" s="9" t="s">
        <v>222</v>
      </c>
      <c r="G41" s="9">
        <v>23.0</v>
      </c>
      <c r="H41" s="13">
        <v>89.3</v>
      </c>
      <c r="I41" s="13">
        <v>12.2</v>
      </c>
      <c r="J41" s="13" t="str">
        <f>VLOOKUP($A41,covariates!$A$3:$H$1126,5,false)</f>
        <v>at surgery</v>
      </c>
      <c r="K41" s="55" t="str">
        <f>VLOOKUP($A41,covariates!$A$3:$H$1126,6,false)</f>
        <v/>
      </c>
      <c r="L41" s="55">
        <f>VLOOKUP($A41,covariates!$A$3:$H$1126,7,false)</f>
        <v>32.7</v>
      </c>
      <c r="M41" s="55">
        <f>VLOOKUP($A41,covariates!$A$3:$H$1126,8,false)</f>
        <v>11.4</v>
      </c>
    </row>
    <row r="42">
      <c r="A42" s="15">
        <v>38.0</v>
      </c>
      <c r="B42" s="17" t="str">
        <f t="shared" ref="B42:B43" si="23">HYPERLINK("https://github.com/d-wkim/phd/blob/main/data/pdf/iliopoulos_2017.pdf","Iliopoulos et al., 2017")</f>
        <v>Iliopoulos et al., 2017</v>
      </c>
      <c r="C42" s="15">
        <v>38.0</v>
      </c>
      <c r="D42" s="9" t="s">
        <v>42</v>
      </c>
      <c r="E42" s="7" t="s">
        <v>220</v>
      </c>
      <c r="F42" s="9" t="s">
        <v>222</v>
      </c>
      <c r="G42" s="57">
        <v>45.0</v>
      </c>
      <c r="H42" s="13">
        <v>83.2</v>
      </c>
      <c r="I42" s="13">
        <v>2.8</v>
      </c>
      <c r="J42" s="13" t="str">
        <f>VLOOKUP($A42,covariates!$A$3:$H$1126,5,false)</f>
        <v>at surgery</v>
      </c>
      <c r="K42" s="55" t="str">
        <f>VLOOKUP($A42,covariates!$A$3:$H$1126,6,false)</f>
        <v/>
      </c>
      <c r="L42" s="55">
        <f>VLOOKUP($A42,covariates!$A$3:$H$1126,7,false)</f>
        <v>24.8</v>
      </c>
      <c r="M42" s="55">
        <f>VLOOKUP($A42,covariates!$A$3:$H$1126,8,false)</f>
        <v>5</v>
      </c>
    </row>
    <row r="43">
      <c r="A43" s="15">
        <v>38.0</v>
      </c>
      <c r="B43" s="17" t="str">
        <f t="shared" si="23"/>
        <v>Iliopoulos et al., 2017</v>
      </c>
      <c r="C43" s="15">
        <v>38.0</v>
      </c>
      <c r="D43" s="9" t="s">
        <v>84</v>
      </c>
      <c r="E43" s="7" t="s">
        <v>220</v>
      </c>
      <c r="F43" s="9" t="s">
        <v>222</v>
      </c>
      <c r="G43" s="9">
        <v>45.0</v>
      </c>
      <c r="H43" s="13">
        <v>82.78</v>
      </c>
      <c r="I43" s="13">
        <v>2.8</v>
      </c>
      <c r="J43" s="13" t="str">
        <f>VLOOKUP($A43,covariates!$A$3:$H$1126,5,false)</f>
        <v>at surgery</v>
      </c>
      <c r="K43" s="55" t="str">
        <f>VLOOKUP($A43,covariates!$A$3:$H$1126,6,false)</f>
        <v/>
      </c>
      <c r="L43" s="55">
        <f>VLOOKUP($A43,covariates!$A$3:$H$1126,7,false)</f>
        <v>24.8</v>
      </c>
      <c r="M43" s="55">
        <f>VLOOKUP($A43,covariates!$A$3:$H$1126,8,false)</f>
        <v>5</v>
      </c>
    </row>
    <row r="44">
      <c r="A44" s="15">
        <v>44.0</v>
      </c>
      <c r="B44" s="17" t="str">
        <f t="shared" ref="B44:B45" si="24">HYPERLINK("https://github.com/d-wkim/phd/blob/main/data/pdf/komzak_2022.pdf","Komzak et al., 2022")</f>
        <v>Komzak et al., 2022</v>
      </c>
      <c r="C44" s="15">
        <v>44.0</v>
      </c>
      <c r="D44" s="9" t="s">
        <v>42</v>
      </c>
      <c r="E44" s="7" t="s">
        <v>220</v>
      </c>
      <c r="F44" s="9" t="s">
        <v>222</v>
      </c>
      <c r="G44" s="9">
        <v>36.0</v>
      </c>
      <c r="H44" s="13">
        <v>74.2</v>
      </c>
      <c r="I44" s="13">
        <v>10.2</v>
      </c>
      <c r="J44" s="13" t="str">
        <f>VLOOKUP($A44,covariates!$A$3:$H$1126,5,false)</f>
        <v>at surgery</v>
      </c>
      <c r="K44" s="55" t="str">
        <f>VLOOKUP($A44,covariates!$A$3:$H$1126,6,false)</f>
        <v/>
      </c>
      <c r="L44" s="55">
        <f>VLOOKUP($A44,covariates!$A$3:$H$1126,7,false)</f>
        <v>31</v>
      </c>
      <c r="M44" s="55">
        <f>VLOOKUP($A44,covariates!$A$3:$H$1126,8,false)</f>
        <v>9.459</v>
      </c>
    </row>
    <row r="45">
      <c r="A45" s="15">
        <v>44.0</v>
      </c>
      <c r="B45" s="17" t="str">
        <f t="shared" si="24"/>
        <v>Komzak et al., 2022</v>
      </c>
      <c r="C45" s="15">
        <v>44.0</v>
      </c>
      <c r="D45" s="9" t="s">
        <v>200</v>
      </c>
      <c r="E45" s="7" t="s">
        <v>220</v>
      </c>
      <c r="F45" s="9" t="s">
        <v>222</v>
      </c>
      <c r="G45" s="9">
        <v>36.0</v>
      </c>
      <c r="H45" s="13">
        <v>78.3</v>
      </c>
      <c r="I45" s="13">
        <v>10.5</v>
      </c>
      <c r="J45" s="13" t="str">
        <f>VLOOKUP($A45,covariates!$A$3:$H$1126,5,false)</f>
        <v>at surgery</v>
      </c>
      <c r="K45" s="55" t="str">
        <f>VLOOKUP($A45,covariates!$A$3:$H$1126,6,false)</f>
        <v/>
      </c>
      <c r="L45" s="55">
        <f>VLOOKUP($A45,covariates!$A$3:$H$1126,7,false)</f>
        <v>31</v>
      </c>
      <c r="M45" s="55">
        <f>VLOOKUP($A45,covariates!$A$3:$H$1126,8,false)</f>
        <v>9.459</v>
      </c>
    </row>
    <row r="46">
      <c r="A46" s="15">
        <v>51.0</v>
      </c>
      <c r="B46" s="17" t="str">
        <f t="shared" ref="B46:B47" si="25">HYPERLINK("https://github.com/d-wkim/phd/blob/main/data/pdf/li_2015.pdf","Li et al., 2015")</f>
        <v>Li et al., 2015</v>
      </c>
      <c r="C46" s="15">
        <v>51.0</v>
      </c>
      <c r="D46" s="9" t="s">
        <v>84</v>
      </c>
      <c r="E46" s="7" t="s">
        <v>220</v>
      </c>
      <c r="F46" s="9" t="s">
        <v>222</v>
      </c>
      <c r="G46" s="9">
        <v>32.0</v>
      </c>
      <c r="H46" s="13">
        <v>87.5</v>
      </c>
      <c r="I46" s="13">
        <v>3.2</v>
      </c>
      <c r="J46" s="13" t="str">
        <f>VLOOKUP($A46,covariates!$A$3:$H$1126,5,false)</f>
        <v>at surgery</v>
      </c>
      <c r="K46" s="55" t="str">
        <f>VLOOKUP($A46,covariates!$A$3:$H$1126,6,false)</f>
        <v/>
      </c>
      <c r="L46" s="55">
        <f>VLOOKUP($A46,covariates!$A$3:$H$1126,7,false)</f>
        <v>29.8</v>
      </c>
      <c r="M46" s="55">
        <f>VLOOKUP($A46,covariates!$A$3:$H$1126,8,false)</f>
        <v>7.9</v>
      </c>
    </row>
    <row r="47">
      <c r="A47" s="15">
        <v>51.0</v>
      </c>
      <c r="B47" s="17" t="str">
        <f t="shared" si="25"/>
        <v>Li et al., 2015</v>
      </c>
      <c r="C47" s="15">
        <v>51.0</v>
      </c>
      <c r="D47" s="9" t="s">
        <v>205</v>
      </c>
      <c r="E47" s="7" t="s">
        <v>220</v>
      </c>
      <c r="F47" s="9" t="s">
        <v>222</v>
      </c>
      <c r="G47" s="9">
        <v>32.0</v>
      </c>
      <c r="H47" s="13">
        <v>83.8</v>
      </c>
      <c r="I47" s="13">
        <v>6.9</v>
      </c>
      <c r="J47" s="13" t="str">
        <f>VLOOKUP($A47,covariates!$A$3:$H$1126,5,false)</f>
        <v>at surgery</v>
      </c>
      <c r="K47" s="55" t="str">
        <f>VLOOKUP($A47,covariates!$A$3:$H$1126,6,false)</f>
        <v/>
      </c>
      <c r="L47" s="55">
        <f>VLOOKUP($A47,covariates!$A$3:$H$1126,7,false)</f>
        <v>29.8</v>
      </c>
      <c r="M47" s="55">
        <f>VLOOKUP($A47,covariates!$A$3:$H$1126,8,false)</f>
        <v>7.9</v>
      </c>
    </row>
    <row r="48">
      <c r="A48" s="15">
        <v>53.0</v>
      </c>
      <c r="B48" s="17" t="str">
        <f t="shared" ref="B48:B49" si="26">HYPERLINK("https://github.com/d-wkim/phd/blob/main/data/pdf/lind_2020.pdf","Lind et al., 2020")</f>
        <v>Lind et al., 2020</v>
      </c>
      <c r="C48" s="15">
        <v>53.0</v>
      </c>
      <c r="D48" s="9" t="s">
        <v>84</v>
      </c>
      <c r="E48" s="7" t="s">
        <v>220</v>
      </c>
      <c r="F48" s="9" t="s">
        <v>222</v>
      </c>
      <c r="G48" s="9">
        <v>49.0</v>
      </c>
      <c r="H48" s="13">
        <v>78.0</v>
      </c>
      <c r="I48" s="13">
        <v>18.0</v>
      </c>
      <c r="J48" s="13" t="str">
        <f>VLOOKUP($A48,covariates!$A$3:$H$1126,5,false)</f>
        <v>at surgery</v>
      </c>
      <c r="K48" s="55" t="str">
        <f>VLOOKUP($A48,covariates!$A$3:$H$1126,6,false)</f>
        <v/>
      </c>
      <c r="L48" s="55">
        <f>VLOOKUP($A48,covariates!$A$3:$H$1126,7,false)</f>
        <v>27.1</v>
      </c>
      <c r="M48" s="55">
        <f>VLOOKUP($A48,covariates!$A$3:$H$1126,8,false)</f>
        <v>6.1</v>
      </c>
    </row>
    <row r="49">
      <c r="A49" s="15">
        <v>53.0</v>
      </c>
      <c r="B49" s="17" t="str">
        <f t="shared" si="26"/>
        <v>Lind et al., 2020</v>
      </c>
      <c r="C49" s="15">
        <v>53.0</v>
      </c>
      <c r="D49" s="9" t="s">
        <v>200</v>
      </c>
      <c r="E49" s="7" t="s">
        <v>220</v>
      </c>
      <c r="F49" s="9" t="s">
        <v>222</v>
      </c>
      <c r="G49" s="9">
        <v>47.0</v>
      </c>
      <c r="H49" s="13">
        <v>82.0</v>
      </c>
      <c r="I49" s="13">
        <v>14.0</v>
      </c>
      <c r="J49" s="13" t="str">
        <f>VLOOKUP($A49,covariates!$A$3:$H$1126,5,false)</f>
        <v>at surgery</v>
      </c>
      <c r="K49" s="55" t="str">
        <f>VLOOKUP($A49,covariates!$A$3:$H$1126,6,false)</f>
        <v/>
      </c>
      <c r="L49" s="55">
        <f>VLOOKUP($A49,covariates!$A$3:$H$1126,7,false)</f>
        <v>27.1</v>
      </c>
      <c r="M49" s="55">
        <f>VLOOKUP($A49,covariates!$A$3:$H$1126,8,false)</f>
        <v>6.1</v>
      </c>
    </row>
    <row r="50">
      <c r="A50" s="15">
        <v>54.0</v>
      </c>
      <c r="B50" s="17" t="str">
        <f t="shared" ref="B50:B51" si="27">HYPERLINK("https://github.com/d-wkim/phd/blob/main/data/pdf/lucidi_2025.pdf","Lucidi et al., 2025")</f>
        <v>Lucidi et al., 2025</v>
      </c>
      <c r="C50" s="15">
        <v>54.0</v>
      </c>
      <c r="D50" s="9" t="s">
        <v>42</v>
      </c>
      <c r="E50" s="7" t="s">
        <v>220</v>
      </c>
      <c r="F50" s="9" t="s">
        <v>222</v>
      </c>
      <c r="G50" s="9">
        <v>19.0</v>
      </c>
      <c r="H50" s="13">
        <v>78.4</v>
      </c>
      <c r="I50" s="13">
        <v>13.7</v>
      </c>
      <c r="J50" s="13" t="str">
        <f>VLOOKUP($A50,covariates!$A$3:$H$1126,5,false)</f>
        <v>at surgery</v>
      </c>
      <c r="K50" s="55" t="str">
        <f>VLOOKUP($A50,covariates!$A$3:$H$1126,6,false)</f>
        <v/>
      </c>
      <c r="L50" s="55">
        <f>VLOOKUP($A50,covariates!$A$3:$H$1126,7,false)</f>
        <v>52.8</v>
      </c>
      <c r="M50" s="55">
        <f>VLOOKUP($A50,covariates!$A$3:$H$1126,8,false)</f>
        <v>7.3</v>
      </c>
    </row>
    <row r="51">
      <c r="A51" s="15">
        <v>54.0</v>
      </c>
      <c r="B51" s="17" t="str">
        <f t="shared" si="27"/>
        <v>Lucidi et al., 2025</v>
      </c>
      <c r="C51" s="15">
        <v>54.0</v>
      </c>
      <c r="D51" s="9" t="s">
        <v>84</v>
      </c>
      <c r="E51" s="7" t="s">
        <v>220</v>
      </c>
      <c r="F51" s="9" t="s">
        <v>222</v>
      </c>
      <c r="G51" s="9">
        <v>20.0</v>
      </c>
      <c r="H51" s="13">
        <v>81.6</v>
      </c>
      <c r="I51" s="13">
        <v>11.9</v>
      </c>
      <c r="J51" s="13" t="str">
        <f>VLOOKUP($A51,covariates!$A$3:$H$1126,5,false)</f>
        <v>at surgery</v>
      </c>
      <c r="K51" s="55" t="str">
        <f>VLOOKUP($A51,covariates!$A$3:$H$1126,6,false)</f>
        <v/>
      </c>
      <c r="L51" s="55">
        <f>VLOOKUP($A51,covariates!$A$3:$H$1126,7,false)</f>
        <v>52.8</v>
      </c>
      <c r="M51" s="55">
        <f>VLOOKUP($A51,covariates!$A$3:$H$1126,8,false)</f>
        <v>7.3</v>
      </c>
    </row>
    <row r="52">
      <c r="A52" s="15">
        <v>55.0</v>
      </c>
      <c r="B52" s="17" t="str">
        <f t="shared" ref="B52:B53" si="28">HYPERLINK("https://github.com/d-wkim/phd/blob/main/data/pdf/lui_2012.pdf","Lui et al., 2012")</f>
        <v>Lui et al., 2012</v>
      </c>
      <c r="C52" s="15">
        <v>55.0</v>
      </c>
      <c r="D52" s="9" t="s">
        <v>42</v>
      </c>
      <c r="E52" s="7" t="s">
        <v>220</v>
      </c>
      <c r="F52" s="9" t="s">
        <v>222</v>
      </c>
      <c r="G52" s="9">
        <v>14.0</v>
      </c>
      <c r="H52" s="13">
        <v>71.9</v>
      </c>
      <c r="I52" s="13">
        <v>15.2</v>
      </c>
      <c r="J52" s="13" t="str">
        <f>VLOOKUP($A52,covariates!$A$3:$H$1126,5,false)</f>
        <v>at surgery</v>
      </c>
      <c r="K52" s="55" t="str">
        <f>VLOOKUP($A52,covariates!$A$3:$H$1126,6,false)</f>
        <v/>
      </c>
      <c r="L52" s="55">
        <f>VLOOKUP($A52,covariates!$A$3:$H$1126,7,false)</f>
        <v>26.5</v>
      </c>
      <c r="M52" s="55">
        <f>VLOOKUP($A52,covariates!$A$3:$H$1126,8,false)</f>
        <v>5</v>
      </c>
    </row>
    <row r="53">
      <c r="A53" s="15">
        <v>55.0</v>
      </c>
      <c r="B53" s="17" t="str">
        <f t="shared" si="28"/>
        <v>Lui et al., 2012</v>
      </c>
      <c r="C53" s="15">
        <v>55.0</v>
      </c>
      <c r="D53" s="9" t="s">
        <v>84</v>
      </c>
      <c r="E53" s="7" t="s">
        <v>220</v>
      </c>
      <c r="F53" s="9" t="s">
        <v>222</v>
      </c>
      <c r="G53" s="9">
        <v>17.0</v>
      </c>
      <c r="H53" s="13">
        <v>73.1</v>
      </c>
      <c r="I53" s="13">
        <v>12.3</v>
      </c>
      <c r="J53" s="13" t="str">
        <f>VLOOKUP($A53,covariates!$A$3:$H$1126,5,false)</f>
        <v>at surgery</v>
      </c>
      <c r="K53" s="55" t="str">
        <f>VLOOKUP($A53,covariates!$A$3:$H$1126,6,false)</f>
        <v/>
      </c>
      <c r="L53" s="55">
        <f>VLOOKUP($A53,covariates!$A$3:$H$1126,7,false)</f>
        <v>26.5</v>
      </c>
      <c r="M53" s="55">
        <f>VLOOKUP($A53,covariates!$A$3:$H$1126,8,false)</f>
        <v>5</v>
      </c>
    </row>
    <row r="54">
      <c r="A54" s="15">
        <v>56.0</v>
      </c>
      <c r="B54" s="17" t="str">
        <f t="shared" ref="B54:B55" si="29">HYPERLINK("https://github.com/d-wkim/phd/blob/main/data/pdf/lund_2014.pdf","Lund et al., 2014")</f>
        <v>Lund et al., 2014</v>
      </c>
      <c r="C54" s="15">
        <v>56.0</v>
      </c>
      <c r="D54" s="9" t="s">
        <v>42</v>
      </c>
      <c r="E54" s="7" t="s">
        <v>220</v>
      </c>
      <c r="F54" s="9" t="s">
        <v>222</v>
      </c>
      <c r="G54" s="9">
        <v>18.0</v>
      </c>
      <c r="H54" s="13">
        <v>75.0</v>
      </c>
      <c r="I54" s="13">
        <v>13.0</v>
      </c>
      <c r="J54" s="13" t="str">
        <f>VLOOKUP($A54,covariates!$A$3:$H$1126,5,false)</f>
        <v>at surgery</v>
      </c>
      <c r="K54" s="55" t="str">
        <f>VLOOKUP($A54,covariates!$A$3:$H$1126,6,false)</f>
        <v/>
      </c>
      <c r="L54" s="55">
        <f>VLOOKUP($A54,covariates!$A$3:$H$1126,7,false)</f>
        <v>31</v>
      </c>
      <c r="M54" s="55">
        <f>VLOOKUP($A54,covariates!$A$3:$H$1126,8,false)</f>
        <v>8</v>
      </c>
    </row>
    <row r="55">
      <c r="A55" s="15">
        <v>56.0</v>
      </c>
      <c r="B55" s="17" t="str">
        <f t="shared" si="29"/>
        <v>Lund et al., 2014</v>
      </c>
      <c r="C55" s="15">
        <v>56.0</v>
      </c>
      <c r="D55" s="9" t="s">
        <v>200</v>
      </c>
      <c r="E55" s="7" t="s">
        <v>220</v>
      </c>
      <c r="F55" s="9" t="s">
        <v>222</v>
      </c>
      <c r="G55" s="9">
        <v>21.0</v>
      </c>
      <c r="H55" s="13">
        <v>76.0</v>
      </c>
      <c r="I55" s="13">
        <v>16.0</v>
      </c>
      <c r="J55" s="13" t="str">
        <f>VLOOKUP($A55,covariates!$A$3:$H$1126,5,false)</f>
        <v>at surgery</v>
      </c>
      <c r="K55" s="55" t="str">
        <f>VLOOKUP($A55,covariates!$A$3:$H$1126,6,false)</f>
        <v/>
      </c>
      <c r="L55" s="55">
        <f>VLOOKUP($A55,covariates!$A$3:$H$1126,7,false)</f>
        <v>31</v>
      </c>
      <c r="M55" s="55">
        <f>VLOOKUP($A55,covariates!$A$3:$H$1126,8,false)</f>
        <v>8</v>
      </c>
    </row>
    <row r="56">
      <c r="A56" s="15">
        <v>58.0</v>
      </c>
      <c r="B56" s="17" t="str">
        <f t="shared" ref="B56:B57" si="30">HYPERLINK("https://github.com/d-wkim/phd/blob/main/data/pdf/malik_2026.pdf","Malik et al., 2026")</f>
        <v>Malik et al., 2026</v>
      </c>
      <c r="C56" s="15">
        <v>58.0</v>
      </c>
      <c r="D56" s="9" t="s">
        <v>84</v>
      </c>
      <c r="E56" s="7" t="s">
        <v>220</v>
      </c>
      <c r="F56" s="9" t="s">
        <v>222</v>
      </c>
      <c r="G56" s="9">
        <v>25.0</v>
      </c>
      <c r="H56" s="13">
        <v>78.9</v>
      </c>
      <c r="I56" s="13">
        <v>7.4</v>
      </c>
      <c r="J56" s="13" t="str">
        <f>VLOOKUP($A56,covariates!$A$3:$H$1126,5,false)</f>
        <v>at surgery</v>
      </c>
      <c r="K56" s="55" t="str">
        <f>VLOOKUP($A56,covariates!$A$3:$H$1126,6,false)</f>
        <v/>
      </c>
      <c r="L56" s="55">
        <f>VLOOKUP($A56,covariates!$A$3:$H$1126,7,false)</f>
        <v>28.12</v>
      </c>
      <c r="M56" s="55">
        <f>VLOOKUP($A56,covariates!$A$3:$H$1126,8,false)</f>
        <v>5.21</v>
      </c>
    </row>
    <row r="57">
      <c r="A57" s="15">
        <v>58.0</v>
      </c>
      <c r="B57" s="17" t="str">
        <f t="shared" si="30"/>
        <v>Malik et al., 2026</v>
      </c>
      <c r="C57" s="15">
        <v>58.0</v>
      </c>
      <c r="D57" s="9" t="s">
        <v>186</v>
      </c>
      <c r="E57" s="7" t="s">
        <v>220</v>
      </c>
      <c r="F57" s="9" t="s">
        <v>222</v>
      </c>
      <c r="G57" s="9">
        <v>25.0</v>
      </c>
      <c r="H57" s="13">
        <v>82.6</v>
      </c>
      <c r="I57" s="13">
        <v>6.3</v>
      </c>
      <c r="J57" s="13" t="str">
        <f>VLOOKUP($A57,covariates!$A$3:$H$1126,5,false)</f>
        <v>at surgery</v>
      </c>
      <c r="K57" s="55" t="str">
        <f>VLOOKUP($A57,covariates!$A$3:$H$1126,6,false)</f>
        <v/>
      </c>
      <c r="L57" s="55">
        <f>VLOOKUP($A57,covariates!$A$3:$H$1126,7,false)</f>
        <v>28.12</v>
      </c>
      <c r="M57" s="55">
        <f>VLOOKUP($A57,covariates!$A$3:$H$1126,8,false)</f>
        <v>5.21</v>
      </c>
    </row>
    <row r="58">
      <c r="A58" s="15">
        <v>62.0</v>
      </c>
      <c r="B58" s="17" t="str">
        <f t="shared" ref="B58:B59" si="31">HYPERLINK("https://github.com/d-wkim/phd/blob/main/data/pdf/matsumoto_2006.pdf","Matsumoto et al., 2006")</f>
        <v>Matsumoto et al., 2006</v>
      </c>
      <c r="C58" s="15">
        <v>62.0</v>
      </c>
      <c r="D58" s="9" t="s">
        <v>42</v>
      </c>
      <c r="E58" s="7" t="s">
        <v>220</v>
      </c>
      <c r="F58" s="9" t="s">
        <v>222</v>
      </c>
      <c r="G58" s="9">
        <v>37.0</v>
      </c>
      <c r="H58" s="13">
        <v>84.3</v>
      </c>
      <c r="I58" s="13">
        <v>11.0</v>
      </c>
      <c r="J58" s="13" t="str">
        <f>VLOOKUP($A58,covariates!$A$3:$H$1126,5,false)</f>
        <v>at surgery</v>
      </c>
      <c r="K58" s="55" t="str">
        <f>VLOOKUP($A58,covariates!$A$3:$H$1126,6,false)</f>
        <v/>
      </c>
      <c r="L58" s="55">
        <f>VLOOKUP($A58,covariates!$A$3:$H$1126,7,false)</f>
        <v>23.7</v>
      </c>
      <c r="M58" s="55">
        <f>VLOOKUP($A58,covariates!$A$3:$H$1126,8,false)</f>
        <v>7.7</v>
      </c>
    </row>
    <row r="59">
      <c r="A59" s="15">
        <v>62.0</v>
      </c>
      <c r="B59" s="17" t="str">
        <f t="shared" si="31"/>
        <v>Matsumoto et al., 2006</v>
      </c>
      <c r="C59" s="15">
        <v>62.0</v>
      </c>
      <c r="D59" s="9" t="s">
        <v>84</v>
      </c>
      <c r="E59" s="7" t="s">
        <v>220</v>
      </c>
      <c r="F59" s="9" t="s">
        <v>222</v>
      </c>
      <c r="G59" s="9">
        <v>35.0</v>
      </c>
      <c r="H59" s="13">
        <v>86.8</v>
      </c>
      <c r="I59" s="13">
        <v>8.3</v>
      </c>
      <c r="J59" s="13" t="str">
        <f>VLOOKUP($A59,covariates!$A$3:$H$1126,5,false)</f>
        <v>at surgery</v>
      </c>
      <c r="K59" s="55" t="str">
        <f>VLOOKUP($A59,covariates!$A$3:$H$1126,6,false)</f>
        <v/>
      </c>
      <c r="L59" s="55">
        <f>VLOOKUP($A59,covariates!$A$3:$H$1126,7,false)</f>
        <v>23.7</v>
      </c>
      <c r="M59" s="55">
        <f>VLOOKUP($A59,covariates!$A$3:$H$1126,8,false)</f>
        <v>7.7</v>
      </c>
    </row>
    <row r="60">
      <c r="A60" s="15">
        <v>68.0</v>
      </c>
      <c r="B60" s="17" t="str">
        <f t="shared" ref="B60:B61" si="32">HYPERLINK("https://github.com/d-wkim/phd/blob/main/data/pdf/moraiti_2010.pdf","Moraiti et al., 2010")</f>
        <v>Moraiti et al., 2010</v>
      </c>
      <c r="C60" s="15">
        <v>68.0</v>
      </c>
      <c r="D60" s="9" t="s">
        <v>42</v>
      </c>
      <c r="E60" s="7" t="s">
        <v>220</v>
      </c>
      <c r="F60" s="9" t="s">
        <v>222</v>
      </c>
      <c r="G60" s="9">
        <v>6.0</v>
      </c>
      <c r="H60" s="13">
        <v>92.0</v>
      </c>
      <c r="I60" s="13">
        <v>7.0</v>
      </c>
      <c r="J60" s="13" t="str">
        <f>VLOOKUP($A60,covariates!$A$3:$H$1126,5,false)</f>
        <v>at surgery</v>
      </c>
      <c r="K60" s="55" t="str">
        <f>VLOOKUP($A60,covariates!$A$3:$H$1126,6,false)</f>
        <v/>
      </c>
      <c r="L60" s="55">
        <f>VLOOKUP($A60,covariates!$A$3:$H$1126,7,false)</f>
        <v>23</v>
      </c>
      <c r="M60" s="55">
        <f>VLOOKUP($A60,covariates!$A$3:$H$1126,8,false)</f>
        <v>2</v>
      </c>
    </row>
    <row r="61">
      <c r="A61" s="15">
        <v>68.0</v>
      </c>
      <c r="B61" s="17" t="str">
        <f t="shared" si="32"/>
        <v>Moraiti et al., 2010</v>
      </c>
      <c r="C61" s="15">
        <v>68.0</v>
      </c>
      <c r="D61" s="9" t="s">
        <v>84</v>
      </c>
      <c r="E61" s="7" t="s">
        <v>220</v>
      </c>
      <c r="F61" s="9" t="s">
        <v>222</v>
      </c>
      <c r="G61" s="9">
        <v>6.0</v>
      </c>
      <c r="H61" s="13">
        <v>90.0</v>
      </c>
      <c r="I61" s="13">
        <v>10.0</v>
      </c>
      <c r="J61" s="13" t="str">
        <f>VLOOKUP($A61,covariates!$A$3:$H$1126,5,false)</f>
        <v>at surgery</v>
      </c>
      <c r="K61" s="55" t="str">
        <f>VLOOKUP($A61,covariates!$A$3:$H$1126,6,false)</f>
        <v/>
      </c>
      <c r="L61" s="55">
        <f>VLOOKUP($A61,covariates!$A$3:$H$1126,7,false)</f>
        <v>23</v>
      </c>
      <c r="M61" s="55">
        <f>VLOOKUP($A61,covariates!$A$3:$H$1126,8,false)</f>
        <v>2</v>
      </c>
    </row>
    <row r="62">
      <c r="A62" s="15">
        <v>73.0</v>
      </c>
      <c r="B62" s="17" t="str">
        <f t="shared" ref="B62:B63" si="33">HYPERLINK("https://github.com/d-wkim/phd/blob/main/data/pdf/papalia_2015.pdf","Papalia et al., 2015")</f>
        <v>Papalia et al., 2015</v>
      </c>
      <c r="C62" s="15">
        <v>73.0</v>
      </c>
      <c r="D62" s="9" t="s">
        <v>42</v>
      </c>
      <c r="E62" s="7" t="s">
        <v>220</v>
      </c>
      <c r="F62" s="9" t="s">
        <v>222</v>
      </c>
      <c r="G62" s="9">
        <v>20.0</v>
      </c>
      <c r="H62" s="13">
        <v>86.9</v>
      </c>
      <c r="I62" s="13">
        <v>11.7</v>
      </c>
      <c r="J62" s="13" t="str">
        <f>VLOOKUP($A62,covariates!$A$3:$H$1126,5,false)</f>
        <v>at surgery</v>
      </c>
      <c r="K62" s="55" t="str">
        <f>VLOOKUP($A62,covariates!$A$3:$H$1126,6,false)</f>
        <v/>
      </c>
      <c r="L62" s="55">
        <f>VLOOKUP($A62,covariates!$A$3:$H$1126,7,false)</f>
        <v>24.7</v>
      </c>
      <c r="M62" s="55" t="str">
        <f>VLOOKUP($A62,covariates!$A$3:$H$1126,8,false)</f>
        <v/>
      </c>
    </row>
    <row r="63">
      <c r="A63" s="15">
        <v>73.0</v>
      </c>
      <c r="B63" s="17" t="str">
        <f t="shared" si="33"/>
        <v>Papalia et al., 2015</v>
      </c>
      <c r="C63" s="15">
        <v>73.0</v>
      </c>
      <c r="D63" s="9" t="s">
        <v>84</v>
      </c>
      <c r="E63" s="7" t="s">
        <v>220</v>
      </c>
      <c r="F63" s="9" t="s">
        <v>222</v>
      </c>
      <c r="G63" s="9">
        <v>20.0</v>
      </c>
      <c r="H63" s="13">
        <v>90.97</v>
      </c>
      <c r="I63" s="13">
        <v>5.1</v>
      </c>
      <c r="J63" s="13" t="str">
        <f>VLOOKUP($A63,covariates!$A$3:$H$1126,5,false)</f>
        <v>at surgery</v>
      </c>
      <c r="K63" s="55" t="str">
        <f>VLOOKUP($A63,covariates!$A$3:$H$1126,6,false)</f>
        <v/>
      </c>
      <c r="L63" s="55">
        <f>VLOOKUP($A63,covariates!$A$3:$H$1126,7,false)</f>
        <v>24.7</v>
      </c>
      <c r="M63" s="55" t="str">
        <f>VLOOKUP($A63,covariates!$A$3:$H$1126,8,false)</f>
        <v/>
      </c>
    </row>
    <row r="64">
      <c r="A64" s="15">
        <v>84.0</v>
      </c>
      <c r="B64" s="17" t="str">
        <f t="shared" ref="B64:B65" si="34">HYPERLINK("https://github.com/d-wkim/phd/blob/main/data/pdf/sinding_2020.pdf","Sinding et al., 2020")</f>
        <v>Sinding et al., 2020</v>
      </c>
      <c r="C64" s="15">
        <v>84.0</v>
      </c>
      <c r="D64" s="9" t="s">
        <v>84</v>
      </c>
      <c r="E64" s="7" t="s">
        <v>220</v>
      </c>
      <c r="F64" s="9" t="s">
        <v>222</v>
      </c>
      <c r="G64" s="9">
        <v>43.0</v>
      </c>
      <c r="H64" s="13">
        <v>76.0</v>
      </c>
      <c r="I64" s="13">
        <v>15.0</v>
      </c>
      <c r="J64" s="13" t="str">
        <f>VLOOKUP($A64,covariates!$A$3:$H$1126,5,false)</f>
        <v>at surgery</v>
      </c>
      <c r="K64" s="55" t="str">
        <f>VLOOKUP($A64,covariates!$A$3:$H$1126,6,false)</f>
        <v/>
      </c>
      <c r="L64" s="55">
        <f>VLOOKUP($A64,covariates!$A$3:$H$1126,7,false)</f>
        <v>28.3</v>
      </c>
      <c r="M64" s="55">
        <f>VLOOKUP($A64,covariates!$A$3:$H$1126,8,false)</f>
        <v>6.2</v>
      </c>
    </row>
    <row r="65">
      <c r="A65" s="15">
        <v>84.0</v>
      </c>
      <c r="B65" s="17" t="str">
        <f t="shared" si="34"/>
        <v>Sinding et al., 2020</v>
      </c>
      <c r="C65" s="15">
        <v>84.0</v>
      </c>
      <c r="D65" s="9" t="s">
        <v>200</v>
      </c>
      <c r="E65" s="7" t="s">
        <v>220</v>
      </c>
      <c r="F65" s="9" t="s">
        <v>222</v>
      </c>
      <c r="G65" s="9">
        <v>42.0</v>
      </c>
      <c r="H65" s="13">
        <v>76.0</v>
      </c>
      <c r="I65" s="13">
        <v>17.0</v>
      </c>
      <c r="J65" s="13" t="str">
        <f>VLOOKUP($A65,covariates!$A$3:$H$1126,5,false)</f>
        <v>at surgery</v>
      </c>
      <c r="K65" s="55" t="str">
        <f>VLOOKUP($A65,covariates!$A$3:$H$1126,6,false)</f>
        <v/>
      </c>
      <c r="L65" s="55">
        <f>VLOOKUP($A65,covariates!$A$3:$H$1126,7,false)</f>
        <v>28.3</v>
      </c>
      <c r="M65" s="55">
        <f>VLOOKUP($A65,covariates!$A$3:$H$1126,8,false)</f>
        <v>6.2</v>
      </c>
    </row>
    <row r="66">
      <c r="A66" s="15">
        <v>85.0</v>
      </c>
      <c r="B66" s="17" t="str">
        <f t="shared" ref="B66:B67" si="35">HYPERLINK("https://github.com/d-wkim/phd/blob/main/data/pdf/smith_2020.pdf","Smith et al., 2020")</f>
        <v>Smith et al., 2020</v>
      </c>
      <c r="C66" s="15">
        <v>85.0</v>
      </c>
      <c r="D66" s="9" t="s">
        <v>42</v>
      </c>
      <c r="E66" s="7" t="s">
        <v>220</v>
      </c>
      <c r="F66" s="9" t="s">
        <v>222</v>
      </c>
      <c r="G66" s="9">
        <v>32.0</v>
      </c>
      <c r="H66" s="13">
        <v>89.4</v>
      </c>
      <c r="I66" s="13">
        <v>9.2</v>
      </c>
      <c r="J66" s="13" t="str">
        <f>VLOOKUP($A66,covariates!$A$3:$H$1126,5,false)</f>
        <v>at surgery</v>
      </c>
      <c r="K66" s="55" t="str">
        <f>VLOOKUP($A66,covariates!$A$3:$H$1126,6,false)</f>
        <v/>
      </c>
      <c r="L66" s="55">
        <f>VLOOKUP($A66,covariates!$A$3:$H$1126,7,false)</f>
        <v>17.7</v>
      </c>
      <c r="M66" s="55">
        <f>VLOOKUP($A66,covariates!$A$3:$H$1126,8,false)</f>
        <v>2.4</v>
      </c>
    </row>
    <row r="67">
      <c r="A67" s="15">
        <v>85.0</v>
      </c>
      <c r="B67" s="17" t="str">
        <f t="shared" si="35"/>
        <v>Smith et al., 2020</v>
      </c>
      <c r="C67" s="15">
        <v>85.0</v>
      </c>
      <c r="D67" s="9" t="s">
        <v>84</v>
      </c>
      <c r="E67" s="7" t="s">
        <v>220</v>
      </c>
      <c r="F67" s="9" t="s">
        <v>222</v>
      </c>
      <c r="G67" s="9">
        <v>32.0</v>
      </c>
      <c r="H67" s="13">
        <v>94.8</v>
      </c>
      <c r="I67" s="13">
        <v>6.4</v>
      </c>
      <c r="J67" s="13" t="str">
        <f>VLOOKUP($A67,covariates!$A$3:$H$1126,5,false)</f>
        <v>at surgery</v>
      </c>
      <c r="K67" s="55" t="str">
        <f>VLOOKUP($A67,covariates!$A$3:$H$1126,6,false)</f>
        <v/>
      </c>
      <c r="L67" s="55">
        <f>VLOOKUP($A67,covariates!$A$3:$H$1126,7,false)</f>
        <v>17.7</v>
      </c>
      <c r="M67" s="55">
        <f>VLOOKUP($A67,covariates!$A$3:$H$1126,8,false)</f>
        <v>2.4</v>
      </c>
    </row>
    <row r="68">
      <c r="A68" s="15">
        <v>87.0</v>
      </c>
      <c r="B68" s="17" t="str">
        <f t="shared" ref="B68:B69" si="36">HYPERLINK("https://github.com/d-wkim/phd/blob/main/data/pdf/sonnery-cottet_2026.pdf","Sonnery-cottet et al., 2026")</f>
        <v>Sonnery-cottet et al., 2026</v>
      </c>
      <c r="C68" s="15">
        <v>87.0</v>
      </c>
      <c r="D68" s="9" t="s">
        <v>42</v>
      </c>
      <c r="E68" s="7" t="s">
        <v>220</v>
      </c>
      <c r="F68" s="9" t="s">
        <v>222</v>
      </c>
      <c r="G68" s="9">
        <v>296.0</v>
      </c>
      <c r="H68" s="13">
        <v>89.4</v>
      </c>
      <c r="I68" s="13">
        <v>10.9</v>
      </c>
      <c r="J68" s="13" t="str">
        <f>VLOOKUP($A68,covariates!$A$3:$H$1126,5,false)</f>
        <v>at surgery</v>
      </c>
      <c r="K68" s="55" t="str">
        <f>VLOOKUP($A68,covariates!$A$3:$H$1126,6,false)</f>
        <v/>
      </c>
      <c r="L68" s="55">
        <f>VLOOKUP($A68,covariates!$A$3:$H$1126,7,false)</f>
        <v>24.8</v>
      </c>
      <c r="M68" s="55">
        <f>VLOOKUP($A68,covariates!$A$3:$H$1126,8,false)</f>
        <v>4.4</v>
      </c>
    </row>
    <row r="69">
      <c r="A69" s="15">
        <v>87.0</v>
      </c>
      <c r="B69" s="17" t="str">
        <f t="shared" si="36"/>
        <v>Sonnery-cottet et al., 2026</v>
      </c>
      <c r="C69" s="15">
        <v>87.0</v>
      </c>
      <c r="D69" s="9" t="s">
        <v>84</v>
      </c>
      <c r="E69" s="7" t="s">
        <v>220</v>
      </c>
      <c r="F69" s="9" t="s">
        <v>222</v>
      </c>
      <c r="G69" s="9">
        <v>297.0</v>
      </c>
      <c r="H69" s="13">
        <v>91.0</v>
      </c>
      <c r="I69" s="13">
        <v>10.3</v>
      </c>
      <c r="J69" s="13" t="str">
        <f>VLOOKUP($A69,covariates!$A$3:$H$1126,5,false)</f>
        <v>at surgery</v>
      </c>
      <c r="K69" s="55" t="str">
        <f>VLOOKUP($A69,covariates!$A$3:$H$1126,6,false)</f>
        <v/>
      </c>
      <c r="L69" s="55">
        <f>VLOOKUP($A69,covariates!$A$3:$H$1126,7,false)</f>
        <v>24.8</v>
      </c>
      <c r="M69" s="55">
        <f>VLOOKUP($A69,covariates!$A$3:$H$1126,8,false)</f>
        <v>4.4</v>
      </c>
    </row>
    <row r="70">
      <c r="A70" s="15">
        <v>89.0</v>
      </c>
      <c r="B70" s="17" t="str">
        <f t="shared" ref="B70:B71" si="37">HYPERLINK("https://github.com/d-wkim/phd/blob/main/data/pdf/tang_2023.pdf","Tang et al., 2023")</f>
        <v>Tang et al., 2023</v>
      </c>
      <c r="C70" s="15">
        <v>89.0</v>
      </c>
      <c r="D70" s="9" t="s">
        <v>84</v>
      </c>
      <c r="E70" s="7" t="s">
        <v>220</v>
      </c>
      <c r="F70" s="9" t="s">
        <v>222</v>
      </c>
      <c r="G70" s="9">
        <v>16.0</v>
      </c>
      <c r="H70" s="13">
        <v>90.13</v>
      </c>
      <c r="I70" s="13">
        <v>6.99</v>
      </c>
      <c r="J70" s="13" t="str">
        <f>VLOOKUP($A70,covariates!$A$3:$H$1126,5,false)</f>
        <v>at surgery</v>
      </c>
      <c r="K70" s="55" t="str">
        <f>VLOOKUP($A70,covariates!$A$3:$H$1126,6,false)</f>
        <v/>
      </c>
      <c r="L70" s="55">
        <f>VLOOKUP($A70,covariates!$A$3:$H$1126,7,false)</f>
        <v>28.31</v>
      </c>
      <c r="M70" s="55">
        <f>VLOOKUP($A70,covariates!$A$3:$H$1126,8,false)</f>
        <v>8.55</v>
      </c>
    </row>
    <row r="71">
      <c r="A71" s="15">
        <v>89.0</v>
      </c>
      <c r="B71" s="17" t="str">
        <f t="shared" si="37"/>
        <v>Tang et al., 2023</v>
      </c>
      <c r="C71" s="15">
        <v>89.0</v>
      </c>
      <c r="D71" s="9" t="s">
        <v>200</v>
      </c>
      <c r="E71" s="7" t="s">
        <v>220</v>
      </c>
      <c r="F71" s="9" t="s">
        <v>222</v>
      </c>
      <c r="G71" s="9">
        <v>17.0</v>
      </c>
      <c r="H71" s="13">
        <v>87.12</v>
      </c>
      <c r="I71" s="13">
        <v>6.61</v>
      </c>
      <c r="J71" s="13" t="str">
        <f>VLOOKUP($A71,covariates!$A$3:$H$1126,5,false)</f>
        <v>at surgery</v>
      </c>
      <c r="K71" s="55" t="str">
        <f>VLOOKUP($A71,covariates!$A$3:$H$1126,6,false)</f>
        <v/>
      </c>
      <c r="L71" s="55">
        <f>VLOOKUP($A71,covariates!$A$3:$H$1126,7,false)</f>
        <v>28.31</v>
      </c>
      <c r="M71" s="55">
        <f>VLOOKUP($A71,covariates!$A$3:$H$1126,8,false)</f>
        <v>8.55</v>
      </c>
    </row>
    <row r="72">
      <c r="A72" s="15">
        <v>93.0</v>
      </c>
      <c r="B72" s="17" t="str">
        <f t="shared" ref="B72:B73" si="38">HYPERLINK("https://github.com/d-wkim/phd/blob/main/data/pdf/vilchez-cavazos_2020.pdf","Vilchez-cavazos et al., 2020")</f>
        <v>Vilchez-cavazos et al., 2020</v>
      </c>
      <c r="C72" s="15">
        <v>93.0</v>
      </c>
      <c r="D72" s="9" t="s">
        <v>42</v>
      </c>
      <c r="E72" s="7" t="s">
        <v>220</v>
      </c>
      <c r="F72" s="9" t="s">
        <v>222</v>
      </c>
      <c r="G72" s="9">
        <v>14.0</v>
      </c>
      <c r="H72" s="13">
        <v>90.0</v>
      </c>
      <c r="I72" s="13" t="str">
        <f t="shared" ref="I72:I73" si="39">iferror(RANGE_SD(G72,#REF!,#REF!),"")</f>
        <v/>
      </c>
      <c r="J72" s="13" t="str">
        <f>VLOOKUP($A72,covariates!$A$3:$H$1126,5,false)</f>
        <v>at surgery</v>
      </c>
      <c r="K72" s="55" t="str">
        <f>VLOOKUP($A72,covariates!$A$3:$H$1126,6,false)</f>
        <v/>
      </c>
      <c r="L72" s="55">
        <f>VLOOKUP($A72,covariates!$A$3:$H$1126,7,false)</f>
        <v>24.4557</v>
      </c>
      <c r="M72" s="55">
        <f>VLOOKUP($A72,covariates!$A$3:$H$1126,8,false)</f>
        <v>8.2374</v>
      </c>
    </row>
    <row r="73">
      <c r="A73" s="15">
        <v>93.0</v>
      </c>
      <c r="B73" s="17" t="str">
        <f t="shared" si="38"/>
        <v>Vilchez-cavazos et al., 2020</v>
      </c>
      <c r="C73" s="15">
        <v>93.0</v>
      </c>
      <c r="D73" s="9" t="s">
        <v>200</v>
      </c>
      <c r="E73" s="7" t="s">
        <v>220</v>
      </c>
      <c r="F73" s="9" t="s">
        <v>222</v>
      </c>
      <c r="G73" s="9">
        <v>14.0</v>
      </c>
      <c r="H73" s="13">
        <v>88.17</v>
      </c>
      <c r="I73" s="13" t="str">
        <f t="shared" si="39"/>
        <v/>
      </c>
      <c r="J73" s="13" t="str">
        <f>VLOOKUP($A73,covariates!$A$3:$H$1126,5,false)</f>
        <v>at surgery</v>
      </c>
      <c r="K73" s="55" t="str">
        <f>VLOOKUP($A73,covariates!$A$3:$H$1126,6,false)</f>
        <v/>
      </c>
      <c r="L73" s="55">
        <f>VLOOKUP($A73,covariates!$A$3:$H$1126,7,false)</f>
        <v>24.4557</v>
      </c>
      <c r="M73" s="55">
        <f>VLOOKUP($A73,covariates!$A$3:$H$1126,8,false)</f>
        <v>8.2374</v>
      </c>
    </row>
    <row r="74">
      <c r="A74" s="15">
        <v>96.0</v>
      </c>
      <c r="B74" s="17" t="str">
        <f t="shared" ref="B74:B75" si="40">HYPERLINK("https://github.com/d-wkim/phd/blob/main/data/pdf/wipfler_2011.pdf","Wipfler et al., 2011")</f>
        <v>Wipfler et al., 2011</v>
      </c>
      <c r="C74" s="15">
        <v>96.0</v>
      </c>
      <c r="D74" s="9" t="s">
        <v>42</v>
      </c>
      <c r="E74" s="7" t="s">
        <v>220</v>
      </c>
      <c r="F74" s="9" t="s">
        <v>222</v>
      </c>
      <c r="G74" s="9">
        <v>29.0</v>
      </c>
      <c r="H74" s="13">
        <v>86.72</v>
      </c>
      <c r="I74" s="13">
        <v>2.271</v>
      </c>
      <c r="J74" s="13" t="str">
        <f>VLOOKUP($A74,covariates!$A$3:$H$1126,5,false)</f>
        <v>at surgery</v>
      </c>
      <c r="K74" s="55" t="str">
        <f>VLOOKUP($A74,covariates!$A$3:$H$1126,6,false)</f>
        <v/>
      </c>
      <c r="L74" s="55">
        <f>VLOOKUP($A74,covariates!$A$3:$H$1126,7,false)</f>
        <v>29.87</v>
      </c>
      <c r="M74" s="55">
        <f>VLOOKUP($A74,covariates!$A$3:$H$1126,8,false)</f>
        <v>7.304</v>
      </c>
    </row>
    <row r="75">
      <c r="A75" s="15">
        <v>96.0</v>
      </c>
      <c r="B75" s="17" t="str">
        <f t="shared" si="40"/>
        <v>Wipfler et al., 2011</v>
      </c>
      <c r="C75" s="15">
        <v>96.0</v>
      </c>
      <c r="D75" s="9" t="s">
        <v>84</v>
      </c>
      <c r="E75" s="7" t="s">
        <v>220</v>
      </c>
      <c r="F75" s="9" t="s">
        <v>222</v>
      </c>
      <c r="G75" s="9">
        <v>25.0</v>
      </c>
      <c r="H75" s="13">
        <v>92.95</v>
      </c>
      <c r="I75" s="13">
        <v>1.992</v>
      </c>
      <c r="J75" s="13" t="str">
        <f>VLOOKUP($A75,covariates!$A$3:$H$1126,5,false)</f>
        <v>at surgery</v>
      </c>
      <c r="K75" s="55" t="str">
        <f>VLOOKUP($A75,covariates!$A$3:$H$1126,6,false)</f>
        <v/>
      </c>
      <c r="L75" s="55">
        <f>VLOOKUP($A75,covariates!$A$3:$H$1126,7,false)</f>
        <v>29.87</v>
      </c>
      <c r="M75" s="55">
        <f>VLOOKUP($A75,covariates!$A$3:$H$1126,8,false)</f>
        <v>7.304</v>
      </c>
    </row>
    <row r="76">
      <c r="A76" s="15">
        <v>100.0</v>
      </c>
      <c r="B76" s="17" t="str">
        <f t="shared" ref="B76:B77" si="41">HYPERLINK("https://github.com/d-wkim/phd/blob/main/data/pdf/zaffagnini_2011.pdf","Zaffagnini et al., 2011")</f>
        <v>Zaffagnini et al., 2011</v>
      </c>
      <c r="C76" s="15">
        <v>100.0</v>
      </c>
      <c r="D76" s="9" t="s">
        <v>42</v>
      </c>
      <c r="E76" s="7" t="s">
        <v>220</v>
      </c>
      <c r="F76" s="9" t="s">
        <v>222</v>
      </c>
      <c r="G76" s="9">
        <v>40.0</v>
      </c>
      <c r="H76" s="13">
        <v>82.0</v>
      </c>
      <c r="I76" s="13">
        <v>20.0</v>
      </c>
      <c r="J76" s="13" t="str">
        <f>VLOOKUP($A76,covariates!$A$3:$H$1126,5,false)</f>
        <v>at surgery</v>
      </c>
      <c r="K76" s="55" t="str">
        <f>VLOOKUP($A76,covariates!$A$3:$H$1126,6,false)</f>
        <v/>
      </c>
      <c r="L76" s="55">
        <f>VLOOKUP($A76,covariates!$A$3:$H$1126,7,false)</f>
        <v>26</v>
      </c>
      <c r="M76" s="55">
        <f>VLOOKUP($A76,covariates!$A$3:$H$1126,8,false)</f>
        <v>9.5</v>
      </c>
    </row>
    <row r="77">
      <c r="A77" s="15">
        <v>100.0</v>
      </c>
      <c r="B77" s="17" t="str">
        <f t="shared" si="41"/>
        <v>Zaffagnini et al., 2011</v>
      </c>
      <c r="C77" s="15">
        <v>100.0</v>
      </c>
      <c r="D77" s="9" t="s">
        <v>84</v>
      </c>
      <c r="E77" s="7" t="s">
        <v>220</v>
      </c>
      <c r="F77" s="9" t="s">
        <v>222</v>
      </c>
      <c r="G77" s="9">
        <v>39.0</v>
      </c>
      <c r="H77" s="13">
        <v>88.0</v>
      </c>
      <c r="I77" s="13">
        <v>9.0</v>
      </c>
      <c r="J77" s="13" t="str">
        <f>VLOOKUP($A77,covariates!$A$3:$H$1126,5,false)</f>
        <v>at surgery</v>
      </c>
      <c r="K77" s="55" t="str">
        <f>VLOOKUP($A77,covariates!$A$3:$H$1126,6,false)</f>
        <v/>
      </c>
      <c r="L77" s="55">
        <f>VLOOKUP($A77,covariates!$A$3:$H$1126,7,false)</f>
        <v>26</v>
      </c>
      <c r="M77" s="55">
        <f>VLOOKUP($A77,covariates!$A$3:$H$1126,8,false)</f>
        <v>9.5</v>
      </c>
    </row>
    <row r="78">
      <c r="A78" s="15">
        <v>2.0</v>
      </c>
      <c r="B78" s="17" t="str">
        <f t="shared" ref="B78:B79" si="42">HYPERLINK("https://github.com/d-wkim/phd/blob/main/data/pdf/aglietti_2004.pdf","Aglietti et al., 2004")</f>
        <v>Aglietti et al., 2004</v>
      </c>
      <c r="C78" s="15">
        <v>2.0</v>
      </c>
      <c r="D78" s="9" t="s">
        <v>42</v>
      </c>
      <c r="E78" s="7" t="s">
        <v>317</v>
      </c>
      <c r="F78" s="9" t="s">
        <v>222</v>
      </c>
      <c r="G78" s="9">
        <v>60.0</v>
      </c>
      <c r="H78" s="13">
        <v>2.2</v>
      </c>
      <c r="I78" s="13" t="str">
        <f t="shared" ref="I78:I79" si="43">iferror(RANGE_SD(G78,#REF!,#REF!),"")</f>
        <v/>
      </c>
      <c r="J78" s="13" t="str">
        <f>VLOOKUP($A78,covariates!$A$3:$H$1126,5,false)</f>
        <v>at surgery</v>
      </c>
      <c r="K78" s="55" t="str">
        <f>VLOOKUP($A78,covariates!$A$3:$H$1126,6,false)</f>
        <v/>
      </c>
      <c r="L78" s="55">
        <f>VLOOKUP($A78,covariates!$A$3:$H$1126,7,false)</f>
        <v>25</v>
      </c>
      <c r="M78" s="55">
        <f>VLOOKUP($A78,covariates!$A$3:$H$1126,8,false)</f>
        <v>4.973</v>
      </c>
    </row>
    <row r="79">
      <c r="A79" s="15">
        <v>2.0</v>
      </c>
      <c r="B79" s="17" t="str">
        <f t="shared" si="42"/>
        <v>Aglietti et al., 2004</v>
      </c>
      <c r="C79" s="15">
        <v>2.0</v>
      </c>
      <c r="D79" s="9" t="s">
        <v>84</v>
      </c>
      <c r="E79" s="7" t="s">
        <v>317</v>
      </c>
      <c r="F79" s="9" t="s">
        <v>222</v>
      </c>
      <c r="G79" s="9">
        <v>60.0</v>
      </c>
      <c r="H79" s="13">
        <v>1.95</v>
      </c>
      <c r="I79" s="13" t="str">
        <f t="shared" si="43"/>
        <v/>
      </c>
      <c r="J79" s="13" t="str">
        <f>VLOOKUP($A79,covariates!$A$3:$H$1126,5,false)</f>
        <v>at surgery</v>
      </c>
      <c r="K79" s="55" t="str">
        <f>VLOOKUP($A79,covariates!$A$3:$H$1126,6,false)</f>
        <v/>
      </c>
      <c r="L79" s="55">
        <f>VLOOKUP($A79,covariates!$A$3:$H$1126,7,false)</f>
        <v>25</v>
      </c>
      <c r="M79" s="55">
        <f>VLOOKUP($A79,covariates!$A$3:$H$1126,8,false)</f>
        <v>4.973</v>
      </c>
    </row>
    <row r="80">
      <c r="A80" s="15">
        <v>3.0</v>
      </c>
      <c r="B80" s="17" t="str">
        <f t="shared" ref="B80:B81" si="44">HYPERLINK("https://github.com/d-wkim/phd/blob/main/data/pdf/ahldén_2009.pdf","Ahldén et al., 2009")</f>
        <v>Ahldén et al., 2009</v>
      </c>
      <c r="C80" s="15">
        <v>3.0</v>
      </c>
      <c r="D80" s="9" t="s">
        <v>42</v>
      </c>
      <c r="E80" s="7" t="s">
        <v>317</v>
      </c>
      <c r="F80" s="9" t="s">
        <v>222</v>
      </c>
      <c r="G80" s="9">
        <v>25.0</v>
      </c>
      <c r="H80" s="13">
        <v>2.6</v>
      </c>
      <c r="I80" s="13">
        <v>3.3</v>
      </c>
      <c r="J80" s="13" t="str">
        <f>VLOOKUP($A80,covariates!$A$3:$H$1126,5,false)</f>
        <v>at surgery</v>
      </c>
      <c r="K80" s="55" t="str">
        <f>VLOOKUP($A80,covariates!$A$3:$H$1126,6,false)</f>
        <v/>
      </c>
      <c r="L80" s="55">
        <f>VLOOKUP($A80,covariates!$A$3:$H$1126,7,false)</f>
        <v>27.41260836</v>
      </c>
      <c r="M80" s="55">
        <f>VLOOKUP($A80,covariates!$A$3:$H$1126,8,false)</f>
        <v>8.902</v>
      </c>
    </row>
    <row r="81">
      <c r="A81" s="15">
        <v>3.0</v>
      </c>
      <c r="B81" s="17" t="str">
        <f t="shared" si="44"/>
        <v>Ahldén et al., 2009</v>
      </c>
      <c r="C81" s="15">
        <v>3.0</v>
      </c>
      <c r="D81" s="9" t="s">
        <v>84</v>
      </c>
      <c r="E81" s="7" t="s">
        <v>317</v>
      </c>
      <c r="F81" s="9" t="s">
        <v>222</v>
      </c>
      <c r="G81" s="9">
        <v>22.0</v>
      </c>
      <c r="H81" s="13">
        <v>1.4</v>
      </c>
      <c r="I81" s="13">
        <v>2.6</v>
      </c>
      <c r="J81" s="13" t="str">
        <f>VLOOKUP($A81,covariates!$A$3:$H$1126,5,false)</f>
        <v>at surgery</v>
      </c>
      <c r="K81" s="55" t="str">
        <f>VLOOKUP($A81,covariates!$A$3:$H$1126,6,false)</f>
        <v/>
      </c>
      <c r="L81" s="55">
        <f>VLOOKUP($A81,covariates!$A$3:$H$1126,7,false)</f>
        <v>27.41260836</v>
      </c>
      <c r="M81" s="55">
        <f>VLOOKUP($A81,covariates!$A$3:$H$1126,8,false)</f>
        <v>8.902</v>
      </c>
    </row>
    <row r="82">
      <c r="A82" s="15">
        <v>5.0</v>
      </c>
      <c r="B82" s="17" t="str">
        <f t="shared" ref="B82:B83" si="45">HYPERLINK("https://github.com/d-wkim/phd/blob/main/data/pdf/anderson_2001.pdf","Anderson et al., 2001")</f>
        <v>Anderson et al., 2001</v>
      </c>
      <c r="C82" s="15">
        <v>5.0</v>
      </c>
      <c r="D82" s="9" t="s">
        <v>42</v>
      </c>
      <c r="E82" s="7" t="s">
        <v>317</v>
      </c>
      <c r="F82" s="9" t="s">
        <v>222</v>
      </c>
      <c r="G82" s="9">
        <v>35.0</v>
      </c>
      <c r="H82" s="13">
        <v>2.1</v>
      </c>
      <c r="I82" s="13">
        <v>2.0</v>
      </c>
      <c r="J82" s="13" t="str">
        <f>VLOOKUP($A82,covariates!$A$3:$H$1126,5,false)</f>
        <v>at surgery</v>
      </c>
      <c r="K82" s="55" t="str">
        <f>VLOOKUP($A82,covariates!$A$3:$H$1126,6,false)</f>
        <v/>
      </c>
      <c r="L82" s="55">
        <f>VLOOKUP($A82,covariates!$A$3:$H$1126,7,false)</f>
        <v>23.6</v>
      </c>
      <c r="M82" s="55">
        <f>VLOOKUP($A82,covariates!$A$3:$H$1126,8,false)</f>
        <v>7.132</v>
      </c>
    </row>
    <row r="83">
      <c r="A83" s="15">
        <v>5.0</v>
      </c>
      <c r="B83" s="17" t="str">
        <f t="shared" si="45"/>
        <v>Anderson et al., 2001</v>
      </c>
      <c r="C83" s="15">
        <v>5.0</v>
      </c>
      <c r="D83" s="9" t="s">
        <v>84</v>
      </c>
      <c r="E83" s="7" t="s">
        <v>317</v>
      </c>
      <c r="F83" s="9" t="s">
        <v>222</v>
      </c>
      <c r="G83" s="9">
        <v>33.0</v>
      </c>
      <c r="H83" s="13">
        <v>3.1</v>
      </c>
      <c r="I83" s="13">
        <v>2.3</v>
      </c>
      <c r="J83" s="13" t="str">
        <f>VLOOKUP($A83,covariates!$A$3:$H$1126,5,false)</f>
        <v>at surgery</v>
      </c>
      <c r="K83" s="55" t="str">
        <f>VLOOKUP($A83,covariates!$A$3:$H$1126,6,false)</f>
        <v/>
      </c>
      <c r="L83" s="55">
        <f>VLOOKUP($A83,covariates!$A$3:$H$1126,7,false)</f>
        <v>23.6</v>
      </c>
      <c r="M83" s="55">
        <f>VLOOKUP($A83,covariates!$A$3:$H$1126,8,false)</f>
        <v>7.132</v>
      </c>
    </row>
    <row r="84">
      <c r="A84" s="15">
        <v>7.0</v>
      </c>
      <c r="B84" s="17" t="str">
        <f t="shared" ref="B84:B85" si="46">HYPERLINK("https://github.com/d-wkim/phd/blob/main/data/pdf/aune_2001.pdf","Aune et al., 2001")</f>
        <v>Aune et al., 2001</v>
      </c>
      <c r="C84" s="15">
        <v>7.0</v>
      </c>
      <c r="D84" s="9" t="s">
        <v>42</v>
      </c>
      <c r="E84" s="7" t="s">
        <v>317</v>
      </c>
      <c r="F84" s="9" t="s">
        <v>222</v>
      </c>
      <c r="G84" s="9">
        <v>32.0</v>
      </c>
      <c r="H84" s="13">
        <v>3.3</v>
      </c>
      <c r="I84" s="13">
        <v>2.6</v>
      </c>
      <c r="J84" s="13" t="str">
        <f>VLOOKUP($A84,covariates!$A$3:$H$1126,5,false)</f>
        <v>at surgery</v>
      </c>
      <c r="K84" s="55" t="str">
        <f>VLOOKUP($A84,covariates!$A$3:$H$1126,6,false)</f>
        <v/>
      </c>
      <c r="L84" s="55">
        <f>VLOOKUP($A84,covariates!$A$3:$H$1126,7,false)</f>
        <v>25</v>
      </c>
      <c r="M84" s="55">
        <f>VLOOKUP($A84,covariates!$A$3:$H$1126,8,false)</f>
        <v>7</v>
      </c>
    </row>
    <row r="85">
      <c r="A85" s="15">
        <v>7.0</v>
      </c>
      <c r="B85" s="17" t="str">
        <f t="shared" si="46"/>
        <v>Aune et al., 2001</v>
      </c>
      <c r="C85" s="15">
        <v>7.0</v>
      </c>
      <c r="D85" s="9" t="s">
        <v>84</v>
      </c>
      <c r="E85" s="7" t="s">
        <v>317</v>
      </c>
      <c r="F85" s="9" t="s">
        <v>222</v>
      </c>
      <c r="G85" s="9">
        <v>29.0</v>
      </c>
      <c r="H85" s="13">
        <v>2.9</v>
      </c>
      <c r="I85" s="13">
        <v>2.4</v>
      </c>
      <c r="J85" s="13" t="str">
        <f>VLOOKUP($A85,covariates!$A$3:$H$1126,5,false)</f>
        <v>at surgery</v>
      </c>
      <c r="K85" s="55" t="str">
        <f>VLOOKUP($A85,covariates!$A$3:$H$1126,6,false)</f>
        <v/>
      </c>
      <c r="L85" s="55">
        <f>VLOOKUP($A85,covariates!$A$3:$H$1126,7,false)</f>
        <v>25</v>
      </c>
      <c r="M85" s="55">
        <f>VLOOKUP($A85,covariates!$A$3:$H$1126,8,false)</f>
        <v>7</v>
      </c>
    </row>
    <row r="86">
      <c r="A86" s="15">
        <v>10.0</v>
      </c>
      <c r="B86" s="17" t="str">
        <f t="shared" ref="B86:B87" si="47">HYPERLINK("https://github.com/d-wkim/phd/blob/main/data/pdf/barié_2020.pdf","Barié et al., 2020")</f>
        <v>Barié et al., 2020</v>
      </c>
      <c r="C86" s="15">
        <v>10.0</v>
      </c>
      <c r="D86" s="9" t="s">
        <v>42</v>
      </c>
      <c r="E86" s="7" t="s">
        <v>317</v>
      </c>
      <c r="F86" s="9" t="s">
        <v>222</v>
      </c>
      <c r="G86" s="9">
        <v>43.0</v>
      </c>
      <c r="H86" s="13">
        <v>1.05</v>
      </c>
      <c r="I86" s="13">
        <v>1.36</v>
      </c>
      <c r="J86" s="13" t="str">
        <f>VLOOKUP($A86,covariates!$A$3:$H$1126,5,false)</f>
        <v>at surgery</v>
      </c>
      <c r="K86" s="55" t="str">
        <f>VLOOKUP($A86,covariates!$A$3:$H$1126,6,false)</f>
        <v/>
      </c>
      <c r="L86" s="55">
        <f>VLOOKUP($A86,covariates!$A$3:$H$1126,7,false)</f>
        <v>30.6</v>
      </c>
      <c r="M86" s="55">
        <f>VLOOKUP($A86,covariates!$A$3:$H$1126,8,false)</f>
        <v>7.5</v>
      </c>
    </row>
    <row r="87">
      <c r="A87" s="15">
        <v>10.0</v>
      </c>
      <c r="B87" s="17" t="str">
        <f t="shared" si="47"/>
        <v>Barié et al., 2020</v>
      </c>
      <c r="C87" s="15">
        <v>10.0</v>
      </c>
      <c r="D87" s="9" t="s">
        <v>200</v>
      </c>
      <c r="E87" s="7" t="s">
        <v>317</v>
      </c>
      <c r="F87" s="9" t="s">
        <v>222</v>
      </c>
      <c r="G87" s="9">
        <v>43.0</v>
      </c>
      <c r="H87" s="13">
        <v>1.0</v>
      </c>
      <c r="I87" s="13">
        <v>1.095</v>
      </c>
      <c r="J87" s="13" t="str">
        <f>VLOOKUP($A87,covariates!$A$3:$H$1126,5,false)</f>
        <v>at surgery</v>
      </c>
      <c r="K87" s="55" t="str">
        <f>VLOOKUP($A87,covariates!$A$3:$H$1126,6,false)</f>
        <v/>
      </c>
      <c r="L87" s="55">
        <f>VLOOKUP($A87,covariates!$A$3:$H$1126,7,false)</f>
        <v>30.6</v>
      </c>
      <c r="M87" s="55">
        <f>VLOOKUP($A87,covariates!$A$3:$H$1126,8,false)</f>
        <v>7.5</v>
      </c>
    </row>
    <row r="88">
      <c r="A88" s="15">
        <v>12.0</v>
      </c>
      <c r="B88" s="17" t="str">
        <f t="shared" ref="B88:B89" si="48">HYPERLINK("https://github.com/d-wkim/phd/blob/main/data/pdf/bi_2018.pdf","Bi et al., 2018")</f>
        <v>Bi et al., 2018</v>
      </c>
      <c r="C88" s="15">
        <v>12.0</v>
      </c>
      <c r="D88" s="9" t="s">
        <v>84</v>
      </c>
      <c r="E88" s="7" t="s">
        <v>317</v>
      </c>
      <c r="F88" s="9" t="s">
        <v>222</v>
      </c>
      <c r="G88" s="9">
        <v>62.0</v>
      </c>
      <c r="H88" s="13">
        <v>1.71</v>
      </c>
      <c r="I88" s="13">
        <v>0.57</v>
      </c>
      <c r="J88" s="13" t="str">
        <f>VLOOKUP($A88,covariates!$A$3:$H$1126,5,false)</f>
        <v>at surgery</v>
      </c>
      <c r="K88" s="55" t="str">
        <f>VLOOKUP($A88,covariates!$A$3:$H$1126,6,false)</f>
        <v/>
      </c>
      <c r="L88" s="55">
        <f>VLOOKUP($A88,covariates!$A$3:$H$1126,7,false)</f>
        <v>27.9</v>
      </c>
      <c r="M88" s="55">
        <f>VLOOKUP($A88,covariates!$A$3:$H$1126,8,false)</f>
        <v>6.7</v>
      </c>
    </row>
    <row r="89">
      <c r="A89" s="15">
        <v>12.0</v>
      </c>
      <c r="B89" s="17" t="str">
        <f t="shared" si="48"/>
        <v>Bi et al., 2018</v>
      </c>
      <c r="C89" s="15">
        <v>12.0</v>
      </c>
      <c r="D89" s="9" t="s">
        <v>186</v>
      </c>
      <c r="E89" s="7" t="s">
        <v>317</v>
      </c>
      <c r="F89" s="9" t="s">
        <v>222</v>
      </c>
      <c r="G89" s="9">
        <v>62.0</v>
      </c>
      <c r="H89" s="13">
        <v>1.85</v>
      </c>
      <c r="I89" s="13">
        <v>0.77</v>
      </c>
      <c r="J89" s="13" t="str">
        <f>VLOOKUP($A89,covariates!$A$3:$H$1126,5,false)</f>
        <v>at surgery</v>
      </c>
      <c r="K89" s="55" t="str">
        <f>VLOOKUP($A89,covariates!$A$3:$H$1126,6,false)</f>
        <v/>
      </c>
      <c r="L89" s="55">
        <f>VLOOKUP($A89,covariates!$A$3:$H$1126,7,false)</f>
        <v>27.9</v>
      </c>
      <c r="M89" s="55">
        <f>VLOOKUP($A89,covariates!$A$3:$H$1126,8,false)</f>
        <v>6.7</v>
      </c>
    </row>
    <row r="90">
      <c r="A90" s="15">
        <v>23.0</v>
      </c>
      <c r="B90" s="17" t="str">
        <f t="shared" ref="B90:B91" si="49">HYPERLINK("https://github.com/d-wkim/phd/blob/main/data/pdf/ejerhed_2003.pdf","Ejerhed et al., 2003")</f>
        <v>Ejerhed et al., 2003</v>
      </c>
      <c r="C90" s="15">
        <v>23.0</v>
      </c>
      <c r="D90" s="9" t="s">
        <v>42</v>
      </c>
      <c r="E90" s="7" t="s">
        <v>317</v>
      </c>
      <c r="F90" s="9" t="s">
        <v>222</v>
      </c>
      <c r="G90" s="9">
        <v>32.0</v>
      </c>
      <c r="H90" s="13" t="str">
        <f t="shared" ref="H90:H91" si="50">iferror(MEDIAN_MEAN(G90,#REF!,#REF!,#REF!),"")</f>
        <v/>
      </c>
      <c r="I90" s="13" t="str">
        <f t="shared" ref="I90:I91" si="51">iferror(RANGE_SD(G90,#REF!,#REF!),"")</f>
        <v/>
      </c>
      <c r="J90" s="13" t="str">
        <f>VLOOKUP($A90,covariates!$A$3:$H$1126,5,false)</f>
        <v>at surgery</v>
      </c>
      <c r="K90" s="55" t="str">
        <f>VLOOKUP($A90,covariates!$A$3:$H$1126,6,false)</f>
        <v/>
      </c>
      <c r="L90" s="55">
        <f>VLOOKUP($A90,covariates!$A$3:$H$1126,7,false)</f>
        <v>27.26043131</v>
      </c>
      <c r="M90" s="55">
        <f>VLOOKUP($A90,covariates!$A$3:$H$1126,8,false)</f>
        <v>8.467</v>
      </c>
    </row>
    <row r="91">
      <c r="A91" s="15">
        <v>23.0</v>
      </c>
      <c r="B91" s="17" t="str">
        <f t="shared" si="49"/>
        <v>Ejerhed et al., 2003</v>
      </c>
      <c r="C91" s="15">
        <v>23.0</v>
      </c>
      <c r="D91" s="9" t="s">
        <v>84</v>
      </c>
      <c r="E91" s="7" t="s">
        <v>317</v>
      </c>
      <c r="F91" s="9" t="s">
        <v>222</v>
      </c>
      <c r="G91" s="9">
        <v>34.0</v>
      </c>
      <c r="H91" s="13" t="str">
        <f t="shared" si="50"/>
        <v/>
      </c>
      <c r="I91" s="13" t="str">
        <f t="shared" si="51"/>
        <v/>
      </c>
      <c r="J91" s="13" t="str">
        <f>VLOOKUP($A91,covariates!$A$3:$H$1126,5,false)</f>
        <v>at surgery</v>
      </c>
      <c r="K91" s="55" t="str">
        <f>VLOOKUP($A91,covariates!$A$3:$H$1126,6,false)</f>
        <v/>
      </c>
      <c r="L91" s="55">
        <f>VLOOKUP($A91,covariates!$A$3:$H$1126,7,false)</f>
        <v>27.26043131</v>
      </c>
      <c r="M91" s="55">
        <f>VLOOKUP($A91,covariates!$A$3:$H$1126,8,false)</f>
        <v>8.467</v>
      </c>
    </row>
    <row r="92">
      <c r="A92" s="15">
        <v>25.0</v>
      </c>
      <c r="B92" s="17" t="str">
        <f t="shared" ref="B92:B93" si="52">HYPERLINK("https://github.com/d-wkim/phd/blob/main/data/pdf/eriksson_2006.pdf","Eriksson et al., 2001")</f>
        <v>Eriksson et al., 2001</v>
      </c>
      <c r="C92" s="15">
        <v>25.0</v>
      </c>
      <c r="D92" s="9" t="s">
        <v>42</v>
      </c>
      <c r="E92" s="7" t="s">
        <v>317</v>
      </c>
      <c r="F92" s="9" t="s">
        <v>222</v>
      </c>
      <c r="G92" s="9">
        <v>42.0</v>
      </c>
      <c r="H92" s="13">
        <v>0.95</v>
      </c>
      <c r="I92" s="13">
        <v>0.91</v>
      </c>
      <c r="J92" s="13" t="str">
        <f>VLOOKUP($A92,covariates!$A$3:$H$1126,5,false)</f>
        <v>at surgery</v>
      </c>
      <c r="K92" s="55" t="str">
        <f>VLOOKUP($A92,covariates!$A$3:$H$1126,6,false)</f>
        <v/>
      </c>
      <c r="L92" s="55">
        <f>VLOOKUP($A92,covariates!$A$3:$H$1126,7,false)</f>
        <v>27</v>
      </c>
      <c r="M92" s="55">
        <f>VLOOKUP($A92,covariates!$A$3:$H$1126,8,false)</f>
        <v>6</v>
      </c>
    </row>
    <row r="93">
      <c r="A93" s="15">
        <v>25.0</v>
      </c>
      <c r="B93" s="17" t="str">
        <f t="shared" si="52"/>
        <v>Eriksson et al., 2001</v>
      </c>
      <c r="C93" s="15">
        <v>25.0</v>
      </c>
      <c r="D93" s="9" t="s">
        <v>84</v>
      </c>
      <c r="E93" s="7" t="s">
        <v>317</v>
      </c>
      <c r="F93" s="9" t="s">
        <v>222</v>
      </c>
      <c r="G93" s="9">
        <v>47.0</v>
      </c>
      <c r="H93" s="13">
        <v>1.1</v>
      </c>
      <c r="I93" s="13">
        <v>0.95</v>
      </c>
      <c r="J93" s="13" t="str">
        <f>VLOOKUP($A93,covariates!$A$3:$H$1126,5,false)</f>
        <v>at surgery</v>
      </c>
      <c r="K93" s="55" t="str">
        <f>VLOOKUP($A93,covariates!$A$3:$H$1126,6,false)</f>
        <v/>
      </c>
      <c r="L93" s="55">
        <f>VLOOKUP($A93,covariates!$A$3:$H$1126,7,false)</f>
        <v>27</v>
      </c>
      <c r="M93" s="55">
        <f>VLOOKUP($A93,covariates!$A$3:$H$1126,8,false)</f>
        <v>6</v>
      </c>
    </row>
    <row r="94">
      <c r="A94" s="15">
        <v>26.0</v>
      </c>
      <c r="B94" s="17" t="str">
        <f t="shared" ref="B94:B95" si="53">HYPERLINK("https://github.com/d-wkim/phd/blob/main/data/pdf/feller_webster_2003.pdf","Feller &amp; Webster, 2003")</f>
        <v>Feller &amp; Webster, 2003</v>
      </c>
      <c r="C94" s="15">
        <v>26.0</v>
      </c>
      <c r="D94" s="9" t="s">
        <v>42</v>
      </c>
      <c r="E94" s="7" t="s">
        <v>317</v>
      </c>
      <c r="F94" s="9" t="s">
        <v>222</v>
      </c>
      <c r="G94" s="9">
        <v>27.0</v>
      </c>
      <c r="H94" s="13">
        <v>0.5</v>
      </c>
      <c r="I94" s="13">
        <v>1.0</v>
      </c>
      <c r="J94" s="13" t="str">
        <f>VLOOKUP($A94,covariates!$A$3:$H$1126,5,false)</f>
        <v>at surgery</v>
      </c>
      <c r="K94" s="55" t="str">
        <f>VLOOKUP($A94,covariates!$A$3:$H$1126,6,false)</f>
        <v/>
      </c>
      <c r="L94" s="55">
        <f>VLOOKUP($A94,covariates!$A$3:$H$1126,7,false)</f>
        <v>25.8</v>
      </c>
      <c r="M94" s="55">
        <f>VLOOKUP($A94,covariates!$A$3:$H$1126,8,false)</f>
        <v>6</v>
      </c>
    </row>
    <row r="95">
      <c r="A95" s="15">
        <v>26.0</v>
      </c>
      <c r="B95" s="17" t="str">
        <f t="shared" si="53"/>
        <v>Feller &amp; Webster, 2003</v>
      </c>
      <c r="C95" s="15">
        <v>26.0</v>
      </c>
      <c r="D95" s="9" t="s">
        <v>84</v>
      </c>
      <c r="E95" s="7" t="s">
        <v>317</v>
      </c>
      <c r="F95" s="9" t="s">
        <v>222</v>
      </c>
      <c r="G95" s="9">
        <v>21.0</v>
      </c>
      <c r="H95" s="13">
        <v>1.1</v>
      </c>
      <c r="I95" s="13">
        <v>1.2</v>
      </c>
      <c r="J95" s="13" t="str">
        <f>VLOOKUP($A95,covariates!$A$3:$H$1126,5,false)</f>
        <v>at surgery</v>
      </c>
      <c r="K95" s="55" t="str">
        <f>VLOOKUP($A95,covariates!$A$3:$H$1126,6,false)</f>
        <v/>
      </c>
      <c r="L95" s="55">
        <f>VLOOKUP($A95,covariates!$A$3:$H$1126,7,false)</f>
        <v>25.8</v>
      </c>
      <c r="M95" s="55">
        <f>VLOOKUP($A95,covariates!$A$3:$H$1126,8,false)</f>
        <v>6</v>
      </c>
    </row>
    <row r="96">
      <c r="A96" s="15">
        <v>30.0</v>
      </c>
      <c r="B96" s="17" t="str">
        <f t="shared" ref="B96:B97" si="54">HYPERLINK("https://github.com/d-wkim/phd/blob/main/data/pdf/gifstad_2013.pdf","Gifstad et al., 2013")</f>
        <v>Gifstad et al., 2013</v>
      </c>
      <c r="C96" s="15">
        <v>30.0</v>
      </c>
      <c r="D96" s="9" t="s">
        <v>42</v>
      </c>
      <c r="E96" s="7" t="s">
        <v>317</v>
      </c>
      <c r="F96" s="9" t="s">
        <v>222</v>
      </c>
      <c r="G96" s="9">
        <v>41.0</v>
      </c>
      <c r="H96" s="13">
        <v>1.4</v>
      </c>
      <c r="I96" s="13">
        <v>1.8</v>
      </c>
      <c r="J96" s="13" t="str">
        <f>VLOOKUP($A96,covariates!$A$3:$H$1126,5,false)</f>
        <v>at surgery</v>
      </c>
      <c r="K96" s="55" t="str">
        <f>VLOOKUP($A96,covariates!$A$3:$H$1126,6,false)</f>
        <v/>
      </c>
      <c r="L96" s="55">
        <f>VLOOKUP($A96,covariates!$A$3:$H$1126,7,false)</f>
        <v>27</v>
      </c>
      <c r="M96" s="55">
        <f>VLOOKUP($A96,covariates!$A$3:$H$1126,8,false)</f>
        <v>6.74</v>
      </c>
    </row>
    <row r="97">
      <c r="A97" s="15">
        <v>30.0</v>
      </c>
      <c r="B97" s="17" t="str">
        <f t="shared" si="54"/>
        <v>Gifstad et al., 2013</v>
      </c>
      <c r="C97" s="15">
        <v>30.0</v>
      </c>
      <c r="D97" s="9" t="s">
        <v>84</v>
      </c>
      <c r="E97" s="7" t="s">
        <v>317</v>
      </c>
      <c r="F97" s="9" t="s">
        <v>222</v>
      </c>
      <c r="G97" s="9">
        <v>36.0</v>
      </c>
      <c r="H97" s="13">
        <v>1.4</v>
      </c>
      <c r="I97" s="13">
        <v>1.4</v>
      </c>
      <c r="J97" s="13" t="str">
        <f>VLOOKUP($A97,covariates!$A$3:$H$1126,5,false)</f>
        <v>at surgery</v>
      </c>
      <c r="K97" s="55" t="str">
        <f>VLOOKUP($A97,covariates!$A$3:$H$1126,6,false)</f>
        <v/>
      </c>
      <c r="L97" s="55">
        <f>VLOOKUP($A97,covariates!$A$3:$H$1126,7,false)</f>
        <v>27</v>
      </c>
      <c r="M97" s="55">
        <f>VLOOKUP($A97,covariates!$A$3:$H$1126,8,false)</f>
        <v>6.74</v>
      </c>
    </row>
    <row r="98">
      <c r="A98" s="15">
        <v>33.0</v>
      </c>
      <c r="B98" s="17" t="str">
        <f t="shared" ref="B98:B99" si="55">HYPERLINK("https://github.com/d-wkim/phd/blob/main/data/pdf/harilainen_2006.pdf","Harilainen et al., 2006")</f>
        <v>Harilainen et al., 2006</v>
      </c>
      <c r="C98" s="15">
        <v>33.0</v>
      </c>
      <c r="D98" s="9" t="s">
        <v>42</v>
      </c>
      <c r="E98" s="7" t="s">
        <v>317</v>
      </c>
      <c r="F98" s="9" t="s">
        <v>222</v>
      </c>
      <c r="G98" s="9">
        <v>37.0</v>
      </c>
      <c r="H98" s="13">
        <v>1.5</v>
      </c>
      <c r="I98" s="13">
        <v>3.0</v>
      </c>
      <c r="J98" s="13" t="str">
        <f>VLOOKUP($A98,covariates!$A$3:$H$1126,5,false)</f>
        <v>at surgery</v>
      </c>
      <c r="K98" s="55" t="str">
        <f>VLOOKUP($A98,covariates!$A$3:$H$1126,6,false)</f>
        <v/>
      </c>
      <c r="L98" s="55" t="str">
        <f>VLOOKUP($A98,covariates!$A$3:$H$1126,7,false)</f>
        <v/>
      </c>
      <c r="M98" s="55" t="str">
        <f>VLOOKUP($A98,covariates!$A$3:$H$1126,8,false)</f>
        <v/>
      </c>
    </row>
    <row r="99">
      <c r="A99" s="15">
        <v>33.0</v>
      </c>
      <c r="B99" s="17" t="str">
        <f t="shared" si="55"/>
        <v>Harilainen et al., 2006</v>
      </c>
      <c r="C99" s="15">
        <v>33.0</v>
      </c>
      <c r="D99" s="9" t="s">
        <v>84</v>
      </c>
      <c r="E99" s="7" t="s">
        <v>317</v>
      </c>
      <c r="F99" s="9" t="s">
        <v>222</v>
      </c>
      <c r="G99" s="9">
        <v>37.0</v>
      </c>
      <c r="H99" s="13">
        <v>1.2</v>
      </c>
      <c r="I99" s="13">
        <v>3.9</v>
      </c>
      <c r="J99" s="13" t="str">
        <f>VLOOKUP($A99,covariates!$A$3:$H$1126,5,false)</f>
        <v>at surgery</v>
      </c>
      <c r="K99" s="55" t="str">
        <f>VLOOKUP($A99,covariates!$A$3:$H$1126,6,false)</f>
        <v/>
      </c>
      <c r="L99" s="55" t="str">
        <f>VLOOKUP($A99,covariates!$A$3:$H$1126,7,false)</f>
        <v/>
      </c>
      <c r="M99" s="55" t="str">
        <f>VLOOKUP($A99,covariates!$A$3:$H$1126,8,false)</f>
        <v/>
      </c>
    </row>
    <row r="100">
      <c r="A100" s="15">
        <v>35.0</v>
      </c>
      <c r="B100" s="17" t="str">
        <f t="shared" ref="B100:B101" si="56">HYPERLINK("https://github.com/d-wkim/phd/blob/main/data/pdf/holm_2010.pdf","Holm et al., 2010")</f>
        <v>Holm et al., 2010</v>
      </c>
      <c r="C100" s="15">
        <v>35.0</v>
      </c>
      <c r="D100" s="9" t="s">
        <v>42</v>
      </c>
      <c r="E100" s="7" t="s">
        <v>317</v>
      </c>
      <c r="F100" s="9" t="s">
        <v>222</v>
      </c>
      <c r="G100" s="9">
        <v>28.0</v>
      </c>
      <c r="H100" s="13">
        <v>3.0</v>
      </c>
      <c r="I100" s="13">
        <v>3.2</v>
      </c>
      <c r="J100" s="13" t="str">
        <f>VLOOKUP($A100,covariates!$A$3:$H$1126,5,false)</f>
        <v>at surgery</v>
      </c>
      <c r="K100" s="55" t="str">
        <f>VLOOKUP($A100,covariates!$A$3:$H$1126,6,false)</f>
        <v/>
      </c>
      <c r="L100" s="55">
        <f>VLOOKUP($A100,covariates!$A$3:$H$1126,7,false)</f>
        <v>33.9</v>
      </c>
      <c r="M100" s="55">
        <f>VLOOKUP($A100,covariates!$A$3:$H$1126,8,false)</f>
        <v>6.2</v>
      </c>
    </row>
    <row r="101">
      <c r="A101" s="15">
        <v>35.0</v>
      </c>
      <c r="B101" s="17" t="str">
        <f t="shared" si="56"/>
        <v>Holm et al., 2010</v>
      </c>
      <c r="C101" s="15">
        <v>35.0</v>
      </c>
      <c r="D101" s="9" t="s">
        <v>84</v>
      </c>
      <c r="E101" s="7" t="s">
        <v>317</v>
      </c>
      <c r="F101" s="9" t="s">
        <v>222</v>
      </c>
      <c r="G101" s="9">
        <v>29.0</v>
      </c>
      <c r="H101" s="13">
        <v>2.0</v>
      </c>
      <c r="I101" s="13">
        <v>3.5</v>
      </c>
      <c r="J101" s="13" t="str">
        <f>VLOOKUP($A101,covariates!$A$3:$H$1126,5,false)</f>
        <v>at surgery</v>
      </c>
      <c r="K101" s="55" t="str">
        <f>VLOOKUP($A101,covariates!$A$3:$H$1126,6,false)</f>
        <v/>
      </c>
      <c r="L101" s="55">
        <f>VLOOKUP($A101,covariates!$A$3:$H$1126,7,false)</f>
        <v>33.9</v>
      </c>
      <c r="M101" s="55">
        <f>VLOOKUP($A101,covariates!$A$3:$H$1126,8,false)</f>
        <v>6.2</v>
      </c>
    </row>
    <row r="102">
      <c r="A102" s="15">
        <v>36.0</v>
      </c>
      <c r="B102" s="17" t="str">
        <f t="shared" ref="B102:B103" si="57">HYPERLINK("https://github.com/d-wkim/phd/blob/main/data/pdf/horstmann_2022.pdf","Horstmann et al., 2022")</f>
        <v>Horstmann et al., 2022</v>
      </c>
      <c r="C102" s="15">
        <v>36.0</v>
      </c>
      <c r="D102" s="9" t="s">
        <v>84</v>
      </c>
      <c r="E102" s="7" t="s">
        <v>317</v>
      </c>
      <c r="F102" s="9" t="s">
        <v>222</v>
      </c>
      <c r="G102" s="68">
        <v>26.0</v>
      </c>
      <c r="H102" s="13">
        <v>0.2</v>
      </c>
      <c r="I102" s="13">
        <v>2.2</v>
      </c>
      <c r="J102" s="13" t="str">
        <f>VLOOKUP($A102,covariates!$A$3:$H$1126,5,false)</f>
        <v>at surgery</v>
      </c>
      <c r="K102" s="55" t="str">
        <f>VLOOKUP($A102,covariates!$A$3:$H$1126,6,false)</f>
        <v/>
      </c>
      <c r="L102" s="55">
        <f>VLOOKUP($A102,covariates!$A$3:$H$1126,7,false)</f>
        <v>32.7</v>
      </c>
      <c r="M102" s="55">
        <f>VLOOKUP($A102,covariates!$A$3:$H$1126,8,false)</f>
        <v>11.4</v>
      </c>
    </row>
    <row r="103">
      <c r="A103" s="15">
        <v>36.0</v>
      </c>
      <c r="B103" s="17" t="str">
        <f t="shared" si="57"/>
        <v>Horstmann et al., 2022</v>
      </c>
      <c r="C103" s="15">
        <v>36.0</v>
      </c>
      <c r="D103" s="9" t="s">
        <v>200</v>
      </c>
      <c r="E103" s="7" t="s">
        <v>317</v>
      </c>
      <c r="F103" s="9" t="s">
        <v>222</v>
      </c>
      <c r="G103" s="9">
        <v>23.0</v>
      </c>
      <c r="H103" s="13">
        <v>0.7</v>
      </c>
      <c r="I103" s="13">
        <v>1.1</v>
      </c>
      <c r="J103" s="13" t="str">
        <f>VLOOKUP($A103,covariates!$A$3:$H$1126,5,false)</f>
        <v>at surgery</v>
      </c>
      <c r="K103" s="55" t="str">
        <f>VLOOKUP($A103,covariates!$A$3:$H$1126,6,false)</f>
        <v/>
      </c>
      <c r="L103" s="55">
        <f>VLOOKUP($A103,covariates!$A$3:$H$1126,7,false)</f>
        <v>32.7</v>
      </c>
      <c r="M103" s="55">
        <f>VLOOKUP($A103,covariates!$A$3:$H$1126,8,false)</f>
        <v>11.4</v>
      </c>
    </row>
    <row r="104">
      <c r="A104" s="15">
        <v>41.0</v>
      </c>
      <c r="B104" s="17" t="str">
        <f t="shared" ref="B104:B105" si="58">HYPERLINK("https://github.com/d-wkim/phd/blob/main/data/pdf/jansson_2003.pdf","Jansson et al., 2003")</f>
        <v>Jansson et al., 2003</v>
      </c>
      <c r="C104" s="15">
        <v>41.0</v>
      </c>
      <c r="D104" s="9" t="s">
        <v>42</v>
      </c>
      <c r="E104" s="7" t="s">
        <v>317</v>
      </c>
      <c r="F104" s="9" t="s">
        <v>222</v>
      </c>
      <c r="G104" s="9">
        <v>43.0</v>
      </c>
      <c r="H104" s="13">
        <v>1.7</v>
      </c>
      <c r="I104" s="13" t="str">
        <f t="shared" ref="I104:I112" si="59">iferror(RANGE_SD(G104,#REF!,#REF!),"")</f>
        <v/>
      </c>
      <c r="J104" s="13" t="str">
        <f>VLOOKUP($A104,covariates!$A$3:$H$1126,5,false)</f>
        <v>at surgery</v>
      </c>
      <c r="K104" s="55" t="str">
        <f>VLOOKUP($A104,covariates!$A$3:$H$1126,6,false)</f>
        <v/>
      </c>
      <c r="L104" s="55" t="str">
        <f>VLOOKUP($A104,covariates!$A$3:$H$1126,7,false)</f>
        <v/>
      </c>
      <c r="M104" s="55" t="str">
        <f>VLOOKUP($A104,covariates!$A$3:$H$1126,8,false)</f>
        <v/>
      </c>
    </row>
    <row r="105">
      <c r="A105" s="15">
        <v>41.0</v>
      </c>
      <c r="B105" s="17" t="str">
        <f t="shared" si="58"/>
        <v>Jansson et al., 2003</v>
      </c>
      <c r="C105" s="15">
        <v>41.0</v>
      </c>
      <c r="D105" s="9" t="s">
        <v>84</v>
      </c>
      <c r="E105" s="7" t="s">
        <v>317</v>
      </c>
      <c r="F105" s="9" t="s">
        <v>222</v>
      </c>
      <c r="G105" s="9">
        <v>46.0</v>
      </c>
      <c r="H105" s="13">
        <v>1.2</v>
      </c>
      <c r="I105" s="13" t="str">
        <f t="shared" si="59"/>
        <v/>
      </c>
      <c r="J105" s="13" t="str">
        <f>VLOOKUP($A105,covariates!$A$3:$H$1126,5,false)</f>
        <v>at surgery</v>
      </c>
      <c r="K105" s="55" t="str">
        <f>VLOOKUP($A105,covariates!$A$3:$H$1126,6,false)</f>
        <v/>
      </c>
      <c r="L105" s="55" t="str">
        <f>VLOOKUP($A105,covariates!$A$3:$H$1126,7,false)</f>
        <v/>
      </c>
      <c r="M105" s="55" t="str">
        <f>VLOOKUP($A105,covariates!$A$3:$H$1126,8,false)</f>
        <v/>
      </c>
    </row>
    <row r="106">
      <c r="A106" s="15">
        <v>43.0</v>
      </c>
      <c r="B106" s="17" t="str">
        <f t="shared" ref="B106:B107" si="60">HYPERLINK("https://github.com/d-wkim/phd/blob/main/data/pdf/kautzner_2015.pdf","Kautzner et al., 2015")</f>
        <v>Kautzner et al., 2015</v>
      </c>
      <c r="C106" s="15">
        <v>43.0</v>
      </c>
      <c r="D106" s="9" t="s">
        <v>42</v>
      </c>
      <c r="E106" s="7" t="s">
        <v>317</v>
      </c>
      <c r="F106" s="9" t="s">
        <v>222</v>
      </c>
      <c r="G106" s="9">
        <v>74.0</v>
      </c>
      <c r="H106" s="13">
        <v>0.6</v>
      </c>
      <c r="I106" s="13" t="str">
        <f t="shared" si="59"/>
        <v/>
      </c>
      <c r="J106" s="13" t="str">
        <f>VLOOKUP($A106,covariates!$A$3:$H$1126,5,false)</f>
        <v>at surgery</v>
      </c>
      <c r="K106" s="55" t="str">
        <f>VLOOKUP($A106,covariates!$A$3:$H$1126,6,false)</f>
        <v/>
      </c>
      <c r="L106" s="55">
        <f>VLOOKUP($A106,covariates!$A$3:$H$1126,7,false)</f>
        <v>26</v>
      </c>
      <c r="M106" s="55">
        <f>VLOOKUP($A106,covariates!$A$3:$H$1126,8,false)</f>
        <v>6.275</v>
      </c>
    </row>
    <row r="107">
      <c r="A107" s="15">
        <v>43.0</v>
      </c>
      <c r="B107" s="17" t="str">
        <f t="shared" si="60"/>
        <v>Kautzner et al., 2015</v>
      </c>
      <c r="C107" s="15">
        <v>43.0</v>
      </c>
      <c r="D107" s="9" t="s">
        <v>84</v>
      </c>
      <c r="E107" s="7" t="s">
        <v>317</v>
      </c>
      <c r="F107" s="9" t="s">
        <v>222</v>
      </c>
      <c r="G107" s="9">
        <v>73.0</v>
      </c>
      <c r="H107" s="13">
        <v>0.5</v>
      </c>
      <c r="I107" s="13" t="str">
        <f t="shared" si="59"/>
        <v/>
      </c>
      <c r="J107" s="13" t="str">
        <f>VLOOKUP($A107,covariates!$A$3:$H$1126,5,false)</f>
        <v>at surgery</v>
      </c>
      <c r="K107" s="55" t="str">
        <f>VLOOKUP($A107,covariates!$A$3:$H$1126,6,false)</f>
        <v/>
      </c>
      <c r="L107" s="55">
        <f>VLOOKUP($A107,covariates!$A$3:$H$1126,7,false)</f>
        <v>26</v>
      </c>
      <c r="M107" s="55">
        <f>VLOOKUP($A107,covariates!$A$3:$H$1126,8,false)</f>
        <v>6.275</v>
      </c>
    </row>
    <row r="108">
      <c r="A108" s="15">
        <v>45.0</v>
      </c>
      <c r="B108" s="17" t="str">
        <f t="shared" ref="B108:B109" si="61">HYPERLINK("https://github.com/d-wkim/phd/blob/main/data/pdf/konrads_2016.pdf","Konrads et al., 2016")</f>
        <v>Konrads et al., 2016</v>
      </c>
      <c r="C108" s="15">
        <v>45.0</v>
      </c>
      <c r="D108" s="9" t="s">
        <v>42</v>
      </c>
      <c r="E108" s="7" t="s">
        <v>317</v>
      </c>
      <c r="F108" s="9" t="s">
        <v>222</v>
      </c>
      <c r="G108" s="9">
        <v>24.0</v>
      </c>
      <c r="H108" s="13">
        <v>1.8</v>
      </c>
      <c r="I108" s="13" t="str">
        <f t="shared" si="59"/>
        <v/>
      </c>
      <c r="J108" s="13" t="str">
        <f>VLOOKUP($A108,covariates!$A$3:$H$1126,5,false)</f>
        <v>at surgery</v>
      </c>
      <c r="K108" s="55" t="str">
        <f>VLOOKUP($A108,covariates!$A$3:$H$1126,6,false)</f>
        <v/>
      </c>
      <c r="L108" s="55">
        <f>VLOOKUP($A108,covariates!$A$3:$H$1126,7,false)</f>
        <v>29.8</v>
      </c>
      <c r="M108" s="55">
        <f>VLOOKUP($A108,covariates!$A$3:$H$1126,8,false)</f>
        <v>6.33</v>
      </c>
    </row>
    <row r="109">
      <c r="A109" s="15">
        <v>45.0</v>
      </c>
      <c r="B109" s="17" t="str">
        <f t="shared" si="61"/>
        <v>Konrads et al., 2016</v>
      </c>
      <c r="C109" s="15">
        <v>45.0</v>
      </c>
      <c r="D109" s="9" t="s">
        <v>84</v>
      </c>
      <c r="E109" s="7" t="s">
        <v>317</v>
      </c>
      <c r="F109" s="9" t="s">
        <v>222</v>
      </c>
      <c r="G109" s="9">
        <v>23.0</v>
      </c>
      <c r="H109" s="13">
        <v>2.2</v>
      </c>
      <c r="I109" s="13" t="str">
        <f t="shared" si="59"/>
        <v/>
      </c>
      <c r="J109" s="13" t="str">
        <f>VLOOKUP($A109,covariates!$A$3:$H$1126,5,false)</f>
        <v>at surgery</v>
      </c>
      <c r="K109" s="55" t="str">
        <f>VLOOKUP($A109,covariates!$A$3:$H$1126,6,false)</f>
        <v/>
      </c>
      <c r="L109" s="55">
        <f>VLOOKUP($A109,covariates!$A$3:$H$1126,7,false)</f>
        <v>29.8</v>
      </c>
      <c r="M109" s="55">
        <f>VLOOKUP($A109,covariates!$A$3:$H$1126,8,false)</f>
        <v>6.33</v>
      </c>
    </row>
    <row r="110">
      <c r="A110" s="15">
        <v>46.0</v>
      </c>
      <c r="B110" s="17" t="str">
        <f t="shared" ref="B110:B111" si="62">HYPERLINK("https://github.com/d-wkim/phd/blob/main/data/pdf/laoruengthana_2009.pdf","Laoruengthana et al., 2009")</f>
        <v>Laoruengthana et al., 2009</v>
      </c>
      <c r="C110" s="15">
        <v>46.0</v>
      </c>
      <c r="D110" s="9" t="s">
        <v>42</v>
      </c>
      <c r="E110" s="7" t="s">
        <v>317</v>
      </c>
      <c r="F110" s="9" t="s">
        <v>222</v>
      </c>
      <c r="G110" s="9">
        <v>15.0</v>
      </c>
      <c r="H110" s="13">
        <v>1.22</v>
      </c>
      <c r="I110" s="13" t="str">
        <f t="shared" si="59"/>
        <v/>
      </c>
      <c r="J110" s="13" t="str">
        <f>VLOOKUP($A110,covariates!$A$3:$H$1126,5,false)</f>
        <v>at surgery</v>
      </c>
      <c r="K110" s="55" t="str">
        <f>VLOOKUP($A110,covariates!$A$3:$H$1126,6,false)</f>
        <v/>
      </c>
      <c r="L110" s="55">
        <f>VLOOKUP($A110,covariates!$A$3:$H$1126,7,false)</f>
        <v>29.93</v>
      </c>
      <c r="M110" s="55">
        <f>VLOOKUP($A110,covariates!$A$3:$H$1126,8,false)</f>
        <v>8.911</v>
      </c>
    </row>
    <row r="111">
      <c r="A111" s="15">
        <v>46.0</v>
      </c>
      <c r="B111" s="17" t="str">
        <f t="shared" si="62"/>
        <v>Laoruengthana et al., 2009</v>
      </c>
      <c r="C111" s="15">
        <v>46.0</v>
      </c>
      <c r="D111" s="9" t="s">
        <v>84</v>
      </c>
      <c r="E111" s="7" t="s">
        <v>317</v>
      </c>
      <c r="F111" s="9" t="s">
        <v>222</v>
      </c>
      <c r="G111" s="9">
        <v>13.0</v>
      </c>
      <c r="H111" s="13">
        <v>0.96</v>
      </c>
      <c r="I111" s="13" t="str">
        <f t="shared" si="59"/>
        <v/>
      </c>
      <c r="J111" s="13" t="str">
        <f>VLOOKUP($A111,covariates!$A$3:$H$1126,5,false)</f>
        <v>at surgery</v>
      </c>
      <c r="K111" s="55" t="str">
        <f>VLOOKUP($A111,covariates!$A$3:$H$1126,6,false)</f>
        <v/>
      </c>
      <c r="L111" s="55">
        <f>VLOOKUP($A111,covariates!$A$3:$H$1126,7,false)</f>
        <v>29.93</v>
      </c>
      <c r="M111" s="55">
        <f>VLOOKUP($A111,covariates!$A$3:$H$1126,8,false)</f>
        <v>8.911</v>
      </c>
    </row>
    <row r="112">
      <c r="A112" s="15">
        <v>49.0</v>
      </c>
      <c r="B112" s="17" t="str">
        <f t="shared" ref="B112:B113" si="63">HYPERLINK("https://github.com/d-wkim/phd/blob/main/data/pdf/laxdal_2005.pdf","Laxdal et al., 2005")</f>
        <v>Laxdal et al., 2005</v>
      </c>
      <c r="C112" s="15">
        <v>49.0</v>
      </c>
      <c r="D112" s="9" t="s">
        <v>42</v>
      </c>
      <c r="E112" s="7" t="s">
        <v>317</v>
      </c>
      <c r="F112" s="9" t="s">
        <v>222</v>
      </c>
      <c r="G112" s="9">
        <v>40.0</v>
      </c>
      <c r="H112" s="13">
        <v>1.0</v>
      </c>
      <c r="I112" s="13" t="str">
        <f t="shared" si="59"/>
        <v/>
      </c>
      <c r="J112" s="13" t="str">
        <f>VLOOKUP($A112,covariates!$A$3:$H$1126,5,false)</f>
        <v>at surgery</v>
      </c>
      <c r="K112" s="55" t="str">
        <f>VLOOKUP($A112,covariates!$A$3:$H$1126,6,false)</f>
        <v/>
      </c>
      <c r="L112" s="55">
        <f>VLOOKUP($A112,covariates!$A$3:$H$1126,7,false)</f>
        <v>28</v>
      </c>
      <c r="M112" s="55">
        <f>VLOOKUP($A112,covariates!$A$3:$H$1126,8,false)</f>
        <v>8.347</v>
      </c>
    </row>
    <row r="113">
      <c r="A113" s="9">
        <v>49.0</v>
      </c>
      <c r="B113" s="17" t="str">
        <f t="shared" si="63"/>
        <v>Laxdal et al., 2005</v>
      </c>
      <c r="C113" s="9">
        <v>49.0</v>
      </c>
      <c r="D113" s="9" t="s">
        <v>84</v>
      </c>
      <c r="E113" s="7" t="s">
        <v>317</v>
      </c>
      <c r="F113" s="9" t="s">
        <v>222</v>
      </c>
      <c r="G113" s="9">
        <v>78.0</v>
      </c>
      <c r="H113" s="13">
        <v>1.5</v>
      </c>
      <c r="I113" s="13">
        <v>3.117862011891075</v>
      </c>
      <c r="J113" s="13" t="str">
        <f>VLOOKUP($A113,covariates!$A$3:$H$1126,5,false)</f>
        <v>at surgery</v>
      </c>
      <c r="K113" s="55" t="str">
        <f>VLOOKUP($A113,covariates!$A$3:$H$1126,6,false)</f>
        <v/>
      </c>
      <c r="L113" s="55">
        <f>VLOOKUP($A113,covariates!$A$3:$H$1126,7,false)</f>
        <v>28</v>
      </c>
      <c r="M113" s="55">
        <f>VLOOKUP($A113,covariates!$A$3:$H$1126,8,false)</f>
        <v>8.347</v>
      </c>
    </row>
    <row r="114">
      <c r="A114" s="15">
        <v>51.0</v>
      </c>
      <c r="B114" s="17" t="str">
        <f t="shared" ref="B114:B115" si="64">HYPERLINK("https://github.com/d-wkim/phd/blob/main/data/pdf/li_2015.pdf","Li et al., 2015")</f>
        <v>Li et al., 2015</v>
      </c>
      <c r="C114" s="15">
        <v>51.0</v>
      </c>
      <c r="D114" s="9" t="s">
        <v>84</v>
      </c>
      <c r="E114" s="7" t="s">
        <v>317</v>
      </c>
      <c r="F114" s="9" t="s">
        <v>222</v>
      </c>
      <c r="G114" s="9">
        <v>32.0</v>
      </c>
      <c r="H114" s="13">
        <v>2.1</v>
      </c>
      <c r="I114" s="13">
        <v>1.6</v>
      </c>
      <c r="J114" s="13" t="str">
        <f>VLOOKUP($A114,covariates!$A$3:$H$1126,5,false)</f>
        <v>at surgery</v>
      </c>
      <c r="K114" s="55" t="str">
        <f>VLOOKUP($A114,covariates!$A$3:$H$1126,6,false)</f>
        <v/>
      </c>
      <c r="L114" s="55">
        <f>VLOOKUP($A114,covariates!$A$3:$H$1126,7,false)</f>
        <v>29.8</v>
      </c>
      <c r="M114" s="55">
        <f>VLOOKUP($A114,covariates!$A$3:$H$1126,8,false)</f>
        <v>7.9</v>
      </c>
    </row>
    <row r="115">
      <c r="A115" s="15">
        <v>51.0</v>
      </c>
      <c r="B115" s="17" t="str">
        <f t="shared" si="64"/>
        <v>Li et al., 2015</v>
      </c>
      <c r="C115" s="15">
        <v>51.0</v>
      </c>
      <c r="D115" s="9" t="s">
        <v>205</v>
      </c>
      <c r="E115" s="7" t="s">
        <v>317</v>
      </c>
      <c r="F115" s="9" t="s">
        <v>222</v>
      </c>
      <c r="G115" s="9">
        <v>32.0</v>
      </c>
      <c r="H115" s="13">
        <v>3.5</v>
      </c>
      <c r="I115" s="13">
        <v>1.2</v>
      </c>
      <c r="J115" s="13" t="str">
        <f>VLOOKUP($A115,covariates!$A$3:$H$1126,5,false)</f>
        <v>at surgery</v>
      </c>
      <c r="K115" s="55" t="str">
        <f>VLOOKUP($A115,covariates!$A$3:$H$1126,6,false)</f>
        <v/>
      </c>
      <c r="L115" s="55">
        <f>VLOOKUP($A115,covariates!$A$3:$H$1126,7,false)</f>
        <v>29.8</v>
      </c>
      <c r="M115" s="55">
        <f>VLOOKUP($A115,covariates!$A$3:$H$1126,8,false)</f>
        <v>7.9</v>
      </c>
    </row>
    <row r="116">
      <c r="A116" s="15">
        <v>52.0</v>
      </c>
      <c r="B116" s="17" t="str">
        <f t="shared" ref="B116:B117" si="65">HYPERLINK("https://github.com/d-wkim/phd/blob/main/data/pdf/lidén_2007.pdf","Lidén et al., 2007")</f>
        <v>Lidén et al., 2007</v>
      </c>
      <c r="C116" s="15">
        <v>52.0</v>
      </c>
      <c r="D116" s="9" t="s">
        <v>42</v>
      </c>
      <c r="E116" s="7" t="s">
        <v>317</v>
      </c>
      <c r="F116" s="9" t="s">
        <v>222</v>
      </c>
      <c r="G116" s="9">
        <v>30.0</v>
      </c>
      <c r="H116" s="13">
        <v>2.3</v>
      </c>
      <c r="I116" s="13" t="str">
        <f t="shared" ref="I116:I117" si="66">iferror(RANGE_SD(G116,#REF!,#REF!),"")</f>
        <v/>
      </c>
      <c r="J116" s="13" t="str">
        <f>VLOOKUP($A116,covariates!$A$3:$H$1126,5,false)</f>
        <v>at surgery</v>
      </c>
      <c r="K116" s="55" t="str">
        <f>VLOOKUP($A116,covariates!$A$3:$H$1126,6,false)</f>
        <v/>
      </c>
      <c r="L116" s="55">
        <f>VLOOKUP($A116,covariates!$A$3:$H$1126,7,false)</f>
        <v>28</v>
      </c>
      <c r="M116" s="55">
        <f>VLOOKUP($A116,covariates!$A$3:$H$1126,8,false)</f>
        <v>8.368</v>
      </c>
    </row>
    <row r="117">
      <c r="A117" s="15">
        <v>52.0</v>
      </c>
      <c r="B117" s="17" t="str">
        <f t="shared" si="65"/>
        <v>Lidén et al., 2007</v>
      </c>
      <c r="C117" s="15">
        <v>52.0</v>
      </c>
      <c r="D117" s="9" t="s">
        <v>84</v>
      </c>
      <c r="E117" s="7" t="s">
        <v>317</v>
      </c>
      <c r="F117" s="9" t="s">
        <v>222</v>
      </c>
      <c r="G117" s="9">
        <v>32.0</v>
      </c>
      <c r="H117" s="13">
        <v>2.7</v>
      </c>
      <c r="I117" s="13" t="str">
        <f t="shared" si="66"/>
        <v/>
      </c>
      <c r="J117" s="13" t="str">
        <f>VLOOKUP($A117,covariates!$A$3:$H$1126,5,false)</f>
        <v>at surgery</v>
      </c>
      <c r="K117" s="55" t="str">
        <f>VLOOKUP($A117,covariates!$A$3:$H$1126,6,false)</f>
        <v/>
      </c>
      <c r="L117" s="55">
        <f>VLOOKUP($A117,covariates!$A$3:$H$1126,7,false)</f>
        <v>28</v>
      </c>
      <c r="M117" s="55">
        <f>VLOOKUP($A117,covariates!$A$3:$H$1126,8,false)</f>
        <v>8.368</v>
      </c>
    </row>
    <row r="118">
      <c r="A118" s="15">
        <v>53.0</v>
      </c>
      <c r="B118" s="17" t="str">
        <f t="shared" ref="B118:B119" si="67">HYPERLINK("https://github.com/d-wkim/phd/blob/main/data/pdf/lind_2020.pdf","Lind et al., 2020")</f>
        <v>Lind et al., 2020</v>
      </c>
      <c r="C118" s="15">
        <v>53.0</v>
      </c>
      <c r="D118" s="9" t="s">
        <v>84</v>
      </c>
      <c r="E118" s="7" t="s">
        <v>317</v>
      </c>
      <c r="F118" s="9" t="s">
        <v>222</v>
      </c>
      <c r="G118" s="9">
        <v>49.0</v>
      </c>
      <c r="H118" s="13">
        <v>1.9</v>
      </c>
      <c r="I118" s="13">
        <v>1.7</v>
      </c>
      <c r="J118" s="13" t="str">
        <f>VLOOKUP($A118,covariates!$A$3:$H$1126,5,false)</f>
        <v>at surgery</v>
      </c>
      <c r="K118" s="55" t="str">
        <f>VLOOKUP($A118,covariates!$A$3:$H$1126,6,false)</f>
        <v/>
      </c>
      <c r="L118" s="55">
        <f>VLOOKUP($A118,covariates!$A$3:$H$1126,7,false)</f>
        <v>27.1</v>
      </c>
      <c r="M118" s="55">
        <f>VLOOKUP($A118,covariates!$A$3:$H$1126,8,false)</f>
        <v>6.1</v>
      </c>
    </row>
    <row r="119">
      <c r="A119" s="15">
        <v>53.0</v>
      </c>
      <c r="B119" s="17" t="str">
        <f t="shared" si="67"/>
        <v>Lind et al., 2020</v>
      </c>
      <c r="C119" s="15">
        <v>53.0</v>
      </c>
      <c r="D119" s="9" t="s">
        <v>200</v>
      </c>
      <c r="E119" s="7" t="s">
        <v>317</v>
      </c>
      <c r="F119" s="9" t="s">
        <v>222</v>
      </c>
      <c r="G119" s="9">
        <v>47.0</v>
      </c>
      <c r="H119" s="13">
        <v>1.8</v>
      </c>
      <c r="I119" s="13">
        <v>1.0</v>
      </c>
      <c r="J119" s="13" t="str">
        <f>VLOOKUP($A119,covariates!$A$3:$H$1126,5,false)</f>
        <v>at surgery</v>
      </c>
      <c r="K119" s="55" t="str">
        <f>VLOOKUP($A119,covariates!$A$3:$H$1126,6,false)</f>
        <v/>
      </c>
      <c r="L119" s="55">
        <f>VLOOKUP($A119,covariates!$A$3:$H$1126,7,false)</f>
        <v>27.1</v>
      </c>
      <c r="M119" s="55">
        <f>VLOOKUP($A119,covariates!$A$3:$H$1126,8,false)</f>
        <v>6.1</v>
      </c>
    </row>
    <row r="120">
      <c r="A120" s="15">
        <v>54.0</v>
      </c>
      <c r="B120" s="17" t="str">
        <f t="shared" ref="B120:B121" si="68">HYPERLINK("https://github.com/d-wkim/phd/blob/main/data/pdf/lucidi_2025.pdf","Lucidi et al., 2025")</f>
        <v>Lucidi et al., 2025</v>
      </c>
      <c r="C120" s="15">
        <v>54.0</v>
      </c>
      <c r="D120" s="9" t="s">
        <v>42</v>
      </c>
      <c r="E120" s="7" t="s">
        <v>317</v>
      </c>
      <c r="F120" s="9" t="s">
        <v>222</v>
      </c>
      <c r="G120" s="9">
        <v>19.0</v>
      </c>
      <c r="H120" s="13">
        <v>-0.1</v>
      </c>
      <c r="I120" s="13">
        <v>1.6</v>
      </c>
      <c r="J120" s="13" t="str">
        <f>VLOOKUP($A120,covariates!$A$3:$H$1126,5,false)</f>
        <v>at surgery</v>
      </c>
      <c r="K120" s="55" t="str">
        <f>VLOOKUP($A120,covariates!$A$3:$H$1126,6,false)</f>
        <v/>
      </c>
      <c r="L120" s="55">
        <f>VLOOKUP($A120,covariates!$A$3:$H$1126,7,false)</f>
        <v>52.8</v>
      </c>
      <c r="M120" s="55">
        <f>VLOOKUP($A120,covariates!$A$3:$H$1126,8,false)</f>
        <v>7.3</v>
      </c>
    </row>
    <row r="121">
      <c r="A121" s="15">
        <v>54.0</v>
      </c>
      <c r="B121" s="17" t="str">
        <f t="shared" si="68"/>
        <v>Lucidi et al., 2025</v>
      </c>
      <c r="C121" s="15">
        <v>54.0</v>
      </c>
      <c r="D121" s="9" t="s">
        <v>84</v>
      </c>
      <c r="E121" s="7" t="s">
        <v>317</v>
      </c>
      <c r="F121" s="9" t="s">
        <v>222</v>
      </c>
      <c r="G121" s="9">
        <v>20.0</v>
      </c>
      <c r="H121" s="13">
        <v>1.5</v>
      </c>
      <c r="I121" s="13">
        <v>1.2</v>
      </c>
      <c r="J121" s="13" t="str">
        <f>VLOOKUP($A121,covariates!$A$3:$H$1126,5,false)</f>
        <v>at surgery</v>
      </c>
      <c r="K121" s="55" t="str">
        <f>VLOOKUP($A121,covariates!$A$3:$H$1126,6,false)</f>
        <v/>
      </c>
      <c r="L121" s="55">
        <f>VLOOKUP($A121,covariates!$A$3:$H$1126,7,false)</f>
        <v>52.8</v>
      </c>
      <c r="M121" s="55">
        <f>VLOOKUP($A121,covariates!$A$3:$H$1126,8,false)</f>
        <v>7.3</v>
      </c>
    </row>
    <row r="122">
      <c r="A122" s="15">
        <v>55.0</v>
      </c>
      <c r="B122" s="17" t="str">
        <f t="shared" ref="B122:B123" si="69">HYPERLINK("https://github.com/d-wkim/phd/blob/main/data/pdf/lui_2012.pdf","Lui et al., 2012")</f>
        <v>Lui et al., 2012</v>
      </c>
      <c r="C122" s="15">
        <v>55.0</v>
      </c>
      <c r="D122" s="9" t="s">
        <v>42</v>
      </c>
      <c r="E122" s="7" t="s">
        <v>317</v>
      </c>
      <c r="F122" s="9" t="s">
        <v>222</v>
      </c>
      <c r="G122" s="9">
        <v>14.0</v>
      </c>
      <c r="H122" s="13">
        <v>3.7</v>
      </c>
      <c r="I122" s="13">
        <v>1.4</v>
      </c>
      <c r="J122" s="13" t="str">
        <f>VLOOKUP($A122,covariates!$A$3:$H$1126,5,false)</f>
        <v>at surgery</v>
      </c>
      <c r="K122" s="55" t="str">
        <f>VLOOKUP($A122,covariates!$A$3:$H$1126,6,false)</f>
        <v/>
      </c>
      <c r="L122" s="55">
        <f>VLOOKUP($A122,covariates!$A$3:$H$1126,7,false)</f>
        <v>26.5</v>
      </c>
      <c r="M122" s="55">
        <f>VLOOKUP($A122,covariates!$A$3:$H$1126,8,false)</f>
        <v>5</v>
      </c>
    </row>
    <row r="123">
      <c r="A123" s="15">
        <v>55.0</v>
      </c>
      <c r="B123" s="17" t="str">
        <f t="shared" si="69"/>
        <v>Lui et al., 2012</v>
      </c>
      <c r="C123" s="15">
        <v>55.0</v>
      </c>
      <c r="D123" s="9" t="s">
        <v>84</v>
      </c>
      <c r="E123" s="7" t="s">
        <v>317</v>
      </c>
      <c r="F123" s="9" t="s">
        <v>222</v>
      </c>
      <c r="G123" s="9">
        <v>17.0</v>
      </c>
      <c r="H123" s="13">
        <v>3.1</v>
      </c>
      <c r="I123" s="13">
        <v>1.6</v>
      </c>
      <c r="J123" s="13" t="str">
        <f>VLOOKUP($A123,covariates!$A$3:$H$1126,5,false)</f>
        <v>at surgery</v>
      </c>
      <c r="K123" s="55" t="str">
        <f>VLOOKUP($A123,covariates!$A$3:$H$1126,6,false)</f>
        <v/>
      </c>
      <c r="L123" s="55">
        <f>VLOOKUP($A123,covariates!$A$3:$H$1126,7,false)</f>
        <v>26.5</v>
      </c>
      <c r="M123" s="55">
        <f>VLOOKUP($A123,covariates!$A$3:$H$1126,8,false)</f>
        <v>5</v>
      </c>
    </row>
    <row r="124">
      <c r="A124" s="15">
        <v>56.0</v>
      </c>
      <c r="B124" s="17" t="str">
        <f t="shared" ref="B124:B125" si="70">HYPERLINK("https://github.com/d-wkim/phd/blob/main/data/pdf/lund_2014.pdf","Lund et al., 2014")</f>
        <v>Lund et al., 2014</v>
      </c>
      <c r="C124" s="15">
        <v>56.0</v>
      </c>
      <c r="D124" s="9" t="s">
        <v>42</v>
      </c>
      <c r="E124" s="7" t="s">
        <v>317</v>
      </c>
      <c r="F124" s="9" t="s">
        <v>222</v>
      </c>
      <c r="G124" s="9">
        <v>18.0</v>
      </c>
      <c r="H124" s="13">
        <v>1.1</v>
      </c>
      <c r="I124" s="13">
        <v>1.4</v>
      </c>
      <c r="J124" s="13" t="str">
        <f>VLOOKUP($A124,covariates!$A$3:$H$1126,5,false)</f>
        <v>at surgery</v>
      </c>
      <c r="K124" s="55" t="str">
        <f>VLOOKUP($A124,covariates!$A$3:$H$1126,6,false)</f>
        <v/>
      </c>
      <c r="L124" s="55">
        <f>VLOOKUP($A124,covariates!$A$3:$H$1126,7,false)</f>
        <v>31</v>
      </c>
      <c r="M124" s="55">
        <f>VLOOKUP($A124,covariates!$A$3:$H$1126,8,false)</f>
        <v>8</v>
      </c>
    </row>
    <row r="125">
      <c r="A125" s="15">
        <v>56.0</v>
      </c>
      <c r="B125" s="17" t="str">
        <f t="shared" si="70"/>
        <v>Lund et al., 2014</v>
      </c>
      <c r="C125" s="15">
        <v>56.0</v>
      </c>
      <c r="D125" s="9" t="s">
        <v>200</v>
      </c>
      <c r="E125" s="7" t="s">
        <v>317</v>
      </c>
      <c r="F125" s="9" t="s">
        <v>222</v>
      </c>
      <c r="G125" s="9">
        <v>21.0</v>
      </c>
      <c r="H125" s="13">
        <v>0.8</v>
      </c>
      <c r="I125" s="13">
        <v>1.7</v>
      </c>
      <c r="J125" s="13" t="str">
        <f>VLOOKUP($A125,covariates!$A$3:$H$1126,5,false)</f>
        <v>at surgery</v>
      </c>
      <c r="K125" s="55" t="str">
        <f>VLOOKUP($A125,covariates!$A$3:$H$1126,6,false)</f>
        <v/>
      </c>
      <c r="L125" s="55">
        <f>VLOOKUP($A125,covariates!$A$3:$H$1126,7,false)</f>
        <v>31</v>
      </c>
      <c r="M125" s="55">
        <f>VLOOKUP($A125,covariates!$A$3:$H$1126,8,false)</f>
        <v>8</v>
      </c>
    </row>
    <row r="126">
      <c r="A126" s="15">
        <v>58.0</v>
      </c>
      <c r="B126" s="17" t="str">
        <f t="shared" ref="B126:B127" si="71">HYPERLINK("https://github.com/d-wkim/phd/blob/main/data/pdf/malik_2026.pdf","Malik et al., 2026")</f>
        <v>Malik et al., 2026</v>
      </c>
      <c r="C126" s="15">
        <v>58.0</v>
      </c>
      <c r="D126" s="9" t="s">
        <v>84</v>
      </c>
      <c r="E126" s="7" t="s">
        <v>317</v>
      </c>
      <c r="F126" s="9" t="s">
        <v>222</v>
      </c>
      <c r="G126" s="9">
        <v>25.0</v>
      </c>
      <c r="H126" s="13">
        <v>2.1</v>
      </c>
      <c r="I126" s="13">
        <v>1.0</v>
      </c>
      <c r="J126" s="13" t="str">
        <f>VLOOKUP($A126,covariates!$A$3:$H$1126,5,false)</f>
        <v>at surgery</v>
      </c>
      <c r="K126" s="55" t="str">
        <f>VLOOKUP($A126,covariates!$A$3:$H$1126,6,false)</f>
        <v/>
      </c>
      <c r="L126" s="55">
        <f>VLOOKUP($A126,covariates!$A$3:$H$1126,7,false)</f>
        <v>28.12</v>
      </c>
      <c r="M126" s="55">
        <f>VLOOKUP($A126,covariates!$A$3:$H$1126,8,false)</f>
        <v>5.21</v>
      </c>
    </row>
    <row r="127">
      <c r="A127" s="15">
        <v>58.0</v>
      </c>
      <c r="B127" s="17" t="str">
        <f t="shared" si="71"/>
        <v>Malik et al., 2026</v>
      </c>
      <c r="C127" s="15">
        <v>58.0</v>
      </c>
      <c r="D127" s="9" t="s">
        <v>186</v>
      </c>
      <c r="E127" s="7" t="s">
        <v>317</v>
      </c>
      <c r="F127" s="9" t="s">
        <v>222</v>
      </c>
      <c r="G127" s="9">
        <v>25.0</v>
      </c>
      <c r="H127" s="13">
        <v>1.8</v>
      </c>
      <c r="I127" s="13">
        <v>0.9</v>
      </c>
      <c r="J127" s="13" t="str">
        <f>VLOOKUP($A127,covariates!$A$3:$H$1126,5,false)</f>
        <v>at surgery</v>
      </c>
      <c r="K127" s="55" t="str">
        <f>VLOOKUP($A127,covariates!$A$3:$H$1126,6,false)</f>
        <v/>
      </c>
      <c r="L127" s="55">
        <f>VLOOKUP($A127,covariates!$A$3:$H$1126,7,false)</f>
        <v>28.12</v>
      </c>
      <c r="M127" s="55">
        <f>VLOOKUP($A127,covariates!$A$3:$H$1126,8,false)</f>
        <v>5.21</v>
      </c>
    </row>
    <row r="128">
      <c r="A128" s="15">
        <v>62.0</v>
      </c>
      <c r="B128" s="17" t="str">
        <f t="shared" ref="B128:B129" si="72">HYPERLINK("https://github.com/d-wkim/phd/blob/main/data/pdf/matsumoto_2006.pdf","Matsumoto et al., 2006")</f>
        <v>Matsumoto et al., 2006</v>
      </c>
      <c r="C128" s="15">
        <v>62.0</v>
      </c>
      <c r="D128" s="9" t="s">
        <v>42</v>
      </c>
      <c r="E128" s="7" t="s">
        <v>317</v>
      </c>
      <c r="F128" s="9" t="s">
        <v>222</v>
      </c>
      <c r="G128" s="9">
        <v>37.0</v>
      </c>
      <c r="H128" s="13">
        <v>1.2</v>
      </c>
      <c r="I128" s="13">
        <v>2.1</v>
      </c>
      <c r="J128" s="13" t="str">
        <f>VLOOKUP($A128,covariates!$A$3:$H$1126,5,false)</f>
        <v>at surgery</v>
      </c>
      <c r="K128" s="55" t="str">
        <f>VLOOKUP($A128,covariates!$A$3:$H$1126,6,false)</f>
        <v/>
      </c>
      <c r="L128" s="55">
        <f>VLOOKUP($A128,covariates!$A$3:$H$1126,7,false)</f>
        <v>23.7</v>
      </c>
      <c r="M128" s="55">
        <f>VLOOKUP($A128,covariates!$A$3:$H$1126,8,false)</f>
        <v>7.7</v>
      </c>
    </row>
    <row r="129">
      <c r="A129" s="15">
        <v>62.0</v>
      </c>
      <c r="B129" s="17" t="str">
        <f t="shared" si="72"/>
        <v>Matsumoto et al., 2006</v>
      </c>
      <c r="C129" s="15">
        <v>62.0</v>
      </c>
      <c r="D129" s="9" t="s">
        <v>84</v>
      </c>
      <c r="E129" s="7" t="s">
        <v>317</v>
      </c>
      <c r="F129" s="9" t="s">
        <v>222</v>
      </c>
      <c r="G129" s="9">
        <v>35.0</v>
      </c>
      <c r="H129" s="13">
        <v>1.7</v>
      </c>
      <c r="I129" s="13">
        <v>1.4</v>
      </c>
      <c r="J129" s="13" t="str">
        <f>VLOOKUP($A129,covariates!$A$3:$H$1126,5,false)</f>
        <v>at surgery</v>
      </c>
      <c r="K129" s="55" t="str">
        <f>VLOOKUP($A129,covariates!$A$3:$H$1126,6,false)</f>
        <v/>
      </c>
      <c r="L129" s="55">
        <f>VLOOKUP($A129,covariates!$A$3:$H$1126,7,false)</f>
        <v>23.7</v>
      </c>
      <c r="M129" s="55">
        <f>VLOOKUP($A129,covariates!$A$3:$H$1126,8,false)</f>
        <v>7.7</v>
      </c>
    </row>
    <row r="130">
      <c r="A130" s="15">
        <v>76.0</v>
      </c>
      <c r="B130" s="17" t="str">
        <f t="shared" ref="B130:B131" si="73">HYPERLINK("https://github.com/d-wkim/phd/blob/main/data/pdf/pinczewski_2007.pdf","Pinczewski et al., 2007")</f>
        <v>Pinczewski et al., 2007</v>
      </c>
      <c r="C130" s="15">
        <v>76.0</v>
      </c>
      <c r="D130" s="9" t="s">
        <v>42</v>
      </c>
      <c r="E130" s="7" t="s">
        <v>317</v>
      </c>
      <c r="F130" s="9" t="s">
        <v>222</v>
      </c>
      <c r="G130" s="9">
        <v>54.0</v>
      </c>
      <c r="H130" s="13">
        <v>1.2</v>
      </c>
      <c r="I130" s="13">
        <v>1.687</v>
      </c>
      <c r="J130" s="13" t="str">
        <f>VLOOKUP($A130,covariates!$A$3:$H$1126,5,false)</f>
        <v>at surgery</v>
      </c>
      <c r="K130" s="55" t="str">
        <f>VLOOKUP($A130,covariates!$A$3:$H$1126,6,false)</f>
        <v/>
      </c>
      <c r="L130" s="55">
        <f>VLOOKUP($A130,covariates!$A$3:$H$1126,7,false)</f>
        <v>25</v>
      </c>
      <c r="M130" s="55">
        <f>VLOOKUP($A130,covariates!$A$3:$H$1126,8,false)</f>
        <v>5.485</v>
      </c>
    </row>
    <row r="131">
      <c r="A131" s="15">
        <v>76.0</v>
      </c>
      <c r="B131" s="17" t="str">
        <f t="shared" si="73"/>
        <v>Pinczewski et al., 2007</v>
      </c>
      <c r="C131" s="15">
        <v>76.0</v>
      </c>
      <c r="D131" s="9" t="s">
        <v>84</v>
      </c>
      <c r="E131" s="7" t="s">
        <v>317</v>
      </c>
      <c r="F131" s="9" t="s">
        <v>222</v>
      </c>
      <c r="G131" s="9">
        <v>58.0</v>
      </c>
      <c r="H131" s="13">
        <v>1.6</v>
      </c>
      <c r="I131" s="13">
        <v>1.554</v>
      </c>
      <c r="J131" s="13" t="str">
        <f>VLOOKUP($A131,covariates!$A$3:$H$1126,5,false)</f>
        <v>at surgery</v>
      </c>
      <c r="K131" s="55" t="str">
        <f>VLOOKUP($A131,covariates!$A$3:$H$1126,6,false)</f>
        <v/>
      </c>
      <c r="L131" s="55">
        <f>VLOOKUP($A131,covariates!$A$3:$H$1126,7,false)</f>
        <v>25</v>
      </c>
      <c r="M131" s="55">
        <f>VLOOKUP($A131,covariates!$A$3:$H$1126,8,false)</f>
        <v>5.485</v>
      </c>
    </row>
    <row r="132">
      <c r="A132" s="15">
        <v>77.0</v>
      </c>
      <c r="B132" s="17" t="str">
        <f t="shared" ref="B132:B133" si="74">HYPERLINK("https://github.com/d-wkim/phd/blob/main/data/pdf/popovic_2024.pdf","Popovic et al., 2024")</f>
        <v>Popovic et al., 2024</v>
      </c>
      <c r="C132" s="15">
        <v>77.0</v>
      </c>
      <c r="D132" s="9" t="s">
        <v>42</v>
      </c>
      <c r="E132" s="7" t="s">
        <v>317</v>
      </c>
      <c r="F132" s="9" t="s">
        <v>222</v>
      </c>
      <c r="G132" s="9">
        <v>38.0</v>
      </c>
      <c r="H132" s="13">
        <v>1.3</v>
      </c>
      <c r="I132" s="13">
        <v>2.2</v>
      </c>
      <c r="J132" s="13" t="str">
        <f>VLOOKUP($A132,covariates!$A$3:$H$1126,5,false)</f>
        <v>at surgery</v>
      </c>
      <c r="K132" s="55" t="str">
        <f>VLOOKUP($A132,covariates!$A$3:$H$1126,6,false)</f>
        <v/>
      </c>
      <c r="L132" s="55"/>
      <c r="M132" s="55">
        <f>VLOOKUP($A132,covariates!$A$3:$H$1126,8,false)</f>
        <v>6.82</v>
      </c>
    </row>
    <row r="133">
      <c r="A133" s="15">
        <v>77.0</v>
      </c>
      <c r="B133" s="17" t="str">
        <f t="shared" si="74"/>
        <v>Popovic et al., 2024</v>
      </c>
      <c r="C133" s="15">
        <v>77.0</v>
      </c>
      <c r="D133" s="9" t="s">
        <v>84</v>
      </c>
      <c r="E133" s="7" t="s">
        <v>317</v>
      </c>
      <c r="F133" s="9" t="s">
        <v>222</v>
      </c>
      <c r="G133" s="9">
        <v>33.0</v>
      </c>
      <c r="H133" s="13">
        <v>1.5</v>
      </c>
      <c r="I133" s="13">
        <v>3.3</v>
      </c>
      <c r="J133" s="13" t="str">
        <f>VLOOKUP($A133,covariates!$A$3:$H$1126,5,false)</f>
        <v>at surgery</v>
      </c>
      <c r="K133" s="55" t="str">
        <f>VLOOKUP($A133,covariates!$A$3:$H$1126,6,false)</f>
        <v/>
      </c>
      <c r="L133" s="55"/>
      <c r="M133" s="55">
        <f>VLOOKUP($A133,covariates!$A$3:$H$1126,8,false)</f>
        <v>6.82</v>
      </c>
    </row>
    <row r="134">
      <c r="A134" s="15">
        <v>85.0</v>
      </c>
      <c r="B134" s="17" t="str">
        <f t="shared" ref="B134:B135" si="75">HYPERLINK("https://github.com/d-wkim/phd/blob/main/data/pdf/smith_2020.pdf","Smith et al., 2020")</f>
        <v>Smith et al., 2020</v>
      </c>
      <c r="C134" s="15">
        <v>85.0</v>
      </c>
      <c r="D134" s="9" t="s">
        <v>42</v>
      </c>
      <c r="E134" s="7" t="s">
        <v>317</v>
      </c>
      <c r="F134" s="9" t="s">
        <v>222</v>
      </c>
      <c r="G134" s="9">
        <v>32.0</v>
      </c>
      <c r="H134" s="13">
        <v>0.0</v>
      </c>
      <c r="I134" s="13">
        <v>0.8</v>
      </c>
      <c r="J134" s="13" t="str">
        <f>VLOOKUP($A134,covariates!$A$3:$H$1126,5,false)</f>
        <v>at surgery</v>
      </c>
      <c r="K134" s="55" t="str">
        <f>VLOOKUP($A134,covariates!$A$3:$H$1126,6,false)</f>
        <v/>
      </c>
      <c r="L134" s="55">
        <f>VLOOKUP($A134,covariates!$A$3:$H$1126,7,false)</f>
        <v>17.7</v>
      </c>
      <c r="M134" s="55">
        <f>VLOOKUP($A134,covariates!$A$3:$H$1126,8,false)</f>
        <v>2.4</v>
      </c>
    </row>
    <row r="135">
      <c r="A135" s="15">
        <v>85.0</v>
      </c>
      <c r="B135" s="17" t="str">
        <f t="shared" si="75"/>
        <v>Smith et al., 2020</v>
      </c>
      <c r="C135" s="15">
        <v>85.0</v>
      </c>
      <c r="D135" s="9" t="s">
        <v>84</v>
      </c>
      <c r="E135" s="7" t="s">
        <v>317</v>
      </c>
      <c r="F135" s="9" t="s">
        <v>222</v>
      </c>
      <c r="G135" s="9">
        <v>32.0</v>
      </c>
      <c r="H135" s="13">
        <v>0.3</v>
      </c>
      <c r="I135" s="13">
        <v>0.7</v>
      </c>
      <c r="J135" s="13" t="str">
        <f>VLOOKUP($A135,covariates!$A$3:$H$1126,5,false)</f>
        <v>at surgery</v>
      </c>
      <c r="K135" s="55" t="str">
        <f>VLOOKUP($A135,covariates!$A$3:$H$1126,6,false)</f>
        <v/>
      </c>
      <c r="L135" s="55">
        <f>VLOOKUP($A135,covariates!$A$3:$H$1126,7,false)</f>
        <v>17.7</v>
      </c>
      <c r="M135" s="55">
        <f>VLOOKUP($A135,covariates!$A$3:$H$1126,8,false)</f>
        <v>2.4</v>
      </c>
    </row>
    <row r="136">
      <c r="A136" s="15">
        <v>87.0</v>
      </c>
      <c r="B136" s="17" t="str">
        <f t="shared" ref="B136:B137" si="76">HYPERLINK("https://github.com/d-wkim/phd/blob/main/data/pdf/sonnery-cottet_2026.pdf","Sonnery-cottet et al., 2026")</f>
        <v>Sonnery-cottet et al., 2026</v>
      </c>
      <c r="C136" s="15">
        <v>87.0</v>
      </c>
      <c r="D136" s="9" t="s">
        <v>42</v>
      </c>
      <c r="E136" s="7" t="s">
        <v>317</v>
      </c>
      <c r="F136" s="9" t="s">
        <v>222</v>
      </c>
      <c r="G136" s="9">
        <v>296.0</v>
      </c>
      <c r="H136" s="13">
        <v>1.2</v>
      </c>
      <c r="I136" s="13">
        <v>1.4</v>
      </c>
      <c r="J136" s="13" t="str">
        <f>VLOOKUP($A136,covariates!$A$3:$H$1126,5,false)</f>
        <v>at surgery</v>
      </c>
      <c r="K136" s="55" t="str">
        <f>VLOOKUP($A136,covariates!$A$3:$H$1126,6,false)</f>
        <v/>
      </c>
      <c r="L136" s="55">
        <f>VLOOKUP($A136,covariates!$A$3:$H$1126,7,false)</f>
        <v>24.8</v>
      </c>
      <c r="M136" s="55">
        <f>VLOOKUP($A136,covariates!$A$3:$H$1126,8,false)</f>
        <v>4.4</v>
      </c>
    </row>
    <row r="137">
      <c r="A137" s="15">
        <v>87.0</v>
      </c>
      <c r="B137" s="17" t="str">
        <f t="shared" si="76"/>
        <v>Sonnery-cottet et al., 2026</v>
      </c>
      <c r="C137" s="15">
        <v>87.0</v>
      </c>
      <c r="D137" s="9" t="s">
        <v>84</v>
      </c>
      <c r="E137" s="7" t="s">
        <v>317</v>
      </c>
      <c r="F137" s="9" t="s">
        <v>222</v>
      </c>
      <c r="G137" s="9">
        <v>297.0</v>
      </c>
      <c r="H137" s="13">
        <v>0.9</v>
      </c>
      <c r="I137" s="13">
        <v>1.0</v>
      </c>
      <c r="J137" s="13" t="str">
        <f>VLOOKUP($A137,covariates!$A$3:$H$1126,5,false)</f>
        <v>at surgery</v>
      </c>
      <c r="K137" s="55" t="str">
        <f>VLOOKUP($A137,covariates!$A$3:$H$1126,6,false)</f>
        <v/>
      </c>
      <c r="L137" s="55">
        <f>VLOOKUP($A137,covariates!$A$3:$H$1126,7,false)</f>
        <v>24.8</v>
      </c>
      <c r="M137" s="55">
        <f>VLOOKUP($A137,covariates!$A$3:$H$1126,8,false)</f>
        <v>4.4</v>
      </c>
    </row>
    <row r="138">
      <c r="A138" s="15">
        <v>95.0</v>
      </c>
      <c r="B138" s="17" t="str">
        <f t="shared" ref="B138:B139" si="77">HYPERLINK("https://github.com/d-wkim/phd/blob/main/data/pdf/webster_2001.pdf","Webster et al., 2001")</f>
        <v>Webster et al., 2001</v>
      </c>
      <c r="C138" s="15">
        <v>95.0</v>
      </c>
      <c r="D138" s="9" t="s">
        <v>42</v>
      </c>
      <c r="E138" s="7" t="s">
        <v>317</v>
      </c>
      <c r="F138" s="9" t="s">
        <v>222</v>
      </c>
      <c r="G138" s="9">
        <v>23.0</v>
      </c>
      <c r="H138" s="13">
        <v>1.1</v>
      </c>
      <c r="I138" s="13" t="str">
        <f t="shared" ref="I138:I139" si="78">iferror(RANGE_SD(G138,#REF!,#REF!),"")</f>
        <v/>
      </c>
      <c r="J138" s="13" t="str">
        <f>VLOOKUP($A138,covariates!$A$3:$H$1126,5,false)</f>
        <v>at surgery</v>
      </c>
      <c r="K138" s="55" t="str">
        <f>VLOOKUP($A138,covariates!$A$3:$H$1126,6,false)</f>
        <v/>
      </c>
      <c r="L138" s="55">
        <f>VLOOKUP($A138,covariates!$A$3:$H$1126,7,false)</f>
        <v>26</v>
      </c>
      <c r="M138" s="55">
        <f>VLOOKUP($A138,covariates!$A$3:$H$1126,8,false)</f>
        <v>6.3</v>
      </c>
    </row>
    <row r="139">
      <c r="A139" s="15">
        <v>95.0</v>
      </c>
      <c r="B139" s="17" t="str">
        <f t="shared" si="77"/>
        <v>Webster et al., 2001</v>
      </c>
      <c r="C139" s="15">
        <v>95.0</v>
      </c>
      <c r="D139" s="9" t="s">
        <v>84</v>
      </c>
      <c r="E139" s="7" t="s">
        <v>317</v>
      </c>
      <c r="F139" s="9" t="s">
        <v>222</v>
      </c>
      <c r="G139" s="9">
        <v>31.0</v>
      </c>
      <c r="H139" s="13">
        <v>1.7</v>
      </c>
      <c r="I139" s="13" t="str">
        <f t="shared" si="78"/>
        <v/>
      </c>
      <c r="J139" s="13" t="str">
        <f>VLOOKUP($A139,covariates!$A$3:$H$1126,5,false)</f>
        <v>at surgery</v>
      </c>
      <c r="K139" s="55" t="str">
        <f>VLOOKUP($A139,covariates!$A$3:$H$1126,6,false)</f>
        <v/>
      </c>
      <c r="L139" s="55">
        <f>VLOOKUP($A139,covariates!$A$3:$H$1126,7,false)</f>
        <v>26</v>
      </c>
      <c r="M139" s="55">
        <f>VLOOKUP($A139,covariates!$A$3:$H$1126,8,false)</f>
        <v>6.3</v>
      </c>
    </row>
    <row r="140">
      <c r="A140" s="15">
        <v>96.0</v>
      </c>
      <c r="B140" s="17" t="str">
        <f t="shared" ref="B140:B141" si="79">HYPERLINK("https://github.com/d-wkim/phd/blob/main/data/pdf/wipfler_2011.pdf","Wipfler et al., 2011")</f>
        <v>Wipfler et al., 2011</v>
      </c>
      <c r="C140" s="15">
        <v>96.0</v>
      </c>
      <c r="D140" s="9" t="s">
        <v>42</v>
      </c>
      <c r="E140" s="7" t="s">
        <v>317</v>
      </c>
      <c r="F140" s="9" t="s">
        <v>222</v>
      </c>
      <c r="G140" s="9">
        <v>29.0</v>
      </c>
      <c r="H140" s="13">
        <v>0.9</v>
      </c>
      <c r="I140" s="13">
        <v>0.271</v>
      </c>
      <c r="J140" s="13" t="str">
        <f>VLOOKUP($A140,covariates!$A$3:$H$1126,5,false)</f>
        <v>at surgery</v>
      </c>
      <c r="K140" s="55" t="str">
        <f>VLOOKUP($A140,covariates!$A$3:$H$1126,6,false)</f>
        <v/>
      </c>
      <c r="L140" s="55">
        <f>VLOOKUP($A140,covariates!$A$3:$H$1126,7,false)</f>
        <v>29.87</v>
      </c>
      <c r="M140" s="55">
        <f>VLOOKUP($A140,covariates!$A$3:$H$1126,8,false)</f>
        <v>7.304</v>
      </c>
    </row>
    <row r="141">
      <c r="A141" s="15">
        <v>96.0</v>
      </c>
      <c r="B141" s="17" t="str">
        <f t="shared" si="79"/>
        <v>Wipfler et al., 2011</v>
      </c>
      <c r="C141" s="15">
        <v>96.0</v>
      </c>
      <c r="D141" s="9" t="s">
        <v>84</v>
      </c>
      <c r="E141" s="7" t="s">
        <v>317</v>
      </c>
      <c r="F141" s="9" t="s">
        <v>222</v>
      </c>
      <c r="G141" s="9">
        <v>25.0</v>
      </c>
      <c r="H141" s="13">
        <v>0.64</v>
      </c>
      <c r="I141" s="13">
        <v>0.356</v>
      </c>
      <c r="J141" s="13" t="str">
        <f>VLOOKUP($A141,covariates!$A$3:$H$1126,5,false)</f>
        <v>at surgery</v>
      </c>
      <c r="K141" s="55" t="str">
        <f>VLOOKUP($A141,covariates!$A$3:$H$1126,6,false)</f>
        <v/>
      </c>
      <c r="L141" s="55">
        <f>VLOOKUP($A141,covariates!$A$3:$H$1126,7,false)</f>
        <v>29.87</v>
      </c>
      <c r="M141" s="55">
        <f>VLOOKUP($A141,covariates!$A$3:$H$1126,8,false)</f>
        <v>7.304</v>
      </c>
    </row>
    <row r="142">
      <c r="A142" s="15">
        <v>97.0</v>
      </c>
      <c r="B142" s="17" t="str">
        <f t="shared" ref="B142:B143" si="80">HYPERLINK("https://github.com/d-wkim/phd/blob/main/data/pdf/yadav_2025.pdf","Yadav et al., 2025")</f>
        <v>Yadav et al., 2025</v>
      </c>
      <c r="C142" s="15">
        <v>97.0</v>
      </c>
      <c r="D142" s="9" t="s">
        <v>84</v>
      </c>
      <c r="E142" s="7" t="s">
        <v>317</v>
      </c>
      <c r="F142" s="9" t="s">
        <v>222</v>
      </c>
      <c r="G142" s="9">
        <v>36.0</v>
      </c>
      <c r="H142" s="13">
        <v>3.77</v>
      </c>
      <c r="I142" s="13">
        <v>2.01</v>
      </c>
      <c r="J142" s="13" t="str">
        <f>VLOOKUP($A142,covariates!$A$3:$H$1126,5,false)</f>
        <v>at surgery</v>
      </c>
      <c r="K142" s="55" t="str">
        <f>VLOOKUP($A142,covariates!$A$3:$H$1126,6,false)</f>
        <v/>
      </c>
      <c r="L142" s="55">
        <f>VLOOKUP($A142,covariates!$A$3:$H$1126,7,false)</f>
        <v>30.06</v>
      </c>
      <c r="M142" s="55">
        <f>VLOOKUP($A142,covariates!$A$3:$H$1126,8,false)</f>
        <v>8.87</v>
      </c>
    </row>
    <row r="143">
      <c r="A143" s="15">
        <v>97.0</v>
      </c>
      <c r="B143" s="17" t="str">
        <f t="shared" si="80"/>
        <v>Yadav et al., 2025</v>
      </c>
      <c r="C143" s="15">
        <v>97.0</v>
      </c>
      <c r="D143" s="9" t="s">
        <v>200</v>
      </c>
      <c r="E143" s="7" t="s">
        <v>317</v>
      </c>
      <c r="F143" s="9" t="s">
        <v>222</v>
      </c>
      <c r="G143" s="9">
        <v>33.0</v>
      </c>
      <c r="H143" s="13">
        <v>2.73</v>
      </c>
      <c r="I143" s="13">
        <v>1.64</v>
      </c>
      <c r="J143" s="13" t="str">
        <f>VLOOKUP($A143,covariates!$A$3:$H$1126,5,false)</f>
        <v>at surgery</v>
      </c>
      <c r="K143" s="55" t="str">
        <f>VLOOKUP($A143,covariates!$A$3:$H$1126,6,false)</f>
        <v/>
      </c>
      <c r="L143" s="55">
        <f>VLOOKUP($A143,covariates!$A$3:$H$1126,7,false)</f>
        <v>30.06</v>
      </c>
      <c r="M143" s="55">
        <f>VLOOKUP($A143,covariates!$A$3:$H$1126,8,false)</f>
        <v>8.87</v>
      </c>
    </row>
    <row r="144">
      <c r="A144" s="15">
        <v>100.0</v>
      </c>
      <c r="B144" s="17" t="str">
        <f t="shared" ref="B144:B145" si="81">HYPERLINK("https://github.com/d-wkim/phd/blob/main/data/pdf/zaffagnini_2011.pdf","Zaffagnini et al., 2011")</f>
        <v>Zaffagnini et al., 2011</v>
      </c>
      <c r="C144" s="15">
        <v>100.0</v>
      </c>
      <c r="D144" s="9" t="s">
        <v>42</v>
      </c>
      <c r="E144" s="7" t="s">
        <v>317</v>
      </c>
      <c r="F144" s="9" t="s">
        <v>222</v>
      </c>
      <c r="G144" s="9">
        <v>40.0</v>
      </c>
      <c r="H144" s="13">
        <v>0.4</v>
      </c>
      <c r="I144" s="13">
        <v>0.6</v>
      </c>
      <c r="J144" s="13" t="str">
        <f>VLOOKUP($A144,covariates!$A$3:$H$1126,5,false)</f>
        <v>at surgery</v>
      </c>
      <c r="K144" s="55" t="str">
        <f>VLOOKUP($A144,covariates!$A$3:$H$1126,6,false)</f>
        <v/>
      </c>
      <c r="L144" s="55">
        <f>VLOOKUP($A144,covariates!$A$3:$H$1126,7,false)</f>
        <v>26</v>
      </c>
      <c r="M144" s="55">
        <f>VLOOKUP($A144,covariates!$A$3:$H$1126,8,false)</f>
        <v>9.5</v>
      </c>
    </row>
    <row r="145">
      <c r="A145" s="15">
        <v>100.0</v>
      </c>
      <c r="B145" s="17" t="str">
        <f t="shared" si="81"/>
        <v>Zaffagnini et al., 2011</v>
      </c>
      <c r="C145" s="15">
        <v>100.0</v>
      </c>
      <c r="D145" s="9" t="s">
        <v>84</v>
      </c>
      <c r="E145" s="7" t="s">
        <v>317</v>
      </c>
      <c r="F145" s="9" t="s">
        <v>222</v>
      </c>
      <c r="G145" s="9">
        <v>39.0</v>
      </c>
      <c r="H145" s="13">
        <v>1.1</v>
      </c>
      <c r="I145" s="13">
        <v>1.9</v>
      </c>
      <c r="J145" s="13" t="str">
        <f>VLOOKUP($A145,covariates!$A$3:$H$1126,5,false)</f>
        <v>at surgery</v>
      </c>
      <c r="K145" s="55" t="str">
        <f>VLOOKUP($A145,covariates!$A$3:$H$1126,6,false)</f>
        <v/>
      </c>
      <c r="L145" s="55">
        <f>VLOOKUP($A145,covariates!$A$3:$H$1126,7,false)</f>
        <v>26</v>
      </c>
      <c r="M145" s="55">
        <f>VLOOKUP($A145,covariates!$A$3:$H$1126,8,false)</f>
        <v>9.5</v>
      </c>
    </row>
    <row r="146">
      <c r="A146" s="15">
        <v>11.0</v>
      </c>
      <c r="B146" s="17" t="str">
        <f t="shared" ref="B146:B147" si="82">HYPERLINK("https://github.com/d-wkim/phd/blob/main/data/pdf/beynnon_2002.pdf","Beynnon et al., 2002")</f>
        <v>Beynnon et al., 2002</v>
      </c>
      <c r="C146" s="15">
        <v>11.0</v>
      </c>
      <c r="D146" s="9" t="s">
        <v>42</v>
      </c>
      <c r="E146" s="19" t="s">
        <v>370</v>
      </c>
      <c r="F146" s="9" t="s">
        <v>64</v>
      </c>
      <c r="G146" s="9">
        <v>22.0</v>
      </c>
      <c r="H146" s="13">
        <v>2.0</v>
      </c>
      <c r="I146" s="21">
        <f t="shared" ref="I146:I185" si="83">iferror(P_SD(G146,H146),"")</f>
        <v>0.58630197</v>
      </c>
      <c r="J146" s="13" t="str">
        <f>VLOOKUP($A146,covariates!$A$3:$H$1126,5,false)</f>
        <v>at surgery</v>
      </c>
      <c r="K146" s="55" t="str">
        <f>VLOOKUP($A146,covariates!$A$3:$H$1126,6,false)</f>
        <v/>
      </c>
      <c r="L146" s="55">
        <f>VLOOKUP($A146,covariates!$A$3:$H$1126,7,false)</f>
        <v>28.5</v>
      </c>
      <c r="M146" s="55">
        <f>VLOOKUP($A146,covariates!$A$3:$H$1126,8,false)</f>
        <v>6.959</v>
      </c>
    </row>
    <row r="147">
      <c r="A147" s="15">
        <v>11.0</v>
      </c>
      <c r="B147" s="17" t="str">
        <f t="shared" si="82"/>
        <v>Beynnon et al., 2002</v>
      </c>
      <c r="C147" s="15">
        <v>11.0</v>
      </c>
      <c r="D147" s="9" t="s">
        <v>84</v>
      </c>
      <c r="E147" s="19" t="s">
        <v>370</v>
      </c>
      <c r="F147" s="9" t="s">
        <v>64</v>
      </c>
      <c r="G147" s="9">
        <v>22.0</v>
      </c>
      <c r="H147" s="13">
        <v>13.0</v>
      </c>
      <c r="I147" s="21">
        <f t="shared" si="83"/>
        <v>7.03562364</v>
      </c>
      <c r="J147" s="13" t="str">
        <f>VLOOKUP($A147,covariates!$A$3:$H$1126,5,false)</f>
        <v>at surgery</v>
      </c>
      <c r="K147" s="13" t="str">
        <f>VLOOKUP($A147,covariates!$A$3:$H$1126,6,false)</f>
        <v/>
      </c>
      <c r="L147" s="13">
        <f>VLOOKUP($A147,covariates!$A$3:$H$1126,7,false)</f>
        <v>28.5</v>
      </c>
      <c r="M147" s="13">
        <f>VLOOKUP($A147,covariates!$A$3:$H$1126,8,false)</f>
        <v>6.959</v>
      </c>
    </row>
    <row r="148">
      <c r="A148" s="9">
        <v>13.0</v>
      </c>
      <c r="B148" s="17" t="str">
        <f t="shared" ref="B148:B149" si="84">HYPERLINK("https://github.com/d-wkim/phd/blob/main/data/pdf/björnsson_2016.pdf","Björnsson et al., 2016")</f>
        <v>Björnsson et al., 2016</v>
      </c>
      <c r="C148" s="9">
        <v>13.0</v>
      </c>
      <c r="D148" s="9" t="s">
        <v>42</v>
      </c>
      <c r="E148" s="7" t="s">
        <v>370</v>
      </c>
      <c r="F148" s="9" t="s">
        <v>64</v>
      </c>
      <c r="G148" s="9">
        <v>61.0</v>
      </c>
      <c r="H148" s="13">
        <v>7.0</v>
      </c>
      <c r="I148" s="21">
        <f t="shared" si="83"/>
        <v>1.084756899</v>
      </c>
      <c r="J148" s="13" t="str">
        <f>VLOOKUP($A148,covariates!$A$3:$H$1126,5,false)</f>
        <v>at surgery</v>
      </c>
      <c r="K148" s="13" t="str">
        <f>VLOOKUP($A148,covariates!$A$3:$H$1126,6,false)</f>
        <v/>
      </c>
      <c r="L148" s="13">
        <f>VLOOKUP($A148,covariates!$A$3:$H$1126,7,false)</f>
        <v>28.2</v>
      </c>
      <c r="M148" s="13">
        <f>VLOOKUP($A148,covariates!$A$3:$H$1126,8,false)</f>
        <v>9.1</v>
      </c>
    </row>
    <row r="149">
      <c r="A149" s="9">
        <v>13.0</v>
      </c>
      <c r="B149" s="17" t="str">
        <f t="shared" si="84"/>
        <v>Björnsson et al., 2016</v>
      </c>
      <c r="C149" s="9">
        <v>13.0</v>
      </c>
      <c r="D149" s="9" t="s">
        <v>84</v>
      </c>
      <c r="E149" s="7" t="s">
        <v>370</v>
      </c>
      <c r="F149" s="9" t="s">
        <v>64</v>
      </c>
      <c r="G149" s="9">
        <v>86.0</v>
      </c>
      <c r="H149" s="13">
        <v>20.0</v>
      </c>
      <c r="I149" s="21">
        <f t="shared" si="83"/>
        <v>2.880442108</v>
      </c>
      <c r="J149" s="13" t="str">
        <f>VLOOKUP($A149,covariates!$A$3:$H$1126,5,false)</f>
        <v>at surgery</v>
      </c>
      <c r="K149" s="13" t="str">
        <f>VLOOKUP($A149,covariates!$A$3:$H$1126,6,false)</f>
        <v/>
      </c>
      <c r="L149" s="13">
        <f>VLOOKUP($A149,covariates!$A$3:$H$1126,7,false)</f>
        <v>28.2</v>
      </c>
      <c r="M149" s="13">
        <f>VLOOKUP($A149,covariates!$A$3:$H$1126,8,false)</f>
        <v>9.1</v>
      </c>
    </row>
    <row r="150">
      <c r="A150" s="15">
        <v>23.0</v>
      </c>
      <c r="B150" s="17" t="str">
        <f t="shared" ref="B150:B151" si="85">HYPERLINK("https://github.com/d-wkim/phd/blob/main/data/pdf/ejerhed_2003.pdf","Ejerhed et al., 2003")</f>
        <v>Ejerhed et al., 2003</v>
      </c>
      <c r="C150" s="15">
        <v>23.0</v>
      </c>
      <c r="D150" s="9" t="s">
        <v>42</v>
      </c>
      <c r="E150" s="19" t="s">
        <v>370</v>
      </c>
      <c r="F150" s="9" t="s">
        <v>64</v>
      </c>
      <c r="G150" s="9">
        <v>32.0</v>
      </c>
      <c r="H150" s="13">
        <v>15.0</v>
      </c>
      <c r="I150" s="21">
        <f t="shared" si="83"/>
        <v>5.157720051</v>
      </c>
      <c r="J150" s="13" t="str">
        <f>VLOOKUP($A150,covariates!$A$3:$H$1126,5,false)</f>
        <v>at surgery</v>
      </c>
      <c r="K150" s="13" t="str">
        <f>VLOOKUP($A150,covariates!$A$3:$H$1126,6,false)</f>
        <v/>
      </c>
      <c r="L150" s="13">
        <f>VLOOKUP($A150,covariates!$A$3:$H$1126,7,false)</f>
        <v>27.26043131</v>
      </c>
      <c r="M150" s="13">
        <f>VLOOKUP($A150,covariates!$A$3:$H$1126,8,false)</f>
        <v>8.467</v>
      </c>
    </row>
    <row r="151">
      <c r="A151" s="15">
        <v>23.0</v>
      </c>
      <c r="B151" s="17" t="str">
        <f t="shared" si="85"/>
        <v>Ejerhed et al., 2003</v>
      </c>
      <c r="C151" s="15">
        <v>23.0</v>
      </c>
      <c r="D151" s="9" t="s">
        <v>84</v>
      </c>
      <c r="E151" s="19" t="s">
        <v>370</v>
      </c>
      <c r="F151" s="9" t="s">
        <v>64</v>
      </c>
      <c r="G151" s="9">
        <v>34.0</v>
      </c>
      <c r="H151" s="13">
        <v>14.0</v>
      </c>
      <c r="I151" s="21">
        <f t="shared" si="83"/>
        <v>4.227440124</v>
      </c>
      <c r="J151" s="13" t="str">
        <f>VLOOKUP($A151,covariates!$A$3:$H$1126,5,false)</f>
        <v>at surgery</v>
      </c>
      <c r="K151" s="13" t="str">
        <f>VLOOKUP($A151,covariates!$A$3:$H$1126,6,false)</f>
        <v/>
      </c>
      <c r="L151" s="13">
        <f>VLOOKUP($A151,covariates!$A$3:$H$1126,7,false)</f>
        <v>27.26043131</v>
      </c>
      <c r="M151" s="13">
        <f>VLOOKUP($A151,covariates!$A$3:$H$1126,8,false)</f>
        <v>8.467</v>
      </c>
    </row>
    <row r="152">
      <c r="A152" s="15">
        <v>26.0</v>
      </c>
      <c r="B152" s="17" t="str">
        <f t="shared" ref="B152:B153" si="86">HYPERLINK("https://github.com/d-wkim/phd/blob/main/data/pdf/feller_webster_2003.pdf","Feller &amp; Webster, 2003")</f>
        <v>Feller &amp; Webster, 2003</v>
      </c>
      <c r="C152" s="15">
        <v>26.0</v>
      </c>
      <c r="D152" s="9" t="s">
        <v>42</v>
      </c>
      <c r="E152" s="19" t="s">
        <v>370</v>
      </c>
      <c r="F152" s="9" t="s">
        <v>64</v>
      </c>
      <c r="G152" s="9">
        <v>27.0</v>
      </c>
      <c r="H152" s="13">
        <v>1.0</v>
      </c>
      <c r="I152" s="21">
        <f t="shared" si="83"/>
        <v>0.2997780244</v>
      </c>
      <c r="J152" s="13" t="str">
        <f>VLOOKUP($A152,covariates!$A$3:$H$1126,5,false)</f>
        <v>at surgery</v>
      </c>
      <c r="K152" s="13" t="str">
        <f>VLOOKUP($A152,covariates!$A$3:$H$1126,6,false)</f>
        <v/>
      </c>
      <c r="L152" s="13">
        <f>VLOOKUP($A152,covariates!$A$3:$H$1126,7,false)</f>
        <v>25.8</v>
      </c>
      <c r="M152" s="13">
        <f>VLOOKUP($A152,covariates!$A$3:$H$1126,8,false)</f>
        <v>6</v>
      </c>
    </row>
    <row r="153">
      <c r="A153" s="15">
        <v>26.0</v>
      </c>
      <c r="B153" s="17" t="str">
        <f t="shared" si="86"/>
        <v>Feller &amp; Webster, 2003</v>
      </c>
      <c r="C153" s="15">
        <v>26.0</v>
      </c>
      <c r="D153" s="9" t="s">
        <v>84</v>
      </c>
      <c r="E153" s="19" t="s">
        <v>370</v>
      </c>
      <c r="F153" s="9" t="s">
        <v>64</v>
      </c>
      <c r="G153" s="9">
        <v>21.0</v>
      </c>
      <c r="H153" s="13">
        <v>0.0</v>
      </c>
      <c r="I153" s="21">
        <f t="shared" si="83"/>
        <v>0.1091089451</v>
      </c>
      <c r="J153" s="13" t="str">
        <f>VLOOKUP($A153,covariates!$A$3:$H$1126,5,false)</f>
        <v>at surgery</v>
      </c>
      <c r="K153" s="13" t="str">
        <f>VLOOKUP($A153,covariates!$A$3:$H$1126,6,false)</f>
        <v/>
      </c>
      <c r="L153" s="13">
        <f>VLOOKUP($A153,covariates!$A$3:$H$1126,7,false)</f>
        <v>25.8</v>
      </c>
      <c r="M153" s="13">
        <f>VLOOKUP($A153,covariates!$A$3:$H$1126,8,false)</f>
        <v>6</v>
      </c>
    </row>
    <row r="154">
      <c r="A154" s="15">
        <v>30.0</v>
      </c>
      <c r="B154" s="17" t="str">
        <f t="shared" ref="B154:B155" si="87">HYPERLINK("https://github.com/d-wkim/phd/blob/main/data/pdf/gifstad_2013.pdf","Gifstad et al., 2013")</f>
        <v>Gifstad et al., 2013</v>
      </c>
      <c r="C154" s="15">
        <v>30.0</v>
      </c>
      <c r="D154" s="9" t="s">
        <v>42</v>
      </c>
      <c r="E154" s="19" t="s">
        <v>370</v>
      </c>
      <c r="F154" s="9" t="s">
        <v>64</v>
      </c>
      <c r="G154" s="9">
        <v>41.0</v>
      </c>
      <c r="H154" s="13">
        <v>1.0</v>
      </c>
      <c r="I154" s="21">
        <f t="shared" si="83"/>
        <v>0.2401171589</v>
      </c>
      <c r="J154" s="13" t="str">
        <f>VLOOKUP($A154,covariates!$A$3:$H$1126,5,false)</f>
        <v>at surgery</v>
      </c>
      <c r="K154" s="13" t="str">
        <f>VLOOKUP($A154,covariates!$A$3:$H$1126,6,false)</f>
        <v/>
      </c>
      <c r="L154" s="13">
        <f>VLOOKUP($A154,covariates!$A$3:$H$1126,7,false)</f>
        <v>27</v>
      </c>
      <c r="M154" s="13">
        <f>VLOOKUP($A154,covariates!$A$3:$H$1126,8,false)</f>
        <v>6.74</v>
      </c>
    </row>
    <row r="155">
      <c r="A155" s="15">
        <v>30.0</v>
      </c>
      <c r="B155" s="17" t="str">
        <f t="shared" si="87"/>
        <v>Gifstad et al., 2013</v>
      </c>
      <c r="C155" s="15">
        <v>30.0</v>
      </c>
      <c r="D155" s="9" t="s">
        <v>84</v>
      </c>
      <c r="E155" s="19" t="s">
        <v>370</v>
      </c>
      <c r="F155" s="9" t="s">
        <v>64</v>
      </c>
      <c r="G155" s="9">
        <v>36.0</v>
      </c>
      <c r="H155" s="13">
        <v>1.0</v>
      </c>
      <c r="I155" s="21">
        <f t="shared" si="83"/>
        <v>0.2571428571</v>
      </c>
      <c r="J155" s="13" t="str">
        <f>VLOOKUP($A155,covariates!$A$3:$H$1126,5,false)</f>
        <v>at surgery</v>
      </c>
      <c r="K155" s="13" t="str">
        <f>VLOOKUP($A155,covariates!$A$3:$H$1126,6,false)</f>
        <v/>
      </c>
      <c r="L155" s="13">
        <f>VLOOKUP($A155,covariates!$A$3:$H$1126,7,false)</f>
        <v>27</v>
      </c>
      <c r="M155" s="13">
        <f>VLOOKUP($A155,covariates!$A$3:$H$1126,8,false)</f>
        <v>6.74</v>
      </c>
    </row>
    <row r="156">
      <c r="A156" s="15">
        <v>32.0</v>
      </c>
      <c r="B156" s="17" t="str">
        <f t="shared" ref="B156:B157" si="88">HYPERLINK("https://github.com/d-wkim/phd/blob/main/data/pdf/guglielmetti_2021.pdf","Guglielmetti et al., 2021")</f>
        <v>Guglielmetti et al., 2021</v>
      </c>
      <c r="C156" s="15">
        <v>32.0</v>
      </c>
      <c r="D156" s="9" t="s">
        <v>42</v>
      </c>
      <c r="E156" s="19" t="s">
        <v>370</v>
      </c>
      <c r="F156" s="9" t="s">
        <v>64</v>
      </c>
      <c r="G156" s="9">
        <v>31.0</v>
      </c>
      <c r="H156" s="13">
        <v>2.0</v>
      </c>
      <c r="I156" s="21">
        <f t="shared" si="83"/>
        <v>0.4799796865</v>
      </c>
      <c r="J156" s="13" t="str">
        <f>VLOOKUP($A156,covariates!$A$3:$H$1126,5,false)</f>
        <v>at surgery</v>
      </c>
      <c r="K156" s="13" t="str">
        <f>VLOOKUP($A156,covariates!$A$3:$H$1126,6,false)</f>
        <v/>
      </c>
      <c r="L156" s="13">
        <f>VLOOKUP($A156,covariates!$A$3:$H$1126,7,false)</f>
        <v>25.2</v>
      </c>
      <c r="M156" s="13">
        <f>VLOOKUP($A156,covariates!$A$3:$H$1126,8,false)</f>
        <v>5.48</v>
      </c>
    </row>
    <row r="157">
      <c r="A157" s="15">
        <v>32.0</v>
      </c>
      <c r="B157" s="17" t="str">
        <f t="shared" si="88"/>
        <v>Guglielmetti et al., 2021</v>
      </c>
      <c r="C157" s="15">
        <v>32.0</v>
      </c>
      <c r="D157" s="9" t="s">
        <v>84</v>
      </c>
      <c r="E157" s="19" t="s">
        <v>370</v>
      </c>
      <c r="F157" s="9" t="s">
        <v>64</v>
      </c>
      <c r="G157" s="9">
        <v>31.0</v>
      </c>
      <c r="H157" s="13">
        <v>3.0</v>
      </c>
      <c r="I157" s="21">
        <f t="shared" si="83"/>
        <v>0.6959705454</v>
      </c>
      <c r="J157" s="13" t="str">
        <f>VLOOKUP($A157,covariates!$A$3:$H$1126,5,false)</f>
        <v>at surgery</v>
      </c>
      <c r="K157" s="13" t="str">
        <f>VLOOKUP($A157,covariates!$A$3:$H$1126,6,false)</f>
        <v/>
      </c>
      <c r="L157" s="13">
        <f>VLOOKUP($A157,covariates!$A$3:$H$1126,7,false)</f>
        <v>25.2</v>
      </c>
      <c r="M157" s="13">
        <f>VLOOKUP($A157,covariates!$A$3:$H$1126,8,false)</f>
        <v>5.48</v>
      </c>
    </row>
    <row r="158">
      <c r="A158" s="15">
        <v>33.0</v>
      </c>
      <c r="B158" s="17" t="str">
        <f t="shared" ref="B158:B159" si="89">HYPERLINK("https://github.com/d-wkim/phd/blob/main/data/pdf/harilainen_2006.pdf","Harilainen et al., 2006")</f>
        <v>Harilainen et al., 2006</v>
      </c>
      <c r="C158" s="15">
        <v>33.0</v>
      </c>
      <c r="D158" s="9" t="s">
        <v>42</v>
      </c>
      <c r="E158" s="7" t="s">
        <v>370</v>
      </c>
      <c r="F158" s="9" t="s">
        <v>64</v>
      </c>
      <c r="G158" s="9">
        <v>37.0</v>
      </c>
      <c r="H158" s="13">
        <v>0.0</v>
      </c>
      <c r="I158" s="21">
        <f t="shared" si="83"/>
        <v>0.08219949365</v>
      </c>
      <c r="J158" s="13" t="str">
        <f>VLOOKUP($A158,covariates!$A$3:$H$1126,5,false)</f>
        <v>at surgery</v>
      </c>
      <c r="K158" s="13" t="str">
        <f>VLOOKUP($A158,covariates!$A$3:$H$1126,6,false)</f>
        <v/>
      </c>
      <c r="L158" s="13" t="str">
        <f>VLOOKUP($A158,covariates!$A$3:$H$1126,7,false)</f>
        <v/>
      </c>
      <c r="M158" s="13" t="str">
        <f>VLOOKUP($A158,covariates!$A$3:$H$1126,8,false)</f>
        <v/>
      </c>
    </row>
    <row r="159">
      <c r="A159" s="15">
        <v>33.0</v>
      </c>
      <c r="B159" s="17" t="str">
        <f t="shared" si="89"/>
        <v>Harilainen et al., 2006</v>
      </c>
      <c r="C159" s="15">
        <v>33.0</v>
      </c>
      <c r="D159" s="9" t="s">
        <v>84</v>
      </c>
      <c r="E159" s="7" t="s">
        <v>370</v>
      </c>
      <c r="F159" s="9" t="s">
        <v>64</v>
      </c>
      <c r="G159" s="9">
        <v>37.0</v>
      </c>
      <c r="H159" s="13">
        <v>1.0</v>
      </c>
      <c r="I159" s="21">
        <f t="shared" si="83"/>
        <v>0.2534484388</v>
      </c>
      <c r="J159" s="13" t="str">
        <f>VLOOKUP($A159,covariates!$A$3:$H$1126,5,false)</f>
        <v>at surgery</v>
      </c>
      <c r="K159" s="13" t="str">
        <f>VLOOKUP($A159,covariates!$A$3:$H$1126,6,false)</f>
        <v/>
      </c>
      <c r="L159" s="13" t="str">
        <f>VLOOKUP($A159,covariates!$A$3:$H$1126,7,false)</f>
        <v/>
      </c>
      <c r="M159" s="13" t="str">
        <f>VLOOKUP($A159,covariates!$A$3:$H$1126,8,false)</f>
        <v/>
      </c>
    </row>
    <row r="160">
      <c r="A160" s="15">
        <v>37.0</v>
      </c>
      <c r="B160" s="17" t="str">
        <f t="shared" ref="B160:B161" si="90">HYPERLINK("https://github.com/d-wkim/phd/blob/main/data/pdf/ibrahim_2005.pdf","Ibrahim et al., 2005")</f>
        <v>Ibrahim et al., 2005</v>
      </c>
      <c r="C160" s="15">
        <v>37.0</v>
      </c>
      <c r="D160" s="9" t="s">
        <v>42</v>
      </c>
      <c r="E160" s="19" t="s">
        <v>370</v>
      </c>
      <c r="F160" s="9" t="s">
        <v>64</v>
      </c>
      <c r="G160" s="9">
        <v>40.0</v>
      </c>
      <c r="H160" s="13">
        <v>5.0</v>
      </c>
      <c r="I160" s="21">
        <f t="shared" si="83"/>
        <v>0.9938586932</v>
      </c>
      <c r="J160" s="13" t="str">
        <f>VLOOKUP($A160,covariates!$A$3:$H$1126,5,false)</f>
        <v>at surgery</v>
      </c>
      <c r="K160" s="13" t="str">
        <f>VLOOKUP($A160,covariates!$A$3:$H$1126,6,false)</f>
        <v/>
      </c>
      <c r="L160" s="13">
        <f>VLOOKUP($A160,covariates!$A$3:$H$1126,7,false)</f>
        <v>22.3</v>
      </c>
      <c r="M160" s="13">
        <f>VLOOKUP($A160,covariates!$A$3:$H$1126,8,false)</f>
        <v>3.942</v>
      </c>
    </row>
    <row r="161">
      <c r="A161" s="15">
        <v>37.0</v>
      </c>
      <c r="B161" s="17" t="str">
        <f t="shared" si="90"/>
        <v>Ibrahim et al., 2005</v>
      </c>
      <c r="C161" s="15">
        <v>37.0</v>
      </c>
      <c r="D161" s="9" t="s">
        <v>84</v>
      </c>
      <c r="E161" s="19" t="s">
        <v>370</v>
      </c>
      <c r="F161" s="9" t="s">
        <v>64</v>
      </c>
      <c r="G161" s="9">
        <v>46.0</v>
      </c>
      <c r="H161" s="13">
        <v>7.0</v>
      </c>
      <c r="I161" s="21">
        <f t="shared" si="83"/>
        <v>1.304294228</v>
      </c>
      <c r="J161" s="13" t="str">
        <f>VLOOKUP($A161,covariates!$A$3:$H$1126,5,false)</f>
        <v>at surgery</v>
      </c>
      <c r="K161" s="13" t="str">
        <f>VLOOKUP($A161,covariates!$A$3:$H$1126,6,false)</f>
        <v/>
      </c>
      <c r="L161" s="13">
        <f>VLOOKUP($A161,covariates!$A$3:$H$1126,7,false)</f>
        <v>22.3</v>
      </c>
      <c r="M161" s="13">
        <f>VLOOKUP($A161,covariates!$A$3:$H$1126,8,false)</f>
        <v>3.942</v>
      </c>
    </row>
    <row r="162">
      <c r="A162" s="15">
        <v>41.0</v>
      </c>
      <c r="B162" s="17" t="str">
        <f t="shared" ref="B162:B163" si="91">HYPERLINK("https://github.com/d-wkim/phd/blob/main/data/pdf/jansson_2003.pdf","Jansson et al., 2003")</f>
        <v>Jansson et al., 2003</v>
      </c>
      <c r="C162" s="15">
        <v>41.0</v>
      </c>
      <c r="D162" s="9" t="s">
        <v>42</v>
      </c>
      <c r="E162" s="19" t="s">
        <v>370</v>
      </c>
      <c r="F162" s="9" t="s">
        <v>64</v>
      </c>
      <c r="G162" s="9">
        <v>43.0</v>
      </c>
      <c r="H162" s="13">
        <v>8.0</v>
      </c>
      <c r="I162" s="21">
        <f t="shared" si="83"/>
        <v>1.592520784</v>
      </c>
      <c r="J162" s="13" t="str">
        <f>VLOOKUP($A162,covariates!$A$3:$H$1126,5,false)</f>
        <v>at surgery</v>
      </c>
      <c r="K162" s="13" t="str">
        <f>VLOOKUP($A162,covariates!$A$3:$H$1126,6,false)</f>
        <v/>
      </c>
      <c r="L162" s="13" t="str">
        <f>VLOOKUP($A162,covariates!$A$3:$H$1126,7,false)</f>
        <v/>
      </c>
      <c r="M162" s="13" t="str">
        <f>VLOOKUP($A162,covariates!$A$3:$H$1126,8,false)</f>
        <v/>
      </c>
    </row>
    <row r="163">
      <c r="A163" s="15">
        <v>41.0</v>
      </c>
      <c r="B163" s="17" t="str">
        <f t="shared" si="91"/>
        <v>Jansson et al., 2003</v>
      </c>
      <c r="C163" s="15">
        <v>41.0</v>
      </c>
      <c r="D163" s="9" t="s">
        <v>84</v>
      </c>
      <c r="E163" s="19" t="s">
        <v>370</v>
      </c>
      <c r="F163" s="9" t="s">
        <v>64</v>
      </c>
      <c r="G163" s="9">
        <v>46.0</v>
      </c>
      <c r="H163" s="13">
        <v>8.0</v>
      </c>
      <c r="I163" s="21">
        <f t="shared" si="83"/>
        <v>1.517100128</v>
      </c>
      <c r="J163" s="13" t="str">
        <f>VLOOKUP($A163,covariates!$A$3:$H$1126,5,false)</f>
        <v>at surgery</v>
      </c>
      <c r="K163" s="13" t="str">
        <f>VLOOKUP($A163,covariates!$A$3:$H$1126,6,false)</f>
        <v/>
      </c>
      <c r="L163" s="13" t="str">
        <f>VLOOKUP($A163,covariates!$A$3:$H$1126,7,false)</f>
        <v/>
      </c>
      <c r="M163" s="13" t="str">
        <f>VLOOKUP($A163,covariates!$A$3:$H$1126,8,false)</f>
        <v/>
      </c>
    </row>
    <row r="164">
      <c r="A164" s="15">
        <v>45.0</v>
      </c>
      <c r="B164" s="17" t="str">
        <f t="shared" ref="B164:B165" si="92">HYPERLINK("https://github.com/d-wkim/phd/blob/main/data/pdf/konrads_2016.pdf","Konrads et al., 2016")</f>
        <v>Konrads et al., 2016</v>
      </c>
      <c r="C164" s="15">
        <v>45.0</v>
      </c>
      <c r="D164" s="9" t="s">
        <v>42</v>
      </c>
      <c r="E164" s="19" t="s">
        <v>370</v>
      </c>
      <c r="F164" s="9" t="s">
        <v>64</v>
      </c>
      <c r="G164" s="9">
        <v>24.0</v>
      </c>
      <c r="H164" s="13">
        <v>8.0</v>
      </c>
      <c r="I164" s="21">
        <f t="shared" si="83"/>
        <v>2.602582852</v>
      </c>
      <c r="J164" s="13" t="str">
        <f>VLOOKUP($A164,covariates!$A$3:$H$1126,5,false)</f>
        <v>at surgery</v>
      </c>
      <c r="K164" s="13" t="str">
        <f>VLOOKUP($A164,covariates!$A$3:$H$1126,6,false)</f>
        <v/>
      </c>
      <c r="L164" s="13">
        <f>VLOOKUP($A164,covariates!$A$3:$H$1126,7,false)</f>
        <v>29.8</v>
      </c>
      <c r="M164" s="13">
        <f>VLOOKUP($A164,covariates!$A$3:$H$1126,8,false)</f>
        <v>6.33</v>
      </c>
    </row>
    <row r="165">
      <c r="A165" s="15">
        <v>45.0</v>
      </c>
      <c r="B165" s="17" t="str">
        <f t="shared" si="92"/>
        <v>Konrads et al., 2016</v>
      </c>
      <c r="C165" s="15">
        <v>45.0</v>
      </c>
      <c r="D165" s="9" t="s">
        <v>84</v>
      </c>
      <c r="E165" s="19" t="s">
        <v>370</v>
      </c>
      <c r="F165" s="9" t="s">
        <v>64</v>
      </c>
      <c r="G165" s="9">
        <v>23.0</v>
      </c>
      <c r="H165" s="13">
        <v>11.0</v>
      </c>
      <c r="I165" s="21">
        <f t="shared" si="83"/>
        <v>4.59600521</v>
      </c>
      <c r="J165" s="13" t="str">
        <f>VLOOKUP($A165,covariates!$A$3:$H$1126,5,false)</f>
        <v>at surgery</v>
      </c>
      <c r="K165" s="13" t="str">
        <f>VLOOKUP($A165,covariates!$A$3:$H$1126,6,false)</f>
        <v/>
      </c>
      <c r="L165" s="13">
        <f>VLOOKUP($A165,covariates!$A$3:$H$1126,7,false)</f>
        <v>29.8</v>
      </c>
      <c r="M165" s="13">
        <f>VLOOKUP($A165,covariates!$A$3:$H$1126,8,false)</f>
        <v>6.33</v>
      </c>
    </row>
    <row r="166">
      <c r="A166" s="15">
        <v>51.0</v>
      </c>
      <c r="B166" s="17" t="str">
        <f t="shared" ref="B166:B167" si="93">HYPERLINK("https://github.com/d-wkim/phd/blob/main/data/pdf/li_2015.pdf","Li et al., 2015")</f>
        <v>Li et al., 2015</v>
      </c>
      <c r="C166" s="15">
        <v>51.0</v>
      </c>
      <c r="D166" s="9" t="s">
        <v>84</v>
      </c>
      <c r="E166" s="19" t="s">
        <v>370</v>
      </c>
      <c r="F166" s="9" t="s">
        <v>64</v>
      </c>
      <c r="G166" s="9">
        <v>32.0</v>
      </c>
      <c r="H166" s="13">
        <v>6.0</v>
      </c>
      <c r="I166" s="21">
        <f t="shared" si="83"/>
        <v>1.414213562</v>
      </c>
      <c r="J166" s="13" t="str">
        <f>VLOOKUP($A166,covariates!$A$3:$H$1126,5,false)</f>
        <v>at surgery</v>
      </c>
      <c r="K166" s="13" t="str">
        <f>VLOOKUP($A166,covariates!$A$3:$H$1126,6,false)</f>
        <v/>
      </c>
      <c r="L166" s="13">
        <f>VLOOKUP($A166,covariates!$A$3:$H$1126,7,false)</f>
        <v>29.8</v>
      </c>
      <c r="M166" s="13">
        <f>VLOOKUP($A166,covariates!$A$3:$H$1126,8,false)</f>
        <v>7.9</v>
      </c>
    </row>
    <row r="167">
      <c r="A167" s="15">
        <v>51.0</v>
      </c>
      <c r="B167" s="17" t="str">
        <f t="shared" si="93"/>
        <v>Li et al., 2015</v>
      </c>
      <c r="C167" s="15">
        <v>51.0</v>
      </c>
      <c r="D167" s="9" t="s">
        <v>205</v>
      </c>
      <c r="E167" s="19" t="s">
        <v>370</v>
      </c>
      <c r="F167" s="9" t="s">
        <v>64</v>
      </c>
      <c r="G167" s="9">
        <v>32.0</v>
      </c>
      <c r="H167" s="13">
        <v>13.0</v>
      </c>
      <c r="I167" s="21">
        <f t="shared" si="83"/>
        <v>4.019343809</v>
      </c>
      <c r="J167" s="13" t="str">
        <f>VLOOKUP($A167,covariates!$A$3:$H$1126,5,false)</f>
        <v>at surgery</v>
      </c>
      <c r="K167" s="13" t="str">
        <f>VLOOKUP($A167,covariates!$A$3:$H$1126,6,false)</f>
        <v/>
      </c>
      <c r="L167" s="13">
        <f>VLOOKUP($A167,covariates!$A$3:$H$1126,7,false)</f>
        <v>29.8</v>
      </c>
      <c r="M167" s="13">
        <f>VLOOKUP($A167,covariates!$A$3:$H$1126,8,false)</f>
        <v>7.9</v>
      </c>
    </row>
    <row r="168">
      <c r="A168" s="15">
        <v>52.0</v>
      </c>
      <c r="B168" s="17" t="str">
        <f t="shared" ref="B168:B169" si="94">HYPERLINK("https://github.com/d-wkim/phd/blob/main/data/pdf/lidén_2007.pdf","Lidén et al., 2007")</f>
        <v>Lidén et al., 2007</v>
      </c>
      <c r="C168" s="15">
        <v>52.0</v>
      </c>
      <c r="D168" s="9" t="s">
        <v>42</v>
      </c>
      <c r="E168" s="19" t="s">
        <v>370</v>
      </c>
      <c r="F168" s="9" t="s">
        <v>64</v>
      </c>
      <c r="G168" s="9">
        <v>30.0</v>
      </c>
      <c r="H168" s="13">
        <v>22.0</v>
      </c>
      <c r="I168" s="21">
        <f t="shared" si="83"/>
        <v>15.40469693</v>
      </c>
      <c r="J168" s="13" t="str">
        <f>VLOOKUP($A168,covariates!$A$3:$H$1126,5,false)</f>
        <v>at surgery</v>
      </c>
      <c r="K168" s="13" t="str">
        <f>VLOOKUP($A168,covariates!$A$3:$H$1126,6,false)</f>
        <v/>
      </c>
      <c r="L168" s="13">
        <f>VLOOKUP($A168,covariates!$A$3:$H$1126,7,false)</f>
        <v>28</v>
      </c>
      <c r="M168" s="13">
        <f>VLOOKUP($A168,covariates!$A$3:$H$1126,8,false)</f>
        <v>8.368</v>
      </c>
    </row>
    <row r="169">
      <c r="A169" s="15">
        <v>52.0</v>
      </c>
      <c r="B169" s="17" t="str">
        <f t="shared" si="94"/>
        <v>Lidén et al., 2007</v>
      </c>
      <c r="C169" s="15">
        <v>52.0</v>
      </c>
      <c r="D169" s="9" t="s">
        <v>84</v>
      </c>
      <c r="E169" s="19" t="s">
        <v>370</v>
      </c>
      <c r="F169" s="9" t="s">
        <v>64</v>
      </c>
      <c r="G169" s="9">
        <v>32.0</v>
      </c>
      <c r="H169" s="13">
        <v>25.0</v>
      </c>
      <c r="I169" s="21">
        <f t="shared" si="83"/>
        <v>20.60711191</v>
      </c>
      <c r="J169" s="13" t="str">
        <f>VLOOKUP($A169,covariates!$A$3:$H$1126,5,false)</f>
        <v>at surgery</v>
      </c>
      <c r="K169" s="13" t="str">
        <f>VLOOKUP($A169,covariates!$A$3:$H$1126,6,false)</f>
        <v/>
      </c>
      <c r="L169" s="13">
        <f>VLOOKUP($A169,covariates!$A$3:$H$1126,7,false)</f>
        <v>28</v>
      </c>
      <c r="M169" s="13">
        <f>VLOOKUP($A169,covariates!$A$3:$H$1126,8,false)</f>
        <v>8.368</v>
      </c>
    </row>
    <row r="170">
      <c r="A170" s="15">
        <v>55.0</v>
      </c>
      <c r="B170" s="17" t="str">
        <f t="shared" ref="B170:B171" si="95">HYPERLINK("https://github.com/d-wkim/phd/blob/main/data/pdf/lui_2012.pdf","Lui et al., 2012")</f>
        <v>Lui et al., 2012</v>
      </c>
      <c r="C170" s="15">
        <v>55.0</v>
      </c>
      <c r="D170" s="9" t="s">
        <v>42</v>
      </c>
      <c r="E170" s="19" t="s">
        <v>370</v>
      </c>
      <c r="F170" s="9" t="s">
        <v>64</v>
      </c>
      <c r="G170" s="9">
        <v>14.0</v>
      </c>
      <c r="H170" s="13">
        <v>4.0</v>
      </c>
      <c r="I170" s="21">
        <f t="shared" si="83"/>
        <v>1.683745824</v>
      </c>
      <c r="J170" s="13" t="str">
        <f>VLOOKUP($A170,covariates!$A$3:$H$1126,5,false)</f>
        <v>at surgery</v>
      </c>
      <c r="K170" s="13" t="str">
        <f>VLOOKUP($A170,covariates!$A$3:$H$1126,6,false)</f>
        <v/>
      </c>
      <c r="L170" s="13">
        <f>VLOOKUP($A170,covariates!$A$3:$H$1126,7,false)</f>
        <v>26.5</v>
      </c>
      <c r="M170" s="13">
        <f>VLOOKUP($A170,covariates!$A$3:$H$1126,8,false)</f>
        <v>5</v>
      </c>
    </row>
    <row r="171">
      <c r="A171" s="15">
        <v>55.0</v>
      </c>
      <c r="B171" s="17" t="str">
        <f t="shared" si="95"/>
        <v>Lui et al., 2012</v>
      </c>
      <c r="C171" s="15">
        <v>55.0</v>
      </c>
      <c r="D171" s="9" t="s">
        <v>84</v>
      </c>
      <c r="E171" s="19" t="s">
        <v>370</v>
      </c>
      <c r="F171" s="9" t="s">
        <v>64</v>
      </c>
      <c r="G171" s="9">
        <v>17.0</v>
      </c>
      <c r="H171" s="13">
        <v>3.0</v>
      </c>
      <c r="I171" s="21">
        <f t="shared" si="83"/>
        <v>1.030776406</v>
      </c>
      <c r="J171" s="13" t="str">
        <f>VLOOKUP($A171,covariates!$A$3:$H$1126,5,false)</f>
        <v>at surgery</v>
      </c>
      <c r="K171" s="13" t="str">
        <f>VLOOKUP($A171,covariates!$A$3:$H$1126,6,false)</f>
        <v/>
      </c>
      <c r="L171" s="13">
        <f>VLOOKUP($A171,covariates!$A$3:$H$1126,7,false)</f>
        <v>26.5</v>
      </c>
      <c r="M171" s="13">
        <f>VLOOKUP($A171,covariates!$A$3:$H$1126,8,false)</f>
        <v>5</v>
      </c>
    </row>
    <row r="172">
      <c r="A172" s="15">
        <v>58.0</v>
      </c>
      <c r="B172" s="17" t="str">
        <f t="shared" ref="B172:B173" si="96">HYPERLINK("https://github.com/d-wkim/phd/blob/main/data/pdf/malik_2026.pdf","Malik et al., 2026")</f>
        <v>Malik et al., 2026</v>
      </c>
      <c r="C172" s="15">
        <v>58.0</v>
      </c>
      <c r="D172" s="9" t="s">
        <v>84</v>
      </c>
      <c r="E172" s="19" t="s">
        <v>370</v>
      </c>
      <c r="F172" s="9" t="s">
        <v>64</v>
      </c>
      <c r="G172" s="9">
        <v>25.0</v>
      </c>
      <c r="H172" s="13">
        <v>3.0</v>
      </c>
      <c r="I172" s="21">
        <f t="shared" si="83"/>
        <v>0.7954545455</v>
      </c>
      <c r="J172" s="13" t="str">
        <f>VLOOKUP($A172,covariates!$A$3:$H$1126,5,false)</f>
        <v>at surgery</v>
      </c>
      <c r="K172" s="13" t="str">
        <f>VLOOKUP($A172,covariates!$A$3:$H$1126,6,false)</f>
        <v/>
      </c>
      <c r="L172" s="13">
        <f>VLOOKUP($A172,covariates!$A$3:$H$1126,7,false)</f>
        <v>28.12</v>
      </c>
      <c r="M172" s="13">
        <f>VLOOKUP($A172,covariates!$A$3:$H$1126,8,false)</f>
        <v>5.21</v>
      </c>
    </row>
    <row r="173">
      <c r="A173" s="15">
        <v>58.0</v>
      </c>
      <c r="B173" s="17" t="str">
        <f t="shared" si="96"/>
        <v>Malik et al., 2026</v>
      </c>
      <c r="C173" s="15">
        <v>58.0</v>
      </c>
      <c r="D173" s="9" t="s">
        <v>186</v>
      </c>
      <c r="E173" s="19" t="s">
        <v>370</v>
      </c>
      <c r="F173" s="9" t="s">
        <v>64</v>
      </c>
      <c r="G173" s="9">
        <v>25.0</v>
      </c>
      <c r="H173" s="13">
        <v>2.0</v>
      </c>
      <c r="I173" s="21">
        <f t="shared" si="83"/>
        <v>0.5434782609</v>
      </c>
      <c r="J173" s="13" t="str">
        <f>VLOOKUP($A173,covariates!$A$3:$H$1126,5,false)</f>
        <v>at surgery</v>
      </c>
      <c r="K173" s="13" t="str">
        <f>VLOOKUP($A173,covariates!$A$3:$H$1126,6,false)</f>
        <v/>
      </c>
      <c r="L173" s="13">
        <f>VLOOKUP($A173,covariates!$A$3:$H$1126,7,false)</f>
        <v>28.12</v>
      </c>
      <c r="M173" s="13">
        <f>VLOOKUP($A173,covariates!$A$3:$H$1126,8,false)</f>
        <v>5.21</v>
      </c>
    </row>
    <row r="174">
      <c r="A174" s="15">
        <v>70.0</v>
      </c>
      <c r="B174" s="17" t="str">
        <f t="shared" ref="B174:B175" si="97">HYPERLINK("https://github.com/d-wkim/phd/blob/main/data/pdf/noh_2011.pdf","Noh et al., 2011")</f>
        <v>Noh et al., 2011</v>
      </c>
      <c r="C174" s="15">
        <v>70.0</v>
      </c>
      <c r="D174" s="9" t="s">
        <v>84</v>
      </c>
      <c r="E174" s="19" t="s">
        <v>370</v>
      </c>
      <c r="F174" s="9" t="s">
        <v>64</v>
      </c>
      <c r="G174" s="9">
        <v>33.0</v>
      </c>
      <c r="H174" s="13">
        <v>6.0</v>
      </c>
      <c r="I174" s="21">
        <f t="shared" si="83"/>
        <v>1.382950267</v>
      </c>
      <c r="J174" s="13" t="str">
        <f>VLOOKUP($A174,covariates!$A$3:$H$1126,5,false)</f>
        <v>at surgery</v>
      </c>
      <c r="K174" s="13" t="str">
        <f>VLOOKUP($A174,covariates!$A$3:$H$1126,6,false)</f>
        <v/>
      </c>
      <c r="L174" s="13">
        <f>VLOOKUP($A174,covariates!$A$3:$H$1126,7,false)</f>
        <v>25.81397443</v>
      </c>
      <c r="M174" s="13">
        <f>VLOOKUP($A174,covariates!$A$3:$H$1126,8,false)</f>
        <v>7.455</v>
      </c>
    </row>
    <row r="175">
      <c r="A175" s="15">
        <v>70.0</v>
      </c>
      <c r="B175" s="17" t="str">
        <f t="shared" si="97"/>
        <v>Noh et al., 2011</v>
      </c>
      <c r="C175" s="15">
        <v>70.0</v>
      </c>
      <c r="D175" s="9" t="s">
        <v>246</v>
      </c>
      <c r="E175" s="19" t="s">
        <v>370</v>
      </c>
      <c r="F175" s="9" t="s">
        <v>64</v>
      </c>
      <c r="G175" s="9">
        <v>32.0</v>
      </c>
      <c r="H175" s="13">
        <v>11.0</v>
      </c>
      <c r="I175" s="21">
        <f t="shared" si="83"/>
        <v>3.097801137</v>
      </c>
      <c r="J175" s="13" t="str">
        <f>VLOOKUP($A175,covariates!$A$3:$H$1126,5,false)</f>
        <v>at surgery</v>
      </c>
      <c r="K175" s="13" t="str">
        <f>VLOOKUP($A175,covariates!$A$3:$H$1126,6,false)</f>
        <v/>
      </c>
      <c r="L175" s="13">
        <f>VLOOKUP($A175,covariates!$A$3:$H$1126,7,false)</f>
        <v>25.81397443</v>
      </c>
      <c r="M175" s="13">
        <f>VLOOKUP($A175,covariates!$A$3:$H$1126,8,false)</f>
        <v>7.455</v>
      </c>
    </row>
    <row r="176">
      <c r="A176" s="15">
        <v>76.0</v>
      </c>
      <c r="B176" s="17" t="str">
        <f t="shared" ref="B176:B177" si="98">HYPERLINK("https://github.com/d-wkim/phd/blob/main/data/pdf/pinczewski_2007.pdf","Pinczewski et al., 2007")</f>
        <v>Pinczewski et al., 2007</v>
      </c>
      <c r="C176" s="15">
        <v>76.0</v>
      </c>
      <c r="D176" s="9" t="s">
        <v>42</v>
      </c>
      <c r="E176" s="19" t="s">
        <v>370</v>
      </c>
      <c r="F176" s="9" t="s">
        <v>64</v>
      </c>
      <c r="G176" s="9">
        <v>53.0</v>
      </c>
      <c r="H176" s="13">
        <v>10.0</v>
      </c>
      <c r="I176" s="21">
        <f t="shared" si="83"/>
        <v>1.777701252</v>
      </c>
      <c r="J176" s="13" t="str">
        <f>VLOOKUP($A176,covariates!$A$3:$H$1126,5,false)</f>
        <v>at surgery</v>
      </c>
      <c r="K176" s="13" t="str">
        <f>VLOOKUP($A176,covariates!$A$3:$H$1126,6,false)</f>
        <v/>
      </c>
      <c r="L176" s="13">
        <f>VLOOKUP($A176,covariates!$A$3:$H$1126,7,false)</f>
        <v>25</v>
      </c>
      <c r="M176" s="13">
        <f>VLOOKUP($A176,covariates!$A$3:$H$1126,8,false)</f>
        <v>5.485</v>
      </c>
    </row>
    <row r="177">
      <c r="A177" s="15">
        <v>76.0</v>
      </c>
      <c r="B177" s="17" t="str">
        <f t="shared" si="98"/>
        <v>Pinczewski et al., 2007</v>
      </c>
      <c r="C177" s="15">
        <v>76.0</v>
      </c>
      <c r="D177" s="9" t="s">
        <v>84</v>
      </c>
      <c r="E177" s="19" t="s">
        <v>370</v>
      </c>
      <c r="F177" s="9" t="s">
        <v>64</v>
      </c>
      <c r="G177" s="9">
        <v>58.0</v>
      </c>
      <c r="H177" s="13">
        <f>G177-46</f>
        <v>12</v>
      </c>
      <c r="I177" s="21">
        <f t="shared" si="83"/>
        <v>2.069503561</v>
      </c>
      <c r="J177" s="13" t="str">
        <f>VLOOKUP($A177,covariates!$A$3:$H$1126,5,false)</f>
        <v>at surgery</v>
      </c>
      <c r="K177" s="13" t="str">
        <f>VLOOKUP($A177,covariates!$A$3:$H$1126,6,false)</f>
        <v/>
      </c>
      <c r="L177" s="13">
        <f>VLOOKUP($A177,covariates!$A$3:$H$1126,7,false)</f>
        <v>25</v>
      </c>
      <c r="M177" s="13">
        <f>VLOOKUP($A177,covariates!$A$3:$H$1126,8,false)</f>
        <v>5.485</v>
      </c>
    </row>
    <row r="178">
      <c r="A178" s="15">
        <v>77.0</v>
      </c>
      <c r="B178" s="17" t="str">
        <f t="shared" ref="B178:B179" si="99">HYPERLINK("https://github.com/d-wkim/phd/blob/main/data/pdf/popovic_2024.pdf","Popovic et al., 2024")</f>
        <v>Popovic et al., 2024</v>
      </c>
      <c r="C178" s="15">
        <v>77.0</v>
      </c>
      <c r="D178" s="9" t="s">
        <v>42</v>
      </c>
      <c r="E178" s="19" t="s">
        <v>370</v>
      </c>
      <c r="F178" s="9" t="s">
        <v>64</v>
      </c>
      <c r="G178" s="9">
        <v>38.0</v>
      </c>
      <c r="H178" s="13">
        <v>0.0</v>
      </c>
      <c r="I178" s="21">
        <f t="shared" si="83"/>
        <v>0.08111071057</v>
      </c>
      <c r="J178" s="13" t="str">
        <f>VLOOKUP($A178,covariates!$A$3:$H$1126,5,false)</f>
        <v>at surgery</v>
      </c>
      <c r="K178" s="13" t="str">
        <f>VLOOKUP($A178,covariates!$A$3:$H$1126,6,false)</f>
        <v/>
      </c>
      <c r="L178" s="13">
        <f>VLOOKUP($A178,covariates!$A$3:$H$1126,7,false)</f>
        <v>27</v>
      </c>
      <c r="M178" s="13">
        <f>VLOOKUP($A178,covariates!$A$3:$H$1126,8,false)</f>
        <v>6.82</v>
      </c>
    </row>
    <row r="179">
      <c r="A179" s="15">
        <v>77.0</v>
      </c>
      <c r="B179" s="17" t="str">
        <f t="shared" si="99"/>
        <v>Popovic et al., 2024</v>
      </c>
      <c r="C179" s="15">
        <v>77.0</v>
      </c>
      <c r="D179" s="9" t="s">
        <v>84</v>
      </c>
      <c r="E179" s="19" t="s">
        <v>370</v>
      </c>
      <c r="F179" s="9" t="s">
        <v>64</v>
      </c>
      <c r="G179" s="9">
        <v>33.0</v>
      </c>
      <c r="H179" s="13">
        <v>5.0</v>
      </c>
      <c r="I179" s="21">
        <f t="shared" si="83"/>
        <v>1.128396234</v>
      </c>
      <c r="J179" s="13" t="str">
        <f>VLOOKUP($A179,covariates!$A$3:$H$1126,5,false)</f>
        <v>at surgery</v>
      </c>
      <c r="K179" s="13" t="str">
        <f>VLOOKUP($A179,covariates!$A$3:$H$1126,6,false)</f>
        <v/>
      </c>
      <c r="L179" s="13">
        <f>VLOOKUP($A179,covariates!$A$3:$H$1126,7,false)</f>
        <v>27</v>
      </c>
      <c r="M179" s="13">
        <f>VLOOKUP($A179,covariates!$A$3:$H$1126,8,false)</f>
        <v>6.82</v>
      </c>
    </row>
    <row r="180">
      <c r="A180" s="15">
        <v>82.0</v>
      </c>
      <c r="B180" s="17" t="str">
        <f t="shared" ref="B180:B181" si="100">HYPERLINK("https://github.com/d-wkim/phd/blob/main/data/pdf/sajovic_2018.pdf","Sajovic et al., 2018")</f>
        <v>Sajovic et al., 2018</v>
      </c>
      <c r="C180" s="15">
        <v>82.0</v>
      </c>
      <c r="D180" s="9" t="s">
        <v>42</v>
      </c>
      <c r="E180" s="7" t="s">
        <v>370</v>
      </c>
      <c r="F180" s="9" t="s">
        <v>64</v>
      </c>
      <c r="G180" s="9">
        <v>24.0</v>
      </c>
      <c r="H180" s="13">
        <v>5.0</v>
      </c>
      <c r="I180" s="21">
        <f t="shared" si="83"/>
        <v>1.418125641</v>
      </c>
      <c r="J180" s="13" t="str">
        <f>VLOOKUP($A180,covariates!$A$3:$H$1126,5,false)</f>
        <v>at follow-up</v>
      </c>
      <c r="K180" s="13" t="str">
        <f>VLOOKUP($A180,covariates!$A$3:$H$1126,6,false)</f>
        <v/>
      </c>
      <c r="L180" s="13">
        <f>VLOOKUP($A180,covariates!$A$3:$H$1126,7,false)</f>
        <v>45.5</v>
      </c>
      <c r="M180" s="13">
        <f>VLOOKUP($A180,covariates!$A$3:$H$1126,8,false)</f>
        <v>8.7</v>
      </c>
    </row>
    <row r="181">
      <c r="A181" s="15">
        <v>82.0</v>
      </c>
      <c r="B181" s="17" t="str">
        <f t="shared" si="100"/>
        <v>Sajovic et al., 2018</v>
      </c>
      <c r="C181" s="15">
        <v>82.0</v>
      </c>
      <c r="D181" s="9" t="s">
        <v>84</v>
      </c>
      <c r="E181" s="7" t="s">
        <v>370</v>
      </c>
      <c r="F181" s="9" t="s">
        <v>64</v>
      </c>
      <c r="G181" s="9">
        <v>24.0</v>
      </c>
      <c r="H181" s="13">
        <v>5.0</v>
      </c>
      <c r="I181" s="21">
        <f t="shared" si="83"/>
        <v>1.418125641</v>
      </c>
      <c r="J181" s="13" t="str">
        <f>VLOOKUP($A181,covariates!$A$3:$H$1126,5,false)</f>
        <v>at follow-up</v>
      </c>
      <c r="K181" s="13" t="str">
        <f>VLOOKUP($A181,covariates!$A$3:$H$1126,6,false)</f>
        <v/>
      </c>
      <c r="L181" s="13">
        <f>VLOOKUP($A181,covariates!$A$3:$H$1126,7,false)</f>
        <v>45.5</v>
      </c>
      <c r="M181" s="13">
        <f>VLOOKUP($A181,covariates!$A$3:$H$1126,8,false)</f>
        <v>8.7</v>
      </c>
    </row>
    <row r="182">
      <c r="A182" s="15">
        <v>98.0</v>
      </c>
      <c r="B182" s="17" t="str">
        <f t="shared" ref="B182:B183" si="101">HYPERLINK("https://github.com/d-wkim/phd/blob/main/data/pdf/yoo_2017.pdf","Yoo et al., 2017")</f>
        <v>Yoo et al., 2017</v>
      </c>
      <c r="C182" s="15">
        <v>98.0</v>
      </c>
      <c r="D182" s="9" t="s">
        <v>84</v>
      </c>
      <c r="E182" s="19" t="s">
        <v>370</v>
      </c>
      <c r="F182" s="9" t="s">
        <v>64</v>
      </c>
      <c r="G182" s="9">
        <v>68.0</v>
      </c>
      <c r="H182" s="13">
        <v>4.0</v>
      </c>
      <c r="I182" s="21">
        <f t="shared" si="83"/>
        <v>0.5798117286</v>
      </c>
      <c r="J182" s="13" t="str">
        <f>VLOOKUP($A182,covariates!$A$3:$H$1126,5,false)</f>
        <v>at surgery</v>
      </c>
      <c r="K182" s="13" t="str">
        <f>VLOOKUP($A182,covariates!$A$3:$H$1126,6,false)</f>
        <v/>
      </c>
      <c r="L182" s="13">
        <f>VLOOKUP($A182,covariates!$A$3:$H$1126,7,false)</f>
        <v>30</v>
      </c>
      <c r="M182" s="13">
        <f>VLOOKUP($A182,covariates!$A$3:$H$1126,8,false)</f>
        <v>9.961</v>
      </c>
    </row>
    <row r="183">
      <c r="A183" s="15">
        <v>98.0</v>
      </c>
      <c r="B183" s="17" t="str">
        <f t="shared" si="101"/>
        <v>Yoo et al., 2017</v>
      </c>
      <c r="C183" s="15">
        <v>98.0</v>
      </c>
      <c r="D183" s="9" t="s">
        <v>205</v>
      </c>
      <c r="E183" s="19" t="s">
        <v>370</v>
      </c>
      <c r="F183" s="9" t="s">
        <v>64</v>
      </c>
      <c r="G183" s="9">
        <v>64.0</v>
      </c>
      <c r="H183" s="13">
        <v>6.0</v>
      </c>
      <c r="I183" s="21">
        <f t="shared" si="83"/>
        <v>0.8965517241</v>
      </c>
      <c r="J183" s="13" t="str">
        <f>VLOOKUP($A183,covariates!$A$3:$H$1126,5,false)</f>
        <v>at surgery</v>
      </c>
      <c r="K183" s="13" t="str">
        <f>VLOOKUP($A183,covariates!$A$3:$H$1126,6,false)</f>
        <v/>
      </c>
      <c r="L183" s="13">
        <f>VLOOKUP($A183,covariates!$A$3:$H$1126,7,false)</f>
        <v>30</v>
      </c>
      <c r="M183" s="13">
        <f>VLOOKUP($A183,covariates!$A$3:$H$1126,8,false)</f>
        <v>9.961</v>
      </c>
    </row>
    <row r="184">
      <c r="A184" s="15">
        <v>2.0</v>
      </c>
      <c r="B184" s="17" t="str">
        <f t="shared" ref="B184:B185" si="102">HYPERLINK("https://github.com/d-wkim/phd/blob/main/data/pdf/aglietti_2004.pdf","Aglietti et al., 2004")</f>
        <v>Aglietti et al., 2004</v>
      </c>
      <c r="C184" s="15">
        <v>2.0</v>
      </c>
      <c r="D184" s="9" t="s">
        <v>42</v>
      </c>
      <c r="E184" s="19" t="s">
        <v>370</v>
      </c>
      <c r="F184" s="9" t="s">
        <v>64</v>
      </c>
      <c r="G184" s="9">
        <v>60.0</v>
      </c>
      <c r="H184" s="13">
        <v>0.0</v>
      </c>
      <c r="I184" s="21">
        <f t="shared" si="83"/>
        <v>0.06454972244</v>
      </c>
      <c r="J184" s="13" t="str">
        <f>VLOOKUP($A184,covariates!$A$3:$H$1126,5,false)</f>
        <v>at surgery</v>
      </c>
      <c r="K184" s="13" t="str">
        <f>VLOOKUP($A184,covariates!$A$3:$H$1126,6,false)</f>
        <v/>
      </c>
      <c r="L184" s="13">
        <f>VLOOKUP($A184,covariates!$A$3:$H$1126,7,false)</f>
        <v>25</v>
      </c>
      <c r="M184" s="13">
        <f>VLOOKUP($A184,covariates!$A$3:$H$1126,8,false)</f>
        <v>4.973</v>
      </c>
    </row>
    <row r="185">
      <c r="A185" s="15">
        <v>2.0</v>
      </c>
      <c r="B185" s="17" t="str">
        <f t="shared" si="102"/>
        <v>Aglietti et al., 2004</v>
      </c>
      <c r="C185" s="15">
        <v>2.0</v>
      </c>
      <c r="D185" s="9" t="s">
        <v>84</v>
      </c>
      <c r="E185" s="19" t="s">
        <v>370</v>
      </c>
      <c r="F185" s="9" t="s">
        <v>64</v>
      </c>
      <c r="G185" s="9">
        <v>60.0</v>
      </c>
      <c r="H185" s="13">
        <v>0.0</v>
      </c>
      <c r="I185" s="21">
        <f t="shared" si="83"/>
        <v>0.06454972244</v>
      </c>
      <c r="J185" s="13" t="str">
        <f>VLOOKUP($A185,covariates!$A$3:$H$1126,5,false)</f>
        <v>at surgery</v>
      </c>
      <c r="K185" s="13" t="str">
        <f>VLOOKUP($A185,covariates!$A$3:$H$1126,6,false)</f>
        <v/>
      </c>
      <c r="L185" s="13">
        <f>VLOOKUP($A185,covariates!$A$3:$H$1126,7,false)</f>
        <v>25</v>
      </c>
      <c r="M185" s="13">
        <f>VLOOKUP($A185,covariates!$A$3:$H$1126,8,false)</f>
        <v>4.973</v>
      </c>
    </row>
    <row r="186">
      <c r="A186" s="15">
        <v>3.0</v>
      </c>
      <c r="B186" s="17" t="str">
        <f t="shared" ref="B186:B187" si="103">HYPERLINK("https://github.com/d-wkim/phd/blob/main/data/pdf/ahldén_2009.pdf","Ahldén et al., 2009")</f>
        <v>Ahldén et al., 2009</v>
      </c>
      <c r="C186" s="15">
        <v>3.0</v>
      </c>
      <c r="D186" s="9" t="s">
        <v>42</v>
      </c>
      <c r="E186" s="19" t="s">
        <v>371</v>
      </c>
      <c r="F186" s="9" t="s">
        <v>222</v>
      </c>
      <c r="G186" s="9">
        <v>25.0</v>
      </c>
      <c r="H186" s="13" t="str">
        <f t="shared" ref="H186:H189" si="104">iferror(MEDIAN_MEAN(G186,#REF!,#REF!,#REF!),"")</f>
        <v/>
      </c>
      <c r="I186" s="13" t="str">
        <f t="shared" ref="I186:I189" si="105">iferror(RANGE_SD(G186,#REF!,#REF!),"")</f>
        <v/>
      </c>
      <c r="J186" s="13" t="str">
        <f>VLOOKUP($A186,covariates!$A$3:$H$1126,5,false)</f>
        <v>at surgery</v>
      </c>
      <c r="K186" s="55" t="str">
        <f>VLOOKUP($A186,covariates!$A$3:$H$1126,6,false)</f>
        <v/>
      </c>
      <c r="L186" s="55">
        <f>VLOOKUP($A186,covariates!$A$3:$H$1126,7,false)</f>
        <v>27.41260836</v>
      </c>
      <c r="M186" s="55">
        <f>VLOOKUP($A186,covariates!$A$3:$H$1126,8,false)</f>
        <v>8.902</v>
      </c>
    </row>
    <row r="187">
      <c r="A187" s="15">
        <v>3.0</v>
      </c>
      <c r="B187" s="17" t="str">
        <f t="shared" si="103"/>
        <v>Ahldén et al., 2009</v>
      </c>
      <c r="C187" s="15">
        <v>3.0</v>
      </c>
      <c r="D187" s="9" t="s">
        <v>84</v>
      </c>
      <c r="E187" s="19" t="s">
        <v>371</v>
      </c>
      <c r="F187" s="9" t="s">
        <v>222</v>
      </c>
      <c r="G187" s="9">
        <v>22.0</v>
      </c>
      <c r="H187" s="13" t="str">
        <f t="shared" si="104"/>
        <v/>
      </c>
      <c r="I187" s="13" t="str">
        <f t="shared" si="105"/>
        <v/>
      </c>
      <c r="J187" s="13" t="str">
        <f>VLOOKUP($A187,covariates!$A$3:$H$1126,5,false)</f>
        <v>at surgery</v>
      </c>
      <c r="K187" s="55" t="str">
        <f>VLOOKUP($A187,covariates!$A$3:$H$1126,6,false)</f>
        <v/>
      </c>
      <c r="L187" s="55">
        <f>VLOOKUP($A187,covariates!$A$3:$H$1126,7,false)</f>
        <v>27.41260836</v>
      </c>
      <c r="M187" s="55">
        <f>VLOOKUP($A187,covariates!$A$3:$H$1126,8,false)</f>
        <v>8.902</v>
      </c>
    </row>
    <row r="188">
      <c r="A188" s="15">
        <v>9.0</v>
      </c>
      <c r="B188" s="17" t="str">
        <f t="shared" ref="B188:B189" si="106">HYPERLINK("https://github.com/d-wkim/phd/blob/main/data/pdf/barenius_2010.pdf","Barenius et al., 2010")</f>
        <v>Barenius et al., 2010</v>
      </c>
      <c r="C188" s="15">
        <v>9.0</v>
      </c>
      <c r="D188" s="9" t="s">
        <v>42</v>
      </c>
      <c r="E188" s="7" t="s">
        <v>371</v>
      </c>
      <c r="F188" s="9" t="s">
        <v>222</v>
      </c>
      <c r="G188" s="9">
        <v>78.0</v>
      </c>
      <c r="H188" s="13" t="str">
        <f t="shared" si="104"/>
        <v/>
      </c>
      <c r="I188" s="13" t="str">
        <f t="shared" si="105"/>
        <v/>
      </c>
      <c r="J188" s="13" t="str">
        <f>VLOOKUP($A188,covariates!$A$3:$H$1126,5,false)</f>
        <v>at follow-up</v>
      </c>
      <c r="K188" s="55" t="str">
        <f>VLOOKUP($A188,covariates!$A$3:$H$1126,6,false)</f>
        <v/>
      </c>
      <c r="L188" s="55">
        <f>VLOOKUP($A188,covariates!$A$3:$H$1126,7,false)</f>
        <v>33</v>
      </c>
      <c r="M188" s="55">
        <f>VLOOKUP($A188,covariates!$A$3:$H$1126,8,false)</f>
        <v>6.3</v>
      </c>
    </row>
    <row r="189">
      <c r="A189" s="15">
        <v>9.0</v>
      </c>
      <c r="B189" s="17" t="str">
        <f t="shared" si="106"/>
        <v>Barenius et al., 2010</v>
      </c>
      <c r="C189" s="15">
        <v>9.0</v>
      </c>
      <c r="D189" s="9" t="s">
        <v>84</v>
      </c>
      <c r="E189" s="7" t="s">
        <v>371</v>
      </c>
      <c r="F189" s="9" t="s">
        <v>222</v>
      </c>
      <c r="G189" s="9">
        <v>75.0</v>
      </c>
      <c r="H189" s="13" t="str">
        <f t="shared" si="104"/>
        <v/>
      </c>
      <c r="I189" s="13" t="str">
        <f t="shared" si="105"/>
        <v/>
      </c>
      <c r="J189" s="13" t="str">
        <f>VLOOKUP($A189,covariates!$A$3:$H$1126,5,false)</f>
        <v>at follow-up</v>
      </c>
      <c r="K189" s="55" t="str">
        <f>VLOOKUP($A189,covariates!$A$3:$H$1126,6,false)</f>
        <v/>
      </c>
      <c r="L189" s="55">
        <f>VLOOKUP($A189,covariates!$A$3:$H$1126,7,false)</f>
        <v>33</v>
      </c>
      <c r="M189" s="55">
        <f>VLOOKUP($A189,covariates!$A$3:$H$1126,8,false)</f>
        <v>6.3</v>
      </c>
    </row>
    <row r="190">
      <c r="A190" s="15">
        <v>10.0</v>
      </c>
      <c r="B190" s="17" t="str">
        <f t="shared" ref="B190:B191" si="107">HYPERLINK("https://github.com/d-wkim/phd/blob/main/data/pdf/barié_2020.pdf","Barié et al., 2020")</f>
        <v>Barié et al., 2020</v>
      </c>
      <c r="C190" s="15">
        <v>10.0</v>
      </c>
      <c r="D190" s="9" t="s">
        <v>42</v>
      </c>
      <c r="E190" s="19" t="s">
        <v>371</v>
      </c>
      <c r="F190" s="9" t="s">
        <v>222</v>
      </c>
      <c r="G190" s="9">
        <v>43.0</v>
      </c>
      <c r="H190" s="13">
        <v>95.2</v>
      </c>
      <c r="I190" s="13">
        <v>6.6</v>
      </c>
      <c r="J190" s="13" t="str">
        <f>VLOOKUP($A190,covariates!$A$3:$H$1126,5,false)</f>
        <v>at surgery</v>
      </c>
      <c r="K190" s="55" t="str">
        <f>VLOOKUP($A190,covariates!$A$3:$H$1126,6,false)</f>
        <v/>
      </c>
      <c r="L190" s="55">
        <f>VLOOKUP($A190,covariates!$A$3:$H$1126,7,false)</f>
        <v>30.6</v>
      </c>
      <c r="M190" s="55">
        <f>VLOOKUP($A190,covariates!$A$3:$H$1126,8,false)</f>
        <v>7.5</v>
      </c>
    </row>
    <row r="191">
      <c r="A191" s="15">
        <v>10.0</v>
      </c>
      <c r="B191" s="17" t="str">
        <f t="shared" si="107"/>
        <v>Barié et al., 2020</v>
      </c>
      <c r="C191" s="15">
        <v>10.0</v>
      </c>
      <c r="D191" s="9" t="s">
        <v>200</v>
      </c>
      <c r="E191" s="19" t="s">
        <v>371</v>
      </c>
      <c r="F191" s="9" t="s">
        <v>222</v>
      </c>
      <c r="G191" s="9">
        <v>43.0</v>
      </c>
      <c r="H191" s="13">
        <v>95.6</v>
      </c>
      <c r="I191" s="13">
        <v>7.8</v>
      </c>
      <c r="J191" s="13" t="str">
        <f>VLOOKUP($A191,covariates!$A$3:$H$1126,5,false)</f>
        <v>at surgery</v>
      </c>
      <c r="K191" s="55" t="str">
        <f>VLOOKUP($A191,covariates!$A$3:$H$1126,6,false)</f>
        <v/>
      </c>
      <c r="L191" s="55">
        <f>VLOOKUP($A191,covariates!$A$3:$H$1126,7,false)</f>
        <v>30.6</v>
      </c>
      <c r="M191" s="55">
        <f>VLOOKUP($A191,covariates!$A$3:$H$1126,8,false)</f>
        <v>7.5</v>
      </c>
    </row>
    <row r="192">
      <c r="A192" s="15">
        <v>13.0</v>
      </c>
      <c r="B192" s="17" t="str">
        <f t="shared" ref="B192:B193" si="108">HYPERLINK("https://github.com/d-wkim/phd/blob/main/data/pdf/björnsson_2016.pdf","Björnsson et al., 2016")</f>
        <v>Björnsson et al., 2016</v>
      </c>
      <c r="C192" s="15">
        <v>13.0</v>
      </c>
      <c r="D192" s="9" t="s">
        <v>42</v>
      </c>
      <c r="E192" s="19" t="s">
        <v>371</v>
      </c>
      <c r="F192" s="9" t="s">
        <v>222</v>
      </c>
      <c r="G192" s="9">
        <v>61.0</v>
      </c>
      <c r="H192" s="13">
        <v>79.4</v>
      </c>
      <c r="I192" s="13">
        <v>16.9</v>
      </c>
      <c r="J192" s="13" t="str">
        <f>VLOOKUP($A192,covariates!$A$3:$H$1126,5,false)</f>
        <v>at surgery</v>
      </c>
      <c r="K192" s="55" t="str">
        <f>VLOOKUP($A192,covariates!$A$3:$H$1126,6,false)</f>
        <v/>
      </c>
      <c r="L192" s="55">
        <f>VLOOKUP($A192,covariates!$A$3:$H$1126,7,false)</f>
        <v>28.2</v>
      </c>
      <c r="M192" s="55">
        <f>VLOOKUP($A192,covariates!$A$3:$H$1126,8,false)</f>
        <v>9.1</v>
      </c>
    </row>
    <row r="193">
      <c r="A193" s="15">
        <v>13.0</v>
      </c>
      <c r="B193" s="17" t="str">
        <f t="shared" si="108"/>
        <v>Björnsson et al., 2016</v>
      </c>
      <c r="C193" s="15">
        <v>13.0</v>
      </c>
      <c r="D193" s="9" t="s">
        <v>84</v>
      </c>
      <c r="E193" s="19" t="s">
        <v>371</v>
      </c>
      <c r="F193" s="9" t="s">
        <v>222</v>
      </c>
      <c r="G193" s="9">
        <v>86.0</v>
      </c>
      <c r="H193" s="13">
        <v>80.7</v>
      </c>
      <c r="I193" s="13">
        <v>15.3</v>
      </c>
      <c r="J193" s="13" t="str">
        <f>VLOOKUP($A193,covariates!$A$3:$H$1126,5,false)</f>
        <v>at surgery</v>
      </c>
      <c r="K193" s="55" t="str">
        <f>VLOOKUP($A193,covariates!$A$3:$H$1126,6,false)</f>
        <v/>
      </c>
      <c r="L193" s="55">
        <f>VLOOKUP($A193,covariates!$A$3:$H$1126,7,false)</f>
        <v>28.2</v>
      </c>
      <c r="M193" s="55">
        <f>VLOOKUP($A193,covariates!$A$3:$H$1126,8,false)</f>
        <v>9.1</v>
      </c>
    </row>
    <row r="194">
      <c r="A194" s="15">
        <v>18.0</v>
      </c>
      <c r="B194" s="17" t="str">
        <f t="shared" ref="B194:B195" si="109">HYPERLINK("https://github.com/d-wkim/phd/blob/main/data/pdf/butt_2024.pdf","Butt et al., 2024")</f>
        <v>Butt et al., 2024</v>
      </c>
      <c r="C194" s="15">
        <v>18.0</v>
      </c>
      <c r="D194" s="9" t="s">
        <v>84</v>
      </c>
      <c r="E194" s="19" t="s">
        <v>371</v>
      </c>
      <c r="F194" s="9" t="s">
        <v>222</v>
      </c>
      <c r="G194" s="9">
        <v>30.0</v>
      </c>
      <c r="H194" s="13">
        <v>95.1</v>
      </c>
      <c r="I194" s="13">
        <v>5.2</v>
      </c>
      <c r="J194" s="13" t="str">
        <f>VLOOKUP($A194,covariates!$A$3:$H$1126,5,false)</f>
        <v>at surgery</v>
      </c>
      <c r="K194" s="55" t="str">
        <f>VLOOKUP($A194,covariates!$A$3:$H$1126,6,false)</f>
        <v/>
      </c>
      <c r="L194" s="55">
        <f>VLOOKUP($A194,covariates!$A$3:$H$1126,7,false)</f>
        <v>29.17</v>
      </c>
      <c r="M194" s="55">
        <f>VLOOKUP($A194,covariates!$A$3:$H$1126,8,false)</f>
        <v>5.03</v>
      </c>
    </row>
    <row r="195">
      <c r="A195" s="15">
        <v>18.0</v>
      </c>
      <c r="B195" s="17" t="str">
        <f t="shared" si="109"/>
        <v>Butt et al., 2024</v>
      </c>
      <c r="C195" s="15">
        <v>18.0</v>
      </c>
      <c r="D195" s="9" t="s">
        <v>186</v>
      </c>
      <c r="E195" s="19" t="s">
        <v>371</v>
      </c>
      <c r="F195" s="9" t="s">
        <v>222</v>
      </c>
      <c r="G195" s="9">
        <v>30.0</v>
      </c>
      <c r="H195" s="13">
        <v>94.5</v>
      </c>
      <c r="I195" s="13">
        <v>6.4</v>
      </c>
      <c r="J195" s="13" t="str">
        <f>VLOOKUP($A195,covariates!$A$3:$H$1126,5,false)</f>
        <v>at surgery</v>
      </c>
      <c r="K195" s="55" t="str">
        <f>VLOOKUP($A195,covariates!$A$3:$H$1126,6,false)</f>
        <v/>
      </c>
      <c r="L195" s="55">
        <f>VLOOKUP($A195,covariates!$A$3:$H$1126,7,false)</f>
        <v>29.17</v>
      </c>
      <c r="M195" s="55">
        <f>VLOOKUP($A195,covariates!$A$3:$H$1126,8,false)</f>
        <v>5.03</v>
      </c>
    </row>
    <row r="196">
      <c r="A196" s="15">
        <v>19.0</v>
      </c>
      <c r="B196" s="17" t="str">
        <f t="shared" ref="B196:B197" si="110">HYPERLINK("https://github.com/d-wkim/phd/blob/main/data/pdf/calvert_2025.pdf","Calvert et al., 2025")</f>
        <v>Calvert et al., 2025</v>
      </c>
      <c r="C196" s="15">
        <v>19.0</v>
      </c>
      <c r="D196" s="9" t="s">
        <v>84</v>
      </c>
      <c r="E196" s="7" t="s">
        <v>371</v>
      </c>
      <c r="F196" s="9" t="s">
        <v>222</v>
      </c>
      <c r="G196" s="9">
        <v>92.0</v>
      </c>
      <c r="H196" s="13">
        <v>94.0</v>
      </c>
      <c r="I196" s="13">
        <v>7.0</v>
      </c>
      <c r="J196" s="13" t="str">
        <f>VLOOKUP($A196,covariates!$A$3:$H$1126,5,false)</f>
        <v>at surgery</v>
      </c>
      <c r="K196" s="55" t="str">
        <f>VLOOKUP($A196,covariates!$A$3:$H$1126,6,false)</f>
        <v/>
      </c>
      <c r="L196" s="55">
        <f>VLOOKUP($A196,covariates!$A$3:$H$1126,7,false)</f>
        <v>29.4</v>
      </c>
      <c r="M196" s="55">
        <f>VLOOKUP($A196,covariates!$A$3:$H$1126,8,false)</f>
        <v>7.7</v>
      </c>
    </row>
    <row r="197">
      <c r="A197" s="15">
        <v>19.0</v>
      </c>
      <c r="B197" s="17" t="str">
        <f t="shared" si="110"/>
        <v>Calvert et al., 2025</v>
      </c>
      <c r="C197" s="15">
        <v>19.0</v>
      </c>
      <c r="D197" s="9" t="s">
        <v>200</v>
      </c>
      <c r="E197" s="7" t="s">
        <v>371</v>
      </c>
      <c r="F197" s="9" t="s">
        <v>222</v>
      </c>
      <c r="G197" s="9">
        <v>89.0</v>
      </c>
      <c r="H197" s="13">
        <v>93.0</v>
      </c>
      <c r="I197" s="13">
        <v>8.0</v>
      </c>
      <c r="J197" s="13" t="str">
        <f>VLOOKUP($A197,covariates!$A$3:$H$1126,5,false)</f>
        <v>at surgery</v>
      </c>
      <c r="K197" s="55" t="str">
        <f>VLOOKUP($A197,covariates!$A$3:$H$1126,6,false)</f>
        <v/>
      </c>
      <c r="L197" s="55">
        <f>VLOOKUP($A197,covariates!$A$3:$H$1126,7,false)</f>
        <v>29.4</v>
      </c>
      <c r="M197" s="55">
        <f>VLOOKUP($A197,covariates!$A$3:$H$1126,8,false)</f>
        <v>7.7</v>
      </c>
    </row>
    <row r="198">
      <c r="A198" s="15">
        <v>23.0</v>
      </c>
      <c r="B198" s="17" t="str">
        <f t="shared" ref="B198:B199" si="111">HYPERLINK("https://github.com/d-wkim/phd/blob/main/data/pdf/ejerhed_2003.pdf","Ejerhed et al., 2003")</f>
        <v>Ejerhed et al., 2003</v>
      </c>
      <c r="C198" s="15">
        <v>23.0</v>
      </c>
      <c r="D198" s="9" t="s">
        <v>42</v>
      </c>
      <c r="E198" s="19" t="s">
        <v>371</v>
      </c>
      <c r="F198" s="9" t="s">
        <v>222</v>
      </c>
      <c r="G198" s="9">
        <v>32.0</v>
      </c>
      <c r="H198" s="13" t="str">
        <f t="shared" ref="H198:H199" si="112">iferror(MEDIAN_MEAN(G198,#REF!,#REF!,#REF!),"")</f>
        <v/>
      </c>
      <c r="I198" s="13" t="str">
        <f t="shared" ref="I198:I199" si="113">iferror(RANGE_SD(G198,#REF!,#REF!),"")</f>
        <v/>
      </c>
      <c r="J198" s="13" t="str">
        <f>VLOOKUP($A198,covariates!$A$3:$H$1126,5,false)</f>
        <v>at surgery</v>
      </c>
      <c r="K198" s="55" t="str">
        <f>VLOOKUP($A198,covariates!$A$3:$H$1126,6,false)</f>
        <v/>
      </c>
      <c r="L198" s="55">
        <f>VLOOKUP($A198,covariates!$A$3:$H$1126,7,false)</f>
        <v>27.26043131</v>
      </c>
      <c r="M198" s="55">
        <f>VLOOKUP($A198,covariates!$A$3:$H$1126,8,false)</f>
        <v>8.467</v>
      </c>
    </row>
    <row r="199">
      <c r="A199" s="15">
        <v>23.0</v>
      </c>
      <c r="B199" s="17" t="str">
        <f t="shared" si="111"/>
        <v>Ejerhed et al., 2003</v>
      </c>
      <c r="C199" s="15">
        <v>23.0</v>
      </c>
      <c r="D199" s="9" t="s">
        <v>84</v>
      </c>
      <c r="E199" s="19" t="s">
        <v>371</v>
      </c>
      <c r="F199" s="9" t="s">
        <v>222</v>
      </c>
      <c r="G199" s="9">
        <v>34.0</v>
      </c>
      <c r="H199" s="13" t="str">
        <f t="shared" si="112"/>
        <v/>
      </c>
      <c r="I199" s="13" t="str">
        <f t="shared" si="113"/>
        <v/>
      </c>
      <c r="J199" s="13" t="str">
        <f>VLOOKUP($A199,covariates!$A$3:$H$1126,5,false)</f>
        <v>at surgery</v>
      </c>
      <c r="K199" s="55" t="str">
        <f>VLOOKUP($A199,covariates!$A$3:$H$1126,6,false)</f>
        <v/>
      </c>
      <c r="L199" s="55">
        <f>VLOOKUP($A199,covariates!$A$3:$H$1126,7,false)</f>
        <v>27.26043131</v>
      </c>
      <c r="M199" s="55">
        <f>VLOOKUP($A199,covariates!$A$3:$H$1126,8,false)</f>
        <v>8.467</v>
      </c>
    </row>
    <row r="200">
      <c r="A200" s="15">
        <v>32.0</v>
      </c>
      <c r="B200" s="17" t="str">
        <f t="shared" ref="B200:B201" si="114">HYPERLINK("https://github.com/d-wkim/phd/blob/main/data/pdf/guglielmetti_2021.pdf","Guglielmetti et al., 2021")</f>
        <v>Guglielmetti et al., 2021</v>
      </c>
      <c r="C200" s="15">
        <v>32.0</v>
      </c>
      <c r="D200" s="9" t="s">
        <v>42</v>
      </c>
      <c r="E200" s="19" t="s">
        <v>371</v>
      </c>
      <c r="F200" s="9" t="s">
        <v>222</v>
      </c>
      <c r="G200" s="9">
        <v>31.0</v>
      </c>
      <c r="H200" s="13">
        <v>89.87</v>
      </c>
      <c r="I200" s="13">
        <v>9.17</v>
      </c>
      <c r="J200" s="13" t="str">
        <f>VLOOKUP($A200,covariates!$A$3:$H$1126,5,false)</f>
        <v>at surgery</v>
      </c>
      <c r="K200" s="55" t="str">
        <f>VLOOKUP($A200,covariates!$A$3:$H$1126,6,false)</f>
        <v/>
      </c>
      <c r="L200" s="55">
        <f>VLOOKUP($A200,covariates!$A$3:$H$1126,7,false)</f>
        <v>25.2</v>
      </c>
      <c r="M200" s="55">
        <f>VLOOKUP($A200,covariates!$A$3:$H$1126,8,false)</f>
        <v>5.48</v>
      </c>
    </row>
    <row r="201">
      <c r="A201" s="15">
        <v>32.0</v>
      </c>
      <c r="B201" s="17" t="str">
        <f t="shared" si="114"/>
        <v>Guglielmetti et al., 2021</v>
      </c>
      <c r="C201" s="15">
        <v>32.0</v>
      </c>
      <c r="D201" s="9" t="s">
        <v>84</v>
      </c>
      <c r="E201" s="19" t="s">
        <v>371</v>
      </c>
      <c r="F201" s="9" t="s">
        <v>222</v>
      </c>
      <c r="G201" s="9">
        <v>31.0</v>
      </c>
      <c r="H201" s="13">
        <v>91.26</v>
      </c>
      <c r="I201" s="13">
        <v>9.36</v>
      </c>
      <c r="J201" s="13" t="str">
        <f>VLOOKUP($A201,covariates!$A$3:$H$1126,5,false)</f>
        <v>at surgery</v>
      </c>
      <c r="K201" s="55" t="str">
        <f>VLOOKUP($A201,covariates!$A$3:$H$1126,6,false)</f>
        <v/>
      </c>
      <c r="L201" s="55">
        <f>VLOOKUP($A201,covariates!$A$3:$H$1126,7,false)</f>
        <v>25.2</v>
      </c>
      <c r="M201" s="55">
        <f>VLOOKUP($A201,covariates!$A$3:$H$1126,8,false)</f>
        <v>5.48</v>
      </c>
    </row>
    <row r="202">
      <c r="A202" s="9">
        <v>33.0</v>
      </c>
      <c r="B202" s="17" t="str">
        <f t="shared" ref="B202:B203" si="115">HYPERLINK("https://github.com/d-wkim/phd/blob/main/data/pdf/harilainen_2006.pdf","Harilainen et al., 2006")</f>
        <v>Harilainen et al., 2006</v>
      </c>
      <c r="C202" s="9">
        <v>33.0</v>
      </c>
      <c r="D202" s="9" t="s">
        <v>42</v>
      </c>
      <c r="E202" s="7" t="s">
        <v>371</v>
      </c>
      <c r="F202" s="9" t="s">
        <v>222</v>
      </c>
      <c r="G202" s="9">
        <v>37.0</v>
      </c>
      <c r="H202" s="13" t="str">
        <f>iferror(MEDIAN_MEAN(G202,#REF!,#REF!,#REF!),"")</f>
        <v/>
      </c>
      <c r="I202" s="13" t="str">
        <f t="shared" ref="I202:I203" si="116">iferror(RANGE_SD(G202,#REF!,#REF!),"")</f>
        <v/>
      </c>
      <c r="J202" s="13" t="str">
        <f>VLOOKUP($A202,covariates!$A$3:$H$1126,5,false)</f>
        <v>at surgery</v>
      </c>
      <c r="K202" s="55" t="str">
        <f>VLOOKUP($A202,covariates!$A$3:$H$1126,6,false)</f>
        <v/>
      </c>
      <c r="L202" s="55" t="str">
        <f>VLOOKUP($A202,covariates!$A$3:$H$1126,7,false)</f>
        <v/>
      </c>
      <c r="M202" s="55" t="str">
        <f>VLOOKUP($A202,covariates!$A$3:$H$1126,8,false)</f>
        <v/>
      </c>
    </row>
    <row r="203">
      <c r="A203" s="9">
        <v>33.0</v>
      </c>
      <c r="B203" s="17" t="str">
        <f t="shared" si="115"/>
        <v>Harilainen et al., 2006</v>
      </c>
      <c r="C203" s="9">
        <v>33.0</v>
      </c>
      <c r="D203" s="9" t="s">
        <v>84</v>
      </c>
      <c r="E203" s="7" t="s">
        <v>371</v>
      </c>
      <c r="F203" s="9" t="s">
        <v>222</v>
      </c>
      <c r="G203" s="9">
        <v>37.0</v>
      </c>
      <c r="H203" s="13">
        <v>95.0</v>
      </c>
      <c r="I203" s="13" t="str">
        <f t="shared" si="116"/>
        <v/>
      </c>
      <c r="J203" s="13" t="str">
        <f>VLOOKUP($A203,covariates!$A$3:$H$1126,5,false)</f>
        <v>at surgery</v>
      </c>
      <c r="K203" s="55" t="str">
        <f>VLOOKUP($A203,covariates!$A$3:$H$1126,6,false)</f>
        <v/>
      </c>
      <c r="L203" s="55" t="str">
        <f>VLOOKUP($A203,covariates!$A$3:$H$1126,7,false)</f>
        <v/>
      </c>
      <c r="M203" s="55" t="str">
        <f>VLOOKUP($A203,covariates!$A$3:$H$1126,8,false)</f>
        <v/>
      </c>
    </row>
    <row r="204">
      <c r="A204" s="15">
        <v>35.0</v>
      </c>
      <c r="B204" s="17" t="str">
        <f t="shared" ref="B204:B205" si="117">HYPERLINK("https://github.com/d-wkim/phd/blob/main/data/pdf/holm_2010.pdf","Holm et al., 2010")</f>
        <v>Holm et al., 2010</v>
      </c>
      <c r="C204" s="15">
        <v>35.0</v>
      </c>
      <c r="D204" s="9" t="s">
        <v>42</v>
      </c>
      <c r="E204" s="7" t="s">
        <v>371</v>
      </c>
      <c r="F204" s="9" t="s">
        <v>222</v>
      </c>
      <c r="G204" s="9">
        <v>28.0</v>
      </c>
      <c r="H204" s="13">
        <v>84.2</v>
      </c>
      <c r="I204" s="13">
        <v>15.4</v>
      </c>
      <c r="J204" s="13" t="str">
        <f>VLOOKUP($A204,covariates!$A$3:$H$1126,5,false)</f>
        <v>at surgery</v>
      </c>
      <c r="K204" s="55" t="str">
        <f>VLOOKUP($A204,covariates!$A$3:$H$1126,6,false)</f>
        <v/>
      </c>
      <c r="L204" s="55">
        <f>VLOOKUP($A204,covariates!$A$3:$H$1126,7,false)</f>
        <v>33.9</v>
      </c>
      <c r="M204" s="55">
        <f>VLOOKUP($A204,covariates!$A$3:$H$1126,8,false)</f>
        <v>6.2</v>
      </c>
    </row>
    <row r="205">
      <c r="A205" s="15">
        <v>35.0</v>
      </c>
      <c r="B205" s="17" t="str">
        <f t="shared" si="117"/>
        <v>Holm et al., 2010</v>
      </c>
      <c r="C205" s="15">
        <v>35.0</v>
      </c>
      <c r="D205" s="9" t="s">
        <v>84</v>
      </c>
      <c r="E205" s="7" t="s">
        <v>371</v>
      </c>
      <c r="F205" s="9" t="s">
        <v>222</v>
      </c>
      <c r="G205" s="9">
        <v>29.0</v>
      </c>
      <c r="H205" s="13">
        <v>86.1</v>
      </c>
      <c r="I205" s="13">
        <v>15.1</v>
      </c>
      <c r="J205" s="13" t="str">
        <f>VLOOKUP($A205,covariates!$A$3:$H$1126,5,false)</f>
        <v>at surgery</v>
      </c>
      <c r="K205" s="55" t="str">
        <f>VLOOKUP($A205,covariates!$A$3:$H$1126,6,false)</f>
        <v/>
      </c>
      <c r="L205" s="55">
        <f>VLOOKUP($A205,covariates!$A$3:$H$1126,7,false)</f>
        <v>33.9</v>
      </c>
      <c r="M205" s="55">
        <f>VLOOKUP($A205,covariates!$A$3:$H$1126,8,false)</f>
        <v>6.2</v>
      </c>
    </row>
    <row r="206">
      <c r="A206" s="15">
        <v>36.0</v>
      </c>
      <c r="B206" s="17" t="str">
        <f t="shared" ref="B206:B207" si="118">HYPERLINK("https://github.com/d-wkim/phd/blob/main/data/pdf/horstmann_2022.pdf","Horstmann et al., 2022")</f>
        <v>Horstmann et al., 2022</v>
      </c>
      <c r="C206" s="15">
        <v>36.0</v>
      </c>
      <c r="D206" s="9" t="s">
        <v>84</v>
      </c>
      <c r="E206" s="19" t="s">
        <v>371</v>
      </c>
      <c r="F206" s="9" t="s">
        <v>222</v>
      </c>
      <c r="G206" s="9">
        <v>26.0</v>
      </c>
      <c r="H206" s="13">
        <v>83.5</v>
      </c>
      <c r="I206" s="13">
        <v>17.4</v>
      </c>
      <c r="J206" s="13" t="str">
        <f>VLOOKUP($A206,covariates!$A$3:$H$1126,5,false)</f>
        <v>at surgery</v>
      </c>
      <c r="K206" s="55" t="str">
        <f>VLOOKUP($A206,covariates!$A$3:$H$1126,6,false)</f>
        <v/>
      </c>
      <c r="L206" s="55">
        <f>VLOOKUP($A206,covariates!$A$3:$H$1126,7,false)</f>
        <v>32.7</v>
      </c>
      <c r="M206" s="55">
        <f>VLOOKUP($A206,covariates!$A$3:$H$1126,8,false)</f>
        <v>11.4</v>
      </c>
    </row>
    <row r="207">
      <c r="A207" s="15">
        <v>36.0</v>
      </c>
      <c r="B207" s="17" t="str">
        <f t="shared" si="118"/>
        <v>Horstmann et al., 2022</v>
      </c>
      <c r="C207" s="15">
        <v>36.0</v>
      </c>
      <c r="D207" s="9" t="s">
        <v>200</v>
      </c>
      <c r="E207" s="19" t="s">
        <v>371</v>
      </c>
      <c r="F207" s="9" t="s">
        <v>222</v>
      </c>
      <c r="G207" s="9">
        <v>23.0</v>
      </c>
      <c r="H207" s="13">
        <v>90.4</v>
      </c>
      <c r="I207" s="13">
        <v>11.9</v>
      </c>
      <c r="J207" s="13" t="str">
        <f>VLOOKUP($A207,covariates!$A$3:$H$1126,5,false)</f>
        <v>at surgery</v>
      </c>
      <c r="K207" s="55" t="str">
        <f>VLOOKUP($A207,covariates!$A$3:$H$1126,6,false)</f>
        <v/>
      </c>
      <c r="L207" s="55">
        <f>VLOOKUP($A207,covariates!$A$3:$H$1126,7,false)</f>
        <v>32.7</v>
      </c>
      <c r="M207" s="55">
        <f>VLOOKUP($A207,covariates!$A$3:$H$1126,8,false)</f>
        <v>11.4</v>
      </c>
    </row>
    <row r="208">
      <c r="A208" s="15">
        <v>37.0</v>
      </c>
      <c r="B208" s="17" t="str">
        <f t="shared" ref="B208:B209" si="119">HYPERLINK("https://github.com/d-wkim/phd/blob/main/data/pdf/ibrahim_2005.pdf","Ibrahim et al., 2005")</f>
        <v>Ibrahim et al., 2005</v>
      </c>
      <c r="C208" s="15">
        <v>37.0</v>
      </c>
      <c r="D208" s="9" t="s">
        <v>42</v>
      </c>
      <c r="E208" s="19" t="s">
        <v>371</v>
      </c>
      <c r="F208" s="9" t="s">
        <v>222</v>
      </c>
      <c r="G208" s="9">
        <v>40.0</v>
      </c>
      <c r="H208" s="13">
        <v>91.6</v>
      </c>
      <c r="I208" s="13" t="str">
        <f t="shared" ref="I208:I209" si="120">iferror(RANGE_SD(G208,#REF!,#REF!),"")</f>
        <v/>
      </c>
      <c r="J208" s="13" t="str">
        <f>VLOOKUP($A208,covariates!$A$3:$H$1126,5,false)</f>
        <v>at surgery</v>
      </c>
      <c r="K208" s="55" t="str">
        <f>VLOOKUP($A208,covariates!$A$3:$H$1126,6,false)</f>
        <v/>
      </c>
      <c r="L208" s="55">
        <f>VLOOKUP($A208,covariates!$A$3:$H$1126,7,false)</f>
        <v>22.3</v>
      </c>
      <c r="M208" s="55">
        <f>VLOOKUP($A208,covariates!$A$3:$H$1126,8,false)</f>
        <v>3.942</v>
      </c>
    </row>
    <row r="209">
      <c r="A209" s="15">
        <v>37.0</v>
      </c>
      <c r="B209" s="17" t="str">
        <f t="shared" si="119"/>
        <v>Ibrahim et al., 2005</v>
      </c>
      <c r="C209" s="15">
        <v>37.0</v>
      </c>
      <c r="D209" s="9" t="s">
        <v>84</v>
      </c>
      <c r="E209" s="19" t="s">
        <v>371</v>
      </c>
      <c r="F209" s="9" t="s">
        <v>222</v>
      </c>
      <c r="G209" s="9">
        <v>46.0</v>
      </c>
      <c r="H209" s="13">
        <v>92.7</v>
      </c>
      <c r="I209" s="13" t="str">
        <f t="shared" si="120"/>
        <v/>
      </c>
      <c r="J209" s="13" t="str">
        <f>VLOOKUP($A209,covariates!$A$3:$H$1126,5,false)</f>
        <v>at surgery</v>
      </c>
      <c r="K209" s="55" t="str">
        <f>VLOOKUP($A209,covariates!$A$3:$H$1126,6,false)</f>
        <v/>
      </c>
      <c r="L209" s="55">
        <f>VLOOKUP($A209,covariates!$A$3:$H$1126,7,false)</f>
        <v>22.3</v>
      </c>
      <c r="M209" s="55">
        <f>VLOOKUP($A209,covariates!$A$3:$H$1126,8,false)</f>
        <v>3.942</v>
      </c>
    </row>
    <row r="210">
      <c r="A210" s="15">
        <v>38.0</v>
      </c>
      <c r="B210" s="17" t="str">
        <f t="shared" ref="B210:B211" si="121">HYPERLINK("https://github.com/d-wkim/phd/blob/main/data/pdf/iliopoulos_2017.pdf","Iliopoulos et al., 2017")</f>
        <v>Iliopoulos et al., 2017</v>
      </c>
      <c r="C210" s="15">
        <v>38.0</v>
      </c>
      <c r="D210" s="9" t="s">
        <v>42</v>
      </c>
      <c r="E210" s="19" t="s">
        <v>371</v>
      </c>
      <c r="F210" s="9" t="s">
        <v>222</v>
      </c>
      <c r="G210" s="9">
        <v>45.0</v>
      </c>
      <c r="H210" s="13">
        <v>95.8</v>
      </c>
      <c r="I210" s="13">
        <v>2.4</v>
      </c>
      <c r="J210" s="13" t="str">
        <f>VLOOKUP($A210,covariates!$A$3:$H$1126,5,false)</f>
        <v>at surgery</v>
      </c>
      <c r="K210" s="55" t="str">
        <f>VLOOKUP($A210,covariates!$A$3:$H$1126,6,false)</f>
        <v/>
      </c>
      <c r="L210" s="55">
        <f>VLOOKUP($A210,covariates!$A$3:$H$1126,7,false)</f>
        <v>24.8</v>
      </c>
      <c r="M210" s="55">
        <f>VLOOKUP($A210,covariates!$A$3:$H$1126,8,false)</f>
        <v>5</v>
      </c>
    </row>
    <row r="211">
      <c r="A211" s="15">
        <v>38.0</v>
      </c>
      <c r="B211" s="17" t="str">
        <f t="shared" si="121"/>
        <v>Iliopoulos et al., 2017</v>
      </c>
      <c r="C211" s="15">
        <v>38.0</v>
      </c>
      <c r="D211" s="9" t="s">
        <v>84</v>
      </c>
      <c r="E211" s="19" t="s">
        <v>371</v>
      </c>
      <c r="F211" s="9" t="s">
        <v>222</v>
      </c>
      <c r="G211" s="9">
        <v>45.0</v>
      </c>
      <c r="H211" s="13">
        <v>94.0</v>
      </c>
      <c r="I211" s="13">
        <v>3.6</v>
      </c>
      <c r="J211" s="13" t="str">
        <f>VLOOKUP($A211,covariates!$A$3:$H$1126,5,false)</f>
        <v>at surgery</v>
      </c>
      <c r="K211" s="55" t="str">
        <f>VLOOKUP($A211,covariates!$A$3:$H$1126,6,false)</f>
        <v/>
      </c>
      <c r="L211" s="55">
        <f>VLOOKUP($A211,covariates!$A$3:$H$1126,7,false)</f>
        <v>24.8</v>
      </c>
      <c r="M211" s="55">
        <f>VLOOKUP($A211,covariates!$A$3:$H$1126,8,false)</f>
        <v>5</v>
      </c>
    </row>
    <row r="212">
      <c r="A212" s="15">
        <v>43.0</v>
      </c>
      <c r="B212" s="17" t="str">
        <f t="shared" ref="B212:B213" si="122">HYPERLINK("https://github.com/d-wkim/phd/blob/main/data/pdf/kautzner_2015.pdf","Kautzner et al., 2015")</f>
        <v>Kautzner et al., 2015</v>
      </c>
      <c r="C212" s="15">
        <v>43.0</v>
      </c>
      <c r="D212" s="9" t="s">
        <v>42</v>
      </c>
      <c r="E212" s="19" t="s">
        <v>371</v>
      </c>
      <c r="F212" s="9" t="s">
        <v>222</v>
      </c>
      <c r="G212" s="9">
        <v>74.0</v>
      </c>
      <c r="H212" s="13">
        <v>88.0</v>
      </c>
      <c r="I212" s="13">
        <v>7.5</v>
      </c>
      <c r="J212" s="13" t="str">
        <f>VLOOKUP($A212,covariates!$A$3:$H$1126,5,false)</f>
        <v>at surgery</v>
      </c>
      <c r="K212" s="55" t="str">
        <f>VLOOKUP($A212,covariates!$A$3:$H$1126,6,false)</f>
        <v/>
      </c>
      <c r="L212" s="55">
        <f>VLOOKUP($A212,covariates!$A$3:$H$1126,7,false)</f>
        <v>26</v>
      </c>
      <c r="M212" s="55">
        <f>VLOOKUP($A212,covariates!$A$3:$H$1126,8,false)</f>
        <v>6.275</v>
      </c>
    </row>
    <row r="213">
      <c r="A213" s="15">
        <v>43.0</v>
      </c>
      <c r="B213" s="17" t="str">
        <f t="shared" si="122"/>
        <v>Kautzner et al., 2015</v>
      </c>
      <c r="C213" s="15">
        <v>43.0</v>
      </c>
      <c r="D213" s="9" t="s">
        <v>84</v>
      </c>
      <c r="E213" s="19" t="s">
        <v>371</v>
      </c>
      <c r="F213" s="9" t="s">
        <v>222</v>
      </c>
      <c r="G213" s="9">
        <v>73.0</v>
      </c>
      <c r="H213" s="13">
        <v>90.0</v>
      </c>
      <c r="I213" s="13">
        <v>7.6</v>
      </c>
      <c r="J213" s="13" t="str">
        <f>VLOOKUP($A213,covariates!$A$3:$H$1126,5,false)</f>
        <v>at surgery</v>
      </c>
      <c r="K213" s="55" t="str">
        <f>VLOOKUP($A213,covariates!$A$3:$H$1126,6,false)</f>
        <v/>
      </c>
      <c r="L213" s="55">
        <f>VLOOKUP($A213,covariates!$A$3:$H$1126,7,false)</f>
        <v>26</v>
      </c>
      <c r="M213" s="55">
        <f>VLOOKUP($A213,covariates!$A$3:$H$1126,8,false)</f>
        <v>6.275</v>
      </c>
    </row>
    <row r="214">
      <c r="A214" s="15">
        <v>44.0</v>
      </c>
      <c r="B214" s="17" t="str">
        <f t="shared" ref="B214:B215" si="123">HYPERLINK("https://github.com/d-wkim/phd/blob/main/data/pdf/komzak_2022.pdf","Komzak et al., 2022")</f>
        <v>Komzak et al., 2022</v>
      </c>
      <c r="C214" s="15">
        <v>44.0</v>
      </c>
      <c r="D214" s="9" t="s">
        <v>42</v>
      </c>
      <c r="E214" s="19" t="s">
        <v>371</v>
      </c>
      <c r="F214" s="9" t="s">
        <v>222</v>
      </c>
      <c r="G214" s="9">
        <v>36.0</v>
      </c>
      <c r="H214" s="13">
        <v>93.4</v>
      </c>
      <c r="I214" s="13">
        <v>9.6</v>
      </c>
      <c r="J214" s="13" t="str">
        <f>VLOOKUP($A214,covariates!$A$3:$H$1126,5,false)</f>
        <v>at surgery</v>
      </c>
      <c r="K214" s="55" t="str">
        <f>VLOOKUP($A214,covariates!$A$3:$H$1126,6,false)</f>
        <v/>
      </c>
      <c r="L214" s="55">
        <f>VLOOKUP($A214,covariates!$A$3:$H$1126,7,false)</f>
        <v>31</v>
      </c>
      <c r="M214" s="55">
        <f>VLOOKUP($A214,covariates!$A$3:$H$1126,8,false)</f>
        <v>9.459</v>
      </c>
    </row>
    <row r="215">
      <c r="A215" s="15">
        <v>44.0</v>
      </c>
      <c r="B215" s="17" t="str">
        <f t="shared" si="123"/>
        <v>Komzak et al., 2022</v>
      </c>
      <c r="C215" s="15">
        <v>44.0</v>
      </c>
      <c r="D215" s="9" t="s">
        <v>200</v>
      </c>
      <c r="E215" s="19" t="s">
        <v>371</v>
      </c>
      <c r="F215" s="9" t="s">
        <v>222</v>
      </c>
      <c r="G215" s="9">
        <v>36.0</v>
      </c>
      <c r="H215" s="13">
        <v>90.1</v>
      </c>
      <c r="I215" s="13">
        <v>6.7</v>
      </c>
      <c r="J215" s="13" t="str">
        <f>VLOOKUP($A215,covariates!$A$3:$H$1126,5,false)</f>
        <v>at surgery</v>
      </c>
      <c r="K215" s="55" t="str">
        <f>VLOOKUP($A215,covariates!$A$3:$H$1126,6,false)</f>
        <v/>
      </c>
      <c r="L215" s="55">
        <f>VLOOKUP($A215,covariates!$A$3:$H$1126,7,false)</f>
        <v>31</v>
      </c>
      <c r="M215" s="55">
        <f>VLOOKUP($A215,covariates!$A$3:$H$1126,8,false)</f>
        <v>9.459</v>
      </c>
    </row>
    <row r="216">
      <c r="A216" s="15">
        <v>45.0</v>
      </c>
      <c r="B216" s="17" t="str">
        <f t="shared" ref="B216:B217" si="124">HYPERLINK("https://github.com/d-wkim/phd/blob/main/data/pdf/konrads_2016.pdf","Konrads et al., 2016")</f>
        <v>Konrads et al., 2016</v>
      </c>
      <c r="C216" s="15">
        <v>45.0</v>
      </c>
      <c r="D216" s="9" t="s">
        <v>42</v>
      </c>
      <c r="E216" s="19" t="s">
        <v>371</v>
      </c>
      <c r="F216" s="9" t="s">
        <v>222</v>
      </c>
      <c r="G216" s="9">
        <v>24.0</v>
      </c>
      <c r="H216" s="13">
        <v>92.0</v>
      </c>
      <c r="I216" s="13" t="str">
        <f t="shared" ref="I216:I218" si="125">iferror(RANGE_SD(G216,#REF!,#REF!),"")</f>
        <v/>
      </c>
      <c r="J216" s="13" t="str">
        <f>VLOOKUP($A216,covariates!$A$3:$H$1126,5,false)</f>
        <v>at surgery</v>
      </c>
      <c r="K216" s="55" t="str">
        <f>VLOOKUP($A216,covariates!$A$3:$H$1126,6,false)</f>
        <v/>
      </c>
      <c r="L216" s="55">
        <f>VLOOKUP($A216,covariates!$A$3:$H$1126,7,false)</f>
        <v>29.8</v>
      </c>
      <c r="M216" s="55">
        <f>VLOOKUP($A216,covariates!$A$3:$H$1126,8,false)</f>
        <v>6.33</v>
      </c>
    </row>
    <row r="217">
      <c r="A217" s="15">
        <v>45.0</v>
      </c>
      <c r="B217" s="17" t="str">
        <f t="shared" si="124"/>
        <v>Konrads et al., 2016</v>
      </c>
      <c r="C217" s="15">
        <v>45.0</v>
      </c>
      <c r="D217" s="9" t="s">
        <v>84</v>
      </c>
      <c r="E217" s="19" t="s">
        <v>371</v>
      </c>
      <c r="F217" s="9" t="s">
        <v>222</v>
      </c>
      <c r="G217" s="9">
        <v>23.0</v>
      </c>
      <c r="H217" s="13">
        <v>91.8</v>
      </c>
      <c r="I217" s="13" t="str">
        <f t="shared" si="125"/>
        <v/>
      </c>
      <c r="J217" s="13" t="str">
        <f>VLOOKUP($A217,covariates!$A$3:$H$1126,5,false)</f>
        <v>at surgery</v>
      </c>
      <c r="K217" s="55" t="str">
        <f>VLOOKUP($A217,covariates!$A$3:$H$1126,6,false)</f>
        <v/>
      </c>
      <c r="L217" s="55">
        <f>VLOOKUP($A217,covariates!$A$3:$H$1126,7,false)</f>
        <v>29.8</v>
      </c>
      <c r="M217" s="55">
        <f>VLOOKUP($A217,covariates!$A$3:$H$1126,8,false)</f>
        <v>6.33</v>
      </c>
    </row>
    <row r="218">
      <c r="A218" s="15">
        <v>49.0</v>
      </c>
      <c r="B218" s="17" t="str">
        <f t="shared" ref="B218:B219" si="126">HYPERLINK("https://github.com/d-wkim/phd/blob/main/data/pdf/laxdal_2005.pdf","Laxdal et al., 2005")</f>
        <v>Laxdal et al., 2005</v>
      </c>
      <c r="C218" s="15">
        <v>49.0</v>
      </c>
      <c r="D218" s="9" t="s">
        <v>42</v>
      </c>
      <c r="E218" s="19" t="s">
        <v>371</v>
      </c>
      <c r="F218" s="9" t="s">
        <v>222</v>
      </c>
      <c r="G218" s="9">
        <v>40.0</v>
      </c>
      <c r="H218" s="13">
        <v>94.0</v>
      </c>
      <c r="I218" s="13" t="str">
        <f t="shared" si="125"/>
        <v/>
      </c>
      <c r="J218" s="13" t="str">
        <f>VLOOKUP($A218,covariates!$A$3:$H$1126,5,false)</f>
        <v>at surgery</v>
      </c>
      <c r="K218" s="55" t="str">
        <f>VLOOKUP($A218,covariates!$A$3:$H$1126,6,false)</f>
        <v/>
      </c>
      <c r="L218" s="55">
        <f>VLOOKUP($A218,covariates!$A$3:$H$1126,7,false)</f>
        <v>28</v>
      </c>
      <c r="M218" s="55">
        <f>VLOOKUP($A218,covariates!$A$3:$H$1126,8,false)</f>
        <v>8.347</v>
      </c>
    </row>
    <row r="219">
      <c r="A219" s="9">
        <v>49.0</v>
      </c>
      <c r="B219" s="17" t="str">
        <f t="shared" si="126"/>
        <v>Laxdal et al., 2005</v>
      </c>
      <c r="C219" s="9">
        <v>49.0</v>
      </c>
      <c r="D219" s="9" t="s">
        <v>84</v>
      </c>
      <c r="E219" s="19" t="s">
        <v>371</v>
      </c>
      <c r="F219" s="9" t="s">
        <v>222</v>
      </c>
      <c r="G219" s="9">
        <v>78.0</v>
      </c>
      <c r="H219" s="13">
        <v>92.0</v>
      </c>
      <c r="I219" s="13">
        <v>13.397563064473081</v>
      </c>
      <c r="J219" s="13" t="str">
        <f>VLOOKUP($A219,covariates!$A$3:$H$1126,5,false)</f>
        <v>at surgery</v>
      </c>
      <c r="K219" s="55" t="str">
        <f>VLOOKUP($A219,covariates!$A$3:$H$1126,6,false)</f>
        <v/>
      </c>
      <c r="L219" s="55">
        <f>VLOOKUP($A219,covariates!$A$3:$H$1126,7,false)</f>
        <v>28</v>
      </c>
      <c r="M219" s="55">
        <f>VLOOKUP($A219,covariates!$A$3:$H$1126,8,false)</f>
        <v>8.347</v>
      </c>
    </row>
    <row r="220">
      <c r="A220" s="15">
        <v>51.0</v>
      </c>
      <c r="B220" s="17" t="str">
        <f t="shared" ref="B220:B221" si="127">HYPERLINK("https://github.com/d-wkim/phd/blob/main/data/pdf/li_2015.pdf","Li et al., 2015")</f>
        <v>Li et al., 2015</v>
      </c>
      <c r="C220" s="15">
        <v>51.0</v>
      </c>
      <c r="D220" s="9" t="s">
        <v>84</v>
      </c>
      <c r="E220" s="19" t="s">
        <v>371</v>
      </c>
      <c r="F220" s="9" t="s">
        <v>222</v>
      </c>
      <c r="G220" s="9">
        <v>32.0</v>
      </c>
      <c r="H220" s="13">
        <v>91.3</v>
      </c>
      <c r="I220" s="13">
        <v>11.5</v>
      </c>
      <c r="J220" s="13" t="str">
        <f>VLOOKUP($A220,covariates!$A$3:$H$1126,5,false)</f>
        <v>at surgery</v>
      </c>
      <c r="K220" s="55" t="str">
        <f>VLOOKUP($A220,covariates!$A$3:$H$1126,6,false)</f>
        <v/>
      </c>
      <c r="L220" s="55">
        <f>VLOOKUP($A220,covariates!$A$3:$H$1126,7,false)</f>
        <v>29.8</v>
      </c>
      <c r="M220" s="55">
        <f>VLOOKUP($A220,covariates!$A$3:$H$1126,8,false)</f>
        <v>7.9</v>
      </c>
    </row>
    <row r="221">
      <c r="A221" s="15">
        <v>51.0</v>
      </c>
      <c r="B221" s="17" t="str">
        <f t="shared" si="127"/>
        <v>Li et al., 2015</v>
      </c>
      <c r="C221" s="15">
        <v>51.0</v>
      </c>
      <c r="D221" s="9" t="s">
        <v>205</v>
      </c>
      <c r="E221" s="19" t="s">
        <v>371</v>
      </c>
      <c r="F221" s="9" t="s">
        <v>222</v>
      </c>
      <c r="G221" s="9">
        <v>32.0</v>
      </c>
      <c r="H221" s="13">
        <v>88.7</v>
      </c>
      <c r="I221" s="13">
        <v>8.6</v>
      </c>
      <c r="J221" s="13" t="str">
        <f>VLOOKUP($A221,covariates!$A$3:$H$1126,5,false)</f>
        <v>at surgery</v>
      </c>
      <c r="K221" s="55" t="str">
        <f>VLOOKUP($A221,covariates!$A$3:$H$1126,6,false)</f>
        <v/>
      </c>
      <c r="L221" s="55">
        <f>VLOOKUP($A221,covariates!$A$3:$H$1126,7,false)</f>
        <v>29.8</v>
      </c>
      <c r="M221" s="55">
        <f>VLOOKUP($A221,covariates!$A$3:$H$1126,8,false)</f>
        <v>7.9</v>
      </c>
    </row>
    <row r="222">
      <c r="A222" s="15">
        <v>52.0</v>
      </c>
      <c r="B222" s="17" t="str">
        <f t="shared" ref="B222:B223" si="128">HYPERLINK("https://github.com/d-wkim/phd/blob/main/data/pdf/lidén_2007.pdf","Lidén et al., 2007")</f>
        <v>Lidén et al., 2007</v>
      </c>
      <c r="C222" s="15">
        <v>52.0</v>
      </c>
      <c r="D222" s="9" t="s">
        <v>42</v>
      </c>
      <c r="E222" s="19" t="s">
        <v>371</v>
      </c>
      <c r="F222" s="9" t="s">
        <v>222</v>
      </c>
      <c r="G222" s="9">
        <v>30.0</v>
      </c>
      <c r="H222" s="13">
        <v>81.0</v>
      </c>
      <c r="I222" s="13" t="str">
        <f t="shared" ref="I222:I223" si="129">iferror(RANGE_SD(G222,#REF!,#REF!),"")</f>
        <v/>
      </c>
      <c r="J222" s="13" t="str">
        <f>VLOOKUP($A222,covariates!$A$3:$H$1126,5,false)</f>
        <v>at surgery</v>
      </c>
      <c r="K222" s="55" t="str">
        <f>VLOOKUP($A222,covariates!$A$3:$H$1126,6,false)</f>
        <v/>
      </c>
      <c r="L222" s="55">
        <f>VLOOKUP($A222,covariates!$A$3:$H$1126,7,false)</f>
        <v>28</v>
      </c>
      <c r="M222" s="55">
        <f>VLOOKUP($A222,covariates!$A$3:$H$1126,8,false)</f>
        <v>8.368</v>
      </c>
    </row>
    <row r="223">
      <c r="A223" s="15">
        <v>52.0</v>
      </c>
      <c r="B223" s="17" t="str">
        <f t="shared" si="128"/>
        <v>Lidén et al., 2007</v>
      </c>
      <c r="C223" s="15">
        <v>52.0</v>
      </c>
      <c r="D223" s="9" t="s">
        <v>84</v>
      </c>
      <c r="E223" s="19" t="s">
        <v>371</v>
      </c>
      <c r="F223" s="9" t="s">
        <v>222</v>
      </c>
      <c r="G223" s="9">
        <v>32.0</v>
      </c>
      <c r="H223" s="13">
        <v>90.0</v>
      </c>
      <c r="I223" s="13" t="str">
        <f t="shared" si="129"/>
        <v/>
      </c>
      <c r="J223" s="13" t="str">
        <f>VLOOKUP($A223,covariates!$A$3:$H$1126,5,false)</f>
        <v>at surgery</v>
      </c>
      <c r="K223" s="55" t="str">
        <f>VLOOKUP($A223,covariates!$A$3:$H$1126,6,false)</f>
        <v/>
      </c>
      <c r="L223" s="55">
        <f>VLOOKUP($A223,covariates!$A$3:$H$1126,7,false)</f>
        <v>28</v>
      </c>
      <c r="M223" s="55">
        <f>VLOOKUP($A223,covariates!$A$3:$H$1126,8,false)</f>
        <v>8.368</v>
      </c>
    </row>
    <row r="224">
      <c r="A224" s="15">
        <v>54.0</v>
      </c>
      <c r="B224" s="17" t="str">
        <f t="shared" ref="B224:B225" si="130">HYPERLINK("https://github.com/d-wkim/phd/blob/main/data/pdf/lucidi_2025.pdf","Lucidi et al., 2025")</f>
        <v>Lucidi et al., 2025</v>
      </c>
      <c r="C224" s="15">
        <v>54.0</v>
      </c>
      <c r="D224" s="9" t="s">
        <v>42</v>
      </c>
      <c r="E224" s="19" t="s">
        <v>371</v>
      </c>
      <c r="F224" s="9" t="s">
        <v>222</v>
      </c>
      <c r="G224" s="9">
        <v>19.0</v>
      </c>
      <c r="H224" s="13">
        <v>84.8</v>
      </c>
      <c r="I224" s="13">
        <v>10.3</v>
      </c>
      <c r="J224" s="13" t="str">
        <f>VLOOKUP($A224,covariates!$A$3:$H$1126,5,false)</f>
        <v>at surgery</v>
      </c>
      <c r="K224" s="55" t="str">
        <f>VLOOKUP($A224,covariates!$A$3:$H$1126,6,false)</f>
        <v/>
      </c>
      <c r="L224" s="55">
        <f>VLOOKUP($A224,covariates!$A$3:$H$1126,7,false)</f>
        <v>52.8</v>
      </c>
      <c r="M224" s="55">
        <f>VLOOKUP($A224,covariates!$A$3:$H$1126,8,false)</f>
        <v>7.3</v>
      </c>
    </row>
    <row r="225">
      <c r="A225" s="15">
        <v>54.0</v>
      </c>
      <c r="B225" s="17" t="str">
        <f t="shared" si="130"/>
        <v>Lucidi et al., 2025</v>
      </c>
      <c r="C225" s="15">
        <v>54.0</v>
      </c>
      <c r="D225" s="9" t="s">
        <v>84</v>
      </c>
      <c r="E225" s="19" t="s">
        <v>371</v>
      </c>
      <c r="F225" s="9" t="s">
        <v>222</v>
      </c>
      <c r="G225" s="9">
        <v>20.0</v>
      </c>
      <c r="H225" s="13">
        <v>88.6</v>
      </c>
      <c r="I225" s="13">
        <v>8.3</v>
      </c>
      <c r="J225" s="13" t="str">
        <f>VLOOKUP($A225,covariates!$A$3:$H$1126,5,false)</f>
        <v>at surgery</v>
      </c>
      <c r="K225" s="55" t="str">
        <f>VLOOKUP($A225,covariates!$A$3:$H$1126,6,false)</f>
        <v/>
      </c>
      <c r="L225" s="55">
        <f>VLOOKUP($A225,covariates!$A$3:$H$1126,7,false)</f>
        <v>52.8</v>
      </c>
      <c r="M225" s="55">
        <f>VLOOKUP($A225,covariates!$A$3:$H$1126,8,false)</f>
        <v>7.3</v>
      </c>
    </row>
    <row r="226">
      <c r="A226" s="15">
        <v>55.0</v>
      </c>
      <c r="B226" s="17" t="str">
        <f t="shared" ref="B226:B227" si="131">HYPERLINK("https://github.com/d-wkim/phd/blob/main/data/pdf/lui_2012.pdf","Lui et al., 2012")</f>
        <v>Lui et al., 2012</v>
      </c>
      <c r="C226" s="15">
        <v>55.0</v>
      </c>
      <c r="D226" s="9" t="s">
        <v>42</v>
      </c>
      <c r="E226" s="19" t="s">
        <v>371</v>
      </c>
      <c r="F226" s="9" t="s">
        <v>222</v>
      </c>
      <c r="G226" s="9">
        <v>14.0</v>
      </c>
      <c r="H226" s="13">
        <v>84.0</v>
      </c>
      <c r="I226" s="13" t="str">
        <f t="shared" ref="I226:I227" si="132">iferror(RANGE_SD(G226,#REF!,#REF!),"")</f>
        <v/>
      </c>
      <c r="J226" s="13" t="str">
        <f>VLOOKUP($A226,covariates!$A$3:$H$1126,5,false)</f>
        <v>at surgery</v>
      </c>
      <c r="K226" s="55" t="str">
        <f>VLOOKUP($A226,covariates!$A$3:$H$1126,6,false)</f>
        <v/>
      </c>
      <c r="L226" s="55">
        <f>VLOOKUP($A226,covariates!$A$3:$H$1126,7,false)</f>
        <v>26.5</v>
      </c>
      <c r="M226" s="55">
        <f>VLOOKUP($A226,covariates!$A$3:$H$1126,8,false)</f>
        <v>5</v>
      </c>
    </row>
    <row r="227">
      <c r="A227" s="15">
        <v>55.0</v>
      </c>
      <c r="B227" s="17" t="str">
        <f t="shared" si="131"/>
        <v>Lui et al., 2012</v>
      </c>
      <c r="C227" s="15">
        <v>55.0</v>
      </c>
      <c r="D227" s="9" t="s">
        <v>84</v>
      </c>
      <c r="E227" s="19" t="s">
        <v>371</v>
      </c>
      <c r="F227" s="9" t="s">
        <v>222</v>
      </c>
      <c r="G227" s="9">
        <v>17.0</v>
      </c>
      <c r="H227" s="13">
        <v>80.0</v>
      </c>
      <c r="I227" s="13" t="str">
        <f t="shared" si="132"/>
        <v/>
      </c>
      <c r="J227" s="13" t="str">
        <f>VLOOKUP($A227,covariates!$A$3:$H$1126,5,false)</f>
        <v>at surgery</v>
      </c>
      <c r="K227" s="55" t="str">
        <f>VLOOKUP($A227,covariates!$A$3:$H$1126,6,false)</f>
        <v/>
      </c>
      <c r="L227" s="55">
        <f>VLOOKUP($A227,covariates!$A$3:$H$1126,7,false)</f>
        <v>26.5</v>
      </c>
      <c r="M227" s="55">
        <f>VLOOKUP($A227,covariates!$A$3:$H$1126,8,false)</f>
        <v>5</v>
      </c>
    </row>
    <row r="228">
      <c r="A228" s="15">
        <v>58.0</v>
      </c>
      <c r="B228" s="17" t="str">
        <f t="shared" ref="B228:B229" si="133">HYPERLINK("https://github.com/d-wkim/phd/blob/main/data/pdf/malik_2026.pdf","Malik et al., 2026")</f>
        <v>Malik et al., 2026</v>
      </c>
      <c r="C228" s="15">
        <v>58.0</v>
      </c>
      <c r="D228" s="9" t="s">
        <v>84</v>
      </c>
      <c r="E228" s="19" t="s">
        <v>371</v>
      </c>
      <c r="F228" s="9" t="s">
        <v>222</v>
      </c>
      <c r="G228" s="9">
        <v>25.0</v>
      </c>
      <c r="H228" s="13">
        <v>85.1</v>
      </c>
      <c r="I228" s="13">
        <v>6.4</v>
      </c>
      <c r="J228" s="13" t="str">
        <f>VLOOKUP($A228,covariates!$A$3:$H$1126,5,false)</f>
        <v>at surgery</v>
      </c>
      <c r="K228" s="55" t="str">
        <f>VLOOKUP($A228,covariates!$A$3:$H$1126,6,false)</f>
        <v/>
      </c>
      <c r="L228" s="55">
        <f>VLOOKUP($A228,covariates!$A$3:$H$1126,7,false)</f>
        <v>28.12</v>
      </c>
      <c r="M228" s="55">
        <f>VLOOKUP($A228,covariates!$A$3:$H$1126,8,false)</f>
        <v>5.21</v>
      </c>
    </row>
    <row r="229">
      <c r="A229" s="15">
        <v>58.0</v>
      </c>
      <c r="B229" s="17" t="str">
        <f t="shared" si="133"/>
        <v>Malik et al., 2026</v>
      </c>
      <c r="C229" s="15">
        <v>58.0</v>
      </c>
      <c r="D229" s="9" t="s">
        <v>186</v>
      </c>
      <c r="E229" s="19" t="s">
        <v>371</v>
      </c>
      <c r="F229" s="9" t="s">
        <v>222</v>
      </c>
      <c r="G229" s="9">
        <v>25.0</v>
      </c>
      <c r="H229" s="13">
        <v>89.4</v>
      </c>
      <c r="I229" s="13">
        <v>5.8</v>
      </c>
      <c r="J229" s="13" t="str">
        <f>VLOOKUP($A229,covariates!$A$3:$H$1126,5,false)</f>
        <v>at surgery</v>
      </c>
      <c r="K229" s="55" t="str">
        <f>VLOOKUP($A229,covariates!$A$3:$H$1126,6,false)</f>
        <v/>
      </c>
      <c r="L229" s="55">
        <f>VLOOKUP($A229,covariates!$A$3:$H$1126,7,false)</f>
        <v>28.12</v>
      </c>
      <c r="M229" s="55">
        <f>VLOOKUP($A229,covariates!$A$3:$H$1126,8,false)</f>
        <v>5.21</v>
      </c>
    </row>
    <row r="230">
      <c r="A230" s="15">
        <v>68.0</v>
      </c>
      <c r="B230" s="17" t="str">
        <f t="shared" ref="B230:B231" si="134">HYPERLINK("https://github.com/d-wkim/phd/blob/main/data/pdf/moraiti_2010.pdf","Moraiti et al., 2010")</f>
        <v>Moraiti et al., 2010</v>
      </c>
      <c r="C230" s="15">
        <v>68.0</v>
      </c>
      <c r="D230" s="9" t="s">
        <v>42</v>
      </c>
      <c r="E230" s="19" t="s">
        <v>371</v>
      </c>
      <c r="F230" s="9" t="s">
        <v>222</v>
      </c>
      <c r="G230" s="9">
        <v>6.0</v>
      </c>
      <c r="H230" s="13">
        <v>96.0</v>
      </c>
      <c r="I230" s="13">
        <v>3.0</v>
      </c>
      <c r="J230" s="13" t="str">
        <f>VLOOKUP($A230,covariates!$A$3:$H$1126,5,false)</f>
        <v>at surgery</v>
      </c>
      <c r="K230" s="55" t="str">
        <f>VLOOKUP($A230,covariates!$A$3:$H$1126,6,false)</f>
        <v/>
      </c>
      <c r="L230" s="55">
        <f>VLOOKUP($A230,covariates!$A$3:$H$1126,7,false)</f>
        <v>23</v>
      </c>
      <c r="M230" s="55">
        <f>VLOOKUP($A230,covariates!$A$3:$H$1126,8,false)</f>
        <v>2</v>
      </c>
    </row>
    <row r="231">
      <c r="A231" s="15">
        <v>68.0</v>
      </c>
      <c r="B231" s="17" t="str">
        <f t="shared" si="134"/>
        <v>Moraiti et al., 2010</v>
      </c>
      <c r="C231" s="15">
        <v>68.0</v>
      </c>
      <c r="D231" s="9" t="s">
        <v>84</v>
      </c>
      <c r="E231" s="19" t="s">
        <v>371</v>
      </c>
      <c r="F231" s="9" t="s">
        <v>222</v>
      </c>
      <c r="G231" s="9">
        <v>6.0</v>
      </c>
      <c r="H231" s="13">
        <v>95.0</v>
      </c>
      <c r="I231" s="13">
        <v>5.0</v>
      </c>
      <c r="J231" s="13" t="str">
        <f>VLOOKUP($A231,covariates!$A$3:$H$1126,5,false)</f>
        <v>at surgery</v>
      </c>
      <c r="K231" s="55" t="str">
        <f>VLOOKUP($A231,covariates!$A$3:$H$1126,6,false)</f>
        <v/>
      </c>
      <c r="L231" s="55">
        <f>VLOOKUP($A231,covariates!$A$3:$H$1126,7,false)</f>
        <v>23</v>
      </c>
      <c r="M231" s="55">
        <f>VLOOKUP($A231,covariates!$A$3:$H$1126,8,false)</f>
        <v>2</v>
      </c>
    </row>
    <row r="232">
      <c r="A232" s="15">
        <v>70.0</v>
      </c>
      <c r="B232" s="17" t="str">
        <f t="shared" ref="B232:B233" si="135">HYPERLINK("https://github.com/d-wkim/phd/blob/main/data/pdf/noh_2011.pdf","Noh et al., 2011")</f>
        <v>Noh et al., 2011</v>
      </c>
      <c r="C232" s="15">
        <v>70.0</v>
      </c>
      <c r="D232" s="9" t="s">
        <v>84</v>
      </c>
      <c r="E232" s="19" t="s">
        <v>371</v>
      </c>
      <c r="F232" s="9" t="s">
        <v>222</v>
      </c>
      <c r="G232" s="9">
        <v>33.0</v>
      </c>
      <c r="H232" s="13">
        <v>98.0</v>
      </c>
      <c r="I232" s="13" t="str">
        <f t="shared" ref="I232:I233" si="136">iferror(RANGE_SD(G232,#REF!,#REF!),"")</f>
        <v/>
      </c>
      <c r="J232" s="13" t="str">
        <f>VLOOKUP($A232,covariates!$A$3:$H$1126,5,false)</f>
        <v>at surgery</v>
      </c>
      <c r="K232" s="55" t="str">
        <f>VLOOKUP($A232,covariates!$A$3:$H$1126,6,false)</f>
        <v/>
      </c>
      <c r="L232" s="55">
        <f>VLOOKUP($A232,covariates!$A$3:$H$1126,7,false)</f>
        <v>25.81397443</v>
      </c>
      <c r="M232" s="55">
        <f>VLOOKUP($A232,covariates!$A$3:$H$1126,8,false)</f>
        <v>7.455</v>
      </c>
    </row>
    <row r="233">
      <c r="A233" s="15">
        <v>70.0</v>
      </c>
      <c r="B233" s="17" t="str">
        <f t="shared" si="135"/>
        <v>Noh et al., 2011</v>
      </c>
      <c r="C233" s="15">
        <v>70.0</v>
      </c>
      <c r="D233" s="9" t="s">
        <v>246</v>
      </c>
      <c r="E233" s="19" t="s">
        <v>371</v>
      </c>
      <c r="F233" s="9" t="s">
        <v>222</v>
      </c>
      <c r="G233" s="9">
        <v>32.0</v>
      </c>
      <c r="H233" s="13">
        <v>99.0</v>
      </c>
      <c r="I233" s="13" t="str">
        <f t="shared" si="136"/>
        <v/>
      </c>
      <c r="J233" s="13" t="str">
        <f>VLOOKUP($A233,covariates!$A$3:$H$1126,5,false)</f>
        <v>at surgery</v>
      </c>
      <c r="K233" s="55" t="str">
        <f>VLOOKUP($A233,covariates!$A$3:$H$1126,6,false)</f>
        <v/>
      </c>
      <c r="L233" s="55">
        <f>VLOOKUP($A233,covariates!$A$3:$H$1126,7,false)</f>
        <v>25.81397443</v>
      </c>
      <c r="M233" s="55">
        <f>VLOOKUP($A233,covariates!$A$3:$H$1126,8,false)</f>
        <v>7.455</v>
      </c>
    </row>
    <row r="234">
      <c r="A234" s="15">
        <v>73.0</v>
      </c>
      <c r="B234" s="17" t="str">
        <f t="shared" ref="B234:B235" si="137">HYPERLINK("https://github.com/d-wkim/phd/blob/main/data/pdf/papalia_2015.pdf","Papalia et al., 2015")</f>
        <v>Papalia et al., 2015</v>
      </c>
      <c r="C234" s="15">
        <v>73.0</v>
      </c>
      <c r="D234" s="9" t="s">
        <v>42</v>
      </c>
      <c r="E234" s="19" t="s">
        <v>371</v>
      </c>
      <c r="F234" s="9" t="s">
        <v>222</v>
      </c>
      <c r="G234" s="9">
        <v>20.0</v>
      </c>
      <c r="H234" s="13">
        <v>87.4</v>
      </c>
      <c r="I234" s="13">
        <v>13.8</v>
      </c>
      <c r="J234" s="13" t="str">
        <f>VLOOKUP($A234,covariates!$A$3:$H$1126,5,false)</f>
        <v>at surgery</v>
      </c>
      <c r="K234" s="55" t="str">
        <f>VLOOKUP($A234,covariates!$A$3:$H$1126,6,false)</f>
        <v/>
      </c>
      <c r="L234" s="55">
        <f>VLOOKUP($A234,covariates!$A$3:$H$1126,7,false)</f>
        <v>24.7</v>
      </c>
      <c r="M234" s="55" t="str">
        <f>VLOOKUP($A234,covariates!$A$3:$H$1126,8,false)</f>
        <v/>
      </c>
    </row>
    <row r="235">
      <c r="A235" s="15">
        <v>73.0</v>
      </c>
      <c r="B235" s="17" t="str">
        <f t="shared" si="137"/>
        <v>Papalia et al., 2015</v>
      </c>
      <c r="C235" s="15">
        <v>73.0</v>
      </c>
      <c r="D235" s="9" t="s">
        <v>84</v>
      </c>
      <c r="E235" s="19" t="s">
        <v>371</v>
      </c>
      <c r="F235" s="9" t="s">
        <v>222</v>
      </c>
      <c r="G235" s="9">
        <v>20.0</v>
      </c>
      <c r="H235" s="13">
        <v>93.17</v>
      </c>
      <c r="I235" s="13">
        <v>10.3</v>
      </c>
      <c r="J235" s="13" t="str">
        <f>VLOOKUP($A235,covariates!$A$3:$H$1126,5,false)</f>
        <v>at surgery</v>
      </c>
      <c r="K235" s="55" t="str">
        <f>VLOOKUP($A235,covariates!$A$3:$H$1126,6,false)</f>
        <v/>
      </c>
      <c r="L235" s="55">
        <f>VLOOKUP($A235,covariates!$A$3:$H$1126,7,false)</f>
        <v>24.7</v>
      </c>
      <c r="M235" s="55" t="str">
        <f>VLOOKUP($A235,covariates!$A$3:$H$1126,8,false)</f>
        <v/>
      </c>
    </row>
    <row r="236">
      <c r="A236" s="15">
        <v>77.0</v>
      </c>
      <c r="B236" s="17" t="str">
        <f t="shared" ref="B236:B237" si="138">HYPERLINK("https://github.com/d-wkim/phd/blob/main/data/pdf/popovic_2024.pdf","Popovic et al., 2024")</f>
        <v>Popovic et al., 2024</v>
      </c>
      <c r="C236" s="15">
        <v>77.0</v>
      </c>
      <c r="D236" s="9" t="s">
        <v>42</v>
      </c>
      <c r="E236" s="19" t="s">
        <v>371</v>
      </c>
      <c r="F236" s="9" t="s">
        <v>222</v>
      </c>
      <c r="G236" s="9">
        <v>38.0</v>
      </c>
      <c r="H236" s="13">
        <v>82.0</v>
      </c>
      <c r="I236" s="13" t="str">
        <f t="shared" ref="I236:I237" si="139">iferror(RANGE_SD(G236,#REF!,#REF!),"")</f>
        <v/>
      </c>
      <c r="J236" s="13" t="str">
        <f>VLOOKUP($A236,covariates!$A$3:$H$1126,5,false)</f>
        <v>at surgery</v>
      </c>
      <c r="K236" s="55" t="str">
        <f>VLOOKUP($A236,covariates!$A$3:$H$1126,6,false)</f>
        <v/>
      </c>
      <c r="L236" s="55">
        <f>VLOOKUP($A236,covariates!$A$3:$H$1126,7,false)</f>
        <v>27</v>
      </c>
      <c r="M236" s="55">
        <f>VLOOKUP($A236,covariates!$A$3:$H$1126,8,false)</f>
        <v>6.82</v>
      </c>
    </row>
    <row r="237">
      <c r="A237" s="15">
        <v>77.0</v>
      </c>
      <c r="B237" s="17" t="str">
        <f t="shared" si="138"/>
        <v>Popovic et al., 2024</v>
      </c>
      <c r="C237" s="15">
        <v>77.0</v>
      </c>
      <c r="D237" s="9" t="s">
        <v>84</v>
      </c>
      <c r="E237" s="19" t="s">
        <v>371</v>
      </c>
      <c r="F237" s="9" t="s">
        <v>222</v>
      </c>
      <c r="G237" s="9">
        <v>33.0</v>
      </c>
      <c r="H237" s="13">
        <v>85.0</v>
      </c>
      <c r="I237" s="13" t="str">
        <f t="shared" si="139"/>
        <v/>
      </c>
      <c r="J237" s="13" t="str">
        <f>VLOOKUP($A237,covariates!$A$3:$H$1126,5,false)</f>
        <v>at surgery</v>
      </c>
      <c r="K237" s="55" t="str">
        <f>VLOOKUP($A237,covariates!$A$3:$H$1126,6,false)</f>
        <v/>
      </c>
      <c r="L237" s="55">
        <f>VLOOKUP($A237,covariates!$A$3:$H$1126,7,false)</f>
        <v>27</v>
      </c>
      <c r="M237" s="55">
        <f>VLOOKUP($A237,covariates!$A$3:$H$1126,8,false)</f>
        <v>6.82</v>
      </c>
    </row>
    <row r="238">
      <c r="A238" s="15">
        <v>87.0</v>
      </c>
      <c r="B238" s="17" t="str">
        <f t="shared" ref="B238:B239" si="140">HYPERLINK("https://github.com/d-wkim/phd/blob/main/data/pdf/sonnery-cottet_2026.pdf","Sonnery-cottet et al., 2026")</f>
        <v>Sonnery-cottet et al., 2026</v>
      </c>
      <c r="C238" s="15">
        <v>87.0</v>
      </c>
      <c r="D238" s="9" t="s">
        <v>42</v>
      </c>
      <c r="E238" s="7" t="s">
        <v>371</v>
      </c>
      <c r="F238" s="9" t="s">
        <v>222</v>
      </c>
      <c r="G238" s="9">
        <v>296.0</v>
      </c>
      <c r="H238" s="13">
        <v>89.0</v>
      </c>
      <c r="I238" s="13">
        <v>12.4</v>
      </c>
      <c r="J238" s="13" t="str">
        <f>VLOOKUP($A238,covariates!$A$3:$H$1126,5,false)</f>
        <v>at surgery</v>
      </c>
      <c r="K238" s="55" t="str">
        <f>VLOOKUP($A238,covariates!$A$3:$H$1126,6,false)</f>
        <v/>
      </c>
      <c r="L238" s="55">
        <f>VLOOKUP($A238,covariates!$A$3:$H$1126,7,false)</f>
        <v>24.8</v>
      </c>
      <c r="M238" s="55">
        <f>VLOOKUP($A238,covariates!$A$3:$H$1126,8,false)</f>
        <v>4.4</v>
      </c>
    </row>
    <row r="239">
      <c r="A239" s="15">
        <v>87.0</v>
      </c>
      <c r="B239" s="17" t="str">
        <f t="shared" si="140"/>
        <v>Sonnery-cottet et al., 2026</v>
      </c>
      <c r="C239" s="15">
        <v>87.0</v>
      </c>
      <c r="D239" s="9" t="s">
        <v>84</v>
      </c>
      <c r="E239" s="7" t="s">
        <v>371</v>
      </c>
      <c r="F239" s="9" t="s">
        <v>222</v>
      </c>
      <c r="G239" s="9">
        <v>297.0</v>
      </c>
      <c r="H239" s="13">
        <v>91.1</v>
      </c>
      <c r="I239" s="13">
        <v>11.9</v>
      </c>
      <c r="J239" s="13" t="str">
        <f>VLOOKUP($A239,covariates!$A$3:$H$1126,5,false)</f>
        <v>at surgery</v>
      </c>
      <c r="K239" s="55" t="str">
        <f>VLOOKUP($A239,covariates!$A$3:$H$1126,6,false)</f>
        <v/>
      </c>
      <c r="L239" s="55">
        <f>VLOOKUP($A239,covariates!$A$3:$H$1126,7,false)</f>
        <v>24.8</v>
      </c>
      <c r="M239" s="55">
        <f>VLOOKUP($A239,covariates!$A$3:$H$1126,8,false)</f>
        <v>4.4</v>
      </c>
    </row>
    <row r="240">
      <c r="A240" s="15">
        <v>89.0</v>
      </c>
      <c r="B240" s="17" t="str">
        <f t="shared" ref="B240:B241" si="141">HYPERLINK("https://github.com/d-wkim/phd/blob/main/data/pdf/tang_2023.pdf","Tang et al., 2023")</f>
        <v>Tang et al., 2023</v>
      </c>
      <c r="C240" s="15">
        <v>89.0</v>
      </c>
      <c r="D240" s="9" t="s">
        <v>84</v>
      </c>
      <c r="E240" s="7" t="s">
        <v>371</v>
      </c>
      <c r="F240" s="9" t="s">
        <v>222</v>
      </c>
      <c r="G240" s="9">
        <v>16.0</v>
      </c>
      <c r="H240" s="13">
        <v>90.06</v>
      </c>
      <c r="I240" s="13">
        <v>7.33</v>
      </c>
      <c r="J240" s="13" t="str">
        <f>VLOOKUP($A240,covariates!$A$3:$H$1126,5,false)</f>
        <v>at surgery</v>
      </c>
      <c r="K240" s="55" t="str">
        <f>VLOOKUP($A240,covariates!$A$3:$H$1126,6,false)</f>
        <v/>
      </c>
      <c r="L240" s="55">
        <f>VLOOKUP($A240,covariates!$A$3:$H$1126,7,false)</f>
        <v>28.31</v>
      </c>
      <c r="M240" s="55">
        <f>VLOOKUP($A240,covariates!$A$3:$H$1126,8,false)</f>
        <v>8.55</v>
      </c>
    </row>
    <row r="241">
      <c r="A241" s="15">
        <v>89.0</v>
      </c>
      <c r="B241" s="17" t="str">
        <f t="shared" si="141"/>
        <v>Tang et al., 2023</v>
      </c>
      <c r="C241" s="15">
        <v>89.0</v>
      </c>
      <c r="D241" s="9" t="s">
        <v>200</v>
      </c>
      <c r="E241" s="7" t="s">
        <v>371</v>
      </c>
      <c r="F241" s="9" t="s">
        <v>222</v>
      </c>
      <c r="G241" s="9">
        <v>17.0</v>
      </c>
      <c r="H241" s="13">
        <v>90.0</v>
      </c>
      <c r="I241" s="13">
        <v>4.26</v>
      </c>
      <c r="J241" s="13" t="str">
        <f>VLOOKUP($A241,covariates!$A$3:$H$1126,5,false)</f>
        <v>at surgery</v>
      </c>
      <c r="K241" s="55" t="str">
        <f>VLOOKUP($A241,covariates!$A$3:$H$1126,6,false)</f>
        <v/>
      </c>
      <c r="L241" s="55">
        <f>VLOOKUP($A241,covariates!$A$3:$H$1126,7,false)</f>
        <v>28.31</v>
      </c>
      <c r="M241" s="55">
        <f>VLOOKUP($A241,covariates!$A$3:$H$1126,8,false)</f>
        <v>8.55</v>
      </c>
    </row>
    <row r="242">
      <c r="A242" s="15">
        <v>90.0</v>
      </c>
      <c r="B242" s="17" t="str">
        <f t="shared" ref="B242:B243" si="142">HYPERLINK("https://github.com/d-wkim/phd/blob/main/data/pdf/taylor_2009.pdf","Taylor et al., 2009")</f>
        <v>Taylor et al., 2009</v>
      </c>
      <c r="C242" s="15">
        <v>90.0</v>
      </c>
      <c r="D242" s="9" t="s">
        <v>42</v>
      </c>
      <c r="E242" s="19" t="s">
        <v>371</v>
      </c>
      <c r="F242" s="9" t="s">
        <v>222</v>
      </c>
      <c r="G242" s="9">
        <v>21.0</v>
      </c>
      <c r="H242" s="13">
        <v>90.3</v>
      </c>
      <c r="I242" s="13">
        <v>12.19</v>
      </c>
      <c r="J242" s="13" t="str">
        <f>VLOOKUP($A242,covariates!$A$3:$H$1126,5,false)</f>
        <v>at surgery</v>
      </c>
      <c r="K242" s="55" t="str">
        <f>VLOOKUP($A242,covariates!$A$3:$H$1126,6,false)</f>
        <v/>
      </c>
      <c r="L242" s="55">
        <f>VLOOKUP($A242,covariates!$A$3:$H$1126,7,false)</f>
        <v>21.7</v>
      </c>
      <c r="M242" s="55">
        <f>VLOOKUP($A242,covariates!$A$3:$H$1126,8,false)</f>
        <v>4.597</v>
      </c>
    </row>
    <row r="243">
      <c r="A243" s="15">
        <v>90.0</v>
      </c>
      <c r="B243" s="17" t="str">
        <f t="shared" si="142"/>
        <v>Taylor et al., 2009</v>
      </c>
      <c r="C243" s="15">
        <v>90.0</v>
      </c>
      <c r="D243" s="9" t="s">
        <v>84</v>
      </c>
      <c r="E243" s="19" t="s">
        <v>371</v>
      </c>
      <c r="F243" s="9" t="s">
        <v>222</v>
      </c>
      <c r="G243" s="9">
        <v>23.0</v>
      </c>
      <c r="H243" s="13">
        <v>90.4</v>
      </c>
      <c r="I243" s="13">
        <v>12.75</v>
      </c>
      <c r="J243" s="13" t="str">
        <f>VLOOKUP($A243,covariates!$A$3:$H$1126,5,false)</f>
        <v>at surgery</v>
      </c>
      <c r="K243" s="55" t="str">
        <f>VLOOKUP($A243,covariates!$A$3:$H$1126,6,false)</f>
        <v/>
      </c>
      <c r="L243" s="55">
        <f>VLOOKUP($A243,covariates!$A$3:$H$1126,7,false)</f>
        <v>21.7</v>
      </c>
      <c r="M243" s="55">
        <f>VLOOKUP($A243,covariates!$A$3:$H$1126,8,false)</f>
        <v>4.597</v>
      </c>
    </row>
    <row r="244">
      <c r="A244" s="15">
        <v>93.0</v>
      </c>
      <c r="B244" s="17" t="str">
        <f t="shared" ref="B244:B245" si="143">HYPERLINK("https://github.com/d-wkim/phd/blob/main/data/pdf/vilchez-cavazos_2020.pdf","Vilchez-cavazos et al., 2020")</f>
        <v>Vilchez-cavazos et al., 2020</v>
      </c>
      <c r="C244" s="15">
        <v>93.0</v>
      </c>
      <c r="D244" s="9" t="s">
        <v>42</v>
      </c>
      <c r="E244" s="7" t="s">
        <v>371</v>
      </c>
      <c r="F244" s="9" t="s">
        <v>222</v>
      </c>
      <c r="G244" s="9">
        <v>14.0</v>
      </c>
      <c r="H244" s="13">
        <v>96.0</v>
      </c>
      <c r="I244" s="13" t="str">
        <f t="shared" ref="I244:I245" si="144">iferror(RANGE_SD(G244,#REF!,#REF!),"")</f>
        <v/>
      </c>
      <c r="J244" s="13" t="str">
        <f>VLOOKUP($A244,covariates!$A$3:$H$1126,5,false)</f>
        <v>at surgery</v>
      </c>
      <c r="K244" s="55" t="str">
        <f>VLOOKUP($A244,covariates!$A$3:$H$1126,6,false)</f>
        <v/>
      </c>
      <c r="L244" s="55">
        <f>VLOOKUP($A244,covariates!$A$3:$H$1126,7,false)</f>
        <v>24.4557</v>
      </c>
      <c r="M244" s="55">
        <f>VLOOKUP($A244,covariates!$A$3:$H$1126,8,false)</f>
        <v>8.2374</v>
      </c>
    </row>
    <row r="245">
      <c r="A245" s="15">
        <v>93.0</v>
      </c>
      <c r="B245" s="17" t="str">
        <f t="shared" si="143"/>
        <v>Vilchez-cavazos et al., 2020</v>
      </c>
      <c r="C245" s="15">
        <v>93.0</v>
      </c>
      <c r="D245" s="9" t="s">
        <v>200</v>
      </c>
      <c r="E245" s="7" t="s">
        <v>371</v>
      </c>
      <c r="F245" s="9" t="s">
        <v>222</v>
      </c>
      <c r="G245" s="9">
        <v>14.0</v>
      </c>
      <c r="H245" s="13">
        <v>95.33</v>
      </c>
      <c r="I245" s="13" t="str">
        <f t="shared" si="144"/>
        <v/>
      </c>
      <c r="J245" s="13" t="str">
        <f>VLOOKUP($A245,covariates!$A$3:$H$1126,5,false)</f>
        <v>at surgery</v>
      </c>
      <c r="K245" s="55" t="str">
        <f>VLOOKUP($A245,covariates!$A$3:$H$1126,6,false)</f>
        <v/>
      </c>
      <c r="L245" s="55">
        <f>VLOOKUP($A245,covariates!$A$3:$H$1126,7,false)</f>
        <v>24.4557</v>
      </c>
      <c r="M245" s="55">
        <f>VLOOKUP($A245,covariates!$A$3:$H$1126,8,false)</f>
        <v>8.2374</v>
      </c>
    </row>
    <row r="246">
      <c r="A246" s="15">
        <v>96.0</v>
      </c>
      <c r="B246" s="17" t="str">
        <f t="shared" ref="B246:B247" si="145">HYPERLINK("https://github.com/d-wkim/phd/blob/main/data/pdf/wipfler_2011.pdf","Wipfler et al., 2011")</f>
        <v>Wipfler et al., 2011</v>
      </c>
      <c r="C246" s="15">
        <v>96.0</v>
      </c>
      <c r="D246" s="9" t="s">
        <v>42</v>
      </c>
      <c r="E246" s="7" t="s">
        <v>371</v>
      </c>
      <c r="F246" s="9" t="s">
        <v>222</v>
      </c>
      <c r="G246" s="9">
        <v>29.0</v>
      </c>
      <c r="H246" s="13">
        <v>87.28</v>
      </c>
      <c r="I246" s="13">
        <v>1.761</v>
      </c>
      <c r="J246" s="13" t="str">
        <f>VLOOKUP($A246,covariates!$A$3:$H$1126,5,false)</f>
        <v>at surgery</v>
      </c>
      <c r="K246" s="55" t="str">
        <f>VLOOKUP($A246,covariates!$A$3:$H$1126,6,false)</f>
        <v/>
      </c>
      <c r="L246" s="55">
        <f>VLOOKUP($A246,covariates!$A$3:$H$1126,7,false)</f>
        <v>29.87</v>
      </c>
      <c r="M246" s="55">
        <f>VLOOKUP($A246,covariates!$A$3:$H$1126,8,false)</f>
        <v>7.304</v>
      </c>
    </row>
    <row r="247">
      <c r="A247" s="15">
        <v>96.0</v>
      </c>
      <c r="B247" s="17" t="str">
        <f t="shared" si="145"/>
        <v>Wipfler et al., 2011</v>
      </c>
      <c r="C247" s="15">
        <v>96.0</v>
      </c>
      <c r="D247" s="9" t="s">
        <v>84</v>
      </c>
      <c r="E247" s="7" t="s">
        <v>371</v>
      </c>
      <c r="F247" s="9" t="s">
        <v>222</v>
      </c>
      <c r="G247" s="9">
        <v>25.0</v>
      </c>
      <c r="H247" s="13">
        <v>91.82</v>
      </c>
      <c r="I247" s="13">
        <v>1.713</v>
      </c>
      <c r="J247" s="13" t="str">
        <f>VLOOKUP($A247,covariates!$A$3:$H$1126,5,false)</f>
        <v>at surgery</v>
      </c>
      <c r="K247" s="55" t="str">
        <f>VLOOKUP($A247,covariates!$A$3:$H$1126,6,false)</f>
        <v/>
      </c>
      <c r="L247" s="55">
        <f>VLOOKUP($A247,covariates!$A$3:$H$1126,7,false)</f>
        <v>29.87</v>
      </c>
      <c r="M247" s="55">
        <f>VLOOKUP($A247,covariates!$A$3:$H$1126,8,false)</f>
        <v>7.304</v>
      </c>
    </row>
    <row r="248">
      <c r="A248" s="15">
        <v>97.0</v>
      </c>
      <c r="B248" s="17" t="str">
        <f t="shared" ref="B248:B249" si="146">HYPERLINK("https://github.com/d-wkim/phd/blob/main/data/pdf/yadav_2025.pdf","Yadav et al., 2025")</f>
        <v>Yadav et al., 2025</v>
      </c>
      <c r="C248" s="15">
        <v>97.0</v>
      </c>
      <c r="D248" s="9" t="s">
        <v>84</v>
      </c>
      <c r="E248" s="19" t="s">
        <v>371</v>
      </c>
      <c r="F248" s="9" t="s">
        <v>222</v>
      </c>
      <c r="G248" s="9">
        <v>36.0</v>
      </c>
      <c r="H248" s="13">
        <v>92.4</v>
      </c>
      <c r="I248" s="13" t="str">
        <f t="shared" ref="I248:I251" si="147">iferror(RANGE_SD(G248,#REF!,#REF!),"")</f>
        <v/>
      </c>
      <c r="J248" s="13" t="str">
        <f>VLOOKUP($A248,covariates!$A$3:$H$1126,5,false)</f>
        <v>at surgery</v>
      </c>
      <c r="K248" s="55" t="str">
        <f>VLOOKUP($A248,covariates!$A$3:$H$1126,6,false)</f>
        <v/>
      </c>
      <c r="L248" s="55">
        <f>VLOOKUP($A248,covariates!$A$3:$H$1126,7,false)</f>
        <v>30.06</v>
      </c>
      <c r="M248" s="55">
        <f>VLOOKUP($A248,covariates!$A$3:$H$1126,8,false)</f>
        <v>8.87</v>
      </c>
    </row>
    <row r="249">
      <c r="A249" s="15">
        <v>97.0</v>
      </c>
      <c r="B249" s="17" t="str">
        <f t="shared" si="146"/>
        <v>Yadav et al., 2025</v>
      </c>
      <c r="C249" s="15">
        <v>97.0</v>
      </c>
      <c r="D249" s="9" t="s">
        <v>200</v>
      </c>
      <c r="E249" s="19" t="s">
        <v>371</v>
      </c>
      <c r="F249" s="9" t="s">
        <v>222</v>
      </c>
      <c r="G249" s="9">
        <v>33.0</v>
      </c>
      <c r="H249" s="13">
        <v>88.2</v>
      </c>
      <c r="I249" s="13" t="str">
        <f t="shared" si="147"/>
        <v/>
      </c>
      <c r="J249" s="13" t="str">
        <f>VLOOKUP($A249,covariates!$A$3:$H$1126,5,false)</f>
        <v>at surgery</v>
      </c>
      <c r="K249" s="55" t="str">
        <f>VLOOKUP($A249,covariates!$A$3:$H$1126,6,false)</f>
        <v/>
      </c>
      <c r="L249" s="55">
        <f>VLOOKUP($A249,covariates!$A$3:$H$1126,7,false)</f>
        <v>30.06</v>
      </c>
      <c r="M249" s="55">
        <f>VLOOKUP($A249,covariates!$A$3:$H$1126,8,false)</f>
        <v>8.87</v>
      </c>
    </row>
    <row r="250">
      <c r="A250" s="15">
        <v>98.0</v>
      </c>
      <c r="B250" s="17" t="str">
        <f t="shared" ref="B250:B251" si="148">HYPERLINK("https://github.com/d-wkim/phd/blob/main/data/pdf/yoo_2017.pdf","Yoo et al., 2017")</f>
        <v>Yoo et al., 2017</v>
      </c>
      <c r="C250" s="15">
        <v>98.0</v>
      </c>
      <c r="D250" s="9" t="s">
        <v>84</v>
      </c>
      <c r="E250" s="19" t="s">
        <v>371</v>
      </c>
      <c r="F250" s="9" t="s">
        <v>222</v>
      </c>
      <c r="G250" s="9">
        <v>68.0</v>
      </c>
      <c r="H250" s="13">
        <v>96.0</v>
      </c>
      <c r="I250" s="13" t="str">
        <f t="shared" si="147"/>
        <v/>
      </c>
      <c r="J250" s="13" t="str">
        <f>VLOOKUP($A250,covariates!$A$3:$H$1126,5,false)</f>
        <v>at surgery</v>
      </c>
      <c r="K250" s="55" t="str">
        <f>VLOOKUP($A250,covariates!$A$3:$H$1126,6,false)</f>
        <v/>
      </c>
      <c r="L250" s="55">
        <f>VLOOKUP($A250,covariates!$A$3:$H$1126,7,false)</f>
        <v>30</v>
      </c>
      <c r="M250" s="55">
        <f>VLOOKUP($A250,covariates!$A$3:$H$1126,8,false)</f>
        <v>9.961</v>
      </c>
    </row>
    <row r="251">
      <c r="A251" s="15">
        <v>98.0</v>
      </c>
      <c r="B251" s="17" t="str">
        <f t="shared" si="148"/>
        <v>Yoo et al., 2017</v>
      </c>
      <c r="C251" s="15">
        <v>98.0</v>
      </c>
      <c r="D251" s="9" t="s">
        <v>205</v>
      </c>
      <c r="E251" s="19" t="s">
        <v>371</v>
      </c>
      <c r="F251" s="9" t="s">
        <v>222</v>
      </c>
      <c r="G251" s="9">
        <v>64.0</v>
      </c>
      <c r="H251" s="13">
        <v>93.0</v>
      </c>
      <c r="I251" s="13" t="str">
        <f t="shared" si="147"/>
        <v/>
      </c>
      <c r="J251" s="13" t="str">
        <f>VLOOKUP($A251,covariates!$A$3:$H$1126,5,false)</f>
        <v>at surgery</v>
      </c>
      <c r="K251" s="55" t="str">
        <f>VLOOKUP($A251,covariates!$A$3:$H$1126,6,false)</f>
        <v/>
      </c>
      <c r="L251" s="55">
        <f>VLOOKUP($A251,covariates!$A$3:$H$1126,7,false)</f>
        <v>30</v>
      </c>
      <c r="M251" s="55">
        <f>VLOOKUP($A251,covariates!$A$3:$H$1126,8,false)</f>
        <v>9.961</v>
      </c>
    </row>
    <row r="252">
      <c r="A252" s="15">
        <v>2.0</v>
      </c>
      <c r="B252" s="17" t="str">
        <f t="shared" ref="B252:B253" si="149">HYPERLINK("https://github.com/d-wkim/phd/blob/main/data/pdf/aglietti_2004.pdf","Aglietti et al., 2004")</f>
        <v>Aglietti et al., 2004</v>
      </c>
      <c r="C252" s="15">
        <v>2.0</v>
      </c>
      <c r="D252" s="9" t="s">
        <v>42</v>
      </c>
      <c r="E252" s="7" t="s">
        <v>385</v>
      </c>
      <c r="F252" s="9" t="s">
        <v>64</v>
      </c>
      <c r="G252" s="9">
        <v>60.0</v>
      </c>
      <c r="H252" s="20">
        <v>0.0</v>
      </c>
      <c r="I252" s="21">
        <f t="shared" ref="I252:I303" si="150">iferror(P_SD(G252,H252),"")</f>
        <v>0.06454972244</v>
      </c>
      <c r="J252" s="13" t="str">
        <f>VLOOKUP($A252,covariates!$A$3:$H$1126,5,false)</f>
        <v>at surgery</v>
      </c>
      <c r="K252" s="55" t="str">
        <f>VLOOKUP($A252,covariates!$A$3:$H$1126,6,false)</f>
        <v/>
      </c>
      <c r="L252" s="55">
        <f>VLOOKUP($A252,covariates!$A$3:$H$1126,7,false)</f>
        <v>25</v>
      </c>
      <c r="M252" s="55">
        <f>VLOOKUP($A252,covariates!$A$3:$H$1126,8,false)</f>
        <v>4.973</v>
      </c>
    </row>
    <row r="253">
      <c r="A253" s="15">
        <v>2.0</v>
      </c>
      <c r="B253" s="17" t="str">
        <f t="shared" si="149"/>
        <v>Aglietti et al., 2004</v>
      </c>
      <c r="C253" s="15">
        <v>2.0</v>
      </c>
      <c r="D253" s="9" t="s">
        <v>84</v>
      </c>
      <c r="E253" s="7" t="s">
        <v>385</v>
      </c>
      <c r="F253" s="9" t="s">
        <v>64</v>
      </c>
      <c r="G253" s="9">
        <v>60.0</v>
      </c>
      <c r="H253" s="20">
        <v>0.0</v>
      </c>
      <c r="I253" s="21">
        <f t="shared" si="150"/>
        <v>0.06454972244</v>
      </c>
      <c r="J253" s="13" t="str">
        <f>VLOOKUP($A253,covariates!$A$3:$H$1126,5,false)</f>
        <v>at surgery</v>
      </c>
      <c r="K253" s="13"/>
      <c r="L253" s="13" t="str">
        <f>VLOOKUP($A253,covariates!$A$3:$H$1126,6,false)</f>
        <v/>
      </c>
      <c r="M253" s="13" t="str">
        <f>VLOOKUP($A253,covariates!$A$3:$H$1126,6,false)</f>
        <v/>
      </c>
    </row>
    <row r="254">
      <c r="A254" s="15">
        <v>5.0</v>
      </c>
      <c r="B254" s="17" t="str">
        <f t="shared" ref="B254:B255" si="151">HYPERLINK("https://github.com/d-wkim/phd/blob/main/data/pdf/anderson_2001.pdf","Anderson et al., 2001")</f>
        <v>Anderson et al., 2001</v>
      </c>
      <c r="C254" s="15">
        <v>5.0</v>
      </c>
      <c r="D254" s="9" t="s">
        <v>42</v>
      </c>
      <c r="E254" s="7" t="s">
        <v>385</v>
      </c>
      <c r="F254" s="9" t="s">
        <v>64</v>
      </c>
      <c r="G254" s="9">
        <v>35.0</v>
      </c>
      <c r="H254" s="20">
        <v>7.0</v>
      </c>
      <c r="I254" s="21">
        <f t="shared" si="150"/>
        <v>1.584664228</v>
      </c>
      <c r="J254" s="13" t="str">
        <f>VLOOKUP($A254,covariates!$A$3:$H$1126,5,false)</f>
        <v>at surgery</v>
      </c>
      <c r="K254" s="13"/>
      <c r="L254" s="13" t="str">
        <f>VLOOKUP($A254,covariates!$A$3:$H$1126,6,false)</f>
        <v/>
      </c>
      <c r="M254" s="13" t="str">
        <f>VLOOKUP($A254,covariates!$A$3:$H$1126,6,false)</f>
        <v/>
      </c>
    </row>
    <row r="255">
      <c r="A255" s="15">
        <v>5.0</v>
      </c>
      <c r="B255" s="17" t="str">
        <f t="shared" si="151"/>
        <v>Anderson et al., 2001</v>
      </c>
      <c r="C255" s="15">
        <v>5.0</v>
      </c>
      <c r="D255" s="9" t="s">
        <v>84</v>
      </c>
      <c r="E255" s="7" t="s">
        <v>385</v>
      </c>
      <c r="F255" s="9" t="s">
        <v>64</v>
      </c>
      <c r="G255" s="9">
        <v>33.0</v>
      </c>
      <c r="H255" s="20">
        <v>8.0</v>
      </c>
      <c r="I255" s="21">
        <f t="shared" si="150"/>
        <v>1.9531513</v>
      </c>
      <c r="J255" s="13" t="str">
        <f>VLOOKUP($A255,covariates!$A$3:$H$1126,5,false)</f>
        <v>at surgery</v>
      </c>
      <c r="K255" s="13"/>
      <c r="L255" s="13" t="str">
        <f>VLOOKUP($A255,covariates!$A$3:$H$1126,6,false)</f>
        <v/>
      </c>
      <c r="M255" s="13" t="str">
        <f>VLOOKUP($A255,covariates!$A$3:$H$1126,6,false)</f>
        <v/>
      </c>
    </row>
    <row r="256">
      <c r="A256" s="15">
        <v>11.0</v>
      </c>
      <c r="B256" s="17" t="str">
        <f t="shared" ref="B256:B257" si="152">HYPERLINK("https://github.com/d-wkim/phd/blob/main/data/pdf/beynnon_2002.pdf","Beynnon et al., 2002")</f>
        <v>Beynnon et al., 2002</v>
      </c>
      <c r="C256" s="15">
        <v>11.0</v>
      </c>
      <c r="D256" s="9" t="s">
        <v>42</v>
      </c>
      <c r="E256" s="7" t="s">
        <v>385</v>
      </c>
      <c r="F256" s="9" t="s">
        <v>64</v>
      </c>
      <c r="G256" s="9">
        <v>22.0</v>
      </c>
      <c r="H256" s="20">
        <v>3.0</v>
      </c>
      <c r="I256" s="21">
        <f t="shared" si="150"/>
        <v>0.8640239558</v>
      </c>
      <c r="J256" s="13" t="str">
        <f>VLOOKUP($A256,covariates!$A$3:$H$1126,5,false)</f>
        <v>at surgery</v>
      </c>
      <c r="K256" s="13"/>
      <c r="L256" s="13" t="str">
        <f>VLOOKUP($A256,covariates!$A$3:$H$1126,6,false)</f>
        <v/>
      </c>
      <c r="M256" s="13" t="str">
        <f>VLOOKUP($A256,covariates!$A$3:$H$1126,6,false)</f>
        <v/>
      </c>
    </row>
    <row r="257">
      <c r="A257" s="15">
        <v>11.0</v>
      </c>
      <c r="B257" s="17" t="str">
        <f t="shared" si="152"/>
        <v>Beynnon et al., 2002</v>
      </c>
      <c r="C257" s="15">
        <v>11.0</v>
      </c>
      <c r="D257" s="9" t="s">
        <v>84</v>
      </c>
      <c r="E257" s="7" t="s">
        <v>385</v>
      </c>
      <c r="F257" s="9" t="s">
        <v>64</v>
      </c>
      <c r="G257" s="9">
        <v>22.0</v>
      </c>
      <c r="H257" s="20">
        <v>9.0</v>
      </c>
      <c r="I257" s="21">
        <f t="shared" si="150"/>
        <v>3.427611517</v>
      </c>
      <c r="J257" s="13" t="str">
        <f>VLOOKUP($A257,covariates!$A$3:$H$1126,5,false)</f>
        <v>at surgery</v>
      </c>
      <c r="K257" s="13"/>
      <c r="L257" s="13" t="str">
        <f>VLOOKUP($A257,covariates!$A$3:$H$1126,6,false)</f>
        <v/>
      </c>
      <c r="M257" s="13" t="str">
        <f>VLOOKUP($A257,covariates!$A$3:$H$1126,6,false)</f>
        <v/>
      </c>
    </row>
    <row r="258">
      <c r="A258" s="15">
        <v>12.0</v>
      </c>
      <c r="B258" s="17" t="str">
        <f t="shared" ref="B258:B259" si="153">HYPERLINK("https://github.com/d-wkim/phd/blob/main/data/pdf/bi_2018.pdf","Bi et al., 2018")</f>
        <v>Bi et al., 2018</v>
      </c>
      <c r="C258" s="15">
        <v>12.0</v>
      </c>
      <c r="D258" s="9" t="s">
        <v>84</v>
      </c>
      <c r="E258" s="7" t="s">
        <v>385</v>
      </c>
      <c r="F258" s="9" t="s">
        <v>64</v>
      </c>
      <c r="G258" s="9">
        <v>62.0</v>
      </c>
      <c r="H258" s="20">
        <v>0.0</v>
      </c>
      <c r="I258" s="21">
        <f t="shared" si="150"/>
        <v>0.0635000635</v>
      </c>
      <c r="J258" s="13" t="str">
        <f>VLOOKUP($A258,covariates!$A$3:$H$1126,5,false)</f>
        <v>at surgery</v>
      </c>
      <c r="K258" s="13"/>
      <c r="L258" s="13" t="str">
        <f>VLOOKUP($A258,covariates!$A$3:$H$1126,6,false)</f>
        <v/>
      </c>
      <c r="M258" s="13" t="str">
        <f>VLOOKUP($A258,covariates!$A$3:$H$1126,6,false)</f>
        <v/>
      </c>
    </row>
    <row r="259">
      <c r="A259" s="15">
        <v>12.0</v>
      </c>
      <c r="B259" s="17" t="str">
        <f t="shared" si="153"/>
        <v>Bi et al., 2018</v>
      </c>
      <c r="C259" s="15">
        <v>12.0</v>
      </c>
      <c r="D259" s="9" t="s">
        <v>186</v>
      </c>
      <c r="E259" s="7" t="s">
        <v>385</v>
      </c>
      <c r="F259" s="9" t="s">
        <v>64</v>
      </c>
      <c r="G259" s="9">
        <v>62.0</v>
      </c>
      <c r="H259" s="20">
        <v>0.0</v>
      </c>
      <c r="I259" s="21">
        <f t="shared" si="150"/>
        <v>0.0635000635</v>
      </c>
      <c r="J259" s="13" t="str">
        <f>VLOOKUP($A259,covariates!$A$3:$H$1126,5,false)</f>
        <v>at surgery</v>
      </c>
      <c r="K259" s="13"/>
      <c r="L259" s="13" t="str">
        <f>VLOOKUP($A259,covariates!$A$3:$H$1126,6,false)</f>
        <v/>
      </c>
      <c r="M259" s="13" t="str">
        <f>VLOOKUP($A259,covariates!$A$3:$H$1126,6,false)</f>
        <v/>
      </c>
    </row>
    <row r="260">
      <c r="A260" s="9">
        <v>13.0</v>
      </c>
      <c r="B260" s="17" t="str">
        <f t="shared" ref="B260:B261" si="154">HYPERLINK("https://github.com/d-wkim/phd/blob/main/data/pdf/björnsson_2016.pdf","Björnsson et al., 2016")</f>
        <v>Björnsson et al., 2016</v>
      </c>
      <c r="C260" s="9">
        <v>13.0</v>
      </c>
      <c r="D260" s="9" t="s">
        <v>42</v>
      </c>
      <c r="E260" s="7" t="s">
        <v>385</v>
      </c>
      <c r="F260" s="9" t="s">
        <v>64</v>
      </c>
      <c r="G260" s="9">
        <v>61.0</v>
      </c>
      <c r="H260" s="20">
        <v>12.0</v>
      </c>
      <c r="I260" s="21">
        <f t="shared" si="150"/>
        <v>1.992410632</v>
      </c>
      <c r="J260" s="13" t="str">
        <f>VLOOKUP($A260,covariates!$A$3:$H$1126,5,false)</f>
        <v>at surgery</v>
      </c>
      <c r="K260" s="13"/>
      <c r="L260" s="13" t="str">
        <f>VLOOKUP($A260,covariates!$A$3:$H$1126,6,false)</f>
        <v/>
      </c>
      <c r="M260" s="13" t="str">
        <f>VLOOKUP($A260,covariates!$A$3:$H$1126,6,false)</f>
        <v/>
      </c>
    </row>
    <row r="261">
      <c r="A261" s="9">
        <v>13.0</v>
      </c>
      <c r="B261" s="17" t="str">
        <f t="shared" si="154"/>
        <v>Björnsson et al., 2016</v>
      </c>
      <c r="C261" s="9">
        <v>13.0</v>
      </c>
      <c r="D261" s="9" t="s">
        <v>84</v>
      </c>
      <c r="E261" s="7" t="s">
        <v>385</v>
      </c>
      <c r="F261" s="9" t="s">
        <v>64</v>
      </c>
      <c r="G261" s="9">
        <v>86.0</v>
      </c>
      <c r="H261" s="20">
        <v>13.0</v>
      </c>
      <c r="I261" s="21">
        <f t="shared" si="150"/>
        <v>1.714984242</v>
      </c>
      <c r="J261" s="13" t="str">
        <f>VLOOKUP($A261,covariates!$A$3:$H$1126,5,false)</f>
        <v>at surgery</v>
      </c>
      <c r="K261" s="13"/>
      <c r="L261" s="13" t="str">
        <f>VLOOKUP($A261,covariates!$A$3:$H$1126,6,false)</f>
        <v/>
      </c>
      <c r="M261" s="13" t="str">
        <f>VLOOKUP($A261,covariates!$A$3:$H$1126,6,false)</f>
        <v/>
      </c>
    </row>
    <row r="262">
      <c r="A262" s="15">
        <v>25.0</v>
      </c>
      <c r="B262" s="17" t="str">
        <f t="shared" ref="B262:B263" si="155">HYPERLINK("https://github.com/d-wkim/phd/blob/main/data/pdf/eriksson_2006.pdf","Eriksson et al., 2001")</f>
        <v>Eriksson et al., 2001</v>
      </c>
      <c r="C262" s="15">
        <v>25.0</v>
      </c>
      <c r="D262" s="9" t="s">
        <v>42</v>
      </c>
      <c r="E262" s="7" t="s">
        <v>385</v>
      </c>
      <c r="F262" s="9" t="s">
        <v>64</v>
      </c>
      <c r="G262" s="9">
        <v>42.0</v>
      </c>
      <c r="H262" s="20">
        <v>2.0</v>
      </c>
      <c r="I262" s="21">
        <f t="shared" si="150"/>
        <v>0.4050462937</v>
      </c>
      <c r="J262" s="13" t="str">
        <f>VLOOKUP($A262,covariates!$A$3:$H$1126,5,false)</f>
        <v>at surgery</v>
      </c>
      <c r="K262" s="13"/>
      <c r="L262" s="13" t="str">
        <f>VLOOKUP($A262,covariates!$A$3:$H$1126,6,false)</f>
        <v/>
      </c>
      <c r="M262" s="13" t="str">
        <f>VLOOKUP($A262,covariates!$A$3:$H$1126,6,false)</f>
        <v/>
      </c>
    </row>
    <row r="263">
      <c r="A263" s="15">
        <v>25.0</v>
      </c>
      <c r="B263" s="17" t="str">
        <f t="shared" si="155"/>
        <v>Eriksson et al., 2001</v>
      </c>
      <c r="C263" s="15">
        <v>25.0</v>
      </c>
      <c r="D263" s="9" t="s">
        <v>84</v>
      </c>
      <c r="E263" s="7" t="s">
        <v>385</v>
      </c>
      <c r="F263" s="9" t="s">
        <v>64</v>
      </c>
      <c r="G263" s="9">
        <v>47.0</v>
      </c>
      <c r="H263" s="20">
        <v>9.0</v>
      </c>
      <c r="I263" s="21">
        <f t="shared" si="150"/>
        <v>1.71391365</v>
      </c>
      <c r="J263" s="13" t="str">
        <f>VLOOKUP($A263,covariates!$A$3:$H$1126,5,false)</f>
        <v>at surgery</v>
      </c>
      <c r="K263" s="13"/>
      <c r="L263" s="13" t="str">
        <f>VLOOKUP($A263,covariates!$A$3:$H$1126,6,false)</f>
        <v/>
      </c>
      <c r="M263" s="13" t="str">
        <f>VLOOKUP($A263,covariates!$A$3:$H$1126,6,false)</f>
        <v/>
      </c>
    </row>
    <row r="264">
      <c r="A264" s="15">
        <v>26.0</v>
      </c>
      <c r="B264" s="17" t="str">
        <f t="shared" ref="B264:B265" si="156">HYPERLINK("https://github.com/d-wkim/phd/blob/main/data/pdf/feller_webster_2003.pdf","Feller &amp; Webster, 2003")</f>
        <v>Feller &amp; Webster, 2003</v>
      </c>
      <c r="C264" s="15">
        <v>26.0</v>
      </c>
      <c r="D264" s="9" t="s">
        <v>42</v>
      </c>
      <c r="E264" s="7" t="s">
        <v>385</v>
      </c>
      <c r="F264" s="9" t="s">
        <v>64</v>
      </c>
      <c r="G264" s="9">
        <v>27.0</v>
      </c>
      <c r="H264" s="20">
        <v>0.0</v>
      </c>
      <c r="I264" s="21">
        <f t="shared" si="150"/>
        <v>0.09622504486</v>
      </c>
      <c r="J264" s="13" t="str">
        <f>VLOOKUP($A264,covariates!$A$3:$H$1126,5,false)</f>
        <v>at surgery</v>
      </c>
      <c r="K264" s="13"/>
      <c r="L264" s="13" t="str">
        <f>VLOOKUP($A264,covariates!$A$3:$H$1126,6,false)</f>
        <v/>
      </c>
      <c r="M264" s="13" t="str">
        <f>VLOOKUP($A264,covariates!$A$3:$H$1126,6,false)</f>
        <v/>
      </c>
    </row>
    <row r="265">
      <c r="A265" s="15">
        <v>26.0</v>
      </c>
      <c r="B265" s="17" t="str">
        <f t="shared" si="156"/>
        <v>Feller &amp; Webster, 2003</v>
      </c>
      <c r="C265" s="15">
        <v>26.0</v>
      </c>
      <c r="D265" s="9" t="s">
        <v>84</v>
      </c>
      <c r="E265" s="7" t="s">
        <v>385</v>
      </c>
      <c r="F265" s="9" t="s">
        <v>64</v>
      </c>
      <c r="G265" s="9">
        <v>21.0</v>
      </c>
      <c r="H265" s="20">
        <v>5.0</v>
      </c>
      <c r="I265" s="21">
        <f t="shared" si="150"/>
        <v>1.575260395</v>
      </c>
      <c r="J265" s="13" t="str">
        <f>VLOOKUP($A265,covariates!$A$3:$H$1126,5,false)</f>
        <v>at surgery</v>
      </c>
      <c r="K265" s="13"/>
      <c r="L265" s="13" t="str">
        <f>VLOOKUP($A265,covariates!$A$3:$H$1126,6,false)</f>
        <v/>
      </c>
      <c r="M265" s="13" t="str">
        <f>VLOOKUP($A265,covariates!$A$3:$H$1126,6,false)</f>
        <v/>
      </c>
    </row>
    <row r="266">
      <c r="A266" s="15">
        <v>32.0</v>
      </c>
      <c r="B266" s="17" t="str">
        <f t="shared" ref="B266:B267" si="157">HYPERLINK("https://github.com/d-wkim/phd/blob/main/data/pdf/guglielmetti_2021.pdf","Guglielmetti et al., 2021")</f>
        <v>Guglielmetti et al., 2021</v>
      </c>
      <c r="C266" s="15">
        <v>32.0</v>
      </c>
      <c r="D266" s="9" t="s">
        <v>42</v>
      </c>
      <c r="E266" s="7" t="s">
        <v>385</v>
      </c>
      <c r="F266" s="9" t="s">
        <v>64</v>
      </c>
      <c r="G266" s="9">
        <v>31.0</v>
      </c>
      <c r="H266" s="20">
        <v>2.0</v>
      </c>
      <c r="I266" s="21">
        <f t="shared" si="150"/>
        <v>0.4799796865</v>
      </c>
      <c r="J266" s="13" t="str">
        <f>VLOOKUP($A266,covariates!$A$3:$H$1126,5,false)</f>
        <v>at surgery</v>
      </c>
      <c r="K266" s="13"/>
      <c r="L266" s="13" t="str">
        <f>VLOOKUP($A266,covariates!$A$3:$H$1126,6,false)</f>
        <v/>
      </c>
      <c r="M266" s="13" t="str">
        <f>VLOOKUP($A266,covariates!$A$3:$H$1126,6,false)</f>
        <v/>
      </c>
    </row>
    <row r="267">
      <c r="A267" s="15">
        <v>32.0</v>
      </c>
      <c r="B267" s="17" t="str">
        <f t="shared" si="157"/>
        <v>Guglielmetti et al., 2021</v>
      </c>
      <c r="C267" s="15">
        <v>32.0</v>
      </c>
      <c r="D267" s="9" t="s">
        <v>84</v>
      </c>
      <c r="E267" s="7" t="s">
        <v>385</v>
      </c>
      <c r="F267" s="9" t="s">
        <v>64</v>
      </c>
      <c r="G267" s="9">
        <v>31.0</v>
      </c>
      <c r="H267" s="20">
        <v>3.0</v>
      </c>
      <c r="I267" s="21">
        <f t="shared" si="150"/>
        <v>0.6959705454</v>
      </c>
      <c r="J267" s="13" t="str">
        <f>VLOOKUP($A267,covariates!$A$3:$H$1126,5,false)</f>
        <v>at surgery</v>
      </c>
      <c r="K267" s="13"/>
      <c r="L267" s="13" t="str">
        <f>VLOOKUP($A267,covariates!$A$3:$H$1126,6,false)</f>
        <v/>
      </c>
      <c r="M267" s="13" t="str">
        <f>VLOOKUP($A267,covariates!$A$3:$H$1126,6,false)</f>
        <v/>
      </c>
    </row>
    <row r="268">
      <c r="A268" s="15">
        <v>33.0</v>
      </c>
      <c r="B268" s="17" t="str">
        <f t="shared" ref="B268:B269" si="158">HYPERLINK("https://github.com/d-wkim/phd/blob/main/data/pdf/harilainen_2006.pdf","Harilainen et al., 2006")</f>
        <v>Harilainen et al., 2006</v>
      </c>
      <c r="C268" s="15">
        <v>33.0</v>
      </c>
      <c r="D268" s="9" t="s">
        <v>42</v>
      </c>
      <c r="E268" s="7" t="s">
        <v>385</v>
      </c>
      <c r="F268" s="9" t="s">
        <v>64</v>
      </c>
      <c r="G268" s="9">
        <v>37.0</v>
      </c>
      <c r="H268" s="20">
        <v>0.0</v>
      </c>
      <c r="I268" s="21">
        <f t="shared" si="150"/>
        <v>0.08219949365</v>
      </c>
      <c r="J268" s="13" t="str">
        <f>VLOOKUP($A268,covariates!$A$3:$H$1126,5,false)</f>
        <v>at surgery</v>
      </c>
      <c r="K268" s="13"/>
      <c r="L268" s="13" t="str">
        <f>VLOOKUP($A268,covariates!$A$3:$H$1126,6,false)</f>
        <v/>
      </c>
      <c r="M268" s="13" t="str">
        <f>VLOOKUP($A268,covariates!$A$3:$H$1126,6,false)</f>
        <v/>
      </c>
    </row>
    <row r="269">
      <c r="A269" s="15">
        <v>33.0</v>
      </c>
      <c r="B269" s="17" t="str">
        <f t="shared" si="158"/>
        <v>Harilainen et al., 2006</v>
      </c>
      <c r="C269" s="15">
        <v>33.0</v>
      </c>
      <c r="D269" s="9" t="s">
        <v>84</v>
      </c>
      <c r="E269" s="7" t="s">
        <v>385</v>
      </c>
      <c r="F269" s="9" t="s">
        <v>64</v>
      </c>
      <c r="G269" s="9">
        <v>37.0</v>
      </c>
      <c r="H269" s="20">
        <v>1.0</v>
      </c>
      <c r="I269" s="21">
        <f t="shared" si="150"/>
        <v>0.2534484388</v>
      </c>
      <c r="J269" s="13" t="str">
        <f>VLOOKUP($A269,covariates!$A$3:$H$1126,5,false)</f>
        <v>at surgery</v>
      </c>
      <c r="K269" s="13"/>
      <c r="L269" s="13" t="str">
        <f>VLOOKUP($A269,covariates!$A$3:$H$1126,6,false)</f>
        <v/>
      </c>
      <c r="M269" s="13" t="str">
        <f>VLOOKUP($A269,covariates!$A$3:$H$1126,6,false)</f>
        <v/>
      </c>
    </row>
    <row r="270">
      <c r="A270" s="15">
        <v>34.0</v>
      </c>
      <c r="B270" s="17" t="str">
        <f t="shared" ref="B270:B271" si="159">HYPERLINK("https://github.com/d-wkim/phd/blob/main/data/pdf/heijne_werner_2010.pdf","Heijne &amp; Werner, 2010")</f>
        <v>Heijne &amp; Werner, 2010</v>
      </c>
      <c r="C270" s="15">
        <v>34.0</v>
      </c>
      <c r="D270" s="9" t="s">
        <v>42</v>
      </c>
      <c r="E270" s="7" t="s">
        <v>385</v>
      </c>
      <c r="F270" s="9" t="s">
        <v>64</v>
      </c>
      <c r="G270" s="9">
        <v>30.0</v>
      </c>
      <c r="H270" s="20">
        <v>3.0</v>
      </c>
      <c r="I270" s="21">
        <f t="shared" si="150"/>
        <v>0.7100107227</v>
      </c>
      <c r="J270" s="13" t="str">
        <f>VLOOKUP($A270,covariates!$A$3:$H$1126,5,false)</f>
        <v>at surgery</v>
      </c>
      <c r="K270" s="13"/>
      <c r="L270" s="13" t="str">
        <f>VLOOKUP($A270,covariates!$A$3:$H$1126,6,false)</f>
        <v/>
      </c>
      <c r="M270" s="13" t="str">
        <f>VLOOKUP($A270,covariates!$A$3:$H$1126,6,false)</f>
        <v/>
      </c>
    </row>
    <row r="271">
      <c r="A271" s="15">
        <v>34.0</v>
      </c>
      <c r="B271" s="17" t="str">
        <f t="shared" si="159"/>
        <v>Heijne &amp; Werner, 2010</v>
      </c>
      <c r="C271" s="15">
        <v>34.0</v>
      </c>
      <c r="D271" s="9" t="s">
        <v>84</v>
      </c>
      <c r="E271" s="7" t="s">
        <v>385</v>
      </c>
      <c r="F271" s="9" t="s">
        <v>64</v>
      </c>
      <c r="G271" s="9">
        <v>29.0</v>
      </c>
      <c r="H271" s="20">
        <v>8.0</v>
      </c>
      <c r="I271" s="21">
        <f t="shared" si="150"/>
        <v>2.179709565</v>
      </c>
      <c r="J271" s="13" t="str">
        <f>VLOOKUP($A271,covariates!$A$3:$H$1126,5,false)</f>
        <v>at surgery</v>
      </c>
      <c r="K271" s="13"/>
      <c r="L271" s="13" t="str">
        <f>VLOOKUP($A271,covariates!$A$3:$H$1126,6,false)</f>
        <v/>
      </c>
      <c r="M271" s="13" t="str">
        <f>VLOOKUP($A271,covariates!$A$3:$H$1126,6,false)</f>
        <v/>
      </c>
    </row>
    <row r="272">
      <c r="A272" s="15">
        <v>36.0</v>
      </c>
      <c r="B272" s="17" t="str">
        <f t="shared" ref="B272:B273" si="160">HYPERLINK("https://github.com/d-wkim/phd/blob/main/data/pdf/horstmann_2022.pdf","Horstmann et al., 2022")</f>
        <v>Horstmann et al., 2022</v>
      </c>
      <c r="C272" s="15">
        <v>36.0</v>
      </c>
      <c r="D272" s="9" t="s">
        <v>84</v>
      </c>
      <c r="E272" s="7" t="s">
        <v>385</v>
      </c>
      <c r="F272" s="9" t="s">
        <v>64</v>
      </c>
      <c r="G272" s="9">
        <v>26.0</v>
      </c>
      <c r="H272" s="20">
        <v>0.0</v>
      </c>
      <c r="I272" s="21">
        <f t="shared" si="150"/>
        <v>0.09805806757</v>
      </c>
      <c r="J272" s="13" t="str">
        <f>VLOOKUP($A272,covariates!$A$3:$H$1126,5,false)</f>
        <v>at surgery</v>
      </c>
      <c r="K272" s="13"/>
      <c r="L272" s="13" t="str">
        <f>VLOOKUP($A272,covariates!$A$3:$H$1126,6,false)</f>
        <v/>
      </c>
      <c r="M272" s="13" t="str">
        <f>VLOOKUP($A272,covariates!$A$3:$H$1126,6,false)</f>
        <v/>
      </c>
    </row>
    <row r="273">
      <c r="A273" s="15">
        <v>36.0</v>
      </c>
      <c r="B273" s="17" t="str">
        <f t="shared" si="160"/>
        <v>Horstmann et al., 2022</v>
      </c>
      <c r="C273" s="15">
        <v>36.0</v>
      </c>
      <c r="D273" s="9" t="s">
        <v>200</v>
      </c>
      <c r="E273" s="7" t="s">
        <v>385</v>
      </c>
      <c r="F273" s="9" t="s">
        <v>64</v>
      </c>
      <c r="G273" s="9">
        <v>23.0</v>
      </c>
      <c r="H273" s="20">
        <v>0.0</v>
      </c>
      <c r="I273" s="21">
        <f t="shared" si="150"/>
        <v>0.104257207</v>
      </c>
      <c r="J273" s="13" t="str">
        <f>VLOOKUP($A273,covariates!$A$3:$H$1126,5,false)</f>
        <v>at surgery</v>
      </c>
      <c r="K273" s="13"/>
      <c r="L273" s="13" t="str">
        <f>VLOOKUP($A273,covariates!$A$3:$H$1126,6,false)</f>
        <v/>
      </c>
      <c r="M273" s="13" t="str">
        <f>VLOOKUP($A273,covariates!$A$3:$H$1126,6,false)</f>
        <v/>
      </c>
    </row>
    <row r="274">
      <c r="A274" s="15">
        <v>37.0</v>
      </c>
      <c r="B274" s="17" t="str">
        <f t="shared" ref="B274:B275" si="161">HYPERLINK("https://github.com/d-wkim/phd/blob/main/data/pdf/ibrahim_2005.pdf","Ibrahim et al., 2005")</f>
        <v>Ibrahim et al., 2005</v>
      </c>
      <c r="C274" s="15">
        <v>37.0</v>
      </c>
      <c r="D274" s="9" t="s">
        <v>42</v>
      </c>
      <c r="E274" s="7" t="s">
        <v>385</v>
      </c>
      <c r="F274" s="9" t="s">
        <v>64</v>
      </c>
      <c r="G274" s="9">
        <v>40.0</v>
      </c>
      <c r="H274" s="20">
        <v>5.0</v>
      </c>
      <c r="I274" s="21">
        <f t="shared" si="150"/>
        <v>0.9938586932</v>
      </c>
      <c r="J274" s="13" t="str">
        <f>VLOOKUP($A274,covariates!$A$3:$H$1126,5,false)</f>
        <v>at surgery</v>
      </c>
      <c r="K274" s="13"/>
      <c r="L274" s="13" t="str">
        <f>VLOOKUP($A274,covariates!$A$3:$H$1126,6,false)</f>
        <v/>
      </c>
      <c r="M274" s="13" t="str">
        <f>VLOOKUP($A274,covariates!$A$3:$H$1126,6,false)</f>
        <v/>
      </c>
    </row>
    <row r="275">
      <c r="A275" s="15">
        <v>37.0</v>
      </c>
      <c r="B275" s="17" t="str">
        <f t="shared" si="161"/>
        <v>Ibrahim et al., 2005</v>
      </c>
      <c r="C275" s="15">
        <v>37.0</v>
      </c>
      <c r="D275" s="9" t="s">
        <v>84</v>
      </c>
      <c r="E275" s="7" t="s">
        <v>385</v>
      </c>
      <c r="F275" s="9" t="s">
        <v>64</v>
      </c>
      <c r="G275" s="9">
        <v>45.0</v>
      </c>
      <c r="H275" s="20">
        <v>8.0</v>
      </c>
      <c r="I275" s="21">
        <f t="shared" si="150"/>
        <v>1.541073876</v>
      </c>
      <c r="J275" s="13" t="str">
        <f>VLOOKUP($A275,covariates!$A$3:$H$1126,5,false)</f>
        <v>at surgery</v>
      </c>
      <c r="K275" s="13"/>
      <c r="L275" s="13" t="str">
        <f>VLOOKUP($A275,covariates!$A$3:$H$1126,6,false)</f>
        <v/>
      </c>
      <c r="M275" s="13" t="str">
        <f>VLOOKUP($A275,covariates!$A$3:$H$1126,6,false)</f>
        <v/>
      </c>
    </row>
    <row r="276">
      <c r="A276" s="15">
        <v>41.0</v>
      </c>
      <c r="B276" s="17" t="str">
        <f t="shared" ref="B276:B277" si="162">HYPERLINK("https://github.com/d-wkim/phd/blob/main/data/pdf/jansson_2003.pdf","Jansson et al., 2003")</f>
        <v>Jansson et al., 2003</v>
      </c>
      <c r="C276" s="15">
        <v>41.0</v>
      </c>
      <c r="D276" s="9" t="s">
        <v>42</v>
      </c>
      <c r="E276" s="7" t="s">
        <v>385</v>
      </c>
      <c r="F276" s="9" t="s">
        <v>64</v>
      </c>
      <c r="G276" s="9">
        <v>43.0</v>
      </c>
      <c r="H276" s="20">
        <v>3.0</v>
      </c>
      <c r="I276" s="21">
        <f t="shared" si="150"/>
        <v>0.5737758709</v>
      </c>
      <c r="J276" s="13" t="str">
        <f>VLOOKUP($A276,covariates!$A$3:$H$1126,5,false)</f>
        <v>at surgery</v>
      </c>
      <c r="K276" s="13"/>
      <c r="L276" s="13" t="str">
        <f>VLOOKUP($A276,covariates!$A$3:$H$1126,6,false)</f>
        <v/>
      </c>
      <c r="M276" s="13" t="str">
        <f>VLOOKUP($A276,covariates!$A$3:$H$1126,6,false)</f>
        <v/>
      </c>
    </row>
    <row r="277">
      <c r="A277" s="15">
        <v>41.0</v>
      </c>
      <c r="B277" s="17" t="str">
        <f t="shared" si="162"/>
        <v>Jansson et al., 2003</v>
      </c>
      <c r="C277" s="15">
        <v>41.0</v>
      </c>
      <c r="D277" s="9" t="s">
        <v>84</v>
      </c>
      <c r="E277" s="7" t="s">
        <v>385</v>
      </c>
      <c r="F277" s="9" t="s">
        <v>64</v>
      </c>
      <c r="G277" s="9">
        <v>46.0</v>
      </c>
      <c r="H277" s="20">
        <v>3.0</v>
      </c>
      <c r="I277" s="21">
        <f t="shared" si="150"/>
        <v>0.5520501149</v>
      </c>
      <c r="J277" s="13" t="str">
        <f>VLOOKUP($A277,covariates!$A$3:$H$1126,5,false)</f>
        <v>at surgery</v>
      </c>
      <c r="K277" s="13"/>
      <c r="L277" s="13" t="str">
        <f>VLOOKUP($A277,covariates!$A$3:$H$1126,6,false)</f>
        <v/>
      </c>
      <c r="M277" s="13" t="str">
        <f>VLOOKUP($A277,covariates!$A$3:$H$1126,6,false)</f>
        <v/>
      </c>
    </row>
    <row r="278">
      <c r="A278" s="15">
        <v>46.0</v>
      </c>
      <c r="B278" s="17" t="str">
        <f t="shared" ref="B278:B279" si="163">HYPERLINK("https://github.com/d-wkim/phd/blob/main/data/pdf/laoruengthana_2009.pdf","Laoruengthana et al., 2009")</f>
        <v>Laoruengthana et al., 2009</v>
      </c>
      <c r="C278" s="15">
        <v>46.0</v>
      </c>
      <c r="D278" s="9" t="s">
        <v>42</v>
      </c>
      <c r="E278" s="7" t="s">
        <v>385</v>
      </c>
      <c r="F278" s="9" t="s">
        <v>64</v>
      </c>
      <c r="G278" s="9">
        <v>15.0</v>
      </c>
      <c r="H278" s="20">
        <v>2.0</v>
      </c>
      <c r="I278" s="21">
        <f t="shared" si="150"/>
        <v>0.7448044897</v>
      </c>
      <c r="J278" s="13" t="str">
        <f>VLOOKUP($A278,covariates!$A$3:$H$1126,5,false)</f>
        <v>at surgery</v>
      </c>
      <c r="K278" s="13"/>
      <c r="L278" s="13" t="str">
        <f>VLOOKUP($A278,covariates!$A$3:$H$1126,6,false)</f>
        <v/>
      </c>
      <c r="M278" s="13" t="str">
        <f>VLOOKUP($A278,covariates!$A$3:$H$1126,6,false)</f>
        <v/>
      </c>
    </row>
    <row r="279">
      <c r="A279" s="15">
        <v>46.0</v>
      </c>
      <c r="B279" s="17" t="str">
        <f t="shared" si="163"/>
        <v>Laoruengthana et al., 2009</v>
      </c>
      <c r="C279" s="15">
        <v>46.0</v>
      </c>
      <c r="D279" s="9" t="s">
        <v>84</v>
      </c>
      <c r="E279" s="7" t="s">
        <v>385</v>
      </c>
      <c r="F279" s="9" t="s">
        <v>64</v>
      </c>
      <c r="G279" s="9">
        <v>13.0</v>
      </c>
      <c r="H279" s="20">
        <v>2.0</v>
      </c>
      <c r="I279" s="21">
        <f t="shared" si="150"/>
        <v>0.8194434717</v>
      </c>
      <c r="J279" s="13" t="str">
        <f>VLOOKUP($A279,covariates!$A$3:$H$1126,5,false)</f>
        <v>at surgery</v>
      </c>
      <c r="K279" s="13"/>
      <c r="L279" s="13" t="str">
        <f>VLOOKUP($A279,covariates!$A$3:$H$1126,6,false)</f>
        <v/>
      </c>
      <c r="M279" s="13" t="str">
        <f>VLOOKUP($A279,covariates!$A$3:$H$1126,6,false)</f>
        <v/>
      </c>
    </row>
    <row r="280">
      <c r="A280" s="15">
        <v>47.0</v>
      </c>
      <c r="B280" s="17" t="str">
        <f t="shared" ref="B280:B281" si="164">HYPERLINK("https://github.com/d-wkim/phd/blob/main/data/pdf/lawhorn_2012.pdf","Lawhorn et al., 2012")</f>
        <v>Lawhorn et al., 2012</v>
      </c>
      <c r="C280" s="15">
        <v>47.0</v>
      </c>
      <c r="D280" s="9" t="s">
        <v>84</v>
      </c>
      <c r="E280" s="7" t="s">
        <v>385</v>
      </c>
      <c r="F280" s="9" t="s">
        <v>64</v>
      </c>
      <c r="G280" s="9">
        <v>44.0</v>
      </c>
      <c r="H280" s="20">
        <v>6.0</v>
      </c>
      <c r="I280" s="21">
        <f t="shared" si="150"/>
        <v>1.134634797</v>
      </c>
      <c r="J280" s="13" t="str">
        <f>VLOOKUP($A280,covariates!$A$3:$H$1126,5,false)</f>
        <v>at surgery</v>
      </c>
      <c r="K280" s="13"/>
      <c r="L280" s="13" t="str">
        <f>VLOOKUP($A280,covariates!$A$3:$H$1126,6,false)</f>
        <v/>
      </c>
      <c r="M280" s="13" t="str">
        <f>VLOOKUP($A280,covariates!$A$3:$H$1126,6,false)</f>
        <v/>
      </c>
    </row>
    <row r="281">
      <c r="A281" s="15">
        <v>47.0</v>
      </c>
      <c r="B281" s="17" t="str">
        <f t="shared" si="164"/>
        <v>Lawhorn et al., 2012</v>
      </c>
      <c r="C281" s="15">
        <v>47.0</v>
      </c>
      <c r="D281" s="9" t="s">
        <v>205</v>
      </c>
      <c r="E281" s="7" t="s">
        <v>385</v>
      </c>
      <c r="F281" s="9" t="s">
        <v>64</v>
      </c>
      <c r="G281" s="9">
        <v>48.0</v>
      </c>
      <c r="H281" s="20">
        <v>4.0</v>
      </c>
      <c r="I281" s="21">
        <f t="shared" si="150"/>
        <v>0.7085662395</v>
      </c>
      <c r="J281" s="13" t="str">
        <f>VLOOKUP($A281,covariates!$A$3:$H$1126,5,false)</f>
        <v>at surgery</v>
      </c>
      <c r="K281" s="13"/>
      <c r="L281" s="13" t="str">
        <f>VLOOKUP($A281,covariates!$A$3:$H$1126,6,false)</f>
        <v/>
      </c>
      <c r="M281" s="13" t="str">
        <f>VLOOKUP($A281,covariates!$A$3:$H$1126,6,false)</f>
        <v/>
      </c>
    </row>
    <row r="282">
      <c r="A282" s="15">
        <v>51.0</v>
      </c>
      <c r="B282" s="17" t="str">
        <f t="shared" ref="B282:B283" si="165">HYPERLINK("https://github.com/d-wkim/phd/blob/main/data/pdf/li_2015.pdf","Li et al., 2015")</f>
        <v>Li et al., 2015</v>
      </c>
      <c r="C282" s="15">
        <v>51.0</v>
      </c>
      <c r="D282" s="9" t="s">
        <v>84</v>
      </c>
      <c r="E282" s="7" t="s">
        <v>385</v>
      </c>
      <c r="F282" s="9" t="s">
        <v>64</v>
      </c>
      <c r="G282" s="9">
        <v>32.0</v>
      </c>
      <c r="H282" s="20">
        <v>4.0</v>
      </c>
      <c r="I282" s="21">
        <f t="shared" si="150"/>
        <v>0.9091372901</v>
      </c>
      <c r="J282" s="13" t="str">
        <f>VLOOKUP($A282,covariates!$A$3:$H$1126,5,false)</f>
        <v>at surgery</v>
      </c>
      <c r="K282" s="13"/>
      <c r="L282" s="13" t="str">
        <f>VLOOKUP($A282,covariates!$A$3:$H$1126,6,false)</f>
        <v/>
      </c>
      <c r="M282" s="13" t="str">
        <f>VLOOKUP($A282,covariates!$A$3:$H$1126,6,false)</f>
        <v/>
      </c>
    </row>
    <row r="283">
      <c r="A283" s="15">
        <v>51.0</v>
      </c>
      <c r="B283" s="17" t="str">
        <f t="shared" si="165"/>
        <v>Li et al., 2015</v>
      </c>
      <c r="C283" s="15">
        <v>51.0</v>
      </c>
      <c r="D283" s="9" t="s">
        <v>205</v>
      </c>
      <c r="E283" s="7" t="s">
        <v>385</v>
      </c>
      <c r="F283" s="9" t="s">
        <v>64</v>
      </c>
      <c r="G283" s="9">
        <v>32.0</v>
      </c>
      <c r="H283" s="20">
        <v>9.0</v>
      </c>
      <c r="I283" s="21">
        <f t="shared" si="150"/>
        <v>2.336526755</v>
      </c>
      <c r="J283" s="13" t="str">
        <f>VLOOKUP($A283,covariates!$A$3:$H$1126,5,false)</f>
        <v>at surgery</v>
      </c>
      <c r="K283" s="13"/>
      <c r="L283" s="13" t="str">
        <f>VLOOKUP($A283,covariates!$A$3:$H$1126,6,false)</f>
        <v/>
      </c>
      <c r="M283" s="13" t="str">
        <f>VLOOKUP($A283,covariates!$A$3:$H$1126,6,false)</f>
        <v/>
      </c>
    </row>
    <row r="284">
      <c r="A284" s="15">
        <v>53.0</v>
      </c>
      <c r="B284" s="17" t="str">
        <f t="shared" ref="B284:B285" si="166">HYPERLINK("https://github.com/d-wkim/phd/blob/main/data/pdf/lind_2020.pdf","Lind et al., 2020")</f>
        <v>Lind et al., 2020</v>
      </c>
      <c r="C284" s="15">
        <v>53.0</v>
      </c>
      <c r="D284" s="9" t="s">
        <v>84</v>
      </c>
      <c r="E284" s="7" t="s">
        <v>385</v>
      </c>
      <c r="F284" s="9" t="s">
        <v>64</v>
      </c>
      <c r="G284" s="9">
        <v>49.0</v>
      </c>
      <c r="H284" s="20">
        <v>11.0</v>
      </c>
      <c r="I284" s="21">
        <f t="shared" si="150"/>
        <v>2.118421053</v>
      </c>
      <c r="J284" s="13" t="str">
        <f>VLOOKUP($A284,covariates!$A$3:$H$1126,5,false)</f>
        <v>at surgery</v>
      </c>
      <c r="K284" s="13"/>
      <c r="L284" s="13" t="str">
        <f>VLOOKUP($A284,covariates!$A$3:$H$1126,6,false)</f>
        <v/>
      </c>
      <c r="M284" s="13" t="str">
        <f>VLOOKUP($A284,covariates!$A$3:$H$1126,6,false)</f>
        <v/>
      </c>
    </row>
    <row r="285">
      <c r="A285" s="15">
        <v>53.0</v>
      </c>
      <c r="B285" s="17" t="str">
        <f t="shared" si="166"/>
        <v>Lind et al., 2020</v>
      </c>
      <c r="C285" s="15">
        <v>53.0</v>
      </c>
      <c r="D285" s="9" t="s">
        <v>200</v>
      </c>
      <c r="E285" s="7" t="s">
        <v>385</v>
      </c>
      <c r="F285" s="9" t="s">
        <v>64</v>
      </c>
      <c r="G285" s="9">
        <v>47.0</v>
      </c>
      <c r="H285" s="20">
        <v>8.0</v>
      </c>
      <c r="I285" s="21">
        <f t="shared" si="150"/>
        <v>1.494181131</v>
      </c>
      <c r="J285" s="13" t="str">
        <f>VLOOKUP($A285,covariates!$A$3:$H$1126,5,false)</f>
        <v>at surgery</v>
      </c>
      <c r="K285" s="13"/>
      <c r="L285" s="13" t="str">
        <f>VLOOKUP($A285,covariates!$A$3:$H$1126,6,false)</f>
        <v/>
      </c>
      <c r="M285" s="13" t="str">
        <f>VLOOKUP($A285,covariates!$A$3:$H$1126,6,false)</f>
        <v/>
      </c>
    </row>
    <row r="286">
      <c r="A286" s="15">
        <v>54.0</v>
      </c>
      <c r="B286" s="17" t="str">
        <f t="shared" ref="B286:B287" si="167">HYPERLINK("https://github.com/d-wkim/phd/blob/main/data/pdf/lucidi_2025.pdf","Lucidi et al., 2025")</f>
        <v>Lucidi et al., 2025</v>
      </c>
      <c r="C286" s="15">
        <v>54.0</v>
      </c>
      <c r="D286" s="9" t="s">
        <v>42</v>
      </c>
      <c r="E286" s="7" t="s">
        <v>385</v>
      </c>
      <c r="F286" s="9" t="s">
        <v>64</v>
      </c>
      <c r="G286" s="9">
        <v>19.0</v>
      </c>
      <c r="H286" s="20">
        <v>7.0</v>
      </c>
      <c r="I286" s="21">
        <f t="shared" si="150"/>
        <v>2.72431184</v>
      </c>
      <c r="J286" s="13" t="str">
        <f>VLOOKUP($A286,covariates!$A$3:$H$1126,5,false)</f>
        <v>at surgery</v>
      </c>
      <c r="K286" s="13"/>
      <c r="L286" s="13" t="str">
        <f>VLOOKUP($A286,covariates!$A$3:$H$1126,6,false)</f>
        <v/>
      </c>
      <c r="M286" s="13" t="str">
        <f>VLOOKUP($A286,covariates!$A$3:$H$1126,6,false)</f>
        <v/>
      </c>
    </row>
    <row r="287">
      <c r="A287" s="15">
        <v>54.0</v>
      </c>
      <c r="B287" s="17" t="str">
        <f t="shared" si="167"/>
        <v>Lucidi et al., 2025</v>
      </c>
      <c r="C287" s="15">
        <v>54.0</v>
      </c>
      <c r="D287" s="9" t="s">
        <v>84</v>
      </c>
      <c r="E287" s="7" t="s">
        <v>385</v>
      </c>
      <c r="F287" s="9" t="s">
        <v>64</v>
      </c>
      <c r="G287" s="9">
        <v>20.0</v>
      </c>
      <c r="H287" s="20">
        <v>5.0</v>
      </c>
      <c r="I287" s="21">
        <f t="shared" si="150"/>
        <v>1.639783183</v>
      </c>
      <c r="J287" s="13" t="str">
        <f>VLOOKUP($A287,covariates!$A$3:$H$1126,5,false)</f>
        <v>at surgery</v>
      </c>
      <c r="K287" s="13"/>
      <c r="L287" s="13" t="str">
        <f>VLOOKUP($A287,covariates!$A$3:$H$1126,6,false)</f>
        <v/>
      </c>
      <c r="M287" s="13" t="str">
        <f>VLOOKUP($A287,covariates!$A$3:$H$1126,6,false)</f>
        <v/>
      </c>
    </row>
    <row r="288">
      <c r="A288" s="15">
        <v>56.0</v>
      </c>
      <c r="B288" s="17" t="str">
        <f t="shared" ref="B288:B289" si="168">HYPERLINK("https://github.com/d-wkim/phd/blob/main/data/pdf/lund_2014.pdf","Lund et al., 2014")</f>
        <v>Lund et al., 2014</v>
      </c>
      <c r="C288" s="15">
        <v>56.0</v>
      </c>
      <c r="D288" s="9" t="s">
        <v>42</v>
      </c>
      <c r="E288" s="7" t="s">
        <v>385</v>
      </c>
      <c r="F288" s="9" t="s">
        <v>64</v>
      </c>
      <c r="G288" s="9">
        <v>18.0</v>
      </c>
      <c r="H288" s="20">
        <v>3.0</v>
      </c>
      <c r="I288" s="21">
        <f t="shared" si="150"/>
        <v>0.9899494937</v>
      </c>
      <c r="J288" s="13" t="str">
        <f>VLOOKUP($A288,covariates!$A$3:$H$1126,5,false)</f>
        <v>at surgery</v>
      </c>
      <c r="K288" s="13"/>
      <c r="L288" s="13" t="str">
        <f>VLOOKUP($A288,covariates!$A$3:$H$1126,6,false)</f>
        <v/>
      </c>
      <c r="M288" s="13" t="str">
        <f>VLOOKUP($A288,covariates!$A$3:$H$1126,6,false)</f>
        <v/>
      </c>
    </row>
    <row r="289">
      <c r="A289" s="15">
        <v>56.0</v>
      </c>
      <c r="B289" s="17" t="str">
        <f t="shared" si="168"/>
        <v>Lund et al., 2014</v>
      </c>
      <c r="C289" s="15">
        <v>56.0</v>
      </c>
      <c r="D289" s="9" t="s">
        <v>200</v>
      </c>
      <c r="E289" s="7" t="s">
        <v>385</v>
      </c>
      <c r="F289" s="9" t="s">
        <v>64</v>
      </c>
      <c r="G289" s="9">
        <v>21.0</v>
      </c>
      <c r="H289" s="20">
        <v>8.0</v>
      </c>
      <c r="I289" s="21">
        <f t="shared" si="150"/>
        <v>2.996299493</v>
      </c>
      <c r="J289" s="13" t="str">
        <f>VLOOKUP($A289,covariates!$A$3:$H$1126,5,false)</f>
        <v>at surgery</v>
      </c>
      <c r="K289" s="13"/>
      <c r="L289" s="13" t="str">
        <f>VLOOKUP($A289,covariates!$A$3:$H$1126,6,false)</f>
        <v/>
      </c>
      <c r="M289" s="13" t="str">
        <f>VLOOKUP($A289,covariates!$A$3:$H$1126,6,false)</f>
        <v/>
      </c>
    </row>
    <row r="290">
      <c r="A290" s="15">
        <v>58.0</v>
      </c>
      <c r="B290" s="17" t="str">
        <f t="shared" ref="B290:B291" si="169">HYPERLINK("https://github.com/d-wkim/phd/blob/main/data/pdf/malik_2026.pdf","Malik et al., 2026")</f>
        <v>Malik et al., 2026</v>
      </c>
      <c r="C290" s="15">
        <v>58.0</v>
      </c>
      <c r="D290" s="9" t="s">
        <v>84</v>
      </c>
      <c r="E290" s="7" t="s">
        <v>385</v>
      </c>
      <c r="F290" s="9" t="s">
        <v>64</v>
      </c>
      <c r="G290" s="9">
        <v>25.0</v>
      </c>
      <c r="H290" s="20">
        <v>4.0</v>
      </c>
      <c r="I290" s="21">
        <f t="shared" si="150"/>
        <v>1.071428571</v>
      </c>
      <c r="J290" s="13" t="str">
        <f>VLOOKUP($A290,covariates!$A$3:$H$1126,5,false)</f>
        <v>at surgery</v>
      </c>
      <c r="K290" s="13"/>
      <c r="L290" s="13" t="str">
        <f>VLOOKUP($A290,covariates!$A$3:$H$1126,6,false)</f>
        <v/>
      </c>
      <c r="M290" s="13" t="str">
        <f>VLOOKUP($A290,covariates!$A$3:$H$1126,6,false)</f>
        <v/>
      </c>
    </row>
    <row r="291">
      <c r="A291" s="15">
        <v>58.0</v>
      </c>
      <c r="B291" s="17" t="str">
        <f t="shared" si="169"/>
        <v>Malik et al., 2026</v>
      </c>
      <c r="C291" s="15">
        <v>58.0</v>
      </c>
      <c r="D291" s="9" t="s">
        <v>186</v>
      </c>
      <c r="E291" s="7" t="s">
        <v>385</v>
      </c>
      <c r="F291" s="9" t="s">
        <v>64</v>
      </c>
      <c r="G291" s="9">
        <v>25.0</v>
      </c>
      <c r="H291" s="20">
        <v>3.0</v>
      </c>
      <c r="I291" s="21">
        <f t="shared" si="150"/>
        <v>0.7954545455</v>
      </c>
      <c r="J291" s="13" t="str">
        <f>VLOOKUP($A291,covariates!$A$3:$H$1126,5,false)</f>
        <v>at surgery</v>
      </c>
      <c r="K291" s="13"/>
      <c r="L291" s="13" t="str">
        <f>VLOOKUP($A291,covariates!$A$3:$H$1126,6,false)</f>
        <v/>
      </c>
      <c r="M291" s="13" t="str">
        <f>VLOOKUP($A291,covariates!$A$3:$H$1126,6,false)</f>
        <v/>
      </c>
    </row>
    <row r="292">
      <c r="A292" s="15">
        <v>70.0</v>
      </c>
      <c r="B292" s="17" t="str">
        <f t="shared" ref="B292:B293" si="170">HYPERLINK("https://github.com/d-wkim/phd/blob/main/data/pdf/noh_2011.pdf","Noh et al., 2011")</f>
        <v>Noh et al., 2011</v>
      </c>
      <c r="C292" s="15">
        <v>70.0</v>
      </c>
      <c r="D292" s="9" t="s">
        <v>84</v>
      </c>
      <c r="E292" s="7" t="s">
        <v>385</v>
      </c>
      <c r="F292" s="9" t="s">
        <v>64</v>
      </c>
      <c r="G292" s="9">
        <v>33.0</v>
      </c>
      <c r="H292" s="20">
        <v>6.0</v>
      </c>
      <c r="I292" s="21">
        <f t="shared" si="150"/>
        <v>1.382950267</v>
      </c>
      <c r="J292" s="13" t="str">
        <f>VLOOKUP($A292,covariates!$A$3:$H$1126,5,false)</f>
        <v>at surgery</v>
      </c>
      <c r="K292" s="13"/>
      <c r="L292" s="13" t="str">
        <f>VLOOKUP($A292,covariates!$A$3:$H$1126,6,false)</f>
        <v/>
      </c>
      <c r="M292" s="13" t="str">
        <f>VLOOKUP($A292,covariates!$A$3:$H$1126,6,false)</f>
        <v/>
      </c>
    </row>
    <row r="293">
      <c r="A293" s="15">
        <v>70.0</v>
      </c>
      <c r="B293" s="17" t="str">
        <f t="shared" si="170"/>
        <v>Noh et al., 2011</v>
      </c>
      <c r="C293" s="15">
        <v>70.0</v>
      </c>
      <c r="D293" s="9" t="s">
        <v>246</v>
      </c>
      <c r="E293" s="7" t="s">
        <v>385</v>
      </c>
      <c r="F293" s="9" t="s">
        <v>64</v>
      </c>
      <c r="G293" s="9">
        <v>32.0</v>
      </c>
      <c r="H293" s="20">
        <v>6.0</v>
      </c>
      <c r="I293" s="21">
        <f t="shared" si="150"/>
        <v>1.414213562</v>
      </c>
      <c r="J293" s="13" t="str">
        <f>VLOOKUP($A293,covariates!$A$3:$H$1126,5,false)</f>
        <v>at surgery</v>
      </c>
      <c r="K293" s="13"/>
      <c r="L293" s="13" t="str">
        <f>VLOOKUP($A293,covariates!$A$3:$H$1126,6,false)</f>
        <v/>
      </c>
      <c r="M293" s="13" t="str">
        <f>VLOOKUP($A293,covariates!$A$3:$H$1126,6,false)</f>
        <v/>
      </c>
    </row>
    <row r="294">
      <c r="A294" s="15">
        <v>76.0</v>
      </c>
      <c r="B294" s="17" t="str">
        <f t="shared" ref="B294:B295" si="171">HYPERLINK("https://github.com/d-wkim/phd/blob/main/data/pdf/pinczewski_2007.pdf","Pinczewski et al., 2007")</f>
        <v>Pinczewski et al., 2007</v>
      </c>
      <c r="C294" s="15">
        <v>76.0</v>
      </c>
      <c r="D294" s="9" t="s">
        <v>42</v>
      </c>
      <c r="E294" s="7" t="s">
        <v>385</v>
      </c>
      <c r="F294" s="9" t="s">
        <v>64</v>
      </c>
      <c r="G294" s="9">
        <v>53.0</v>
      </c>
      <c r="H294" s="20">
        <v>5.0</v>
      </c>
      <c r="I294" s="21">
        <f t="shared" si="150"/>
        <v>0.8341792581</v>
      </c>
      <c r="J294" s="13" t="str">
        <f>VLOOKUP($A294,covariates!$A$3:$H$1126,5,false)</f>
        <v>at surgery</v>
      </c>
      <c r="K294" s="13"/>
      <c r="L294" s="13" t="str">
        <f>VLOOKUP($A294,covariates!$A$3:$H$1126,6,false)</f>
        <v/>
      </c>
      <c r="M294" s="13" t="str">
        <f>VLOOKUP($A294,covariates!$A$3:$H$1126,6,false)</f>
        <v/>
      </c>
    </row>
    <row r="295">
      <c r="A295" s="15">
        <v>76.0</v>
      </c>
      <c r="B295" s="17" t="str">
        <f t="shared" si="171"/>
        <v>Pinczewski et al., 2007</v>
      </c>
      <c r="C295" s="15">
        <v>76.0</v>
      </c>
      <c r="D295" s="9" t="s">
        <v>84</v>
      </c>
      <c r="E295" s="7" t="s">
        <v>385</v>
      </c>
      <c r="F295" s="9" t="s">
        <v>64</v>
      </c>
      <c r="G295" s="9">
        <v>58.0</v>
      </c>
      <c r="H295" s="20">
        <v>8.0</v>
      </c>
      <c r="I295" s="21">
        <f t="shared" si="150"/>
        <v>1.294681428</v>
      </c>
      <c r="J295" s="13" t="str">
        <f>VLOOKUP($A295,covariates!$A$3:$H$1126,5,false)</f>
        <v>at surgery</v>
      </c>
      <c r="K295" s="13"/>
      <c r="L295" s="13" t="str">
        <f>VLOOKUP($A295,covariates!$A$3:$H$1126,6,false)</f>
        <v/>
      </c>
      <c r="M295" s="13" t="str">
        <f>VLOOKUP($A295,covariates!$A$3:$H$1126,6,false)</f>
        <v/>
      </c>
    </row>
    <row r="296">
      <c r="A296" s="15">
        <v>77.0</v>
      </c>
      <c r="B296" s="17" t="str">
        <f t="shared" ref="B296:B297" si="172">HYPERLINK("https://github.com/d-wkim/phd/blob/main/data/pdf/popovic_2024.pdf","Popovic et al., 2024")</f>
        <v>Popovic et al., 2024</v>
      </c>
      <c r="C296" s="15">
        <v>77.0</v>
      </c>
      <c r="D296" s="9" t="s">
        <v>42</v>
      </c>
      <c r="E296" s="7" t="s">
        <v>385</v>
      </c>
      <c r="F296" s="9" t="s">
        <v>64</v>
      </c>
      <c r="G296" s="9">
        <v>38.0</v>
      </c>
      <c r="H296" s="20">
        <v>1.0</v>
      </c>
      <c r="I296" s="21">
        <f t="shared" si="150"/>
        <v>0.2499086758</v>
      </c>
      <c r="J296" s="13" t="str">
        <f>VLOOKUP($A296,covariates!$A$3:$H$1126,5,false)</f>
        <v>at surgery</v>
      </c>
      <c r="K296" s="13"/>
      <c r="L296" s="13" t="str">
        <f>VLOOKUP($A296,covariates!$A$3:$H$1126,6,false)</f>
        <v/>
      </c>
      <c r="M296" s="13" t="str">
        <f>VLOOKUP($A296,covariates!$A$3:$H$1126,6,false)</f>
        <v/>
      </c>
    </row>
    <row r="297">
      <c r="A297" s="15">
        <v>77.0</v>
      </c>
      <c r="B297" s="17" t="str">
        <f t="shared" si="172"/>
        <v>Popovic et al., 2024</v>
      </c>
      <c r="C297" s="15">
        <v>77.0</v>
      </c>
      <c r="D297" s="9" t="s">
        <v>84</v>
      </c>
      <c r="E297" s="7" t="s">
        <v>385</v>
      </c>
      <c r="F297" s="9" t="s">
        <v>64</v>
      </c>
      <c r="G297" s="9">
        <v>33.0</v>
      </c>
      <c r="H297" s="20">
        <v>3.0</v>
      </c>
      <c r="I297" s="21">
        <f t="shared" si="150"/>
        <v>0.6701989754</v>
      </c>
      <c r="J297" s="13" t="str">
        <f>VLOOKUP($A297,covariates!$A$3:$H$1126,5,false)</f>
        <v>at surgery</v>
      </c>
      <c r="K297" s="13"/>
      <c r="L297" s="13" t="str">
        <f>VLOOKUP($A297,covariates!$A$3:$H$1126,6,false)</f>
        <v/>
      </c>
      <c r="M297" s="13" t="str">
        <f>VLOOKUP($A297,covariates!$A$3:$H$1126,6,false)</f>
        <v/>
      </c>
    </row>
    <row r="298">
      <c r="A298" s="15">
        <v>82.0</v>
      </c>
      <c r="B298" s="17" t="str">
        <f t="shared" ref="B298:B299" si="173">HYPERLINK("https://github.com/d-wkim/phd/blob/main/data/pdf/sajovic_2018.pdf","Sajovic et al., 2018")</f>
        <v>Sajovic et al., 2018</v>
      </c>
      <c r="C298" s="15">
        <v>82.0</v>
      </c>
      <c r="D298" s="9" t="s">
        <v>42</v>
      </c>
      <c r="E298" s="7" t="s">
        <v>385</v>
      </c>
      <c r="F298" s="9" t="s">
        <v>64</v>
      </c>
      <c r="G298" s="9">
        <v>24.0</v>
      </c>
      <c r="H298" s="20">
        <v>6.0</v>
      </c>
      <c r="I298" s="21">
        <f t="shared" si="150"/>
        <v>1.769075925</v>
      </c>
      <c r="J298" s="13" t="str">
        <f>VLOOKUP($A298,covariates!$A$3:$H$1126,5,false)</f>
        <v>at follow-up</v>
      </c>
      <c r="K298" s="13"/>
      <c r="L298" s="13" t="str">
        <f>VLOOKUP($A298,covariates!$A$3:$H$1126,6,false)</f>
        <v/>
      </c>
      <c r="M298" s="13" t="str">
        <f>VLOOKUP($A298,covariates!$A$3:$H$1126,6,false)</f>
        <v/>
      </c>
    </row>
    <row r="299">
      <c r="A299" s="15">
        <v>82.0</v>
      </c>
      <c r="B299" s="17" t="str">
        <f t="shared" si="173"/>
        <v>Sajovic et al., 2018</v>
      </c>
      <c r="C299" s="15">
        <v>82.0</v>
      </c>
      <c r="D299" s="9" t="s">
        <v>84</v>
      </c>
      <c r="E299" s="7" t="s">
        <v>385</v>
      </c>
      <c r="F299" s="9" t="s">
        <v>64</v>
      </c>
      <c r="G299" s="9">
        <v>24.0</v>
      </c>
      <c r="H299" s="20">
        <v>5.0</v>
      </c>
      <c r="I299" s="21">
        <f t="shared" si="150"/>
        <v>1.418125641</v>
      </c>
      <c r="J299" s="13" t="str">
        <f>VLOOKUP($A299,covariates!$A$3:$H$1126,5,false)</f>
        <v>at follow-up</v>
      </c>
      <c r="K299" s="13"/>
      <c r="L299" s="13" t="str">
        <f>VLOOKUP($A299,covariates!$A$3:$H$1126,6,false)</f>
        <v/>
      </c>
      <c r="M299" s="13" t="str">
        <f>VLOOKUP($A299,covariates!$A$3:$H$1126,6,false)</f>
        <v/>
      </c>
    </row>
    <row r="300">
      <c r="A300" s="15">
        <v>97.0</v>
      </c>
      <c r="B300" s="17" t="str">
        <f t="shared" ref="B300:B301" si="174">HYPERLINK("https://github.com/d-wkim/phd/blob/main/data/pdf/yadav_2025.pdf","Yadav et al., 2025")</f>
        <v>Yadav et al., 2025</v>
      </c>
      <c r="C300" s="15">
        <v>97.0</v>
      </c>
      <c r="D300" s="9" t="s">
        <v>84</v>
      </c>
      <c r="E300" s="7" t="s">
        <v>385</v>
      </c>
      <c r="F300" s="9" t="s">
        <v>64</v>
      </c>
      <c r="G300" s="9">
        <v>36.0</v>
      </c>
      <c r="H300" s="20">
        <v>5.0</v>
      </c>
      <c r="I300" s="21">
        <f t="shared" si="150"/>
        <v>1.064516129</v>
      </c>
      <c r="J300" s="13" t="str">
        <f>VLOOKUP($A300,covariates!$A$3:$H$1126,5,false)</f>
        <v>at surgery</v>
      </c>
      <c r="K300" s="13"/>
      <c r="L300" s="13" t="str">
        <f>VLOOKUP($A300,covariates!$A$3:$H$1126,6,false)</f>
        <v/>
      </c>
      <c r="M300" s="13" t="str">
        <f>VLOOKUP($A300,covariates!$A$3:$H$1126,6,false)</f>
        <v/>
      </c>
    </row>
    <row r="301">
      <c r="A301" s="15">
        <v>97.0</v>
      </c>
      <c r="B301" s="17" t="str">
        <f t="shared" si="174"/>
        <v>Yadav et al., 2025</v>
      </c>
      <c r="C301" s="15">
        <v>97.0</v>
      </c>
      <c r="D301" s="9" t="s">
        <v>200</v>
      </c>
      <c r="E301" s="7" t="s">
        <v>385</v>
      </c>
      <c r="F301" s="9" t="s">
        <v>64</v>
      </c>
      <c r="G301" s="9">
        <v>33.0</v>
      </c>
      <c r="H301" s="20">
        <v>0.0</v>
      </c>
      <c r="I301" s="21">
        <f t="shared" si="150"/>
        <v>0.08703882798</v>
      </c>
      <c r="J301" s="13" t="str">
        <f>VLOOKUP($A301,covariates!$A$3:$H$1126,5,false)</f>
        <v>at surgery</v>
      </c>
      <c r="K301" s="13"/>
      <c r="L301" s="13" t="str">
        <f>VLOOKUP($A301,covariates!$A$3:$H$1126,6,false)</f>
        <v/>
      </c>
      <c r="M301" s="13" t="str">
        <f>VLOOKUP($A301,covariates!$A$3:$H$1126,6,false)</f>
        <v/>
      </c>
    </row>
    <row r="302">
      <c r="A302" s="15">
        <v>98.0</v>
      </c>
      <c r="B302" s="17" t="str">
        <f t="shared" ref="B302:B303" si="175">HYPERLINK("https://github.com/d-wkim/phd/blob/main/data/pdf/yoo_2017.pdf","Yoo et al., 2017")</f>
        <v>Yoo et al., 2017</v>
      </c>
      <c r="C302" s="15">
        <v>98.0</v>
      </c>
      <c r="D302" s="9" t="s">
        <v>84</v>
      </c>
      <c r="E302" s="7" t="s">
        <v>385</v>
      </c>
      <c r="F302" s="9" t="s">
        <v>64</v>
      </c>
      <c r="G302" s="9">
        <v>68.0</v>
      </c>
      <c r="H302" s="20">
        <v>2.0</v>
      </c>
      <c r="I302" s="21">
        <f t="shared" si="150"/>
        <v>0.3123564868</v>
      </c>
      <c r="J302" s="13" t="str">
        <f>VLOOKUP($A302,covariates!$A$3:$H$1126,5,false)</f>
        <v>at surgery</v>
      </c>
      <c r="K302" s="13"/>
      <c r="L302" s="13" t="str">
        <f>VLOOKUP($A302,covariates!$A$3:$H$1126,6,false)</f>
        <v/>
      </c>
      <c r="M302" s="13" t="str">
        <f>VLOOKUP($A302,covariates!$A$3:$H$1126,6,false)</f>
        <v/>
      </c>
    </row>
    <row r="303">
      <c r="A303" s="15">
        <v>98.0</v>
      </c>
      <c r="B303" s="17" t="str">
        <f t="shared" si="175"/>
        <v>Yoo et al., 2017</v>
      </c>
      <c r="C303" s="15">
        <v>98.0</v>
      </c>
      <c r="D303" s="9" t="s">
        <v>205</v>
      </c>
      <c r="E303" s="7" t="s">
        <v>385</v>
      </c>
      <c r="F303" s="9" t="s">
        <v>64</v>
      </c>
      <c r="G303" s="9">
        <v>64.0</v>
      </c>
      <c r="H303" s="20">
        <v>3.0</v>
      </c>
      <c r="I303" s="21">
        <f t="shared" si="150"/>
        <v>0.4590163934</v>
      </c>
      <c r="J303" s="13" t="str">
        <f>VLOOKUP($A303,covariates!$A$3:$H$1126,5,false)</f>
        <v>at surgery</v>
      </c>
      <c r="K303" s="13"/>
      <c r="L303" s="13" t="str">
        <f>VLOOKUP($A303,covariates!$A$3:$H$1126,6,false)</f>
        <v/>
      </c>
      <c r="M303" s="13" t="str">
        <f>VLOOKUP($A303,covariates!$A$3:$H$1126,6,false)</f>
        <v/>
      </c>
    </row>
    <row r="304">
      <c r="A304" s="15">
        <v>1.0</v>
      </c>
      <c r="B304" s="17" t="str">
        <f t="shared" ref="B304:B305" si="176">HYPERLINK("https://github.com/d-wkim/phd/blob/main/data/pdf/ageberg_2009.pdf","Ageberg et al., 2009")</f>
        <v>Ageberg et al., 2009</v>
      </c>
      <c r="C304" s="15">
        <v>1.0</v>
      </c>
      <c r="D304" s="9" t="s">
        <v>42</v>
      </c>
      <c r="E304" s="19" t="s">
        <v>319</v>
      </c>
      <c r="F304" s="9" t="s">
        <v>222</v>
      </c>
      <c r="G304" s="9">
        <v>16.0</v>
      </c>
      <c r="H304" s="13" t="str">
        <f t="shared" ref="H304:H311" si="177">iferror(MEDIAN_MEAN(G304,#REF!,#REF!,#REF!),"")</f>
        <v/>
      </c>
      <c r="I304" s="13" t="str">
        <f t="shared" ref="I304:I311" si="178">iferror(RANGE_SD(G304,#REF!,#REF!),"")</f>
        <v/>
      </c>
      <c r="J304" s="13" t="str">
        <f>VLOOKUP($A304,covariates!$A$3:$H$1126,5,false)</f>
        <v>at surgery</v>
      </c>
      <c r="K304" s="55" t="str">
        <f>VLOOKUP($A304,covariates!$A$3:$H$1126,6,false)</f>
        <v/>
      </c>
      <c r="L304" s="55">
        <f>VLOOKUP($A304,covariates!$A$3:$H$1126,7,false)</f>
        <v>32</v>
      </c>
      <c r="M304" s="55">
        <f>VLOOKUP($A304,covariates!$A$3:$H$1126,8,false)</f>
        <v>5</v>
      </c>
    </row>
    <row r="305">
      <c r="A305" s="15">
        <v>1.0</v>
      </c>
      <c r="B305" s="17" t="str">
        <f t="shared" si="176"/>
        <v>Ageberg et al., 2009</v>
      </c>
      <c r="C305" s="15">
        <v>1.0</v>
      </c>
      <c r="D305" s="9" t="s">
        <v>84</v>
      </c>
      <c r="E305" s="19" t="s">
        <v>319</v>
      </c>
      <c r="F305" s="9" t="s">
        <v>222</v>
      </c>
      <c r="G305" s="9">
        <v>20.0</v>
      </c>
      <c r="H305" s="13" t="str">
        <f t="shared" si="177"/>
        <v/>
      </c>
      <c r="I305" s="13" t="str">
        <f t="shared" si="178"/>
        <v/>
      </c>
      <c r="J305" s="13" t="str">
        <f>VLOOKUP($A305,covariates!$A$3:$H$1126,5,false)</f>
        <v>at surgery</v>
      </c>
      <c r="K305" s="55" t="str">
        <f>VLOOKUP($A305,covariates!$A$3:$H$1126,6,false)</f>
        <v/>
      </c>
      <c r="L305" s="55">
        <f>VLOOKUP($A305,covariates!$A$3:$H$1126,7,false)</f>
        <v>32</v>
      </c>
      <c r="M305" s="55">
        <f>VLOOKUP($A305,covariates!$A$3:$H$1126,8,false)</f>
        <v>5</v>
      </c>
    </row>
    <row r="306">
      <c r="A306" s="15">
        <v>3.0</v>
      </c>
      <c r="B306" s="17" t="str">
        <f t="shared" ref="B306:B307" si="179">HYPERLINK("https://github.com/d-wkim/phd/blob/main/data/pdf/ahldén_2009.pdf","Ahldén et al., 2009")</f>
        <v>Ahldén et al., 2009</v>
      </c>
      <c r="C306" s="15">
        <v>3.0</v>
      </c>
      <c r="D306" s="9" t="s">
        <v>42</v>
      </c>
      <c r="E306" s="7" t="s">
        <v>319</v>
      </c>
      <c r="F306" s="9" t="s">
        <v>222</v>
      </c>
      <c r="G306" s="9">
        <v>25.0</v>
      </c>
      <c r="H306" s="13" t="str">
        <f t="shared" si="177"/>
        <v/>
      </c>
      <c r="I306" s="13" t="str">
        <f t="shared" si="178"/>
        <v/>
      </c>
      <c r="J306" s="13" t="str">
        <f>VLOOKUP($A306,covariates!$A$3:$H$1126,5,false)</f>
        <v>at surgery</v>
      </c>
      <c r="K306" s="55" t="str">
        <f>VLOOKUP($A306,covariates!$A$3:$H$1126,6,false)</f>
        <v/>
      </c>
      <c r="L306" s="55">
        <f>VLOOKUP($A306,covariates!$A$3:$H$1126,7,false)</f>
        <v>27.41260836</v>
      </c>
      <c r="M306" s="55">
        <f>VLOOKUP($A306,covariates!$A$3:$H$1126,8,false)</f>
        <v>8.902</v>
      </c>
    </row>
    <row r="307">
      <c r="A307" s="15">
        <v>3.0</v>
      </c>
      <c r="B307" s="17" t="str">
        <f t="shared" si="179"/>
        <v>Ahldén et al., 2009</v>
      </c>
      <c r="C307" s="15">
        <v>3.0</v>
      </c>
      <c r="D307" s="9" t="s">
        <v>84</v>
      </c>
      <c r="E307" s="7" t="s">
        <v>319</v>
      </c>
      <c r="F307" s="9" t="s">
        <v>222</v>
      </c>
      <c r="G307" s="9">
        <v>22.0</v>
      </c>
      <c r="H307" s="13" t="str">
        <f t="shared" si="177"/>
        <v/>
      </c>
      <c r="I307" s="13" t="str">
        <f t="shared" si="178"/>
        <v/>
      </c>
      <c r="J307" s="13" t="str">
        <f>VLOOKUP($A307,covariates!$A$3:$H$1126,5,false)</f>
        <v>at surgery</v>
      </c>
      <c r="K307" s="55" t="str">
        <f>VLOOKUP($A307,covariates!$A$3:$H$1126,6,false)</f>
        <v/>
      </c>
      <c r="L307" s="55">
        <f>VLOOKUP($A307,covariates!$A$3:$H$1126,7,false)</f>
        <v>27.41260836</v>
      </c>
      <c r="M307" s="55">
        <f>VLOOKUP($A307,covariates!$A$3:$H$1126,8,false)</f>
        <v>8.902</v>
      </c>
    </row>
    <row r="308">
      <c r="A308" s="15">
        <v>9.0</v>
      </c>
      <c r="B308" s="17" t="str">
        <f t="shared" ref="B308:B309" si="180">HYPERLINK("https://github.com/d-wkim/phd/blob/main/data/pdf/barenius_2010.pdf","Barenius et al., 2010")</f>
        <v>Barenius et al., 2010</v>
      </c>
      <c r="C308" s="15">
        <v>9.0</v>
      </c>
      <c r="D308" s="9" t="s">
        <v>42</v>
      </c>
      <c r="E308" s="7" t="s">
        <v>319</v>
      </c>
      <c r="F308" s="9" t="s">
        <v>222</v>
      </c>
      <c r="G308" s="9">
        <v>78.0</v>
      </c>
      <c r="H308" s="13" t="str">
        <f t="shared" si="177"/>
        <v/>
      </c>
      <c r="I308" s="13" t="str">
        <f t="shared" si="178"/>
        <v/>
      </c>
      <c r="J308" s="13" t="str">
        <f>VLOOKUP($A308,covariates!$A$3:$H$1126,5,false)</f>
        <v>at follow-up</v>
      </c>
      <c r="K308" s="55" t="str">
        <f>VLOOKUP($A308,covariates!$A$3:$H$1126,6,false)</f>
        <v/>
      </c>
      <c r="L308" s="55">
        <f>VLOOKUP($A308,covariates!$A$3:$H$1126,7,false)</f>
        <v>33</v>
      </c>
      <c r="M308" s="55">
        <f>VLOOKUP($A308,covariates!$A$3:$H$1126,8,false)</f>
        <v>6.3</v>
      </c>
    </row>
    <row r="309">
      <c r="A309" s="15">
        <v>9.0</v>
      </c>
      <c r="B309" s="17" t="str">
        <f t="shared" si="180"/>
        <v>Barenius et al., 2010</v>
      </c>
      <c r="C309" s="15">
        <v>9.0</v>
      </c>
      <c r="D309" s="9" t="s">
        <v>84</v>
      </c>
      <c r="E309" s="7" t="s">
        <v>319</v>
      </c>
      <c r="F309" s="9" t="s">
        <v>222</v>
      </c>
      <c r="G309" s="9">
        <v>75.0</v>
      </c>
      <c r="H309" s="13" t="str">
        <f t="shared" si="177"/>
        <v/>
      </c>
      <c r="I309" s="13" t="str">
        <f t="shared" si="178"/>
        <v/>
      </c>
      <c r="J309" s="13" t="str">
        <f>VLOOKUP($A309,covariates!$A$3:$H$1126,5,false)</f>
        <v>at follow-up</v>
      </c>
      <c r="K309" s="55" t="str">
        <f>VLOOKUP($A309,covariates!$A$3:$H$1126,6,false)</f>
        <v/>
      </c>
      <c r="L309" s="55">
        <f>VLOOKUP($A309,covariates!$A$3:$H$1126,7,false)</f>
        <v>33</v>
      </c>
      <c r="M309" s="55">
        <f>VLOOKUP($A309,covariates!$A$3:$H$1126,8,false)</f>
        <v>6.3</v>
      </c>
    </row>
    <row r="310">
      <c r="A310" s="15">
        <v>10.0</v>
      </c>
      <c r="B310" s="17" t="str">
        <f t="shared" ref="B310:B311" si="181">HYPERLINK("https://github.com/d-wkim/phd/blob/main/data/pdf/barié_2020.pdf","Barié et al., 2020")</f>
        <v>Barié et al., 2020</v>
      </c>
      <c r="C310" s="15">
        <v>10.0</v>
      </c>
      <c r="D310" s="9" t="s">
        <v>42</v>
      </c>
      <c r="E310" s="19" t="s">
        <v>319</v>
      </c>
      <c r="F310" s="9" t="s">
        <v>222</v>
      </c>
      <c r="G310" s="9">
        <v>43.0</v>
      </c>
      <c r="H310" s="13" t="str">
        <f t="shared" si="177"/>
        <v/>
      </c>
      <c r="I310" s="13" t="str">
        <f t="shared" si="178"/>
        <v/>
      </c>
      <c r="J310" s="13" t="str">
        <f>VLOOKUP($A310,covariates!$A$3:$H$1126,5,false)</f>
        <v>at surgery</v>
      </c>
      <c r="K310" s="55" t="str">
        <f>VLOOKUP($A310,covariates!$A$3:$H$1126,6,false)</f>
        <v/>
      </c>
      <c r="L310" s="55">
        <f>VLOOKUP($A310,covariates!$A$3:$H$1126,7,false)</f>
        <v>30.6</v>
      </c>
      <c r="M310" s="55">
        <f>VLOOKUP($A310,covariates!$A$3:$H$1126,8,false)</f>
        <v>7.5</v>
      </c>
    </row>
    <row r="311">
      <c r="A311" s="15">
        <v>10.0</v>
      </c>
      <c r="B311" s="17" t="str">
        <f t="shared" si="181"/>
        <v>Barié et al., 2020</v>
      </c>
      <c r="C311" s="15">
        <v>10.0</v>
      </c>
      <c r="D311" s="9" t="s">
        <v>200</v>
      </c>
      <c r="E311" s="19" t="s">
        <v>319</v>
      </c>
      <c r="F311" s="9" t="s">
        <v>222</v>
      </c>
      <c r="G311" s="9">
        <v>43.0</v>
      </c>
      <c r="H311" s="13" t="str">
        <f t="shared" si="177"/>
        <v/>
      </c>
      <c r="I311" s="13" t="str">
        <f t="shared" si="178"/>
        <v/>
      </c>
      <c r="J311" s="13" t="str">
        <f>VLOOKUP($A311,covariates!$A$3:$H$1126,5,false)</f>
        <v>at surgery</v>
      </c>
      <c r="K311" s="55" t="str">
        <f>VLOOKUP($A311,covariates!$A$3:$H$1126,6,false)</f>
        <v/>
      </c>
      <c r="L311" s="55">
        <f>VLOOKUP($A311,covariates!$A$3:$H$1126,7,false)</f>
        <v>30.6</v>
      </c>
      <c r="M311" s="55">
        <f>VLOOKUP($A311,covariates!$A$3:$H$1126,8,false)</f>
        <v>7.5</v>
      </c>
    </row>
    <row r="312">
      <c r="A312" s="15">
        <v>13.0</v>
      </c>
      <c r="B312" s="17" t="str">
        <f t="shared" ref="B312:B313" si="182">HYPERLINK("https://github.com/d-wkim/phd/blob/main/data/pdf/björnsson_2016.pdf","Björnsson et al., 2016")</f>
        <v>Björnsson et al., 2016</v>
      </c>
      <c r="C312" s="15">
        <v>13.0</v>
      </c>
      <c r="D312" s="9" t="s">
        <v>42</v>
      </c>
      <c r="E312" s="19" t="s">
        <v>319</v>
      </c>
      <c r="F312" s="9" t="s">
        <v>222</v>
      </c>
      <c r="G312" s="9">
        <v>61.0</v>
      </c>
      <c r="H312" s="13">
        <v>4.1</v>
      </c>
      <c r="I312" s="13">
        <v>1.7</v>
      </c>
      <c r="J312" s="13" t="str">
        <f>VLOOKUP($A312,covariates!$A$3:$H$1126,5,false)</f>
        <v>at surgery</v>
      </c>
      <c r="K312" s="55" t="str">
        <f>VLOOKUP($A312,covariates!$A$3:$H$1126,6,false)</f>
        <v/>
      </c>
      <c r="L312" s="55">
        <f>VLOOKUP($A312,covariates!$A$3:$H$1126,7,false)</f>
        <v>28.2</v>
      </c>
      <c r="M312" s="55">
        <f>VLOOKUP($A312,covariates!$A$3:$H$1126,8,false)</f>
        <v>9.1</v>
      </c>
    </row>
    <row r="313">
      <c r="A313" s="15">
        <v>13.0</v>
      </c>
      <c r="B313" s="17" t="str">
        <f t="shared" si="182"/>
        <v>Björnsson et al., 2016</v>
      </c>
      <c r="C313" s="15">
        <v>13.0</v>
      </c>
      <c r="D313" s="9" t="s">
        <v>84</v>
      </c>
      <c r="E313" s="19" t="s">
        <v>319</v>
      </c>
      <c r="F313" s="9" t="s">
        <v>222</v>
      </c>
      <c r="G313" s="9">
        <v>86.0</v>
      </c>
      <c r="H313" s="13">
        <v>4.0</v>
      </c>
      <c r="I313" s="13">
        <v>1.7</v>
      </c>
      <c r="J313" s="13" t="str">
        <f>VLOOKUP($A313,covariates!$A$3:$H$1126,5,false)</f>
        <v>at surgery</v>
      </c>
      <c r="K313" s="55" t="str">
        <f>VLOOKUP($A313,covariates!$A$3:$H$1126,6,false)</f>
        <v/>
      </c>
      <c r="L313" s="55">
        <f>VLOOKUP($A313,covariates!$A$3:$H$1126,7,false)</f>
        <v>28.2</v>
      </c>
      <c r="M313" s="55">
        <f>VLOOKUP($A313,covariates!$A$3:$H$1126,8,false)</f>
        <v>9.1</v>
      </c>
    </row>
    <row r="314">
      <c r="A314" s="15">
        <v>14.0</v>
      </c>
      <c r="B314" s="17" t="str">
        <f t="shared" ref="B314:B315" si="183">HYPERLINK("https://github.com/d-wkim/phd/blob/main/data/pdf/bottoni_2015.pdf","Bottoni et al., 2015")</f>
        <v>Bottoni et al., 2015</v>
      </c>
      <c r="C314" s="15">
        <v>14.0</v>
      </c>
      <c r="D314" s="9" t="s">
        <v>84</v>
      </c>
      <c r="E314" s="19" t="s">
        <v>319</v>
      </c>
      <c r="F314" s="9" t="s">
        <v>222</v>
      </c>
      <c r="G314" s="9">
        <v>44.0</v>
      </c>
      <c r="H314" s="13">
        <v>5.1</v>
      </c>
      <c r="I314" s="13">
        <v>2.2</v>
      </c>
      <c r="J314" s="13" t="str">
        <f>VLOOKUP($A314,covariates!$A$3:$H$1126,5,false)</f>
        <v>at surgery</v>
      </c>
      <c r="K314" s="55" t="str">
        <f>VLOOKUP($A314,covariates!$A$3:$H$1126,6,false)</f>
        <v/>
      </c>
      <c r="L314" s="55">
        <f>VLOOKUP($A314,covariates!$A$3:$H$1126,7,false)</f>
        <v>28.9</v>
      </c>
      <c r="M314" s="55">
        <f>VLOOKUP($A314,covariates!$A$3:$H$1126,8,false)</f>
        <v>5.8</v>
      </c>
    </row>
    <row r="315">
      <c r="A315" s="15">
        <v>14.0</v>
      </c>
      <c r="B315" s="17" t="str">
        <f t="shared" si="183"/>
        <v>Bottoni et al., 2015</v>
      </c>
      <c r="C315" s="15">
        <v>14.0</v>
      </c>
      <c r="D315" s="9" t="s">
        <v>205</v>
      </c>
      <c r="E315" s="19" t="s">
        <v>319</v>
      </c>
      <c r="F315" s="9" t="s">
        <v>222</v>
      </c>
      <c r="G315" s="9">
        <v>36.0</v>
      </c>
      <c r="H315" s="13">
        <v>5.1</v>
      </c>
      <c r="I315" s="13">
        <v>2.0</v>
      </c>
      <c r="J315" s="13" t="str">
        <f>VLOOKUP($A315,covariates!$A$3:$H$1126,5,false)</f>
        <v>at surgery</v>
      </c>
      <c r="K315" s="55" t="str">
        <f>VLOOKUP($A315,covariates!$A$3:$H$1126,6,false)</f>
        <v/>
      </c>
      <c r="L315" s="55">
        <f>VLOOKUP($A315,covariates!$A$3:$H$1126,7,false)</f>
        <v>28.9</v>
      </c>
      <c r="M315" s="55">
        <f>VLOOKUP($A315,covariates!$A$3:$H$1126,8,false)</f>
        <v>5.8</v>
      </c>
    </row>
    <row r="316">
      <c r="A316" s="15">
        <v>23.0</v>
      </c>
      <c r="B316" s="17" t="str">
        <f t="shared" ref="B316:B317" si="184">HYPERLINK("https://github.com/d-wkim/phd/blob/main/data/pdf/ejerhed_2003.pdf","Ejerhed et al., 2003")</f>
        <v>Ejerhed et al., 2003</v>
      </c>
      <c r="C316" s="15">
        <v>23.0</v>
      </c>
      <c r="D316" s="9" t="s">
        <v>42</v>
      </c>
      <c r="E316" s="19" t="s">
        <v>319</v>
      </c>
      <c r="F316" s="9" t="s">
        <v>222</v>
      </c>
      <c r="G316" s="9">
        <v>32.0</v>
      </c>
      <c r="H316" s="13" t="str">
        <f t="shared" ref="H316:H323" si="185">iferror(MEDIAN_MEAN(G316,#REF!,#REF!,#REF!),"")</f>
        <v/>
      </c>
      <c r="I316" s="13" t="str">
        <f t="shared" ref="I316:I326" si="186">iferror(RANGE_SD(G316,#REF!,#REF!),"")</f>
        <v/>
      </c>
      <c r="J316" s="13" t="str">
        <f>VLOOKUP($A316,covariates!$A$3:$H$1126,5,false)</f>
        <v>at surgery</v>
      </c>
      <c r="K316" s="55" t="str">
        <f>VLOOKUP($A316,covariates!$A$3:$H$1126,6,false)</f>
        <v/>
      </c>
      <c r="L316" s="55">
        <f>VLOOKUP($A316,covariates!$A$3:$H$1126,7,false)</f>
        <v>27.26043131</v>
      </c>
      <c r="M316" s="55">
        <f>VLOOKUP($A316,covariates!$A$3:$H$1126,8,false)</f>
        <v>8.467</v>
      </c>
    </row>
    <row r="317">
      <c r="A317" s="15">
        <v>23.0</v>
      </c>
      <c r="B317" s="17" t="str">
        <f t="shared" si="184"/>
        <v>Ejerhed et al., 2003</v>
      </c>
      <c r="C317" s="15">
        <v>23.0</v>
      </c>
      <c r="D317" s="9" t="s">
        <v>84</v>
      </c>
      <c r="E317" s="19" t="s">
        <v>319</v>
      </c>
      <c r="F317" s="9" t="s">
        <v>222</v>
      </c>
      <c r="G317" s="9">
        <v>34.0</v>
      </c>
      <c r="H317" s="13" t="str">
        <f t="shared" si="185"/>
        <v/>
      </c>
      <c r="I317" s="13" t="str">
        <f t="shared" si="186"/>
        <v/>
      </c>
      <c r="J317" s="13" t="str">
        <f>VLOOKUP($A317,covariates!$A$3:$H$1126,5,false)</f>
        <v>at surgery</v>
      </c>
      <c r="K317" s="55" t="str">
        <f>VLOOKUP($A317,covariates!$A$3:$H$1126,6,false)</f>
        <v/>
      </c>
      <c r="L317" s="55">
        <f>VLOOKUP($A317,covariates!$A$3:$H$1126,7,false)</f>
        <v>27.26043131</v>
      </c>
      <c r="M317" s="55">
        <f>VLOOKUP($A317,covariates!$A$3:$H$1126,8,false)</f>
        <v>8.467</v>
      </c>
    </row>
    <row r="318">
      <c r="A318" s="15">
        <v>33.0</v>
      </c>
      <c r="B318" s="17" t="str">
        <f t="shared" ref="B318:B319" si="187">HYPERLINK("https://github.com/d-wkim/phd/blob/main/data/pdf/harilainen_2006.pdf","Harilainen et al., 2006")</f>
        <v>Harilainen et al., 2006</v>
      </c>
      <c r="C318" s="15">
        <v>33.0</v>
      </c>
      <c r="D318" s="9" t="s">
        <v>42</v>
      </c>
      <c r="E318" s="19" t="s">
        <v>319</v>
      </c>
      <c r="F318" s="9" t="s">
        <v>222</v>
      </c>
      <c r="G318" s="9">
        <v>37.0</v>
      </c>
      <c r="H318" s="13" t="str">
        <f t="shared" si="185"/>
        <v/>
      </c>
      <c r="I318" s="13" t="str">
        <f t="shared" si="186"/>
        <v/>
      </c>
      <c r="J318" s="13" t="str">
        <f>VLOOKUP($A318,covariates!$A$3:$H$1126,5,false)</f>
        <v>at surgery</v>
      </c>
      <c r="K318" s="55" t="str">
        <f>VLOOKUP($A318,covariates!$A$3:$H$1126,6,false)</f>
        <v/>
      </c>
      <c r="L318" s="55" t="str">
        <f>VLOOKUP($A318,covariates!$A$3:$H$1126,7,false)</f>
        <v/>
      </c>
      <c r="M318" s="55" t="str">
        <f>VLOOKUP($A318,covariates!$A$3:$H$1126,8,false)</f>
        <v/>
      </c>
    </row>
    <row r="319">
      <c r="A319" s="15">
        <v>33.0</v>
      </c>
      <c r="B319" s="17" t="str">
        <f t="shared" si="187"/>
        <v>Harilainen et al., 2006</v>
      </c>
      <c r="C319" s="15">
        <v>33.0</v>
      </c>
      <c r="D319" s="9" t="s">
        <v>84</v>
      </c>
      <c r="E319" s="19" t="s">
        <v>319</v>
      </c>
      <c r="F319" s="9" t="s">
        <v>222</v>
      </c>
      <c r="G319" s="9">
        <v>37.0</v>
      </c>
      <c r="H319" s="13" t="str">
        <f t="shared" si="185"/>
        <v/>
      </c>
      <c r="I319" s="13" t="str">
        <f t="shared" si="186"/>
        <v/>
      </c>
      <c r="J319" s="13" t="str">
        <f>VLOOKUP($A319,covariates!$A$3:$H$1126,5,false)</f>
        <v>at surgery</v>
      </c>
      <c r="K319" s="55" t="str">
        <f>VLOOKUP($A319,covariates!$A$3:$H$1126,6,false)</f>
        <v/>
      </c>
      <c r="L319" s="55" t="str">
        <f>VLOOKUP($A319,covariates!$A$3:$H$1126,7,false)</f>
        <v/>
      </c>
      <c r="M319" s="55" t="str">
        <f>VLOOKUP($A319,covariates!$A$3:$H$1126,8,false)</f>
        <v/>
      </c>
    </row>
    <row r="320">
      <c r="A320" s="15">
        <v>34.0</v>
      </c>
      <c r="B320" s="17" t="str">
        <f t="shared" ref="B320:B321" si="188">HYPERLINK("https://github.com/d-wkim/phd/blob/main/data/pdf/heijne_werner_2010.pdf","Heijne &amp; Werner, 2010")</f>
        <v>Heijne &amp; Werner, 2010</v>
      </c>
      <c r="C320" s="15">
        <v>34.0</v>
      </c>
      <c r="D320" s="9" t="s">
        <v>42</v>
      </c>
      <c r="E320" s="19" t="s">
        <v>319</v>
      </c>
      <c r="F320" s="9" t="s">
        <v>222</v>
      </c>
      <c r="G320" s="9">
        <v>30.0</v>
      </c>
      <c r="H320" s="13" t="str">
        <f t="shared" si="185"/>
        <v/>
      </c>
      <c r="I320" s="13" t="str">
        <f t="shared" si="186"/>
        <v/>
      </c>
      <c r="J320" s="13" t="str">
        <f>VLOOKUP($A320,covariates!$A$3:$H$1126,5,false)</f>
        <v>at surgery</v>
      </c>
      <c r="K320" s="55" t="str">
        <f>VLOOKUP($A320,covariates!$A$3:$H$1126,6,false)</f>
        <v/>
      </c>
      <c r="L320" s="55">
        <f>VLOOKUP($A320,covariates!$A$3:$H$1126,7,false)</f>
        <v>29</v>
      </c>
      <c r="M320" s="55">
        <f>VLOOKUP($A320,covariates!$A$3:$H$1126,8,false)</f>
        <v>7</v>
      </c>
    </row>
    <row r="321">
      <c r="A321" s="15">
        <v>34.0</v>
      </c>
      <c r="B321" s="17" t="str">
        <f t="shared" si="188"/>
        <v>Heijne &amp; Werner, 2010</v>
      </c>
      <c r="C321" s="15">
        <v>34.0</v>
      </c>
      <c r="D321" s="9" t="s">
        <v>84</v>
      </c>
      <c r="E321" s="19" t="s">
        <v>319</v>
      </c>
      <c r="F321" s="9" t="s">
        <v>222</v>
      </c>
      <c r="G321" s="9">
        <v>29.0</v>
      </c>
      <c r="H321" s="13" t="str">
        <f t="shared" si="185"/>
        <v/>
      </c>
      <c r="I321" s="13" t="str">
        <f t="shared" si="186"/>
        <v/>
      </c>
      <c r="J321" s="13" t="str">
        <f>VLOOKUP($A321,covariates!$A$3:$H$1126,5,false)</f>
        <v>at surgery</v>
      </c>
      <c r="K321" s="55" t="str">
        <f>VLOOKUP($A321,covariates!$A$3:$H$1126,6,false)</f>
        <v/>
      </c>
      <c r="L321" s="55">
        <f>VLOOKUP($A321,covariates!$A$3:$H$1126,7,false)</f>
        <v>29</v>
      </c>
      <c r="M321" s="55">
        <f>VLOOKUP($A321,covariates!$A$3:$H$1126,8,false)</f>
        <v>7</v>
      </c>
    </row>
    <row r="322">
      <c r="A322" s="15">
        <v>41.0</v>
      </c>
      <c r="B322" s="17" t="str">
        <f t="shared" ref="B322:B323" si="189">HYPERLINK("https://github.com/d-wkim/phd/blob/main/data/pdf/jansson_2003.pdf","Jansson et al., 2003")</f>
        <v>Jansson et al., 2003</v>
      </c>
      <c r="C322" s="15">
        <v>41.0</v>
      </c>
      <c r="D322" s="9" t="s">
        <v>42</v>
      </c>
      <c r="E322" s="19" t="s">
        <v>319</v>
      </c>
      <c r="F322" s="9" t="s">
        <v>222</v>
      </c>
      <c r="G322" s="9">
        <v>43.0</v>
      </c>
      <c r="H322" s="13" t="str">
        <f t="shared" si="185"/>
        <v/>
      </c>
      <c r="I322" s="13" t="str">
        <f t="shared" si="186"/>
        <v/>
      </c>
      <c r="J322" s="13" t="str">
        <f>VLOOKUP($A322,covariates!$A$3:$H$1126,5,false)</f>
        <v>at surgery</v>
      </c>
      <c r="K322" s="55" t="str">
        <f>VLOOKUP($A322,covariates!$A$3:$H$1126,6,false)</f>
        <v/>
      </c>
      <c r="L322" s="55" t="str">
        <f>VLOOKUP($A322,covariates!$A$3:$H$1126,7,false)</f>
        <v/>
      </c>
      <c r="M322" s="55" t="str">
        <f>VLOOKUP($A322,covariates!$A$3:$H$1126,8,false)</f>
        <v/>
      </c>
    </row>
    <row r="323">
      <c r="A323" s="15">
        <v>41.0</v>
      </c>
      <c r="B323" s="17" t="str">
        <f t="shared" si="189"/>
        <v>Jansson et al., 2003</v>
      </c>
      <c r="C323" s="15">
        <v>41.0</v>
      </c>
      <c r="D323" s="9" t="s">
        <v>84</v>
      </c>
      <c r="E323" s="19" t="s">
        <v>319</v>
      </c>
      <c r="F323" s="9" t="s">
        <v>222</v>
      </c>
      <c r="G323" s="9">
        <v>46.0</v>
      </c>
      <c r="H323" s="13" t="str">
        <f t="shared" si="185"/>
        <v/>
      </c>
      <c r="I323" s="13" t="str">
        <f t="shared" si="186"/>
        <v/>
      </c>
      <c r="J323" s="13" t="str">
        <f>VLOOKUP($A323,covariates!$A$3:$H$1126,5,false)</f>
        <v>at surgery</v>
      </c>
      <c r="K323" s="55" t="str">
        <f>VLOOKUP($A323,covariates!$A$3:$H$1126,6,false)</f>
        <v/>
      </c>
      <c r="L323" s="55" t="str">
        <f>VLOOKUP($A323,covariates!$A$3:$H$1126,7,false)</f>
        <v/>
      </c>
      <c r="M323" s="55" t="str">
        <f>VLOOKUP($A323,covariates!$A$3:$H$1126,8,false)</f>
        <v/>
      </c>
    </row>
    <row r="324">
      <c r="A324" s="15">
        <v>45.0</v>
      </c>
      <c r="B324" s="17" t="str">
        <f t="shared" ref="B324:B325" si="190">HYPERLINK("https://github.com/d-wkim/phd/blob/main/data/pdf/konrads_2016.pdf","Konrads et al., 2016")</f>
        <v>Konrads et al., 2016</v>
      </c>
      <c r="C324" s="15">
        <v>45.0</v>
      </c>
      <c r="D324" s="9" t="s">
        <v>42</v>
      </c>
      <c r="E324" s="19" t="s">
        <v>319</v>
      </c>
      <c r="F324" s="9" t="s">
        <v>222</v>
      </c>
      <c r="G324" s="9">
        <v>24.0</v>
      </c>
      <c r="H324" s="13">
        <v>5.9</v>
      </c>
      <c r="I324" s="13" t="str">
        <f t="shared" si="186"/>
        <v/>
      </c>
      <c r="J324" s="13" t="str">
        <f>VLOOKUP($A324,covariates!$A$3:$H$1126,5,false)</f>
        <v>at surgery</v>
      </c>
      <c r="K324" s="55" t="str">
        <f>VLOOKUP($A324,covariates!$A$3:$H$1126,6,false)</f>
        <v/>
      </c>
      <c r="L324" s="55">
        <f>VLOOKUP($A324,covariates!$A$3:$H$1126,7,false)</f>
        <v>29.8</v>
      </c>
      <c r="M324" s="55">
        <f>VLOOKUP($A324,covariates!$A$3:$H$1126,8,false)</f>
        <v>6.33</v>
      </c>
    </row>
    <row r="325">
      <c r="A325" s="15">
        <v>45.0</v>
      </c>
      <c r="B325" s="17" t="str">
        <f t="shared" si="190"/>
        <v>Konrads et al., 2016</v>
      </c>
      <c r="C325" s="15">
        <v>45.0</v>
      </c>
      <c r="D325" s="9" t="s">
        <v>84</v>
      </c>
      <c r="E325" s="19" t="s">
        <v>319</v>
      </c>
      <c r="F325" s="9" t="s">
        <v>222</v>
      </c>
      <c r="G325" s="9">
        <v>23.0</v>
      </c>
      <c r="H325" s="13">
        <v>5.1</v>
      </c>
      <c r="I325" s="13" t="str">
        <f t="shared" si="186"/>
        <v/>
      </c>
      <c r="J325" s="13" t="str">
        <f>VLOOKUP($A325,covariates!$A$3:$H$1126,5,false)</f>
        <v>at surgery</v>
      </c>
      <c r="K325" s="55" t="str">
        <f>VLOOKUP($A325,covariates!$A$3:$H$1126,6,false)</f>
        <v/>
      </c>
      <c r="L325" s="55">
        <f>VLOOKUP($A325,covariates!$A$3:$H$1126,7,false)</f>
        <v>29.8</v>
      </c>
      <c r="M325" s="55">
        <f>VLOOKUP($A325,covariates!$A$3:$H$1126,8,false)</f>
        <v>6.33</v>
      </c>
    </row>
    <row r="326">
      <c r="A326" s="15">
        <v>49.0</v>
      </c>
      <c r="B326" s="17" t="str">
        <f t="shared" ref="B326:B327" si="191">HYPERLINK("https://github.com/d-wkim/phd/blob/main/data/pdf/laxdal_2005.pdf","Laxdal et al., 2005")</f>
        <v>Laxdal et al., 2005</v>
      </c>
      <c r="C326" s="15">
        <v>49.0</v>
      </c>
      <c r="D326" s="9" t="s">
        <v>42</v>
      </c>
      <c r="E326" s="19" t="s">
        <v>319</v>
      </c>
      <c r="F326" s="9" t="s">
        <v>222</v>
      </c>
      <c r="G326" s="9">
        <v>40.0</v>
      </c>
      <c r="H326" s="13">
        <v>6.0</v>
      </c>
      <c r="I326" s="13" t="str">
        <f t="shared" si="186"/>
        <v/>
      </c>
      <c r="J326" s="13" t="str">
        <f>VLOOKUP($A326,covariates!$A$3:$H$1126,5,false)</f>
        <v>at surgery</v>
      </c>
      <c r="K326" s="55" t="str">
        <f>VLOOKUP($A326,covariates!$A$3:$H$1126,6,false)</f>
        <v/>
      </c>
      <c r="L326" s="55">
        <f>VLOOKUP($A326,covariates!$A$3:$H$1126,7,false)</f>
        <v>28</v>
      </c>
      <c r="M326" s="55">
        <f>VLOOKUP($A326,covariates!$A$3:$H$1126,8,false)</f>
        <v>8.347</v>
      </c>
    </row>
    <row r="327">
      <c r="A327" s="9">
        <v>49.0</v>
      </c>
      <c r="B327" s="17" t="str">
        <f t="shared" si="191"/>
        <v>Laxdal et al., 2005</v>
      </c>
      <c r="C327" s="9">
        <v>49.0</v>
      </c>
      <c r="D327" s="9" t="s">
        <v>84</v>
      </c>
      <c r="E327" s="19" t="s">
        <v>319</v>
      </c>
      <c r="F327" s="9" t="s">
        <v>222</v>
      </c>
      <c r="G327" s="9">
        <v>78.0</v>
      </c>
      <c r="H327" s="13">
        <v>4.0</v>
      </c>
      <c r="I327" s="13">
        <v>1.6419284401871532</v>
      </c>
      <c r="J327" s="13" t="str">
        <f>VLOOKUP($A327,covariates!$A$3:$H$1126,5,false)</f>
        <v>at surgery</v>
      </c>
      <c r="K327" s="55" t="str">
        <f>VLOOKUP($A327,covariates!$A$3:$H$1126,6,false)</f>
        <v/>
      </c>
      <c r="L327" s="55">
        <f>VLOOKUP($A327,covariates!$A$3:$H$1126,7,false)</f>
        <v>28</v>
      </c>
      <c r="M327" s="55">
        <f>VLOOKUP($A327,covariates!$A$3:$H$1126,8,false)</f>
        <v>8.347</v>
      </c>
    </row>
    <row r="328">
      <c r="A328" s="15">
        <v>51.0</v>
      </c>
      <c r="B328" s="17" t="str">
        <f t="shared" ref="B328:B329" si="192">HYPERLINK("https://github.com/d-wkim/phd/blob/main/data/pdf/li_2015.pdf","Li et al., 2015")</f>
        <v>Li et al., 2015</v>
      </c>
      <c r="C328" s="15">
        <v>51.0</v>
      </c>
      <c r="D328" s="9" t="s">
        <v>84</v>
      </c>
      <c r="E328" s="19" t="s">
        <v>319</v>
      </c>
      <c r="F328" s="9" t="s">
        <v>222</v>
      </c>
      <c r="G328" s="9">
        <v>32.0</v>
      </c>
      <c r="H328" s="13">
        <v>7.3</v>
      </c>
      <c r="I328" s="13">
        <v>1.3</v>
      </c>
      <c r="J328" s="13" t="str">
        <f>VLOOKUP($A328,covariates!$A$3:$H$1126,5,false)</f>
        <v>at surgery</v>
      </c>
      <c r="K328" s="55" t="str">
        <f>VLOOKUP($A328,covariates!$A$3:$H$1126,6,false)</f>
        <v/>
      </c>
      <c r="L328" s="55">
        <f>VLOOKUP($A328,covariates!$A$3:$H$1126,7,false)</f>
        <v>29.8</v>
      </c>
      <c r="M328" s="55">
        <f>VLOOKUP($A328,covariates!$A$3:$H$1126,8,false)</f>
        <v>7.9</v>
      </c>
    </row>
    <row r="329">
      <c r="A329" s="15">
        <v>51.0</v>
      </c>
      <c r="B329" s="17" t="str">
        <f t="shared" si="192"/>
        <v>Li et al., 2015</v>
      </c>
      <c r="C329" s="15">
        <v>51.0</v>
      </c>
      <c r="D329" s="9" t="s">
        <v>205</v>
      </c>
      <c r="E329" s="19" t="s">
        <v>319</v>
      </c>
      <c r="F329" s="9" t="s">
        <v>222</v>
      </c>
      <c r="G329" s="9">
        <v>32.0</v>
      </c>
      <c r="H329" s="13">
        <v>7.0</v>
      </c>
      <c r="I329" s="13">
        <v>2.1</v>
      </c>
      <c r="J329" s="13" t="str">
        <f>VLOOKUP($A329,covariates!$A$3:$H$1126,5,false)</f>
        <v>at surgery</v>
      </c>
      <c r="K329" s="55" t="str">
        <f>VLOOKUP($A329,covariates!$A$3:$H$1126,6,false)</f>
        <v/>
      </c>
      <c r="L329" s="55">
        <f>VLOOKUP($A329,covariates!$A$3:$H$1126,7,false)</f>
        <v>29.8</v>
      </c>
      <c r="M329" s="55">
        <f>VLOOKUP($A329,covariates!$A$3:$H$1126,8,false)</f>
        <v>7.9</v>
      </c>
    </row>
    <row r="330">
      <c r="A330" s="15">
        <v>52.0</v>
      </c>
      <c r="B330" s="17" t="str">
        <f t="shared" ref="B330:B331" si="193">HYPERLINK("https://github.com/d-wkim/phd/blob/main/data/pdf/lidén_2007.pdf","Lidén et al., 2007")</f>
        <v>Lidén et al., 2007</v>
      </c>
      <c r="C330" s="15">
        <v>52.0</v>
      </c>
      <c r="D330" s="9" t="s">
        <v>42</v>
      </c>
      <c r="E330" s="19" t="s">
        <v>319</v>
      </c>
      <c r="F330" s="9" t="s">
        <v>222</v>
      </c>
      <c r="G330" s="9">
        <v>30.0</v>
      </c>
      <c r="H330" s="13">
        <v>5.0</v>
      </c>
      <c r="I330" s="13" t="str">
        <f t="shared" ref="I330:I331" si="194">iferror(RANGE_SD(G330,#REF!,#REF!),"")</f>
        <v/>
      </c>
      <c r="J330" s="13" t="str">
        <f>VLOOKUP($A330,covariates!$A$3:$H$1126,5,false)</f>
        <v>at surgery</v>
      </c>
      <c r="K330" s="55" t="str">
        <f>VLOOKUP($A330,covariates!$A$3:$H$1126,6,false)</f>
        <v/>
      </c>
      <c r="L330" s="55">
        <f>VLOOKUP($A330,covariates!$A$3:$H$1126,7,false)</f>
        <v>28</v>
      </c>
      <c r="M330" s="55">
        <f>VLOOKUP($A330,covariates!$A$3:$H$1126,8,false)</f>
        <v>8.368</v>
      </c>
    </row>
    <row r="331">
      <c r="A331" s="15">
        <v>52.0</v>
      </c>
      <c r="B331" s="17" t="str">
        <f t="shared" si="193"/>
        <v>Lidén et al., 2007</v>
      </c>
      <c r="C331" s="15">
        <v>52.0</v>
      </c>
      <c r="D331" s="9" t="s">
        <v>84</v>
      </c>
      <c r="E331" s="19" t="s">
        <v>319</v>
      </c>
      <c r="F331" s="9" t="s">
        <v>222</v>
      </c>
      <c r="G331" s="9">
        <v>32.0</v>
      </c>
      <c r="H331" s="13">
        <v>6.0</v>
      </c>
      <c r="I331" s="13" t="str">
        <f t="shared" si="194"/>
        <v/>
      </c>
      <c r="J331" s="13" t="str">
        <f>VLOOKUP($A331,covariates!$A$3:$H$1126,5,false)</f>
        <v>at surgery</v>
      </c>
      <c r="K331" s="55" t="str">
        <f>VLOOKUP($A331,covariates!$A$3:$H$1126,6,false)</f>
        <v/>
      </c>
      <c r="L331" s="55">
        <f>VLOOKUP($A331,covariates!$A$3:$H$1126,7,false)</f>
        <v>28</v>
      </c>
      <c r="M331" s="55">
        <f>VLOOKUP($A331,covariates!$A$3:$H$1126,8,false)</f>
        <v>8.368</v>
      </c>
    </row>
    <row r="332">
      <c r="A332" s="15">
        <v>53.0</v>
      </c>
      <c r="B332" s="17" t="str">
        <f t="shared" ref="B332:B333" si="195">HYPERLINK("https://github.com/d-wkim/phd/blob/main/data/pdf/lind_2020.pdf","Lind et al., 2020")</f>
        <v>Lind et al., 2020</v>
      </c>
      <c r="C332" s="15">
        <v>53.0</v>
      </c>
      <c r="D332" s="9" t="s">
        <v>84</v>
      </c>
      <c r="E332" s="19" t="s">
        <v>319</v>
      </c>
      <c r="F332" s="9" t="s">
        <v>222</v>
      </c>
      <c r="G332" s="9">
        <v>49.0</v>
      </c>
      <c r="H332" s="13">
        <v>5.9</v>
      </c>
      <c r="I332" s="13">
        <v>1.3</v>
      </c>
      <c r="J332" s="13" t="str">
        <f>VLOOKUP($A332,covariates!$A$3:$H$1126,5,false)</f>
        <v>at surgery</v>
      </c>
      <c r="K332" s="55" t="str">
        <f>VLOOKUP($A332,covariates!$A$3:$H$1126,6,false)</f>
        <v/>
      </c>
      <c r="L332" s="55">
        <f>VLOOKUP($A332,covariates!$A$3:$H$1126,7,false)</f>
        <v>27.1</v>
      </c>
      <c r="M332" s="55">
        <f>VLOOKUP($A332,covariates!$A$3:$H$1126,8,false)</f>
        <v>6.1</v>
      </c>
    </row>
    <row r="333">
      <c r="A333" s="15">
        <v>53.0</v>
      </c>
      <c r="B333" s="17" t="str">
        <f t="shared" si="195"/>
        <v>Lind et al., 2020</v>
      </c>
      <c r="C333" s="15">
        <v>53.0</v>
      </c>
      <c r="D333" s="9" t="s">
        <v>200</v>
      </c>
      <c r="E333" s="19" t="s">
        <v>319</v>
      </c>
      <c r="F333" s="9" t="s">
        <v>222</v>
      </c>
      <c r="G333" s="9">
        <v>47.0</v>
      </c>
      <c r="H333" s="13">
        <v>6.0</v>
      </c>
      <c r="I333" s="13">
        <v>1.5</v>
      </c>
      <c r="J333" s="13" t="str">
        <f>VLOOKUP($A333,covariates!$A$3:$H$1126,5,false)</f>
        <v>at surgery</v>
      </c>
      <c r="K333" s="55" t="str">
        <f>VLOOKUP($A333,covariates!$A$3:$H$1126,6,false)</f>
        <v/>
      </c>
      <c r="L333" s="55">
        <f>VLOOKUP($A333,covariates!$A$3:$H$1126,7,false)</f>
        <v>27.1</v>
      </c>
      <c r="M333" s="55">
        <f>VLOOKUP($A333,covariates!$A$3:$H$1126,8,false)</f>
        <v>6.1</v>
      </c>
    </row>
    <row r="334">
      <c r="A334" s="15">
        <v>54.0</v>
      </c>
      <c r="B334" s="17" t="str">
        <f t="shared" ref="B334:B335" si="196">HYPERLINK("https://github.com/d-wkim/phd/blob/main/data/pdf/lucidi_2025.pdf","Lucidi et al., 2025")</f>
        <v>Lucidi et al., 2025</v>
      </c>
      <c r="C334" s="15">
        <v>54.0</v>
      </c>
      <c r="D334" s="9" t="s">
        <v>42</v>
      </c>
      <c r="E334" s="19" t="s">
        <v>319</v>
      </c>
      <c r="F334" s="9" t="s">
        <v>222</v>
      </c>
      <c r="G334" s="9">
        <v>19.0</v>
      </c>
      <c r="H334" s="13">
        <v>3.0</v>
      </c>
      <c r="I334" s="13" t="str">
        <f t="shared" ref="I334:I335" si="197">iferror(RANGE_SD(G334,#REF!,#REF!),"")</f>
        <v/>
      </c>
      <c r="J334" s="13" t="str">
        <f>VLOOKUP($A334,covariates!$A$3:$H$1126,5,false)</f>
        <v>at surgery</v>
      </c>
      <c r="K334" s="55" t="str">
        <f>VLOOKUP($A334,covariates!$A$3:$H$1126,6,false)</f>
        <v/>
      </c>
      <c r="L334" s="55">
        <f>VLOOKUP($A334,covariates!$A$3:$H$1126,7,false)</f>
        <v>52.8</v>
      </c>
      <c r="M334" s="55">
        <f>VLOOKUP($A334,covariates!$A$3:$H$1126,8,false)</f>
        <v>7.3</v>
      </c>
    </row>
    <row r="335">
      <c r="A335" s="15">
        <v>54.0</v>
      </c>
      <c r="B335" s="17" t="str">
        <f t="shared" si="196"/>
        <v>Lucidi et al., 2025</v>
      </c>
      <c r="C335" s="15">
        <v>54.0</v>
      </c>
      <c r="D335" s="9" t="s">
        <v>84</v>
      </c>
      <c r="E335" s="19" t="s">
        <v>319</v>
      </c>
      <c r="F335" s="9" t="s">
        <v>222</v>
      </c>
      <c r="G335" s="9">
        <v>20.0</v>
      </c>
      <c r="H335" s="13">
        <v>4.0</v>
      </c>
      <c r="I335" s="13" t="str">
        <f t="shared" si="197"/>
        <v/>
      </c>
      <c r="J335" s="13" t="str">
        <f>VLOOKUP($A335,covariates!$A$3:$H$1126,5,false)</f>
        <v>at surgery</v>
      </c>
      <c r="K335" s="55" t="str">
        <f>VLOOKUP($A335,covariates!$A$3:$H$1126,6,false)</f>
        <v/>
      </c>
      <c r="L335" s="55">
        <f>VLOOKUP($A335,covariates!$A$3:$H$1126,7,false)</f>
        <v>52.8</v>
      </c>
      <c r="M335" s="55">
        <f>VLOOKUP($A335,covariates!$A$3:$H$1126,8,false)</f>
        <v>7.3</v>
      </c>
    </row>
    <row r="336">
      <c r="A336" s="15">
        <v>58.0</v>
      </c>
      <c r="B336" s="17" t="str">
        <f t="shared" ref="B336:B337" si="198">HYPERLINK("https://github.com/d-wkim/phd/blob/main/data/pdf/malik_2026.pdf","Malik et al., 2026")</f>
        <v>Malik et al., 2026</v>
      </c>
      <c r="C336" s="15">
        <v>58.0</v>
      </c>
      <c r="D336" s="9" t="s">
        <v>84</v>
      </c>
      <c r="E336" s="19" t="s">
        <v>319</v>
      </c>
      <c r="F336" s="9" t="s">
        <v>222</v>
      </c>
      <c r="G336" s="9">
        <v>25.0</v>
      </c>
      <c r="H336" s="13">
        <v>5.1</v>
      </c>
      <c r="I336" s="13">
        <v>1.0</v>
      </c>
      <c r="J336" s="13" t="str">
        <f>VLOOKUP($A336,covariates!$A$3:$H$1126,5,false)</f>
        <v>at surgery</v>
      </c>
      <c r="K336" s="55" t="str">
        <f>VLOOKUP($A336,covariates!$A$3:$H$1126,6,false)</f>
        <v/>
      </c>
      <c r="L336" s="55">
        <f>VLOOKUP($A336,covariates!$A$3:$H$1126,7,false)</f>
        <v>28.12</v>
      </c>
      <c r="M336" s="55">
        <f>VLOOKUP($A336,covariates!$A$3:$H$1126,8,false)</f>
        <v>5.21</v>
      </c>
    </row>
    <row r="337">
      <c r="A337" s="15">
        <v>58.0</v>
      </c>
      <c r="B337" s="17" t="str">
        <f t="shared" si="198"/>
        <v>Malik et al., 2026</v>
      </c>
      <c r="C337" s="15">
        <v>58.0</v>
      </c>
      <c r="D337" s="9" t="s">
        <v>186</v>
      </c>
      <c r="E337" s="19" t="s">
        <v>319</v>
      </c>
      <c r="F337" s="9" t="s">
        <v>222</v>
      </c>
      <c r="G337" s="9">
        <v>25.0</v>
      </c>
      <c r="H337" s="13">
        <v>5.6</v>
      </c>
      <c r="I337" s="13">
        <v>0.9</v>
      </c>
      <c r="J337" s="13" t="str">
        <f>VLOOKUP($A337,covariates!$A$3:$H$1126,5,false)</f>
        <v>at surgery</v>
      </c>
      <c r="K337" s="55" t="str">
        <f>VLOOKUP($A337,covariates!$A$3:$H$1126,6,false)</f>
        <v/>
      </c>
      <c r="L337" s="55">
        <f>VLOOKUP($A337,covariates!$A$3:$H$1126,7,false)</f>
        <v>28.12</v>
      </c>
      <c r="M337" s="55">
        <f>VLOOKUP($A337,covariates!$A$3:$H$1126,8,false)</f>
        <v>5.21</v>
      </c>
    </row>
    <row r="338">
      <c r="A338" s="15">
        <v>70.0</v>
      </c>
      <c r="B338" s="17" t="str">
        <f t="shared" ref="B338:B339" si="199">HYPERLINK("https://github.com/d-wkim/phd/blob/main/data/pdf/noh_2011.pdf","Noh et al., 2011")</f>
        <v>Noh et al., 2011</v>
      </c>
      <c r="C338" s="15">
        <v>70.0</v>
      </c>
      <c r="D338" s="9" t="s">
        <v>84</v>
      </c>
      <c r="E338" s="19" t="s">
        <v>319</v>
      </c>
      <c r="F338" s="9" t="s">
        <v>222</v>
      </c>
      <c r="G338" s="9">
        <v>33.0</v>
      </c>
      <c r="H338" s="13">
        <v>6.0</v>
      </c>
      <c r="I338" s="13" t="str">
        <f t="shared" ref="I338:I341" si="200">iferror(RANGE_SD(G338,#REF!,#REF!),"")</f>
        <v/>
      </c>
      <c r="J338" s="13" t="str">
        <f>VLOOKUP($A338,covariates!$A$3:$H$1126,5,false)</f>
        <v>at surgery</v>
      </c>
      <c r="K338" s="55" t="str">
        <f>VLOOKUP($A338,covariates!$A$3:$H$1126,6,false)</f>
        <v/>
      </c>
      <c r="L338" s="55">
        <f>VLOOKUP($A338,covariates!$A$3:$H$1126,7,false)</f>
        <v>25.81397443</v>
      </c>
      <c r="M338" s="55">
        <f>VLOOKUP($A338,covariates!$A$3:$H$1126,8,false)</f>
        <v>7.455</v>
      </c>
    </row>
    <row r="339">
      <c r="A339" s="15">
        <v>70.0</v>
      </c>
      <c r="B339" s="17" t="str">
        <f t="shared" si="199"/>
        <v>Noh et al., 2011</v>
      </c>
      <c r="C339" s="15">
        <v>70.0</v>
      </c>
      <c r="D339" s="9" t="s">
        <v>246</v>
      </c>
      <c r="E339" s="19" t="s">
        <v>319</v>
      </c>
      <c r="F339" s="9" t="s">
        <v>222</v>
      </c>
      <c r="G339" s="9">
        <v>32.0</v>
      </c>
      <c r="H339" s="13">
        <v>6.0</v>
      </c>
      <c r="I339" s="13" t="str">
        <f t="shared" si="200"/>
        <v/>
      </c>
      <c r="J339" s="13" t="str">
        <f>VLOOKUP($A339,covariates!$A$3:$H$1126,5,false)</f>
        <v>at surgery</v>
      </c>
      <c r="K339" s="55" t="str">
        <f>VLOOKUP($A339,covariates!$A$3:$H$1126,6,false)</f>
        <v/>
      </c>
      <c r="L339" s="55">
        <f>VLOOKUP($A339,covariates!$A$3:$H$1126,7,false)</f>
        <v>25.81397443</v>
      </c>
      <c r="M339" s="55">
        <f>VLOOKUP($A339,covariates!$A$3:$H$1126,8,false)</f>
        <v>7.455</v>
      </c>
    </row>
    <row r="340">
      <c r="A340" s="15">
        <v>77.0</v>
      </c>
      <c r="B340" s="17" t="str">
        <f t="shared" ref="B340:B341" si="201">HYPERLINK("https://github.com/d-wkim/phd/blob/main/data/pdf/popovic_2024.pdf","Popovic et al., 2024")</f>
        <v>Popovic et al., 2024</v>
      </c>
      <c r="C340" s="15">
        <v>77.0</v>
      </c>
      <c r="D340" s="9" t="s">
        <v>42</v>
      </c>
      <c r="E340" s="19" t="s">
        <v>319</v>
      </c>
      <c r="F340" s="9" t="s">
        <v>222</v>
      </c>
      <c r="G340" s="9">
        <v>38.0</v>
      </c>
      <c r="H340" s="13">
        <v>4.0</v>
      </c>
      <c r="I340" s="13" t="str">
        <f t="shared" si="200"/>
        <v/>
      </c>
      <c r="J340" s="13" t="str">
        <f>VLOOKUP($A340,covariates!$A$3:$H$1126,5,false)</f>
        <v>at surgery</v>
      </c>
      <c r="K340" s="55" t="str">
        <f>VLOOKUP($A340,covariates!$A$3:$H$1126,6,false)</f>
        <v/>
      </c>
      <c r="L340" s="55">
        <f>VLOOKUP($A340,covariates!$A$3:$H$1126,7,false)</f>
        <v>27</v>
      </c>
      <c r="M340" s="55">
        <f>VLOOKUP($A340,covariates!$A$3:$H$1126,8,false)</f>
        <v>6.82</v>
      </c>
    </row>
    <row r="341">
      <c r="A341" s="15">
        <v>77.0</v>
      </c>
      <c r="B341" s="17" t="str">
        <f t="shared" si="201"/>
        <v>Popovic et al., 2024</v>
      </c>
      <c r="C341" s="15">
        <v>77.0</v>
      </c>
      <c r="D341" s="9" t="s">
        <v>84</v>
      </c>
      <c r="E341" s="19" t="s">
        <v>319</v>
      </c>
      <c r="F341" s="9" t="s">
        <v>222</v>
      </c>
      <c r="G341" s="9">
        <v>33.0</v>
      </c>
      <c r="H341" s="13">
        <v>5.0</v>
      </c>
      <c r="I341" s="13" t="str">
        <f t="shared" si="200"/>
        <v/>
      </c>
      <c r="J341" s="13" t="str">
        <f>VLOOKUP($A341,covariates!$A$3:$H$1126,5,false)</f>
        <v>at surgery</v>
      </c>
      <c r="K341" s="55" t="str">
        <f>VLOOKUP($A341,covariates!$A$3:$H$1126,6,false)</f>
        <v/>
      </c>
      <c r="L341" s="55">
        <f>VLOOKUP($A341,covariates!$A$3:$H$1126,7,false)</f>
        <v>27</v>
      </c>
      <c r="M341" s="55">
        <f>VLOOKUP($A341,covariates!$A$3:$H$1126,8,false)</f>
        <v>6.82</v>
      </c>
    </row>
    <row r="342">
      <c r="A342" s="15">
        <v>87.0</v>
      </c>
      <c r="B342" s="17" t="str">
        <f t="shared" ref="B342:B343" si="202">HYPERLINK("https://github.com/d-wkim/phd/blob/main/data/pdf/sonnery-cottet_2026.pdf","Sonnery-cottet et al., 2026")</f>
        <v>Sonnery-cottet et al., 2026</v>
      </c>
      <c r="C342" s="15">
        <v>87.0</v>
      </c>
      <c r="D342" s="9" t="s">
        <v>42</v>
      </c>
      <c r="E342" s="7" t="s">
        <v>319</v>
      </c>
      <c r="F342" s="9" t="s">
        <v>222</v>
      </c>
      <c r="G342" s="9">
        <v>296.0</v>
      </c>
      <c r="H342" s="13">
        <v>6.6</v>
      </c>
      <c r="I342" s="13">
        <v>1.6</v>
      </c>
      <c r="J342" s="13" t="str">
        <f>VLOOKUP($A342,covariates!$A$3:$H$1126,5,false)</f>
        <v>at surgery</v>
      </c>
      <c r="K342" s="55" t="str">
        <f>VLOOKUP($A342,covariates!$A$3:$H$1126,6,false)</f>
        <v/>
      </c>
      <c r="L342" s="55">
        <f>VLOOKUP($A342,covariates!$A$3:$H$1126,7,false)</f>
        <v>24.8</v>
      </c>
      <c r="M342" s="55">
        <f>VLOOKUP($A342,covariates!$A$3:$H$1126,8,false)</f>
        <v>4.4</v>
      </c>
    </row>
    <row r="343">
      <c r="A343" s="15">
        <v>87.0</v>
      </c>
      <c r="B343" s="17" t="str">
        <f t="shared" si="202"/>
        <v>Sonnery-cottet et al., 2026</v>
      </c>
      <c r="C343" s="15">
        <v>87.0</v>
      </c>
      <c r="D343" s="9" t="s">
        <v>84</v>
      </c>
      <c r="E343" s="7" t="s">
        <v>319</v>
      </c>
      <c r="F343" s="9" t="s">
        <v>222</v>
      </c>
      <c r="G343" s="9">
        <v>297.0</v>
      </c>
      <c r="H343" s="13">
        <v>6.7</v>
      </c>
      <c r="I343" s="13">
        <v>1.7</v>
      </c>
      <c r="J343" s="13" t="str">
        <f>VLOOKUP($A343,covariates!$A$3:$H$1126,5,false)</f>
        <v>at surgery</v>
      </c>
      <c r="K343" s="55" t="str">
        <f>VLOOKUP($A343,covariates!$A$3:$H$1126,6,false)</f>
        <v/>
      </c>
      <c r="L343" s="55">
        <f>VLOOKUP($A343,covariates!$A$3:$H$1126,7,false)</f>
        <v>24.8</v>
      </c>
      <c r="M343" s="55">
        <f>VLOOKUP($A343,covariates!$A$3:$H$1126,8,false)</f>
        <v>4.4</v>
      </c>
    </row>
    <row r="344">
      <c r="A344" s="15">
        <v>90.0</v>
      </c>
      <c r="B344" s="17" t="str">
        <f t="shared" ref="B344:B345" si="203">HYPERLINK("https://github.com/d-wkim/phd/blob/main/data/pdf/taylor_2009.pdf","Taylor et al., 2009")</f>
        <v>Taylor et al., 2009</v>
      </c>
      <c r="C344" s="15">
        <v>90.0</v>
      </c>
      <c r="D344" s="9" t="s">
        <v>42</v>
      </c>
      <c r="E344" s="19" t="s">
        <v>319</v>
      </c>
      <c r="F344" s="9" t="s">
        <v>222</v>
      </c>
      <c r="G344" s="9">
        <v>20.0</v>
      </c>
      <c r="H344" s="13">
        <v>6.8</v>
      </c>
      <c r="I344" s="13">
        <v>3.27</v>
      </c>
      <c r="J344" s="13" t="str">
        <f>VLOOKUP($A344,covariates!$A$3:$H$1126,5,false)</f>
        <v>at surgery</v>
      </c>
      <c r="K344" s="55" t="str">
        <f>VLOOKUP($A344,covariates!$A$3:$H$1126,6,false)</f>
        <v/>
      </c>
      <c r="L344" s="55">
        <f>VLOOKUP($A344,covariates!$A$3:$H$1126,7,false)</f>
        <v>21.7</v>
      </c>
      <c r="M344" s="55">
        <f>VLOOKUP($A344,covariates!$A$3:$H$1126,8,false)</f>
        <v>4.597</v>
      </c>
    </row>
    <row r="345">
      <c r="A345" s="15">
        <v>90.0</v>
      </c>
      <c r="B345" s="17" t="str">
        <f t="shared" si="203"/>
        <v>Taylor et al., 2009</v>
      </c>
      <c r="C345" s="15">
        <v>90.0</v>
      </c>
      <c r="D345" s="9" t="s">
        <v>84</v>
      </c>
      <c r="E345" s="19" t="s">
        <v>319</v>
      </c>
      <c r="F345" s="9" t="s">
        <v>222</v>
      </c>
      <c r="G345" s="9">
        <v>24.0</v>
      </c>
      <c r="H345" s="13">
        <v>5.3</v>
      </c>
      <c r="I345" s="13">
        <v>3.58</v>
      </c>
      <c r="J345" s="13" t="str">
        <f>VLOOKUP($A345,covariates!$A$3:$H$1126,5,false)</f>
        <v>at surgery</v>
      </c>
      <c r="K345" s="55" t="str">
        <f>VLOOKUP($A345,covariates!$A$3:$H$1126,6,false)</f>
        <v/>
      </c>
      <c r="L345" s="55">
        <f>VLOOKUP($A345,covariates!$A$3:$H$1126,7,false)</f>
        <v>21.7</v>
      </c>
      <c r="M345" s="55">
        <f>VLOOKUP($A345,covariates!$A$3:$H$1126,8,false)</f>
        <v>4.597</v>
      </c>
    </row>
    <row r="346">
      <c r="A346" s="15">
        <v>96.0</v>
      </c>
      <c r="B346" s="17" t="str">
        <f t="shared" ref="B346:B347" si="204">HYPERLINK("https://github.com/d-wkim/phd/blob/main/data/pdf/wipfler_2011.pdf","Wipfler et al., 2011")</f>
        <v>Wipfler et al., 2011</v>
      </c>
      <c r="C346" s="15">
        <v>96.0</v>
      </c>
      <c r="D346" s="9" t="s">
        <v>42</v>
      </c>
      <c r="E346" s="7" t="s">
        <v>319</v>
      </c>
      <c r="F346" s="9" t="s">
        <v>222</v>
      </c>
      <c r="G346" s="9">
        <v>29.0</v>
      </c>
      <c r="H346" s="13">
        <v>6.2</v>
      </c>
      <c r="I346" s="13">
        <v>0.346</v>
      </c>
      <c r="J346" s="13" t="str">
        <f>VLOOKUP($A346,covariates!$A$3:$H$1126,5,false)</f>
        <v>at surgery</v>
      </c>
      <c r="K346" s="55" t="str">
        <f>VLOOKUP($A346,covariates!$A$3:$H$1126,6,false)</f>
        <v/>
      </c>
      <c r="L346" s="55">
        <f>VLOOKUP($A346,covariates!$A$3:$H$1126,7,false)</f>
        <v>29.87</v>
      </c>
      <c r="M346" s="55">
        <f>VLOOKUP($A346,covariates!$A$3:$H$1126,8,false)</f>
        <v>7.304</v>
      </c>
    </row>
    <row r="347">
      <c r="A347" s="15">
        <v>96.0</v>
      </c>
      <c r="B347" s="17" t="str">
        <f t="shared" si="204"/>
        <v>Wipfler et al., 2011</v>
      </c>
      <c r="C347" s="15">
        <v>96.0</v>
      </c>
      <c r="D347" s="9" t="s">
        <v>84</v>
      </c>
      <c r="E347" s="7" t="s">
        <v>319</v>
      </c>
      <c r="F347" s="9" t="s">
        <v>222</v>
      </c>
      <c r="G347" s="9">
        <v>25.0</v>
      </c>
      <c r="H347" s="13">
        <v>6.14</v>
      </c>
      <c r="I347" s="13">
        <v>0.368</v>
      </c>
      <c r="J347" s="13" t="str">
        <f>VLOOKUP($A347,covariates!$A$3:$H$1126,5,false)</f>
        <v>at surgery</v>
      </c>
      <c r="K347" s="55" t="str">
        <f>VLOOKUP($A347,covariates!$A$3:$H$1126,6,false)</f>
        <v/>
      </c>
      <c r="L347" s="55">
        <f>VLOOKUP($A347,covariates!$A$3:$H$1126,7,false)</f>
        <v>29.87</v>
      </c>
      <c r="M347" s="55">
        <f>VLOOKUP($A347,covariates!$A$3:$H$1126,8,false)</f>
        <v>7.304</v>
      </c>
    </row>
    <row r="348">
      <c r="A348" s="15">
        <v>98.0</v>
      </c>
      <c r="B348" s="17" t="str">
        <f t="shared" ref="B348:B349" si="205">HYPERLINK("https://github.com/d-wkim/phd/blob/main/data/pdf/yoo_2017.pdf","Yoo et al., 2017")</f>
        <v>Yoo et al., 2017</v>
      </c>
      <c r="C348" s="15">
        <v>98.0</v>
      </c>
      <c r="D348" s="9" t="s">
        <v>84</v>
      </c>
      <c r="E348" s="19" t="s">
        <v>319</v>
      </c>
      <c r="F348" s="9" t="s">
        <v>222</v>
      </c>
      <c r="G348" s="9">
        <v>68.0</v>
      </c>
      <c r="H348" s="13">
        <v>5.0</v>
      </c>
      <c r="I348" s="13" t="str">
        <f t="shared" ref="I348:I349" si="206">iferror(RANGE_SD(G348,#REF!,#REF!),"")</f>
        <v/>
      </c>
      <c r="J348" s="13" t="str">
        <f>VLOOKUP($A348,covariates!$A$3:$H$1126,5,false)</f>
        <v>at surgery</v>
      </c>
      <c r="K348" s="55" t="str">
        <f>VLOOKUP($A348,covariates!$A$3:$H$1126,6,false)</f>
        <v/>
      </c>
      <c r="L348" s="55">
        <f>VLOOKUP($A348,covariates!$A$3:$H$1126,7,false)</f>
        <v>30</v>
      </c>
      <c r="M348" s="55">
        <f>VLOOKUP($A348,covariates!$A$3:$H$1126,8,false)</f>
        <v>9.961</v>
      </c>
    </row>
    <row r="349">
      <c r="A349" s="15">
        <v>98.0</v>
      </c>
      <c r="B349" s="17" t="str">
        <f t="shared" si="205"/>
        <v>Yoo et al., 2017</v>
      </c>
      <c r="C349" s="15">
        <v>98.0</v>
      </c>
      <c r="D349" s="9" t="s">
        <v>205</v>
      </c>
      <c r="E349" s="19" t="s">
        <v>319</v>
      </c>
      <c r="F349" s="9" t="s">
        <v>222</v>
      </c>
      <c r="G349" s="9">
        <v>64.0</v>
      </c>
      <c r="H349" s="13">
        <v>5.0</v>
      </c>
      <c r="I349" s="13" t="str">
        <f t="shared" si="206"/>
        <v/>
      </c>
      <c r="J349" s="13" t="str">
        <f>VLOOKUP($A349,covariates!$A$3:$H$1126,5,false)</f>
        <v>at surgery</v>
      </c>
      <c r="K349" s="55" t="str">
        <f>VLOOKUP($A349,covariates!$A$3:$H$1126,6,false)</f>
        <v/>
      </c>
      <c r="L349" s="55">
        <f>VLOOKUP($A349,covariates!$A$3:$H$1126,7,false)</f>
        <v>30</v>
      </c>
      <c r="M349" s="55">
        <f>VLOOKUP($A349,covariates!$A$3:$H$1126,8,false)</f>
        <v>9.961</v>
      </c>
    </row>
  </sheetData>
  <autoFilter ref="$A$1:$M$349">
    <sortState ref="A1:M349">
      <sortCondition ref="E1:E349"/>
    </sortState>
  </autoFilter>
  <conditionalFormatting sqref="A346:M349">
    <cfRule type="expression" dxfId="0" priority="1">
      <formula>#REF!="Excluded"</formula>
    </cfRule>
  </conditionalFormatting>
  <conditionalFormatting sqref="C346:D349">
    <cfRule type="cellIs" dxfId="1" priority="2" operator="equal">
      <formula>"patellar"</formula>
    </cfRule>
  </conditionalFormatting>
  <conditionalFormatting sqref="C346:D349">
    <cfRule type="cellIs" dxfId="2" priority="3" operator="equal">
      <formula>"hamstring"</formula>
    </cfRule>
  </conditionalFormatting>
  <conditionalFormatting sqref="C346:D349">
    <cfRule type="cellIs" dxfId="3" priority="4" operator="equal">
      <formula>"quadriceps"</formula>
    </cfRule>
  </conditionalFormatting>
  <conditionalFormatting sqref="C346:D349">
    <cfRule type="cellIs" dxfId="4" priority="5" operator="equal">
      <formula>"tibialis"</formula>
    </cfRule>
  </conditionalFormatting>
  <conditionalFormatting sqref="A338:M345">
    <cfRule type="expression" dxfId="0" priority="6">
      <formula>#REF!="Excluded"</formula>
    </cfRule>
  </conditionalFormatting>
  <conditionalFormatting sqref="C338:D345">
    <cfRule type="cellIs" dxfId="1" priority="7" operator="equal">
      <formula>"patellar"</formula>
    </cfRule>
  </conditionalFormatting>
  <conditionalFormatting sqref="C338:D345">
    <cfRule type="cellIs" dxfId="2" priority="8" operator="equal">
      <formula>"hamstring"</formula>
    </cfRule>
  </conditionalFormatting>
  <conditionalFormatting sqref="C338:D345">
    <cfRule type="cellIs" dxfId="3" priority="9" operator="equal">
      <formula>"quadriceps"</formula>
    </cfRule>
  </conditionalFormatting>
  <conditionalFormatting sqref="C338:D345">
    <cfRule type="cellIs" dxfId="4" priority="10" operator="equal">
      <formula>"tibialis"</formula>
    </cfRule>
  </conditionalFormatting>
  <conditionalFormatting sqref="A336:M337">
    <cfRule type="expression" dxfId="0" priority="11">
      <formula>#REF!="Excluded"</formula>
    </cfRule>
  </conditionalFormatting>
  <conditionalFormatting sqref="C336:D337">
    <cfRule type="cellIs" dxfId="1" priority="12" operator="equal">
      <formula>"patellar"</formula>
    </cfRule>
  </conditionalFormatting>
  <conditionalFormatting sqref="C336:D337">
    <cfRule type="cellIs" dxfId="2" priority="13" operator="equal">
      <formula>"hamstring"</formula>
    </cfRule>
  </conditionalFormatting>
  <conditionalFormatting sqref="C336:D337">
    <cfRule type="cellIs" dxfId="3" priority="14" operator="equal">
      <formula>"quadriceps"</formula>
    </cfRule>
  </conditionalFormatting>
  <conditionalFormatting sqref="C336:D337">
    <cfRule type="cellIs" dxfId="4" priority="15" operator="equal">
      <formula>"tibialis"</formula>
    </cfRule>
  </conditionalFormatting>
  <conditionalFormatting sqref="A318:M335">
    <cfRule type="expression" dxfId="0" priority="16">
      <formula>#REF!="Excluded"</formula>
    </cfRule>
  </conditionalFormatting>
  <conditionalFormatting sqref="C318:D335">
    <cfRule type="cellIs" dxfId="1" priority="17" operator="equal">
      <formula>"patellar"</formula>
    </cfRule>
  </conditionalFormatting>
  <conditionalFormatting sqref="C318:D335">
    <cfRule type="cellIs" dxfId="2" priority="18" operator="equal">
      <formula>"hamstring"</formula>
    </cfRule>
  </conditionalFormatting>
  <conditionalFormatting sqref="C318:D335">
    <cfRule type="cellIs" dxfId="3" priority="19" operator="equal">
      <formula>"quadriceps"</formula>
    </cfRule>
  </conditionalFormatting>
  <conditionalFormatting sqref="C318:D335">
    <cfRule type="cellIs" dxfId="4" priority="20" operator="equal">
      <formula>"tibialis"</formula>
    </cfRule>
  </conditionalFormatting>
  <conditionalFormatting sqref="A312:M317">
    <cfRule type="expression" dxfId="0" priority="21">
      <formula>#REF!="Excluded"</formula>
    </cfRule>
  </conditionalFormatting>
  <conditionalFormatting sqref="C312:D317">
    <cfRule type="cellIs" dxfId="1" priority="22" operator="equal">
      <formula>"patellar"</formula>
    </cfRule>
  </conditionalFormatting>
  <conditionalFormatting sqref="C312:D317">
    <cfRule type="cellIs" dxfId="2" priority="23" operator="equal">
      <formula>"hamstring"</formula>
    </cfRule>
  </conditionalFormatting>
  <conditionalFormatting sqref="C312:D317">
    <cfRule type="cellIs" dxfId="3" priority="24" operator="equal">
      <formula>"quadriceps"</formula>
    </cfRule>
  </conditionalFormatting>
  <conditionalFormatting sqref="C312:D317">
    <cfRule type="cellIs" dxfId="4" priority="25" operator="equal">
      <formula>"tibialis"</formula>
    </cfRule>
  </conditionalFormatting>
  <conditionalFormatting sqref="A300:M311">
    <cfRule type="expression" dxfId="0" priority="26">
      <formula>#REF!="Excluded"</formula>
    </cfRule>
  </conditionalFormatting>
  <conditionalFormatting sqref="C300:D311">
    <cfRule type="cellIs" dxfId="1" priority="27" operator="equal">
      <formula>"patellar"</formula>
    </cfRule>
  </conditionalFormatting>
  <conditionalFormatting sqref="C300:D311">
    <cfRule type="cellIs" dxfId="2" priority="28" operator="equal">
      <formula>"hamstring"</formula>
    </cfRule>
  </conditionalFormatting>
  <conditionalFormatting sqref="C300:D311">
    <cfRule type="cellIs" dxfId="3" priority="29" operator="equal">
      <formula>"quadriceps"</formula>
    </cfRule>
  </conditionalFormatting>
  <conditionalFormatting sqref="C300:D311">
    <cfRule type="cellIs" dxfId="4" priority="30" operator="equal">
      <formula>"tibialis"</formula>
    </cfRule>
  </conditionalFormatting>
  <conditionalFormatting sqref="A292:M299">
    <cfRule type="expression" dxfId="0" priority="31">
      <formula>#REF!="Excluded"</formula>
    </cfRule>
  </conditionalFormatting>
  <conditionalFormatting sqref="C292:D299">
    <cfRule type="cellIs" dxfId="1" priority="32" operator="equal">
      <formula>"patellar"</formula>
    </cfRule>
  </conditionalFormatting>
  <conditionalFormatting sqref="C292:D299">
    <cfRule type="cellIs" dxfId="2" priority="33" operator="equal">
      <formula>"hamstring"</formula>
    </cfRule>
  </conditionalFormatting>
  <conditionalFormatting sqref="C292:D299">
    <cfRule type="cellIs" dxfId="3" priority="34" operator="equal">
      <formula>"quadriceps"</formula>
    </cfRule>
  </conditionalFormatting>
  <conditionalFormatting sqref="C292:D299">
    <cfRule type="cellIs" dxfId="4" priority="35" operator="equal">
      <formula>"tibialis"</formula>
    </cfRule>
  </conditionalFormatting>
  <conditionalFormatting sqref="A278:M291">
    <cfRule type="expression" dxfId="0" priority="36">
      <formula>#REF!="Excluded"</formula>
    </cfRule>
  </conditionalFormatting>
  <conditionalFormatting sqref="C278:D291">
    <cfRule type="cellIs" dxfId="1" priority="37" operator="equal">
      <formula>"patellar"</formula>
    </cfRule>
  </conditionalFormatting>
  <conditionalFormatting sqref="C278:D291">
    <cfRule type="cellIs" dxfId="2" priority="38" operator="equal">
      <formula>"hamstring"</formula>
    </cfRule>
  </conditionalFormatting>
  <conditionalFormatting sqref="C278:D291">
    <cfRule type="cellIs" dxfId="3" priority="39" operator="equal">
      <formula>"quadriceps"</formula>
    </cfRule>
  </conditionalFormatting>
  <conditionalFormatting sqref="C278:D291">
    <cfRule type="cellIs" dxfId="4" priority="40" operator="equal">
      <formula>"tibialis"</formula>
    </cfRule>
  </conditionalFormatting>
  <conditionalFormatting sqref="A276:M277">
    <cfRule type="expression" dxfId="0" priority="41">
      <formula>#REF!="Excluded"</formula>
    </cfRule>
  </conditionalFormatting>
  <conditionalFormatting sqref="C276:D277">
    <cfRule type="cellIs" dxfId="1" priority="42" operator="equal">
      <formula>"patellar"</formula>
    </cfRule>
  </conditionalFormatting>
  <conditionalFormatting sqref="C276:D277">
    <cfRule type="cellIs" dxfId="2" priority="43" operator="equal">
      <formula>"hamstring"</formula>
    </cfRule>
  </conditionalFormatting>
  <conditionalFormatting sqref="C276:D277">
    <cfRule type="cellIs" dxfId="3" priority="44" operator="equal">
      <formula>"quadriceps"</formula>
    </cfRule>
  </conditionalFormatting>
  <conditionalFormatting sqref="C276:D277">
    <cfRule type="cellIs" dxfId="4" priority="45" operator="equal">
      <formula>"tibialis"</formula>
    </cfRule>
  </conditionalFormatting>
  <conditionalFormatting sqref="A262:M275">
    <cfRule type="expression" dxfId="0" priority="46">
      <formula>#REF!="Excluded"</formula>
    </cfRule>
  </conditionalFormatting>
  <conditionalFormatting sqref="C262:D275">
    <cfRule type="cellIs" dxfId="1" priority="47" operator="equal">
      <formula>"patellar"</formula>
    </cfRule>
  </conditionalFormatting>
  <conditionalFormatting sqref="C262:D275">
    <cfRule type="cellIs" dxfId="2" priority="48" operator="equal">
      <formula>"hamstring"</formula>
    </cfRule>
  </conditionalFormatting>
  <conditionalFormatting sqref="C262:D275">
    <cfRule type="cellIs" dxfId="3" priority="49" operator="equal">
      <formula>"quadriceps"</formula>
    </cfRule>
  </conditionalFormatting>
  <conditionalFormatting sqref="C262:D275">
    <cfRule type="cellIs" dxfId="4" priority="50" operator="equal">
      <formula>"tibialis"</formula>
    </cfRule>
  </conditionalFormatting>
  <conditionalFormatting sqref="A256:M261">
    <cfRule type="expression" dxfId="0" priority="51">
      <formula>#REF!="Excluded"</formula>
    </cfRule>
  </conditionalFormatting>
  <conditionalFormatting sqref="C256:D261">
    <cfRule type="cellIs" dxfId="1" priority="52" operator="equal">
      <formula>"patellar"</formula>
    </cfRule>
  </conditionalFormatting>
  <conditionalFormatting sqref="C256:D261">
    <cfRule type="cellIs" dxfId="2" priority="53" operator="equal">
      <formula>"hamstring"</formula>
    </cfRule>
  </conditionalFormatting>
  <conditionalFormatting sqref="C256:D261">
    <cfRule type="cellIs" dxfId="3" priority="54" operator="equal">
      <formula>"quadriceps"</formula>
    </cfRule>
  </conditionalFormatting>
  <conditionalFormatting sqref="C256:D261">
    <cfRule type="cellIs" dxfId="4" priority="55" operator="equal">
      <formula>"tibialis"</formula>
    </cfRule>
  </conditionalFormatting>
  <conditionalFormatting sqref="A236:M255">
    <cfRule type="expression" dxfId="0" priority="56">
      <formula>#REF!="Excluded"</formula>
    </cfRule>
  </conditionalFormatting>
  <conditionalFormatting sqref="C236:D255">
    <cfRule type="cellIs" dxfId="1" priority="57" operator="equal">
      <formula>"patellar"</formula>
    </cfRule>
  </conditionalFormatting>
  <conditionalFormatting sqref="C236:D255">
    <cfRule type="cellIs" dxfId="2" priority="58" operator="equal">
      <formula>"hamstring"</formula>
    </cfRule>
  </conditionalFormatting>
  <conditionalFormatting sqref="C236:D255">
    <cfRule type="cellIs" dxfId="3" priority="59" operator="equal">
      <formula>"quadriceps"</formula>
    </cfRule>
  </conditionalFormatting>
  <conditionalFormatting sqref="C236:D255">
    <cfRule type="cellIs" dxfId="4" priority="60" operator="equal">
      <formula>"tibialis"</formula>
    </cfRule>
  </conditionalFormatting>
  <conditionalFormatting sqref="A234:M235 K325:M325">
    <cfRule type="expression" dxfId="0" priority="61">
      <formula>#REF!="Excluded"</formula>
    </cfRule>
  </conditionalFormatting>
  <conditionalFormatting sqref="C234:D235">
    <cfRule type="cellIs" dxfId="1" priority="62" operator="equal">
      <formula>"patellar"</formula>
    </cfRule>
  </conditionalFormatting>
  <conditionalFormatting sqref="C234:D235">
    <cfRule type="cellIs" dxfId="2" priority="63" operator="equal">
      <formula>"hamstring"</formula>
    </cfRule>
  </conditionalFormatting>
  <conditionalFormatting sqref="C234:D235">
    <cfRule type="cellIs" dxfId="3" priority="64" operator="equal">
      <formula>"quadriceps"</formula>
    </cfRule>
  </conditionalFormatting>
  <conditionalFormatting sqref="C234:D235">
    <cfRule type="cellIs" dxfId="4" priority="65" operator="equal">
      <formula>"tibialis"</formula>
    </cfRule>
  </conditionalFormatting>
  <conditionalFormatting sqref="A228:M233">
    <cfRule type="expression" dxfId="0" priority="66">
      <formula>#REF!="Excluded"</formula>
    </cfRule>
  </conditionalFormatting>
  <conditionalFormatting sqref="C228:D233">
    <cfRule type="cellIs" dxfId="1" priority="67" operator="equal">
      <formula>"patellar"</formula>
    </cfRule>
  </conditionalFormatting>
  <conditionalFormatting sqref="C228:D233">
    <cfRule type="cellIs" dxfId="2" priority="68" operator="equal">
      <formula>"hamstring"</formula>
    </cfRule>
  </conditionalFormatting>
  <conditionalFormatting sqref="C228:D233">
    <cfRule type="cellIs" dxfId="3" priority="69" operator="equal">
      <formula>"quadriceps"</formula>
    </cfRule>
  </conditionalFormatting>
  <conditionalFormatting sqref="C228:D233">
    <cfRule type="cellIs" dxfId="4" priority="70" operator="equal">
      <formula>"tibialis"</formula>
    </cfRule>
  </conditionalFormatting>
  <conditionalFormatting sqref="A218:M227">
    <cfRule type="expression" dxfId="0" priority="71">
      <formula>#REF!="Excluded"</formula>
    </cfRule>
  </conditionalFormatting>
  <conditionalFormatting sqref="C218:D227">
    <cfRule type="cellIs" dxfId="1" priority="72" operator="equal">
      <formula>"patellar"</formula>
    </cfRule>
  </conditionalFormatting>
  <conditionalFormatting sqref="C218:D227">
    <cfRule type="cellIs" dxfId="2" priority="73" operator="equal">
      <formula>"hamstring"</formula>
    </cfRule>
  </conditionalFormatting>
  <conditionalFormatting sqref="C218:D227">
    <cfRule type="cellIs" dxfId="3" priority="74" operator="equal">
      <formula>"quadriceps"</formula>
    </cfRule>
  </conditionalFormatting>
  <conditionalFormatting sqref="C218:D227">
    <cfRule type="cellIs" dxfId="4" priority="75" operator="equal">
      <formula>"tibialis"</formula>
    </cfRule>
  </conditionalFormatting>
  <conditionalFormatting sqref="A212:M217">
    <cfRule type="expression" dxfId="0" priority="76">
      <formula>#REF!="Excluded"</formula>
    </cfRule>
  </conditionalFormatting>
  <conditionalFormatting sqref="C212:D217">
    <cfRule type="cellIs" dxfId="1" priority="77" operator="equal">
      <formula>"patellar"</formula>
    </cfRule>
  </conditionalFormatting>
  <conditionalFormatting sqref="C212:D217">
    <cfRule type="cellIs" dxfId="2" priority="78" operator="equal">
      <formula>"hamstring"</formula>
    </cfRule>
  </conditionalFormatting>
  <conditionalFormatting sqref="C212:D217">
    <cfRule type="cellIs" dxfId="3" priority="79" operator="equal">
      <formula>"quadriceps"</formula>
    </cfRule>
  </conditionalFormatting>
  <conditionalFormatting sqref="C212:D217">
    <cfRule type="cellIs" dxfId="4" priority="80" operator="equal">
      <formula>"tibialis"</formula>
    </cfRule>
  </conditionalFormatting>
  <conditionalFormatting sqref="A200:M211">
    <cfRule type="expression" dxfId="0" priority="81">
      <formula>#REF!="Excluded"</formula>
    </cfRule>
  </conditionalFormatting>
  <conditionalFormatting sqref="C200:D211">
    <cfRule type="cellIs" dxfId="1" priority="82" operator="equal">
      <formula>"patellar"</formula>
    </cfRule>
  </conditionalFormatting>
  <conditionalFormatting sqref="C200:D211">
    <cfRule type="cellIs" dxfId="2" priority="83" operator="equal">
      <formula>"hamstring"</formula>
    </cfRule>
  </conditionalFormatting>
  <conditionalFormatting sqref="C200:D211">
    <cfRule type="cellIs" dxfId="3" priority="84" operator="equal">
      <formula>"quadriceps"</formula>
    </cfRule>
  </conditionalFormatting>
  <conditionalFormatting sqref="C200:D211">
    <cfRule type="cellIs" dxfId="4" priority="85" operator="equal">
      <formula>"tibialis"</formula>
    </cfRule>
  </conditionalFormatting>
  <conditionalFormatting sqref="A184:M199">
    <cfRule type="expression" dxfId="0" priority="86">
      <formula>#REF!="Excluded"</formula>
    </cfRule>
  </conditionalFormatting>
  <conditionalFormatting sqref="C184:D199">
    <cfRule type="cellIs" dxfId="1" priority="87" operator="equal">
      <formula>"patellar"</formula>
    </cfRule>
  </conditionalFormatting>
  <conditionalFormatting sqref="C184:D199">
    <cfRule type="cellIs" dxfId="2" priority="88" operator="equal">
      <formula>"hamstring"</formula>
    </cfRule>
  </conditionalFormatting>
  <conditionalFormatting sqref="C184:D199">
    <cfRule type="cellIs" dxfId="3" priority="89" operator="equal">
      <formula>"quadriceps"</formula>
    </cfRule>
  </conditionalFormatting>
  <conditionalFormatting sqref="C184:D199">
    <cfRule type="cellIs" dxfId="4" priority="90" operator="equal">
      <formula>"tibialis"</formula>
    </cfRule>
  </conditionalFormatting>
  <conditionalFormatting sqref="A176:M183">
    <cfRule type="expression" dxfId="0" priority="91">
      <formula>#REF!="Excluded"</formula>
    </cfRule>
  </conditionalFormatting>
  <conditionalFormatting sqref="C176:D183">
    <cfRule type="cellIs" dxfId="1" priority="92" operator="equal">
      <formula>"patellar"</formula>
    </cfRule>
  </conditionalFormatting>
  <conditionalFormatting sqref="C176:D183">
    <cfRule type="cellIs" dxfId="2" priority="93" operator="equal">
      <formula>"hamstring"</formula>
    </cfRule>
  </conditionalFormatting>
  <conditionalFormatting sqref="C176:D183">
    <cfRule type="cellIs" dxfId="3" priority="94" operator="equal">
      <formula>"quadriceps"</formula>
    </cfRule>
  </conditionalFormatting>
  <conditionalFormatting sqref="C176:D183">
    <cfRule type="cellIs" dxfId="4" priority="95" operator="equal">
      <formula>"tibialis"</formula>
    </cfRule>
  </conditionalFormatting>
  <conditionalFormatting sqref="A168:M175">
    <cfRule type="expression" dxfId="0" priority="96">
      <formula>#REF!="Excluded"</formula>
    </cfRule>
  </conditionalFormatting>
  <conditionalFormatting sqref="C168:D175">
    <cfRule type="cellIs" dxfId="1" priority="97" operator="equal">
      <formula>"patellar"</formula>
    </cfRule>
  </conditionalFormatting>
  <conditionalFormatting sqref="C168:D175">
    <cfRule type="cellIs" dxfId="2" priority="98" operator="equal">
      <formula>"hamstring"</formula>
    </cfRule>
  </conditionalFormatting>
  <conditionalFormatting sqref="C168:D175">
    <cfRule type="cellIs" dxfId="3" priority="99" operator="equal">
      <formula>"quadriceps"</formula>
    </cfRule>
  </conditionalFormatting>
  <conditionalFormatting sqref="C168:D175">
    <cfRule type="cellIs" dxfId="4" priority="100" operator="equal">
      <formula>"tibialis"</formula>
    </cfRule>
  </conditionalFormatting>
  <conditionalFormatting sqref="A164:M167">
    <cfRule type="expression" dxfId="0" priority="101">
      <formula>#REF!="Excluded"</formula>
    </cfRule>
  </conditionalFormatting>
  <conditionalFormatting sqref="C164:D167">
    <cfRule type="cellIs" dxfId="1" priority="102" operator="equal">
      <formula>"patellar"</formula>
    </cfRule>
  </conditionalFormatting>
  <conditionalFormatting sqref="C164:D167">
    <cfRule type="cellIs" dxfId="2" priority="103" operator="equal">
      <formula>"hamstring"</formula>
    </cfRule>
  </conditionalFormatting>
  <conditionalFormatting sqref="C164:D167">
    <cfRule type="cellIs" dxfId="3" priority="104" operator="equal">
      <formula>"quadriceps"</formula>
    </cfRule>
  </conditionalFormatting>
  <conditionalFormatting sqref="C164:D167">
    <cfRule type="cellIs" dxfId="4" priority="105" operator="equal">
      <formula>"tibialis"</formula>
    </cfRule>
  </conditionalFormatting>
  <conditionalFormatting sqref="A152:M163">
    <cfRule type="expression" dxfId="0" priority="106">
      <formula>#REF!="Excluded"</formula>
    </cfRule>
  </conditionalFormatting>
  <conditionalFormatting sqref="C152:D163">
    <cfRule type="cellIs" dxfId="1" priority="107" operator="equal">
      <formula>"patellar"</formula>
    </cfRule>
  </conditionalFormatting>
  <conditionalFormatting sqref="C152:D163">
    <cfRule type="cellIs" dxfId="2" priority="108" operator="equal">
      <formula>"hamstring"</formula>
    </cfRule>
  </conditionalFormatting>
  <conditionalFormatting sqref="C152:D163">
    <cfRule type="cellIs" dxfId="3" priority="109" operator="equal">
      <formula>"quadriceps"</formula>
    </cfRule>
  </conditionalFormatting>
  <conditionalFormatting sqref="C152:D163">
    <cfRule type="cellIs" dxfId="4" priority="110" operator="equal">
      <formula>"tibialis"</formula>
    </cfRule>
  </conditionalFormatting>
  <conditionalFormatting sqref="A148:M151">
    <cfRule type="expression" dxfId="0" priority="111">
      <formula>#REF!="Excluded"</formula>
    </cfRule>
  </conditionalFormatting>
  <conditionalFormatting sqref="C148:D151">
    <cfRule type="cellIs" dxfId="1" priority="112" operator="equal">
      <formula>"patellar"</formula>
    </cfRule>
  </conditionalFormatting>
  <conditionalFormatting sqref="C148:D151">
    <cfRule type="cellIs" dxfId="2" priority="113" operator="equal">
      <formula>"hamstring"</formula>
    </cfRule>
  </conditionalFormatting>
  <conditionalFormatting sqref="C148:D151">
    <cfRule type="cellIs" dxfId="3" priority="114" operator="equal">
      <formula>"quadriceps"</formula>
    </cfRule>
  </conditionalFormatting>
  <conditionalFormatting sqref="C148:D151">
    <cfRule type="cellIs" dxfId="4" priority="115" operator="equal">
      <formula>"tibialis"</formula>
    </cfRule>
  </conditionalFormatting>
  <conditionalFormatting sqref="A144:M147">
    <cfRule type="expression" dxfId="0" priority="116">
      <formula>#REF!="Excluded"</formula>
    </cfRule>
  </conditionalFormatting>
  <conditionalFormatting sqref="C144:D147">
    <cfRule type="cellIs" dxfId="1" priority="117" operator="equal">
      <formula>"patellar"</formula>
    </cfRule>
  </conditionalFormatting>
  <conditionalFormatting sqref="C144:D147">
    <cfRule type="cellIs" dxfId="2" priority="118" operator="equal">
      <formula>"hamstring"</formula>
    </cfRule>
  </conditionalFormatting>
  <conditionalFormatting sqref="C144:D147">
    <cfRule type="cellIs" dxfId="3" priority="119" operator="equal">
      <formula>"quadriceps"</formula>
    </cfRule>
  </conditionalFormatting>
  <conditionalFormatting sqref="C144:D147">
    <cfRule type="cellIs" dxfId="4" priority="120" operator="equal">
      <formula>"tibialis"</formula>
    </cfRule>
  </conditionalFormatting>
  <conditionalFormatting sqref="A138:M143">
    <cfRule type="expression" dxfId="0" priority="121">
      <formula>#REF!="Excluded"</formula>
    </cfRule>
  </conditionalFormatting>
  <conditionalFormatting sqref="C138:D143">
    <cfRule type="cellIs" dxfId="1" priority="122" operator="equal">
      <formula>"patellar"</formula>
    </cfRule>
  </conditionalFormatting>
  <conditionalFormatting sqref="C138:D143">
    <cfRule type="cellIs" dxfId="2" priority="123" operator="equal">
      <formula>"hamstring"</formula>
    </cfRule>
  </conditionalFormatting>
  <conditionalFormatting sqref="C138:D143">
    <cfRule type="cellIs" dxfId="3" priority="124" operator="equal">
      <formula>"quadriceps"</formula>
    </cfRule>
  </conditionalFormatting>
  <conditionalFormatting sqref="C138:D143">
    <cfRule type="cellIs" dxfId="4" priority="125" operator="equal">
      <formula>"tibialis"</formula>
    </cfRule>
  </conditionalFormatting>
  <conditionalFormatting sqref="A130:M137">
    <cfRule type="expression" dxfId="0" priority="126">
      <formula>#REF!="Excluded"</formula>
    </cfRule>
  </conditionalFormatting>
  <conditionalFormatting sqref="C130:D137">
    <cfRule type="cellIs" dxfId="1" priority="127" operator="equal">
      <formula>"patellar"</formula>
    </cfRule>
  </conditionalFormatting>
  <conditionalFormatting sqref="C130:D137">
    <cfRule type="cellIs" dxfId="2" priority="128" operator="equal">
      <formula>"hamstring"</formula>
    </cfRule>
  </conditionalFormatting>
  <conditionalFormatting sqref="C130:D137">
    <cfRule type="cellIs" dxfId="3" priority="129" operator="equal">
      <formula>"quadriceps"</formula>
    </cfRule>
  </conditionalFormatting>
  <conditionalFormatting sqref="C130:D137">
    <cfRule type="cellIs" dxfId="4" priority="130" operator="equal">
      <formula>"tibialis"</formula>
    </cfRule>
  </conditionalFormatting>
  <conditionalFormatting sqref="A126:M129">
    <cfRule type="expression" dxfId="0" priority="131">
      <formula>#REF!="Excluded"</formula>
    </cfRule>
  </conditionalFormatting>
  <conditionalFormatting sqref="C126:D129">
    <cfRule type="cellIs" dxfId="1" priority="132" operator="equal">
      <formula>"patellar"</formula>
    </cfRule>
  </conditionalFormatting>
  <conditionalFormatting sqref="C126:D129">
    <cfRule type="cellIs" dxfId="2" priority="133" operator="equal">
      <formula>"hamstring"</formula>
    </cfRule>
  </conditionalFormatting>
  <conditionalFormatting sqref="C126:D129">
    <cfRule type="cellIs" dxfId="3" priority="134" operator="equal">
      <formula>"quadriceps"</formula>
    </cfRule>
  </conditionalFormatting>
  <conditionalFormatting sqref="C126:D129">
    <cfRule type="cellIs" dxfId="4" priority="135" operator="equal">
      <formula>"tibialis"</formula>
    </cfRule>
  </conditionalFormatting>
  <conditionalFormatting sqref="A114:M125">
    <cfRule type="expression" dxfId="0" priority="136">
      <formula>#REF!="Excluded"</formula>
    </cfRule>
  </conditionalFormatting>
  <conditionalFormatting sqref="C114:D125">
    <cfRule type="cellIs" dxfId="1" priority="137" operator="equal">
      <formula>"patellar"</formula>
    </cfRule>
  </conditionalFormatting>
  <conditionalFormatting sqref="C114:D125">
    <cfRule type="cellIs" dxfId="2" priority="138" operator="equal">
      <formula>"hamstring"</formula>
    </cfRule>
  </conditionalFormatting>
  <conditionalFormatting sqref="C114:D125">
    <cfRule type="cellIs" dxfId="3" priority="139" operator="equal">
      <formula>"quadriceps"</formula>
    </cfRule>
  </conditionalFormatting>
  <conditionalFormatting sqref="C114:D125">
    <cfRule type="cellIs" dxfId="4" priority="140" operator="equal">
      <formula>"tibialis"</formula>
    </cfRule>
  </conditionalFormatting>
  <conditionalFormatting sqref="A112:M113">
    <cfRule type="expression" dxfId="0" priority="141">
      <formula>#REF!="Excluded"</formula>
    </cfRule>
  </conditionalFormatting>
  <conditionalFormatting sqref="C112:D113">
    <cfRule type="cellIs" dxfId="1" priority="142" operator="equal">
      <formula>"patellar"</formula>
    </cfRule>
  </conditionalFormatting>
  <conditionalFormatting sqref="C112:D113">
    <cfRule type="cellIs" dxfId="2" priority="143" operator="equal">
      <formula>"hamstring"</formula>
    </cfRule>
  </conditionalFormatting>
  <conditionalFormatting sqref="C112:D113">
    <cfRule type="cellIs" dxfId="3" priority="144" operator="equal">
      <formula>"quadriceps"</formula>
    </cfRule>
  </conditionalFormatting>
  <conditionalFormatting sqref="C112:D113">
    <cfRule type="cellIs" dxfId="4" priority="145" operator="equal">
      <formula>"tibialis"</formula>
    </cfRule>
  </conditionalFormatting>
  <conditionalFormatting sqref="A104:M111">
    <cfRule type="expression" dxfId="0" priority="146">
      <formula>#REF!="Excluded"</formula>
    </cfRule>
  </conditionalFormatting>
  <conditionalFormatting sqref="C104:D111">
    <cfRule type="cellIs" dxfId="1" priority="147" operator="equal">
      <formula>"patellar"</formula>
    </cfRule>
  </conditionalFormatting>
  <conditionalFormatting sqref="C104:D111">
    <cfRule type="cellIs" dxfId="2" priority="148" operator="equal">
      <formula>"hamstring"</formula>
    </cfRule>
  </conditionalFormatting>
  <conditionalFormatting sqref="C104:D111">
    <cfRule type="cellIs" dxfId="3" priority="149" operator="equal">
      <formula>"quadriceps"</formula>
    </cfRule>
  </conditionalFormatting>
  <conditionalFormatting sqref="C104:D111">
    <cfRule type="cellIs" dxfId="4" priority="150" operator="equal">
      <formula>"tibialis"</formula>
    </cfRule>
  </conditionalFormatting>
  <conditionalFormatting sqref="A100:M103">
    <cfRule type="expression" dxfId="0" priority="151">
      <formula>#REF!="Excluded"</formula>
    </cfRule>
  </conditionalFormatting>
  <conditionalFormatting sqref="C100:D103">
    <cfRule type="cellIs" dxfId="1" priority="152" operator="equal">
      <formula>"patellar"</formula>
    </cfRule>
  </conditionalFormatting>
  <conditionalFormatting sqref="C100:D103">
    <cfRule type="cellIs" dxfId="2" priority="153" operator="equal">
      <formula>"hamstring"</formula>
    </cfRule>
  </conditionalFormatting>
  <conditionalFormatting sqref="C100:D103">
    <cfRule type="cellIs" dxfId="3" priority="154" operator="equal">
      <formula>"quadriceps"</formula>
    </cfRule>
  </conditionalFormatting>
  <conditionalFormatting sqref="C100:D103">
    <cfRule type="cellIs" dxfId="4" priority="155" operator="equal">
      <formula>"tibialis"</formula>
    </cfRule>
  </conditionalFormatting>
  <conditionalFormatting sqref="A98:M99">
    <cfRule type="expression" dxfId="0" priority="156">
      <formula>#REF!="Excluded"</formula>
    </cfRule>
  </conditionalFormatting>
  <conditionalFormatting sqref="C98:D99">
    <cfRule type="cellIs" dxfId="1" priority="157" operator="equal">
      <formula>"patellar"</formula>
    </cfRule>
  </conditionalFormatting>
  <conditionalFormatting sqref="C98:D99">
    <cfRule type="cellIs" dxfId="2" priority="158" operator="equal">
      <formula>"hamstring"</formula>
    </cfRule>
  </conditionalFormatting>
  <conditionalFormatting sqref="C98:D99">
    <cfRule type="cellIs" dxfId="3" priority="159" operator="equal">
      <formula>"quadriceps"</formula>
    </cfRule>
  </conditionalFormatting>
  <conditionalFormatting sqref="C98:D99">
    <cfRule type="cellIs" dxfId="4" priority="160" operator="equal">
      <formula>"tibialis"</formula>
    </cfRule>
  </conditionalFormatting>
  <conditionalFormatting sqref="A96:M97">
    <cfRule type="expression" dxfId="0" priority="161">
      <formula>#REF!="Excluded"</formula>
    </cfRule>
  </conditionalFormatting>
  <conditionalFormatting sqref="C96:D97">
    <cfRule type="cellIs" dxfId="1" priority="162" operator="equal">
      <formula>"patellar"</formula>
    </cfRule>
  </conditionalFormatting>
  <conditionalFormatting sqref="C96:D97">
    <cfRule type="cellIs" dxfId="2" priority="163" operator="equal">
      <formula>"hamstring"</formula>
    </cfRule>
  </conditionalFormatting>
  <conditionalFormatting sqref="C96:D97">
    <cfRule type="cellIs" dxfId="3" priority="164" operator="equal">
      <formula>"quadriceps"</formula>
    </cfRule>
  </conditionalFormatting>
  <conditionalFormatting sqref="C96:D97">
    <cfRule type="cellIs" dxfId="4" priority="165" operator="equal">
      <formula>"tibialis"</formula>
    </cfRule>
  </conditionalFormatting>
  <conditionalFormatting sqref="A90:M95">
    <cfRule type="expression" dxfId="0" priority="166">
      <formula>#REF!="Excluded"</formula>
    </cfRule>
  </conditionalFormatting>
  <conditionalFormatting sqref="C90:D95">
    <cfRule type="cellIs" dxfId="1" priority="167" operator="equal">
      <formula>"patellar"</formula>
    </cfRule>
  </conditionalFormatting>
  <conditionalFormatting sqref="C90:D95">
    <cfRule type="cellIs" dxfId="2" priority="168" operator="equal">
      <formula>"hamstring"</formula>
    </cfRule>
  </conditionalFormatting>
  <conditionalFormatting sqref="C90:D95">
    <cfRule type="cellIs" dxfId="3" priority="169" operator="equal">
      <formula>"quadriceps"</formula>
    </cfRule>
  </conditionalFormatting>
  <conditionalFormatting sqref="C90:D95">
    <cfRule type="cellIs" dxfId="4" priority="170" operator="equal">
      <formula>"tibialis"</formula>
    </cfRule>
  </conditionalFormatting>
  <conditionalFormatting sqref="A88:M89">
    <cfRule type="expression" dxfId="0" priority="171">
      <formula>#REF!="Excluded"</formula>
    </cfRule>
  </conditionalFormatting>
  <conditionalFormatting sqref="C88:D89">
    <cfRule type="cellIs" dxfId="1" priority="172" operator="equal">
      <formula>"patellar"</formula>
    </cfRule>
  </conditionalFormatting>
  <conditionalFormatting sqref="C88:D89">
    <cfRule type="cellIs" dxfId="2" priority="173" operator="equal">
      <formula>"hamstring"</formula>
    </cfRule>
  </conditionalFormatting>
  <conditionalFormatting sqref="C88:D89">
    <cfRule type="cellIs" dxfId="3" priority="174" operator="equal">
      <formula>"quadriceps"</formula>
    </cfRule>
  </conditionalFormatting>
  <conditionalFormatting sqref="C88:D89">
    <cfRule type="cellIs" dxfId="4" priority="175" operator="equal">
      <formula>"tibialis"</formula>
    </cfRule>
  </conditionalFormatting>
  <conditionalFormatting sqref="A86:M87">
    <cfRule type="expression" dxfId="0" priority="176">
      <formula>#REF!="Excluded"</formula>
    </cfRule>
  </conditionalFormatting>
  <conditionalFormatting sqref="C86:D87">
    <cfRule type="cellIs" dxfId="1" priority="177" operator="equal">
      <formula>"patellar"</formula>
    </cfRule>
  </conditionalFormatting>
  <conditionalFormatting sqref="C86:D87">
    <cfRule type="cellIs" dxfId="2" priority="178" operator="equal">
      <formula>"hamstring"</formula>
    </cfRule>
  </conditionalFormatting>
  <conditionalFormatting sqref="C86:D87">
    <cfRule type="cellIs" dxfId="3" priority="179" operator="equal">
      <formula>"quadriceps"</formula>
    </cfRule>
  </conditionalFormatting>
  <conditionalFormatting sqref="C86:D87">
    <cfRule type="cellIs" dxfId="4" priority="180" operator="equal">
      <formula>"tibialis"</formula>
    </cfRule>
  </conditionalFormatting>
  <conditionalFormatting sqref="A82:M85">
    <cfRule type="expression" dxfId="0" priority="181">
      <formula>#REF!="Excluded"</formula>
    </cfRule>
  </conditionalFormatting>
  <conditionalFormatting sqref="C82:D85">
    <cfRule type="cellIs" dxfId="1" priority="182" operator="equal">
      <formula>"patellar"</formula>
    </cfRule>
  </conditionalFormatting>
  <conditionalFormatting sqref="C82:D85">
    <cfRule type="cellIs" dxfId="2" priority="183" operator="equal">
      <formula>"hamstring"</formula>
    </cfRule>
  </conditionalFormatting>
  <conditionalFormatting sqref="C82:D85">
    <cfRule type="cellIs" dxfId="3" priority="184" operator="equal">
      <formula>"quadriceps"</formula>
    </cfRule>
  </conditionalFormatting>
  <conditionalFormatting sqref="C82:D85">
    <cfRule type="cellIs" dxfId="4" priority="185" operator="equal">
      <formula>"tibialis"</formula>
    </cfRule>
  </conditionalFormatting>
  <conditionalFormatting sqref="A26:M81">
    <cfRule type="expression" dxfId="0" priority="186">
      <formula>#REF!="Excluded"</formula>
    </cfRule>
  </conditionalFormatting>
  <conditionalFormatting sqref="C26:D81">
    <cfRule type="cellIs" dxfId="1" priority="187" operator="equal">
      <formula>"patellar"</formula>
    </cfRule>
  </conditionalFormatting>
  <conditionalFormatting sqref="C26:D81">
    <cfRule type="cellIs" dxfId="2" priority="188" operator="equal">
      <formula>"hamstring"</formula>
    </cfRule>
  </conditionalFormatting>
  <conditionalFormatting sqref="C26:D81">
    <cfRule type="cellIs" dxfId="3" priority="189" operator="equal">
      <formula>"quadriceps"</formula>
    </cfRule>
  </conditionalFormatting>
  <conditionalFormatting sqref="C26:D81">
    <cfRule type="cellIs" dxfId="4" priority="190" operator="equal">
      <formula>"tibialis"</formula>
    </cfRule>
  </conditionalFormatting>
  <conditionalFormatting sqref="A12:M25">
    <cfRule type="expression" dxfId="0" priority="191">
      <formula>#REF!="Excluded"</formula>
    </cfRule>
  </conditionalFormatting>
  <conditionalFormatting sqref="C12:D25">
    <cfRule type="cellIs" dxfId="1" priority="192" operator="equal">
      <formula>"patellar"</formula>
    </cfRule>
  </conditionalFormatting>
  <conditionalFormatting sqref="C12:D25">
    <cfRule type="cellIs" dxfId="2" priority="193" operator="equal">
      <formula>"hamstring"</formula>
    </cfRule>
  </conditionalFormatting>
  <conditionalFormatting sqref="C12:D25">
    <cfRule type="cellIs" dxfId="3" priority="194" operator="equal">
      <formula>"quadriceps"</formula>
    </cfRule>
  </conditionalFormatting>
  <conditionalFormatting sqref="C12:D25">
    <cfRule type="cellIs" dxfId="4" priority="195" operator="equal">
      <formula>"tibialis"</formula>
    </cfRule>
  </conditionalFormatting>
  <conditionalFormatting sqref="A4:M11">
    <cfRule type="expression" dxfId="0" priority="196">
      <formula>#REF!="Excluded"</formula>
    </cfRule>
  </conditionalFormatting>
  <conditionalFormatting sqref="C4:D11">
    <cfRule type="cellIs" dxfId="1" priority="197" operator="equal">
      <formula>"patellar"</formula>
    </cfRule>
  </conditionalFormatting>
  <conditionalFormatting sqref="C4:D11">
    <cfRule type="cellIs" dxfId="2" priority="198" operator="equal">
      <formula>"hamstring"</formula>
    </cfRule>
  </conditionalFormatting>
  <conditionalFormatting sqref="C4:D11">
    <cfRule type="cellIs" dxfId="3" priority="199" operator="equal">
      <formula>"quadriceps"</formula>
    </cfRule>
  </conditionalFormatting>
  <conditionalFormatting sqref="C4:D11">
    <cfRule type="cellIs" dxfId="4" priority="200" operator="equal">
      <formula>"tibialis"</formula>
    </cfRule>
  </conditionalFormatting>
  <conditionalFormatting sqref="A2:I3 J2:M349">
    <cfRule type="expression" dxfId="0" priority="201">
      <formula>#REF!="Excluded"</formula>
    </cfRule>
  </conditionalFormatting>
  <conditionalFormatting sqref="C2:D3">
    <cfRule type="cellIs" dxfId="1" priority="202" operator="equal">
      <formula>"patellar"</formula>
    </cfRule>
  </conditionalFormatting>
  <conditionalFormatting sqref="C2:D3">
    <cfRule type="cellIs" dxfId="2" priority="203" operator="equal">
      <formula>"hamstring"</formula>
    </cfRule>
  </conditionalFormatting>
  <conditionalFormatting sqref="C2:D3">
    <cfRule type="cellIs" dxfId="3" priority="204" operator="equal">
      <formula>"quadriceps"</formula>
    </cfRule>
  </conditionalFormatting>
  <conditionalFormatting sqref="C1:D3">
    <cfRule type="cellIs" dxfId="4" priority="205" operator="equal">
      <formula>"tibialis"</formula>
    </cfRule>
  </conditionalFormatting>
  <dataValidations>
    <dataValidation type="list" allowBlank="1" showErrorMessage="1" sqref="D2:D349">
      <formula1>"AT,BPTB,HT,PLT,QT,TA"</formula1>
    </dataValidation>
    <dataValidation type="list" allowBlank="1" showErrorMessage="1" sqref="F2:F349">
      <formula1>"continuous,dichotomous"</formula1>
    </dataValidation>
    <dataValidation type="list" allowBlank="1" showErrorMessage="1" sqref="E2:E349">
      <formula1>"ikdc_subjective,ikdc_objective,lysholm,tegner,instrumented_laxity,lachman,pivot_shift,graft rupture"</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sheetData>
    <row r="1">
      <c r="C1" s="1"/>
    </row>
    <row r="2">
      <c r="A2" s="3">
        <v>1.0</v>
      </c>
      <c r="B2" s="4" t="s">
        <v>1</v>
      </c>
      <c r="C2" s="1" t="s">
        <v>2</v>
      </c>
      <c r="D2" s="10" t="str">
        <f t="shared" ref="D2:D117" si="1">"https://doi.org/"&amp;C2</f>
        <v>https://doi.org/10.1007/s00167-008-0645-4</v>
      </c>
    </row>
    <row r="3">
      <c r="A3" s="3">
        <v>1.0</v>
      </c>
      <c r="B3" s="4" t="s">
        <v>1</v>
      </c>
      <c r="C3" s="1" t="s">
        <v>2</v>
      </c>
      <c r="D3" s="10" t="str">
        <f t="shared" si="1"/>
        <v>https://doi.org/10.1007/s00167-008-0645-4</v>
      </c>
    </row>
    <row r="4">
      <c r="A4" s="3">
        <v>2.0</v>
      </c>
      <c r="B4" s="4" t="s">
        <v>11</v>
      </c>
      <c r="C4" s="12"/>
      <c r="D4" s="10" t="str">
        <f t="shared" si="1"/>
        <v>https://doi.org/</v>
      </c>
    </row>
    <row r="5">
      <c r="A5" s="3">
        <v>2.0</v>
      </c>
      <c r="B5" s="4" t="s">
        <v>11</v>
      </c>
      <c r="C5" s="12"/>
      <c r="D5" s="10" t="str">
        <f t="shared" si="1"/>
        <v>https://doi.org/</v>
      </c>
    </row>
    <row r="6">
      <c r="A6" s="3">
        <v>3.0</v>
      </c>
      <c r="B6" s="4" t="s">
        <v>16</v>
      </c>
      <c r="C6" s="1" t="s">
        <v>17</v>
      </c>
      <c r="D6" s="10" t="str">
        <f t="shared" si="1"/>
        <v>https://doi.org/10.1007/s00167-009-0846-5</v>
      </c>
    </row>
    <row r="7">
      <c r="A7" s="3">
        <v>3.0</v>
      </c>
      <c r="B7" s="4" t="s">
        <v>16</v>
      </c>
      <c r="C7" s="1" t="s">
        <v>17</v>
      </c>
      <c r="D7" s="10" t="str">
        <f t="shared" si="1"/>
        <v>https://doi.org/10.1007/s00167-009-0846-5</v>
      </c>
    </row>
    <row r="8">
      <c r="A8" s="3">
        <v>4.0</v>
      </c>
      <c r="B8" s="4" t="s">
        <v>22</v>
      </c>
      <c r="C8" s="1" t="s">
        <v>24</v>
      </c>
      <c r="D8" s="10" t="str">
        <f t="shared" si="1"/>
        <v>https://doi.org/10.1177/03635465010290030201</v>
      </c>
    </row>
    <row r="9">
      <c r="A9" s="3">
        <v>4.0</v>
      </c>
      <c r="B9" s="4" t="s">
        <v>22</v>
      </c>
      <c r="C9" s="1" t="s">
        <v>24</v>
      </c>
      <c r="D9" s="10" t="str">
        <f t="shared" si="1"/>
        <v>https://doi.org/10.1177/03635465010290030201</v>
      </c>
    </row>
    <row r="10">
      <c r="A10" s="3">
        <v>5.0</v>
      </c>
      <c r="B10" s="4" t="s">
        <v>26</v>
      </c>
      <c r="C10" s="1" t="s">
        <v>27</v>
      </c>
      <c r="D10" s="10" t="str">
        <f t="shared" si="1"/>
        <v>https://doi.org/10.1177/23259671231210035</v>
      </c>
    </row>
    <row r="11">
      <c r="A11" s="3">
        <v>5.0</v>
      </c>
      <c r="B11" s="4" t="s">
        <v>26</v>
      </c>
      <c r="C11" s="1" t="s">
        <v>27</v>
      </c>
      <c r="D11" s="10" t="str">
        <f t="shared" si="1"/>
        <v>https://doi.org/10.1177/23259671231210035</v>
      </c>
    </row>
    <row r="12">
      <c r="A12" s="3">
        <v>6.0</v>
      </c>
      <c r="B12" s="4" t="s">
        <v>30</v>
      </c>
      <c r="C12" s="1" t="s">
        <v>31</v>
      </c>
      <c r="D12" s="10" t="str">
        <f t="shared" si="1"/>
        <v>https://doi.org/10.1177/03635465010290060901</v>
      </c>
    </row>
    <row r="13">
      <c r="A13" s="3">
        <v>6.0</v>
      </c>
      <c r="B13" s="4" t="s">
        <v>30</v>
      </c>
      <c r="C13" s="1" t="s">
        <v>31</v>
      </c>
      <c r="D13" s="10" t="str">
        <f t="shared" si="1"/>
        <v>https://doi.org/10.1177/03635465010290060901</v>
      </c>
    </row>
    <row r="14">
      <c r="A14" s="3">
        <v>7.0</v>
      </c>
      <c r="B14" s="4" t="s">
        <v>32</v>
      </c>
      <c r="C14" s="1" t="s">
        <v>33</v>
      </c>
      <c r="D14" s="10" t="str">
        <f t="shared" si="1"/>
        <v>https://doi.org/10.1177/0363546510369549</v>
      </c>
    </row>
    <row r="15">
      <c r="A15" s="3">
        <v>7.0</v>
      </c>
      <c r="B15" s="4" t="s">
        <v>32</v>
      </c>
      <c r="C15" s="1" t="s">
        <v>33</v>
      </c>
      <c r="D15" s="10" t="str">
        <f t="shared" si="1"/>
        <v>https://doi.org/10.1177/0363546510369549</v>
      </c>
    </row>
    <row r="16">
      <c r="A16" s="3">
        <v>8.0</v>
      </c>
      <c r="B16" s="4" t="s">
        <v>35</v>
      </c>
      <c r="C16" s="1" t="s">
        <v>36</v>
      </c>
      <c r="D16" s="10" t="str">
        <f t="shared" si="1"/>
        <v>https://doi.org/10.1007/s00402-020-03508-1</v>
      </c>
    </row>
    <row r="17">
      <c r="A17" s="3">
        <v>8.0</v>
      </c>
      <c r="B17" s="4" t="s">
        <v>35</v>
      </c>
      <c r="C17" s="1" t="s">
        <v>36</v>
      </c>
      <c r="D17" s="10" t="str">
        <f t="shared" si="1"/>
        <v>https://doi.org/10.1007/s00402-020-03508-1</v>
      </c>
    </row>
    <row r="18">
      <c r="A18" s="3">
        <v>9.0</v>
      </c>
      <c r="B18" s="4" t="s">
        <v>37</v>
      </c>
      <c r="C18" s="1" t="s">
        <v>38</v>
      </c>
      <c r="D18" s="10" t="str">
        <f t="shared" si="1"/>
        <v>https://doi.org/10.2106/00004623-200209000-00001</v>
      </c>
    </row>
    <row r="19">
      <c r="A19" s="3">
        <v>9.0</v>
      </c>
      <c r="B19" s="4" t="s">
        <v>37</v>
      </c>
      <c r="C19" s="1" t="s">
        <v>38</v>
      </c>
      <c r="D19" s="10" t="str">
        <f t="shared" si="1"/>
        <v>https://doi.org/10.2106/00004623-200209000-00001</v>
      </c>
    </row>
    <row r="20">
      <c r="A20" s="3">
        <v>10.0</v>
      </c>
      <c r="B20" s="4" t="s">
        <v>39</v>
      </c>
      <c r="C20" s="1" t="s">
        <v>40</v>
      </c>
      <c r="D20" s="10" t="str">
        <f t="shared" si="1"/>
        <v>https://doi.org/10.1055/s-0038-1627466</v>
      </c>
    </row>
    <row r="21">
      <c r="A21" s="3">
        <v>10.0</v>
      </c>
      <c r="B21" s="4" t="s">
        <v>39</v>
      </c>
      <c r="C21" s="1" t="s">
        <v>40</v>
      </c>
      <c r="D21" s="10" t="str">
        <f t="shared" si="1"/>
        <v>https://doi.org/10.1055/s-0038-1627466</v>
      </c>
    </row>
    <row r="22">
      <c r="A22" s="3">
        <v>11.0</v>
      </c>
      <c r="B22" s="4" t="s">
        <v>43</v>
      </c>
      <c r="C22" s="1" t="s">
        <v>44</v>
      </c>
      <c r="D22" s="10" t="str">
        <f t="shared" si="1"/>
        <v>https://doi.org/10.1177/0363546516646378</v>
      </c>
    </row>
    <row r="23">
      <c r="A23" s="3">
        <v>11.0</v>
      </c>
      <c r="B23" s="4" t="s">
        <v>43</v>
      </c>
      <c r="C23" s="1" t="s">
        <v>44</v>
      </c>
      <c r="D23" s="10" t="str">
        <f t="shared" si="1"/>
        <v>https://doi.org/10.1177/0363546516646378</v>
      </c>
    </row>
    <row r="24">
      <c r="A24" s="3">
        <v>12.0</v>
      </c>
      <c r="B24" s="4" t="s">
        <v>45</v>
      </c>
      <c r="C24" s="1" t="s">
        <v>46</v>
      </c>
      <c r="D24" s="10" t="str">
        <f t="shared" si="1"/>
        <v>https://doi.org/10.1177/0363546515596406</v>
      </c>
    </row>
    <row r="25">
      <c r="A25" s="3">
        <v>12.0</v>
      </c>
      <c r="B25" s="4" t="s">
        <v>45</v>
      </c>
      <c r="C25" s="1" t="s">
        <v>46</v>
      </c>
      <c r="D25" s="10" t="str">
        <f t="shared" si="1"/>
        <v>https://doi.org/10.1177/0363546515596406</v>
      </c>
    </row>
    <row r="26">
      <c r="A26" s="3">
        <v>13.0</v>
      </c>
      <c r="B26" s="4" t="s">
        <v>47</v>
      </c>
      <c r="C26" s="1" t="s">
        <v>48</v>
      </c>
      <c r="D26" s="10" t="str">
        <f t="shared" si="1"/>
        <v>https://doi.org/10.1007/s00402-024-05639-1</v>
      </c>
    </row>
    <row r="27">
      <c r="A27" s="3">
        <v>13.0</v>
      </c>
      <c r="B27" s="4" t="s">
        <v>47</v>
      </c>
      <c r="C27" s="1" t="s">
        <v>48</v>
      </c>
      <c r="D27" s="10" t="str">
        <f t="shared" si="1"/>
        <v>https://doi.org/10.1007/s00402-024-05639-1</v>
      </c>
    </row>
    <row r="28">
      <c r="A28" s="3">
        <v>14.0</v>
      </c>
      <c r="B28" s="4" t="s">
        <v>52</v>
      </c>
      <c r="C28" s="1" t="s">
        <v>53</v>
      </c>
      <c r="D28" s="10" t="str">
        <f t="shared" si="1"/>
        <v>https://doi.org/10.1002/ksa.12583</v>
      </c>
    </row>
    <row r="29">
      <c r="A29" s="3">
        <v>14.0</v>
      </c>
      <c r="B29" s="4" t="s">
        <v>52</v>
      </c>
      <c r="C29" s="1" t="s">
        <v>53</v>
      </c>
      <c r="D29" s="10" t="str">
        <f t="shared" si="1"/>
        <v>https://doi.org/10.1002/ksa.12583</v>
      </c>
    </row>
    <row r="30">
      <c r="A30" s="3">
        <v>15.0</v>
      </c>
      <c r="B30" s="4" t="s">
        <v>56</v>
      </c>
      <c r="C30" s="1" t="s">
        <v>57</v>
      </c>
      <c r="D30" s="10" t="str">
        <f t="shared" si="1"/>
        <v>https://doi.org/10.1177/03635465030310011401</v>
      </c>
    </row>
    <row r="31">
      <c r="A31" s="3">
        <v>15.0</v>
      </c>
      <c r="B31" s="4" t="s">
        <v>56</v>
      </c>
      <c r="C31" s="1" t="s">
        <v>57</v>
      </c>
      <c r="D31" s="10" t="str">
        <f t="shared" si="1"/>
        <v>https://doi.org/10.1177/03635465030310011401</v>
      </c>
    </row>
    <row r="32">
      <c r="A32" s="3">
        <v>16.0</v>
      </c>
      <c r="B32" s="4" t="s">
        <v>58</v>
      </c>
      <c r="C32" s="12"/>
      <c r="D32" s="10" t="str">
        <f t="shared" si="1"/>
        <v>https://doi.org/</v>
      </c>
    </row>
    <row r="33">
      <c r="A33" s="3">
        <v>16.0</v>
      </c>
      <c r="B33" s="4" t="s">
        <v>58</v>
      </c>
      <c r="C33" s="12"/>
      <c r="D33" s="10" t="str">
        <f t="shared" si="1"/>
        <v>https://doi.org/</v>
      </c>
    </row>
    <row r="34">
      <c r="A34" s="3">
        <v>17.0</v>
      </c>
      <c r="B34" s="4" t="s">
        <v>60</v>
      </c>
      <c r="C34" s="1" t="s">
        <v>61</v>
      </c>
      <c r="D34" s="10" t="str">
        <f t="shared" si="1"/>
        <v>https://doi.org/10.1177/03635465030310041501</v>
      </c>
    </row>
    <row r="35">
      <c r="A35" s="3">
        <v>17.0</v>
      </c>
      <c r="B35" s="4" t="s">
        <v>60</v>
      </c>
      <c r="C35" s="1" t="s">
        <v>61</v>
      </c>
      <c r="D35" s="10" t="str">
        <f t="shared" si="1"/>
        <v>https://doi.org/10.1177/03635465030310041501</v>
      </c>
    </row>
    <row r="36">
      <c r="A36" s="3">
        <v>18.0</v>
      </c>
      <c r="B36" s="4" t="s">
        <v>62</v>
      </c>
      <c r="C36" s="1" t="s">
        <v>63</v>
      </c>
      <c r="D36" s="10" t="str">
        <f t="shared" si="1"/>
        <v>https://doi.org/10.1007/s00167-012-1947-0</v>
      </c>
    </row>
    <row r="37">
      <c r="A37" s="3">
        <v>18.0</v>
      </c>
      <c r="B37" s="4" t="s">
        <v>62</v>
      </c>
      <c r="C37" s="1" t="s">
        <v>63</v>
      </c>
      <c r="D37" s="10" t="str">
        <f t="shared" si="1"/>
        <v>https://doi.org/10.1007/s00167-012-1947-0</v>
      </c>
    </row>
    <row r="38">
      <c r="A38" s="3">
        <v>19.0</v>
      </c>
      <c r="B38" s="4" t="s">
        <v>65</v>
      </c>
      <c r="C38" s="1" t="s">
        <v>66</v>
      </c>
      <c r="D38" s="10" t="str">
        <f t="shared" si="1"/>
        <v>https://doi.org/10.1177/23259671211028168</v>
      </c>
    </row>
    <row r="39">
      <c r="A39" s="3">
        <v>19.0</v>
      </c>
      <c r="B39" s="4" t="s">
        <v>65</v>
      </c>
      <c r="C39" s="1" t="s">
        <v>66</v>
      </c>
      <c r="D39" s="10" t="str">
        <f t="shared" si="1"/>
        <v>https://doi.org/10.1177/23259671211028168</v>
      </c>
    </row>
    <row r="40">
      <c r="A40" s="3">
        <v>20.0</v>
      </c>
      <c r="B40" s="4" t="s">
        <v>67</v>
      </c>
      <c r="C40" s="1" t="s">
        <v>68</v>
      </c>
      <c r="D40" s="10" t="str">
        <f t="shared" si="1"/>
        <v>https://doi.org/10.1007/s00167-006-0059-0</v>
      </c>
    </row>
    <row r="41">
      <c r="A41" s="3">
        <v>20.0</v>
      </c>
      <c r="B41" s="4" t="s">
        <v>67</v>
      </c>
      <c r="C41" s="1" t="s">
        <v>68</v>
      </c>
      <c r="D41" s="10" t="str">
        <f t="shared" si="1"/>
        <v>https://doi.org/10.1007/s00167-006-0059-0</v>
      </c>
    </row>
    <row r="42">
      <c r="A42" s="3">
        <v>21.0</v>
      </c>
      <c r="B42" s="4" t="s">
        <v>69</v>
      </c>
      <c r="C42" s="1" t="s">
        <v>70</v>
      </c>
      <c r="D42" s="10" t="str">
        <f t="shared" si="1"/>
        <v>https://doi.org/10.1007/s00167-009-0961-3</v>
      </c>
    </row>
    <row r="43">
      <c r="A43" s="3">
        <v>21.0</v>
      </c>
      <c r="B43" s="4" t="s">
        <v>69</v>
      </c>
      <c r="C43" s="1" t="s">
        <v>70</v>
      </c>
      <c r="D43" s="10" t="str">
        <f t="shared" si="1"/>
        <v>https://doi.org/10.1007/s00167-009-0961-3</v>
      </c>
    </row>
    <row r="44">
      <c r="A44" s="3">
        <v>22.0</v>
      </c>
      <c r="B44" s="4" t="s">
        <v>71</v>
      </c>
      <c r="C44" s="1" t="s">
        <v>72</v>
      </c>
      <c r="D44" s="10" t="str">
        <f t="shared" si="1"/>
        <v>https://doi.org/10.1177/0363546509350301</v>
      </c>
    </row>
    <row r="45">
      <c r="A45" s="3">
        <v>22.0</v>
      </c>
      <c r="B45" s="4" t="s">
        <v>71</v>
      </c>
      <c r="C45" s="1" t="s">
        <v>72</v>
      </c>
      <c r="D45" s="10" t="str">
        <f t="shared" si="1"/>
        <v>https://doi.org/10.1177/0363546509350301</v>
      </c>
    </row>
    <row r="46">
      <c r="A46" s="3">
        <v>23.0</v>
      </c>
      <c r="B46" s="4" t="s">
        <v>73</v>
      </c>
      <c r="C46" s="1" t="s">
        <v>74</v>
      </c>
      <c r="D46" s="10" t="str">
        <f t="shared" si="1"/>
        <v>https://doi.org/10.1007/s00402-021-03862-8</v>
      </c>
    </row>
    <row r="47">
      <c r="A47" s="3">
        <v>23.0</v>
      </c>
      <c r="B47" s="4" t="s">
        <v>73</v>
      </c>
      <c r="C47" s="1" t="s">
        <v>74</v>
      </c>
      <c r="D47" s="10" t="str">
        <f t="shared" si="1"/>
        <v>https://doi.org/10.1007/s00402-021-03862-8</v>
      </c>
    </row>
    <row r="48">
      <c r="A48" s="3">
        <v>24.0</v>
      </c>
      <c r="B48" s="4" t="s">
        <v>75</v>
      </c>
      <c r="C48" s="1" t="s">
        <v>76</v>
      </c>
      <c r="D48" s="10" t="str">
        <f t="shared" si="1"/>
        <v>https://doi.org/10.1016/j.arthro.2004.12.002</v>
      </c>
    </row>
    <row r="49">
      <c r="A49" s="3">
        <v>24.0</v>
      </c>
      <c r="B49" s="4" t="s">
        <v>75</v>
      </c>
      <c r="C49" s="1" t="s">
        <v>76</v>
      </c>
      <c r="D49" s="10" t="str">
        <f t="shared" si="1"/>
        <v>https://doi.org/10.1016/j.arthro.2004.12.002</v>
      </c>
    </row>
    <row r="50">
      <c r="A50" s="3">
        <v>25.0</v>
      </c>
      <c r="B50" s="4" t="s">
        <v>77</v>
      </c>
      <c r="C50" s="1" t="s">
        <v>78</v>
      </c>
      <c r="D50" s="10" t="str">
        <f t="shared" si="1"/>
        <v>https://doi.org/10.1007/s00167-016-4229-4</v>
      </c>
    </row>
    <row r="51">
      <c r="A51" s="3">
        <v>25.0</v>
      </c>
      <c r="B51" s="4" t="s">
        <v>77</v>
      </c>
      <c r="C51" s="1" t="s">
        <v>78</v>
      </c>
      <c r="D51" s="10" t="str">
        <f t="shared" si="1"/>
        <v>https://doi.org/10.1007/s00167-016-4229-4</v>
      </c>
    </row>
    <row r="52">
      <c r="A52" s="3">
        <v>26.0</v>
      </c>
      <c r="B52" s="4" t="s">
        <v>79</v>
      </c>
      <c r="C52" s="1" t="s">
        <v>81</v>
      </c>
      <c r="D52" s="10" t="str">
        <f t="shared" si="1"/>
        <v>https://doi.org/10.1177/03635465030310010501</v>
      </c>
    </row>
    <row r="53">
      <c r="A53" s="3">
        <v>26.0</v>
      </c>
      <c r="B53" s="4" t="s">
        <v>79</v>
      </c>
      <c r="C53" s="1" t="s">
        <v>81</v>
      </c>
      <c r="D53" s="10" t="str">
        <f t="shared" si="1"/>
        <v>https://doi.org/10.1177/03635465030310010501</v>
      </c>
    </row>
    <row r="54">
      <c r="A54" s="3">
        <v>27.0</v>
      </c>
      <c r="B54" s="4" t="s">
        <v>82</v>
      </c>
      <c r="C54" s="1" t="s">
        <v>83</v>
      </c>
      <c r="D54" s="10" t="str">
        <f t="shared" si="1"/>
        <v>https://doi.org/10.1007/s00264-014-2495-7</v>
      </c>
    </row>
    <row r="55">
      <c r="A55" s="3">
        <v>27.0</v>
      </c>
      <c r="B55" s="4" t="s">
        <v>82</v>
      </c>
      <c r="C55" s="1" t="s">
        <v>83</v>
      </c>
      <c r="D55" s="10" t="str">
        <f t="shared" si="1"/>
        <v>https://doi.org/10.1007/s00264-014-2495-7</v>
      </c>
    </row>
    <row r="56">
      <c r="A56" s="3">
        <v>28.0</v>
      </c>
      <c r="B56" s="4" t="s">
        <v>85</v>
      </c>
      <c r="C56" s="1" t="s">
        <v>86</v>
      </c>
      <c r="D56" s="10" t="str">
        <f t="shared" si="1"/>
        <v>https://doi.org/10.1007/s00402-021-04195-2</v>
      </c>
    </row>
    <row r="57">
      <c r="A57" s="3">
        <v>28.0</v>
      </c>
      <c r="B57" s="4" t="s">
        <v>85</v>
      </c>
      <c r="C57" s="1" t="s">
        <v>86</v>
      </c>
      <c r="D57" s="10" t="str">
        <f t="shared" si="1"/>
        <v>https://doi.org/10.1007/s00402-021-04195-2</v>
      </c>
    </row>
    <row r="58">
      <c r="A58" s="3">
        <v>29.0</v>
      </c>
      <c r="B58" s="4" t="s">
        <v>88</v>
      </c>
      <c r="C58" s="1" t="s">
        <v>89</v>
      </c>
      <c r="D58" s="10" t="str">
        <f t="shared" si="1"/>
        <v>https://doi.org/10.1007/s00402-015-2386-4</v>
      </c>
    </row>
    <row r="59">
      <c r="A59" s="3">
        <v>29.0</v>
      </c>
      <c r="B59" s="4" t="s">
        <v>88</v>
      </c>
      <c r="C59" s="1" t="s">
        <v>89</v>
      </c>
      <c r="D59" s="10" t="str">
        <f t="shared" si="1"/>
        <v>https://doi.org/10.1007/s00402-015-2386-4</v>
      </c>
    </row>
    <row r="60">
      <c r="A60" s="3">
        <v>30.0</v>
      </c>
      <c r="B60" s="4" t="s">
        <v>90</v>
      </c>
      <c r="C60" s="12"/>
      <c r="D60" s="10" t="str">
        <f t="shared" si="1"/>
        <v>https://doi.org/</v>
      </c>
    </row>
    <row r="61">
      <c r="A61" s="3">
        <v>30.0</v>
      </c>
      <c r="B61" s="4" t="s">
        <v>90</v>
      </c>
      <c r="C61" s="12"/>
      <c r="D61" s="10" t="str">
        <f t="shared" si="1"/>
        <v>https://doi.org/</v>
      </c>
    </row>
    <row r="62">
      <c r="A62" s="3">
        <v>31.0</v>
      </c>
      <c r="B62" s="4" t="s">
        <v>91</v>
      </c>
      <c r="C62" s="1" t="s">
        <v>92</v>
      </c>
      <c r="D62" s="10" t="str">
        <f t="shared" si="1"/>
        <v>https://doi.org/10.1016/j.arthro.2012.05.010</v>
      </c>
    </row>
    <row r="63">
      <c r="A63" s="3">
        <v>31.0</v>
      </c>
      <c r="B63" s="4" t="s">
        <v>91</v>
      </c>
      <c r="C63" s="1" t="s">
        <v>92</v>
      </c>
      <c r="D63" s="10" t="str">
        <f t="shared" si="1"/>
        <v>https://doi.org/10.1016/j.arthro.2012.05.010</v>
      </c>
    </row>
    <row r="64">
      <c r="A64" s="3">
        <v>32.0</v>
      </c>
      <c r="B64" s="4" t="s">
        <v>93</v>
      </c>
      <c r="C64" s="1" t="s">
        <v>94</v>
      </c>
      <c r="D64" s="10" t="str">
        <f t="shared" si="1"/>
        <v>https://doi.org/10.1016/j.arthro.2004.09.014</v>
      </c>
    </row>
    <row r="65">
      <c r="A65" s="3">
        <v>32.0</v>
      </c>
      <c r="B65" s="4" t="s">
        <v>93</v>
      </c>
      <c r="C65" s="1" t="s">
        <v>94</v>
      </c>
      <c r="D65" s="10" t="str">
        <f t="shared" si="1"/>
        <v>https://doi.org/10.1016/j.arthro.2004.09.014</v>
      </c>
    </row>
    <row r="66">
      <c r="A66" s="3">
        <v>33.0</v>
      </c>
      <c r="B66" s="4" t="s">
        <v>96</v>
      </c>
      <c r="C66" s="1" t="s">
        <v>97</v>
      </c>
      <c r="D66" s="10" t="str">
        <f t="shared" si="1"/>
        <v>https://doi.org/10.1016/j.arthro.2015.02.033</v>
      </c>
    </row>
    <row r="67">
      <c r="A67" s="3">
        <v>33.0</v>
      </c>
      <c r="B67" s="4" t="s">
        <v>96</v>
      </c>
      <c r="C67" s="1" t="s">
        <v>97</v>
      </c>
      <c r="D67" s="10" t="str">
        <f t="shared" si="1"/>
        <v>https://doi.org/10.1016/j.arthro.2015.02.033</v>
      </c>
    </row>
    <row r="68">
      <c r="A68" s="3">
        <v>34.0</v>
      </c>
      <c r="B68" s="4" t="s">
        <v>98</v>
      </c>
      <c r="C68" s="1" t="s">
        <v>99</v>
      </c>
      <c r="D68" s="10" t="str">
        <f t="shared" si="1"/>
        <v>https://doi.org/10.1177/0363546506298275</v>
      </c>
    </row>
    <row r="69">
      <c r="A69" s="3">
        <v>34.0</v>
      </c>
      <c r="B69" s="4" t="s">
        <v>98</v>
      </c>
      <c r="C69" s="1" t="s">
        <v>99</v>
      </c>
      <c r="D69" s="10" t="str">
        <f t="shared" si="1"/>
        <v>https://doi.org/10.1177/0363546506298275</v>
      </c>
    </row>
    <row r="70">
      <c r="A70" s="3">
        <v>35.0</v>
      </c>
      <c r="B70" s="4" t="s">
        <v>102</v>
      </c>
      <c r="C70" s="1" t="s">
        <v>103</v>
      </c>
      <c r="D70" s="10" t="str">
        <f t="shared" si="1"/>
        <v>https://doi.org/10.1136/bjsports-2019-101000</v>
      </c>
    </row>
    <row r="71">
      <c r="A71" s="3">
        <v>35.0</v>
      </c>
      <c r="B71" s="4" t="s">
        <v>102</v>
      </c>
      <c r="C71" s="1" t="s">
        <v>103</v>
      </c>
      <c r="D71" s="10" t="str">
        <f t="shared" si="1"/>
        <v>https://doi.org/10.1136/bjsports-2019-101000</v>
      </c>
    </row>
    <row r="72">
      <c r="A72" s="3">
        <v>36.0</v>
      </c>
      <c r="B72" s="4" t="s">
        <v>104</v>
      </c>
      <c r="C72" s="1" t="s">
        <v>105</v>
      </c>
      <c r="D72" s="10" t="str">
        <f t="shared" si="1"/>
        <v>https://doi.org/10.1177/23259671241302348</v>
      </c>
    </row>
    <row r="73">
      <c r="A73" s="3">
        <v>36.0</v>
      </c>
      <c r="B73" s="4" t="s">
        <v>104</v>
      </c>
      <c r="C73" s="1" t="s">
        <v>105</v>
      </c>
      <c r="D73" s="10" t="str">
        <f t="shared" si="1"/>
        <v>https://doi.org/10.1177/23259671241302348</v>
      </c>
    </row>
    <row r="74">
      <c r="A74" s="3">
        <v>37.0</v>
      </c>
      <c r="B74" s="4" t="s">
        <v>106</v>
      </c>
      <c r="C74" s="1" t="s">
        <v>107</v>
      </c>
      <c r="D74" s="10" t="str">
        <f t="shared" si="1"/>
        <v>https://doi.org/10.1016/j.knee.2012.02.005</v>
      </c>
    </row>
    <row r="75">
      <c r="A75" s="3">
        <v>37.0</v>
      </c>
      <c r="B75" s="4" t="s">
        <v>106</v>
      </c>
      <c r="C75" s="1" t="s">
        <v>107</v>
      </c>
      <c r="D75" s="10" t="str">
        <f t="shared" si="1"/>
        <v>https://doi.org/10.1016/j.knee.2012.02.005</v>
      </c>
    </row>
    <row r="76">
      <c r="A76" s="3">
        <v>38.0</v>
      </c>
      <c r="B76" s="4" t="s">
        <v>110</v>
      </c>
      <c r="C76" s="1" t="s">
        <v>111</v>
      </c>
      <c r="D76" s="10" t="str">
        <f t="shared" si="1"/>
        <v>https://doi.org/10.1016/j.arthro.2014.01.012</v>
      </c>
    </row>
    <row r="77">
      <c r="A77" s="3">
        <v>38.0</v>
      </c>
      <c r="B77" s="4" t="s">
        <v>110</v>
      </c>
      <c r="C77" s="1" t="s">
        <v>111</v>
      </c>
      <c r="D77" s="10" t="str">
        <f t="shared" si="1"/>
        <v>https://doi.org/10.1016/j.arthro.2014.01.012</v>
      </c>
    </row>
    <row r="78">
      <c r="A78" s="3">
        <v>39.0</v>
      </c>
      <c r="B78" s="4" t="s">
        <v>112</v>
      </c>
      <c r="C78" s="1" t="s">
        <v>113</v>
      </c>
      <c r="D78" s="10" t="str">
        <f t="shared" si="1"/>
        <v>https://doi.org/10.13107/jocr.2026.v16.i05.7294</v>
      </c>
    </row>
    <row r="79">
      <c r="A79" s="3">
        <v>39.0</v>
      </c>
      <c r="B79" s="4" t="s">
        <v>112</v>
      </c>
      <c r="C79" s="1" t="s">
        <v>113</v>
      </c>
      <c r="D79" s="10" t="str">
        <f t="shared" si="1"/>
        <v>https://doi.org/10.13107/jocr.2026.v16.i05.7294</v>
      </c>
    </row>
    <row r="80">
      <c r="A80" s="3">
        <v>40.0</v>
      </c>
      <c r="B80" s="4" t="s">
        <v>114</v>
      </c>
      <c r="C80" s="1" t="s">
        <v>115</v>
      </c>
      <c r="D80" s="10" t="str">
        <f t="shared" si="1"/>
        <v>https://doi.org/10.1177/0363546505279919</v>
      </c>
    </row>
    <row r="81">
      <c r="A81" s="3">
        <v>40.0</v>
      </c>
      <c r="B81" s="4" t="s">
        <v>114</v>
      </c>
      <c r="C81" s="1" t="s">
        <v>115</v>
      </c>
      <c r="D81" s="10" t="str">
        <f t="shared" si="1"/>
        <v>https://doi.org/10.1177/0363546505279919</v>
      </c>
    </row>
    <row r="82">
      <c r="A82" s="3">
        <v>41.0</v>
      </c>
      <c r="B82" s="4" t="s">
        <v>116</v>
      </c>
      <c r="C82" s="1" t="s">
        <v>117</v>
      </c>
      <c r="D82" s="10" t="str">
        <f t="shared" si="1"/>
        <v>https://doi.org/10.1097/JSM.0000000000000209</v>
      </c>
    </row>
    <row r="83">
      <c r="A83" s="3">
        <v>41.0</v>
      </c>
      <c r="B83" s="4" t="s">
        <v>116</v>
      </c>
      <c r="C83" s="1" t="s">
        <v>117</v>
      </c>
      <c r="D83" s="10" t="str">
        <f t="shared" si="1"/>
        <v>https://doi.org/10.1097/JSM.0000000000000209</v>
      </c>
    </row>
    <row r="84">
      <c r="A84" s="3">
        <v>42.0</v>
      </c>
      <c r="B84" s="4" t="s">
        <v>119</v>
      </c>
      <c r="C84" s="1" t="s">
        <v>120</v>
      </c>
      <c r="D84" s="10" t="str">
        <f t="shared" si="1"/>
        <v>https://doi.org/10.1016/j.gaitpost.2010.04.008</v>
      </c>
    </row>
    <row r="85">
      <c r="A85" s="3">
        <v>42.0</v>
      </c>
      <c r="B85" s="4" t="s">
        <v>119</v>
      </c>
      <c r="C85" s="1" t="s">
        <v>120</v>
      </c>
      <c r="D85" s="10" t="str">
        <f t="shared" si="1"/>
        <v>https://doi.org/10.1016/j.gaitpost.2010.04.008</v>
      </c>
    </row>
    <row r="86">
      <c r="A86" s="3">
        <v>43.0</v>
      </c>
      <c r="B86" s="4" t="s">
        <v>121</v>
      </c>
      <c r="C86" s="1" t="s">
        <v>122</v>
      </c>
      <c r="D86" s="10" t="str">
        <f t="shared" si="1"/>
        <v>https://doi.org/10.1007/s00167-010-1388-6</v>
      </c>
    </row>
    <row r="87">
      <c r="A87" s="3">
        <v>43.0</v>
      </c>
      <c r="B87" s="4" t="s">
        <v>121</v>
      </c>
      <c r="C87" s="1" t="s">
        <v>122</v>
      </c>
      <c r="D87" s="10" t="str">
        <f t="shared" si="1"/>
        <v>https://doi.org/10.1007/s00167-010-1388-6</v>
      </c>
    </row>
    <row r="88">
      <c r="A88" s="3">
        <v>44.0</v>
      </c>
      <c r="B88" s="4" t="s">
        <v>123</v>
      </c>
      <c r="C88" s="1" t="s">
        <v>124</v>
      </c>
      <c r="D88" s="10" t="str">
        <f t="shared" si="1"/>
        <v>https://doi.org/10.1007/s00264-014-2513-9</v>
      </c>
    </row>
    <row r="89">
      <c r="A89" s="3">
        <v>44.0</v>
      </c>
      <c r="B89" s="4" t="s">
        <v>123</v>
      </c>
      <c r="C89" s="1" t="s">
        <v>124</v>
      </c>
      <c r="D89" s="10" t="str">
        <f t="shared" si="1"/>
        <v>https://doi.org/10.1007/s00264-014-2513-9</v>
      </c>
    </row>
    <row r="90">
      <c r="A90" s="3">
        <v>45.0</v>
      </c>
      <c r="B90" s="4" t="s">
        <v>125</v>
      </c>
      <c r="C90" s="1" t="s">
        <v>126</v>
      </c>
      <c r="D90" s="10" t="str">
        <f t="shared" si="1"/>
        <v>https://doi.org/10.1177/0363546506296042</v>
      </c>
    </row>
    <row r="91">
      <c r="A91" s="3">
        <v>45.0</v>
      </c>
      <c r="B91" s="4" t="s">
        <v>125</v>
      </c>
      <c r="C91" s="1" t="s">
        <v>126</v>
      </c>
      <c r="D91" s="10" t="str">
        <f t="shared" si="1"/>
        <v>https://doi.org/10.1177/0363546506296042</v>
      </c>
    </row>
    <row r="92">
      <c r="A92" s="3">
        <v>46.0</v>
      </c>
      <c r="B92" s="4" t="s">
        <v>128</v>
      </c>
      <c r="C92" s="1" t="s">
        <v>129</v>
      </c>
      <c r="D92" s="10" t="str">
        <f t="shared" si="1"/>
        <v>https://doi.org/10.1177/03635465241271524</v>
      </c>
    </row>
    <row r="93">
      <c r="A93" s="3">
        <v>46.0</v>
      </c>
      <c r="B93" s="4" t="s">
        <v>128</v>
      </c>
      <c r="C93" s="1" t="s">
        <v>129</v>
      </c>
      <c r="D93" s="10" t="str">
        <f t="shared" si="1"/>
        <v>https://doi.org/10.1177/03635465241271524</v>
      </c>
    </row>
    <row r="94">
      <c r="A94" s="3">
        <v>47.0</v>
      </c>
      <c r="B94" s="4" t="s">
        <v>130</v>
      </c>
      <c r="C94" s="1" t="s">
        <v>131</v>
      </c>
      <c r="D94" s="10" t="str">
        <f t="shared" si="1"/>
        <v>https://doi.org/10.1177/0363546518768768</v>
      </c>
    </row>
    <row r="95">
      <c r="A95" s="3">
        <v>47.0</v>
      </c>
      <c r="B95" s="4" t="s">
        <v>130</v>
      </c>
      <c r="C95" s="1" t="s">
        <v>131</v>
      </c>
      <c r="D95" s="10" t="str">
        <f t="shared" si="1"/>
        <v>https://doi.org/10.1177/0363546518768768</v>
      </c>
    </row>
    <row r="96">
      <c r="A96" s="3">
        <v>48.0</v>
      </c>
      <c r="B96" s="4" t="s">
        <v>132</v>
      </c>
      <c r="C96" s="1" t="s">
        <v>133</v>
      </c>
      <c r="D96" s="10" t="str">
        <f t="shared" si="1"/>
        <v>https://doi.org/10.1007/s40279-020-01276-x</v>
      </c>
    </row>
    <row r="97">
      <c r="A97" s="3">
        <v>48.0</v>
      </c>
      <c r="B97" s="4" t="s">
        <v>132</v>
      </c>
      <c r="C97" s="1" t="s">
        <v>133</v>
      </c>
      <c r="D97" s="10" t="str">
        <f t="shared" si="1"/>
        <v>https://doi.org/10.1007/s40279-020-01276-x</v>
      </c>
    </row>
    <row r="98">
      <c r="A98" s="3">
        <v>49.0</v>
      </c>
      <c r="B98" s="4" t="s">
        <v>134</v>
      </c>
      <c r="C98" s="1" t="s">
        <v>135</v>
      </c>
      <c r="D98" s="10" t="str">
        <f t="shared" si="1"/>
        <v>https://doi.org/10.1016/j.arthro.2020.01.048</v>
      </c>
    </row>
    <row r="99">
      <c r="A99" s="3">
        <v>49.0</v>
      </c>
      <c r="B99" s="4" t="s">
        <v>134</v>
      </c>
      <c r="C99" s="1" t="s">
        <v>135</v>
      </c>
      <c r="D99" s="10" t="str">
        <f t="shared" si="1"/>
        <v>https://doi.org/10.1016/j.arthro.2020.01.048</v>
      </c>
    </row>
    <row r="100">
      <c r="A100" s="3">
        <v>50.0</v>
      </c>
      <c r="B100" s="4" t="s">
        <v>136</v>
      </c>
      <c r="C100" s="1" t="s">
        <v>137</v>
      </c>
      <c r="D100" s="10" t="str">
        <f t="shared" si="1"/>
        <v>https://doi.org/10.1016/j.lanepe.2025.101561</v>
      </c>
    </row>
    <row r="101">
      <c r="A101" s="3">
        <v>50.0</v>
      </c>
      <c r="B101" s="4" t="s">
        <v>136</v>
      </c>
      <c r="C101" s="1" t="s">
        <v>137</v>
      </c>
      <c r="D101" s="10" t="str">
        <f t="shared" si="1"/>
        <v>https://doi.org/10.1016/j.lanepe.2025.101561</v>
      </c>
    </row>
    <row r="102">
      <c r="A102" s="3">
        <v>51.0</v>
      </c>
      <c r="B102" s="4" t="s">
        <v>139</v>
      </c>
      <c r="C102" s="1" t="s">
        <v>140</v>
      </c>
      <c r="D102" s="10" t="str">
        <f t="shared" si="1"/>
        <v>https://doi.org/10.1007/s00590-023-03636-5</v>
      </c>
    </row>
    <row r="103">
      <c r="A103" s="3">
        <v>51.0</v>
      </c>
      <c r="B103" s="4" t="s">
        <v>139</v>
      </c>
      <c r="C103" s="1" t="s">
        <v>140</v>
      </c>
      <c r="D103" s="10" t="str">
        <f t="shared" si="1"/>
        <v>https://doi.org/10.1007/s00590-023-03636-5</v>
      </c>
    </row>
    <row r="104">
      <c r="A104" s="3">
        <v>52.0</v>
      </c>
      <c r="B104" s="4" t="s">
        <v>141</v>
      </c>
      <c r="C104" s="1" t="s">
        <v>142</v>
      </c>
      <c r="D104" s="10" t="str">
        <f t="shared" si="1"/>
        <v>https://doi.org/10.1177/0363546509339577</v>
      </c>
    </row>
    <row r="105">
      <c r="A105" s="3">
        <v>52.0</v>
      </c>
      <c r="B105" s="4" t="s">
        <v>141</v>
      </c>
      <c r="C105" s="1" t="s">
        <v>142</v>
      </c>
      <c r="D105" s="10" t="str">
        <f t="shared" si="1"/>
        <v>https://doi.org/10.1177/0363546509339577</v>
      </c>
    </row>
    <row r="106">
      <c r="A106" s="3">
        <v>53.0</v>
      </c>
      <c r="B106" s="4" t="s">
        <v>143</v>
      </c>
      <c r="C106" s="1" t="s">
        <v>144</v>
      </c>
      <c r="D106" s="10" t="str">
        <f t="shared" si="1"/>
        <v>https://doi.org/10.24875/CIRU.19001001</v>
      </c>
    </row>
    <row r="107">
      <c r="A107" s="3">
        <v>53.0</v>
      </c>
      <c r="B107" s="4" t="s">
        <v>143</v>
      </c>
      <c r="C107" s="1" t="s">
        <v>144</v>
      </c>
      <c r="D107" s="10" t="str">
        <f t="shared" si="1"/>
        <v>https://doi.org/10.24875/CIRU.19001001</v>
      </c>
    </row>
    <row r="108">
      <c r="A108" s="3">
        <v>54.0</v>
      </c>
      <c r="B108" s="4" t="s">
        <v>145</v>
      </c>
      <c r="C108" s="1" t="s">
        <v>146</v>
      </c>
      <c r="D108" s="10" t="str">
        <f t="shared" si="1"/>
        <v>https://doi.org/10.1007/s001670100191</v>
      </c>
    </row>
    <row r="109">
      <c r="A109" s="3">
        <v>54.0</v>
      </c>
      <c r="B109" s="4" t="s">
        <v>145</v>
      </c>
      <c r="C109" s="1" t="s">
        <v>146</v>
      </c>
      <c r="D109" s="10" t="str">
        <f t="shared" si="1"/>
        <v>https://doi.org/10.1007/s001670100191</v>
      </c>
    </row>
    <row r="110">
      <c r="A110" s="3">
        <v>55.0</v>
      </c>
      <c r="B110" s="4" t="s">
        <v>147</v>
      </c>
      <c r="C110" s="1" t="s">
        <v>148</v>
      </c>
      <c r="D110" s="10" t="str">
        <f t="shared" si="1"/>
        <v>https://doi.org/10.1016/j.arthro.2011.01.015</v>
      </c>
    </row>
    <row r="111">
      <c r="A111" s="3">
        <v>55.0</v>
      </c>
      <c r="B111" s="4" t="s">
        <v>147</v>
      </c>
      <c r="C111" s="1" t="s">
        <v>148</v>
      </c>
      <c r="D111" s="10" t="str">
        <f t="shared" si="1"/>
        <v>https://doi.org/10.1016/j.arthro.2011.01.015</v>
      </c>
    </row>
    <row r="112">
      <c r="A112" s="3">
        <v>56.0</v>
      </c>
      <c r="B112" s="4" t="s">
        <v>149</v>
      </c>
      <c r="C112" s="1" t="s">
        <v>150</v>
      </c>
      <c r="D112" s="10" t="str">
        <f t="shared" si="1"/>
        <v>https://doi.org/10.1007/s00590-025-04510-2</v>
      </c>
    </row>
    <row r="113">
      <c r="A113" s="3">
        <v>56.0</v>
      </c>
      <c r="B113" s="4" t="s">
        <v>149</v>
      </c>
      <c r="C113" s="1" t="s">
        <v>150</v>
      </c>
      <c r="D113" s="10" t="str">
        <f t="shared" si="1"/>
        <v>https://doi.org/10.1007/s00590-025-04510-2</v>
      </c>
    </row>
    <row r="114">
      <c r="A114" s="3">
        <v>57.0</v>
      </c>
      <c r="B114" s="4" t="s">
        <v>152</v>
      </c>
      <c r="C114" s="1" t="s">
        <v>153</v>
      </c>
      <c r="D114" s="10" t="str">
        <f t="shared" si="1"/>
        <v>https://doi.org/10.1007/s00167-015-3955-3</v>
      </c>
    </row>
    <row r="115">
      <c r="A115" s="3">
        <v>57.0</v>
      </c>
      <c r="B115" s="4" t="s">
        <v>152</v>
      </c>
      <c r="C115" s="1" t="s">
        <v>153</v>
      </c>
      <c r="D115" s="10" t="str">
        <f t="shared" si="1"/>
        <v>https://doi.org/10.1007/s00167-015-3955-3</v>
      </c>
    </row>
    <row r="116">
      <c r="A116" s="3">
        <v>58.0</v>
      </c>
      <c r="B116" s="4" t="s">
        <v>154</v>
      </c>
      <c r="C116" s="1" t="s">
        <v>155</v>
      </c>
      <c r="D116" s="10" t="str">
        <f t="shared" si="1"/>
        <v>https://doi.org/10.1007/s00167-010-1225-y</v>
      </c>
    </row>
    <row r="117">
      <c r="A117" s="3">
        <v>58.0</v>
      </c>
      <c r="B117" s="4" t="s">
        <v>154</v>
      </c>
      <c r="C117" s="1" t="s">
        <v>155</v>
      </c>
      <c r="D117" s="10" t="str">
        <f t="shared" si="1"/>
        <v>https://doi.org/10.1007/s00167-010-1225-y</v>
      </c>
    </row>
  </sheetData>
  <autoFilter ref="$A$1:$C$1000">
    <sortState ref="A1:C1000">
      <sortCondition ref="A1:A1000"/>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Row="1"/>
  <cols>
    <col customWidth="1" min="1" max="1" width="5.0"/>
    <col customWidth="1" min="2" max="2" width="21.0"/>
    <col customWidth="1" min="3" max="3" width="11.13"/>
    <col customWidth="1" min="4" max="4" width="20.75"/>
    <col customWidth="1" min="5" max="5" width="15.75"/>
    <col customWidth="1" min="6" max="6" width="5.0"/>
    <col customWidth="1" min="7" max="7" width="5.25"/>
    <col customWidth="1" min="8" max="8" width="5.75"/>
    <col customWidth="1" min="9" max="9" width="6.5"/>
    <col customWidth="1" min="10" max="10" width="5.13"/>
    <col customWidth="1" min="11" max="11" width="9.5"/>
    <col customWidth="1" min="12" max="12" width="5.38"/>
    <col customWidth="1" min="13" max="13" width="6.88"/>
    <col customWidth="1" min="14" max="14" width="5.38"/>
    <col customWidth="1" hidden="1" min="15" max="15" width="5.38" outlineLevel="1"/>
    <col customWidth="1" hidden="1" min="16" max="16" width="5.0" outlineLevel="1"/>
    <col customWidth="1" hidden="1" min="17" max="18" width="4.5" outlineLevel="1"/>
    <col customWidth="1" hidden="1" min="19" max="19" width="4.38" outlineLevel="1"/>
    <col customWidth="1" hidden="1" min="20" max="21" width="4.5" outlineLevel="1"/>
    <col collapsed="1" customWidth="1" min="22" max="22" width="7.5"/>
    <col hidden="1" min="23" max="23" width="12.63" outlineLevel="1"/>
    <col customWidth="1" hidden="1" min="24" max="24" width="7.63" outlineLevel="1"/>
    <col collapsed="1" customWidth="1" min="25" max="25" width="5.63"/>
    <col customWidth="1" hidden="1" min="26" max="32" width="7.63" outlineLevel="1"/>
    <col collapsed="1" customWidth="1" min="33" max="33" width="12.75"/>
    <col customWidth="1" min="34" max="34" width="11.63"/>
    <col customWidth="1" min="35" max="35" width="9.0"/>
    <col customWidth="1" min="36" max="36" width="7.38"/>
    <col customWidth="1" min="37" max="37" width="8.88"/>
    <col customWidth="1" min="38" max="38" width="14.25"/>
    <col customWidth="1" min="39" max="39" width="10.25"/>
  </cols>
  <sheetData>
    <row r="1">
      <c r="A1" s="2" t="s">
        <v>0</v>
      </c>
      <c r="B1" s="5" t="s">
        <v>3</v>
      </c>
      <c r="C1" s="2" t="s">
        <v>4</v>
      </c>
      <c r="D1" s="5" t="s">
        <v>5</v>
      </c>
      <c r="E1" s="2" t="s">
        <v>6</v>
      </c>
      <c r="F1" s="2" t="s">
        <v>7</v>
      </c>
      <c r="G1" s="11" t="s">
        <v>8</v>
      </c>
      <c r="H1" s="11" t="s">
        <v>12</v>
      </c>
      <c r="I1" s="2" t="s">
        <v>13</v>
      </c>
      <c r="J1" s="2" t="s">
        <v>14</v>
      </c>
      <c r="K1" s="2" t="s">
        <v>15</v>
      </c>
      <c r="L1" s="2" t="s">
        <v>19</v>
      </c>
      <c r="M1" s="2" t="s">
        <v>20</v>
      </c>
      <c r="N1" s="11" t="s">
        <v>23</v>
      </c>
      <c r="O1" s="2" t="s">
        <v>10</v>
      </c>
      <c r="P1" s="2" t="s">
        <v>18</v>
      </c>
      <c r="Q1" s="2" t="s">
        <v>13</v>
      </c>
      <c r="R1" s="2" t="s">
        <v>14</v>
      </c>
      <c r="S1" s="2" t="s">
        <v>15</v>
      </c>
      <c r="T1" s="2" t="s">
        <v>19</v>
      </c>
      <c r="U1" s="2" t="s">
        <v>20</v>
      </c>
      <c r="V1" s="16" t="s">
        <v>34</v>
      </c>
      <c r="W1" s="16" t="s">
        <v>25</v>
      </c>
      <c r="X1" s="16" t="s">
        <v>28</v>
      </c>
      <c r="Y1" s="16" t="s">
        <v>41</v>
      </c>
      <c r="Z1" s="16" t="s">
        <v>10</v>
      </c>
      <c r="AA1" s="16" t="s">
        <v>18</v>
      </c>
      <c r="AB1" s="16" t="s">
        <v>13</v>
      </c>
      <c r="AC1" s="16" t="s">
        <v>14</v>
      </c>
      <c r="AD1" s="2" t="s">
        <v>15</v>
      </c>
      <c r="AE1" s="5" t="s">
        <v>19</v>
      </c>
      <c r="AF1" s="5" t="s">
        <v>20</v>
      </c>
      <c r="AG1" s="5" t="s">
        <v>49</v>
      </c>
      <c r="AH1" s="11" t="s">
        <v>50</v>
      </c>
      <c r="AI1" s="11" t="s">
        <v>51</v>
      </c>
      <c r="AJ1" s="2" t="s">
        <v>25</v>
      </c>
      <c r="AK1" s="2" t="s">
        <v>28</v>
      </c>
      <c r="AL1" s="2" t="s">
        <v>54</v>
      </c>
      <c r="AM1" s="2" t="s">
        <v>55</v>
      </c>
    </row>
    <row r="2">
      <c r="A2" s="15">
        <v>6.0</v>
      </c>
      <c r="B2" s="17" t="str">
        <f t="shared" ref="B2:B3" si="1">HYPERLINK("https://github.com/d-wkim/phd/blob/main/data/pdf/anz_2023.pdf","Anz et al., 2023")</f>
        <v>Anz et al., 2023</v>
      </c>
      <c r="C2" s="9" t="s">
        <v>42</v>
      </c>
      <c r="D2" s="19" t="s">
        <v>59</v>
      </c>
      <c r="E2" s="9" t="s">
        <v>64</v>
      </c>
      <c r="F2" s="9">
        <v>8.0</v>
      </c>
      <c r="G2" s="20">
        <v>0.0</v>
      </c>
      <c r="H2" s="21">
        <f t="shared" ref="H2:H10" si="2">iferror(P_SD(F2,G2),"")</f>
        <v>0.1767766953</v>
      </c>
      <c r="I2" s="15"/>
      <c r="J2" s="15"/>
      <c r="K2" s="15"/>
      <c r="L2" s="15"/>
      <c r="M2" s="15"/>
      <c r="N2" s="15"/>
      <c r="O2" s="9" t="s">
        <v>101</v>
      </c>
      <c r="P2" s="9" t="s">
        <v>101</v>
      </c>
      <c r="Q2" s="9" t="s">
        <v>101</v>
      </c>
      <c r="R2" s="9" t="s">
        <v>101</v>
      </c>
      <c r="S2" s="9" t="s">
        <v>101</v>
      </c>
      <c r="T2" s="9" t="s">
        <v>101</v>
      </c>
      <c r="U2" s="9" t="s">
        <v>101</v>
      </c>
      <c r="V2" s="15"/>
      <c r="W2" s="15"/>
      <c r="X2" s="15"/>
      <c r="Y2" s="15"/>
      <c r="Z2" s="15"/>
      <c r="AA2" s="15"/>
      <c r="AB2" s="15"/>
      <c r="AC2" s="15"/>
      <c r="AD2" s="15"/>
      <c r="AE2" s="19"/>
      <c r="AF2" s="19"/>
      <c r="AG2" s="7" t="s">
        <v>109</v>
      </c>
      <c r="AH2" s="13">
        <f>iferror(VLOOKUP($B2,covariates!$B$3:$Z$1126,6,FALSE),"")</f>
        <v>29.4</v>
      </c>
      <c r="AI2" s="13">
        <f>iferror(VLOOKUP($B2,covariates!$B$3:$Z$1126,7,FALSE),"")</f>
        <v>7.343</v>
      </c>
      <c r="AJ2" s="9">
        <f>iferror(VLOOKUP($B2,covariates!$B$3:$Z$1126,14,FALSE),"")</f>
        <v>4</v>
      </c>
      <c r="AK2" s="9">
        <f>iferror(VLOOKUP($B2,covariates!$B$3:$Z$1126,16,FALSE),"")</f>
        <v>6</v>
      </c>
      <c r="AL2" s="9">
        <f>iferror(VLOOKUP($B2,covariates!$B$3:$Z$1126,18,FALSE),"")</f>
        <v>12</v>
      </c>
      <c r="AM2" s="9">
        <f>iferror(VLOOKUP($B2,covariates!$B$3:$Z$1126,19,FALSE),"")</f>
        <v>1</v>
      </c>
    </row>
    <row r="3">
      <c r="A3" s="15">
        <v>6.0</v>
      </c>
      <c r="B3" s="17" t="str">
        <f t="shared" si="1"/>
        <v>Anz et al., 2023</v>
      </c>
      <c r="C3" s="9" t="s">
        <v>84</v>
      </c>
      <c r="D3" s="19" t="s">
        <v>59</v>
      </c>
      <c r="E3" s="9" t="s">
        <v>64</v>
      </c>
      <c r="F3" s="9">
        <v>8.0</v>
      </c>
      <c r="G3" s="20">
        <v>0.0</v>
      </c>
      <c r="H3" s="21">
        <f t="shared" si="2"/>
        <v>0.1767766953</v>
      </c>
      <c r="I3" s="15"/>
      <c r="J3" s="15"/>
      <c r="K3" s="15"/>
      <c r="L3" s="15"/>
      <c r="M3" s="15"/>
      <c r="N3" s="15"/>
      <c r="O3" s="9" t="s">
        <v>101</v>
      </c>
      <c r="P3" s="9" t="s">
        <v>101</v>
      </c>
      <c r="Q3" s="9" t="s">
        <v>101</v>
      </c>
      <c r="R3" s="9" t="s">
        <v>101</v>
      </c>
      <c r="S3" s="9" t="s">
        <v>101</v>
      </c>
      <c r="T3" s="9" t="s">
        <v>101</v>
      </c>
      <c r="U3" s="9" t="s">
        <v>101</v>
      </c>
      <c r="V3" s="15"/>
      <c r="W3" s="15"/>
      <c r="X3" s="15"/>
      <c r="Y3" s="15"/>
      <c r="Z3" s="15"/>
      <c r="AA3" s="15"/>
      <c r="AB3" s="15"/>
      <c r="AC3" s="15"/>
      <c r="AD3" s="15"/>
      <c r="AE3" s="19"/>
      <c r="AF3" s="19"/>
      <c r="AG3" s="7" t="s">
        <v>109</v>
      </c>
      <c r="AH3" s="13">
        <f>iferror(VLOOKUP($B3,covariates!$B$3:$Z$1126,6,FALSE),"")</f>
        <v>29.4</v>
      </c>
      <c r="AI3" s="13">
        <f>iferror(VLOOKUP($B3,covariates!$B$3:$Z$1126,7,FALSE),"")</f>
        <v>7.343</v>
      </c>
      <c r="AJ3" s="9">
        <f>iferror(VLOOKUP($B3,covariates!$B$3:$Z$1126,14,FALSE),"")</f>
        <v>4</v>
      </c>
      <c r="AK3" s="9">
        <f>iferror(VLOOKUP($B3,covariates!$B$3:$Z$1126,16,FALSE),"")</f>
        <v>6</v>
      </c>
      <c r="AL3" s="9">
        <f>iferror(VLOOKUP($B3,covariates!$B$3:$Z$1126,18,FALSE),"")</f>
        <v>12</v>
      </c>
      <c r="AM3" s="9">
        <f>iferror(VLOOKUP($B3,covariates!$B$3:$Z$1126,19,FALSE),"")</f>
        <v>1</v>
      </c>
    </row>
    <row r="4">
      <c r="A4" s="15">
        <v>12.0</v>
      </c>
      <c r="B4" s="17" t="str">
        <f t="shared" ref="B4:B5" si="3">HYPERLINK("https://github.com/d-wkim/phd/blob/main/data/pdf/bi_2018.pdf","Bi et al., 2018")</f>
        <v>Bi et al., 2018</v>
      </c>
      <c r="C4" s="7" t="s">
        <v>84</v>
      </c>
      <c r="D4" s="19" t="s">
        <v>59</v>
      </c>
      <c r="E4" s="9" t="s">
        <v>64</v>
      </c>
      <c r="F4" s="15"/>
      <c r="G4" s="27"/>
      <c r="H4" s="21" t="str">
        <f t="shared" si="2"/>
        <v/>
      </c>
      <c r="I4" s="15"/>
      <c r="J4" s="15"/>
      <c r="K4" s="15"/>
      <c r="L4" s="15"/>
      <c r="M4" s="15"/>
      <c r="N4" s="15"/>
      <c r="O4" s="9" t="s">
        <v>101</v>
      </c>
      <c r="P4" s="9" t="s">
        <v>101</v>
      </c>
      <c r="Q4" s="9" t="s">
        <v>101</v>
      </c>
      <c r="R4" s="9" t="s">
        <v>101</v>
      </c>
      <c r="S4" s="9" t="s">
        <v>101</v>
      </c>
      <c r="T4" s="9" t="s">
        <v>101</v>
      </c>
      <c r="U4" s="9" t="s">
        <v>101</v>
      </c>
      <c r="V4" s="15"/>
      <c r="W4" s="15"/>
      <c r="X4" s="15"/>
      <c r="Y4" s="15"/>
      <c r="Z4" s="15"/>
      <c r="AA4" s="15"/>
      <c r="AB4" s="15"/>
      <c r="AC4" s="15"/>
      <c r="AD4" s="15"/>
      <c r="AE4" s="19"/>
      <c r="AF4" s="19"/>
      <c r="AG4" s="7" t="s">
        <v>174</v>
      </c>
      <c r="AH4" s="13">
        <f>iferror(VLOOKUP($B4,covariates!$B$3:$Z$1126,6,FALSE),"")</f>
        <v>27.9</v>
      </c>
      <c r="AI4" s="13">
        <f>iferror(VLOOKUP($B4,covariates!$B$3:$Z$1126,7,FALSE),"")</f>
        <v>6.7</v>
      </c>
      <c r="AJ4" s="9">
        <f>iferror(VLOOKUP($B4,covariates!$B$3:$Z$1126,14,FALSE),"")</f>
        <v>31</v>
      </c>
      <c r="AK4" s="9">
        <f>iferror(VLOOKUP($B4,covariates!$B$3:$Z$1126,16,FALSE),"")</f>
        <v>31</v>
      </c>
      <c r="AL4" s="9">
        <f>iferror(VLOOKUP($B4,covariates!$B$3:$Z$1126,18,FALSE),"")</f>
        <v>30.3</v>
      </c>
      <c r="AM4" s="9">
        <f>iferror(VLOOKUP($B4,covariates!$B$3:$Z$1126,19,FALSE),"")</f>
        <v>2.5</v>
      </c>
    </row>
    <row r="5">
      <c r="A5" s="15">
        <v>12.0</v>
      </c>
      <c r="B5" s="17" t="str">
        <f t="shared" si="3"/>
        <v>Bi et al., 2018</v>
      </c>
      <c r="C5" s="7" t="s">
        <v>186</v>
      </c>
      <c r="D5" s="19" t="s">
        <v>59</v>
      </c>
      <c r="E5" s="9" t="s">
        <v>64</v>
      </c>
      <c r="F5" s="15"/>
      <c r="G5" s="27"/>
      <c r="H5" s="21" t="str">
        <f t="shared" si="2"/>
        <v/>
      </c>
      <c r="I5" s="15"/>
      <c r="J5" s="15"/>
      <c r="K5" s="15"/>
      <c r="L5" s="15"/>
      <c r="M5" s="15"/>
      <c r="N5" s="15"/>
      <c r="O5" s="9" t="s">
        <v>101</v>
      </c>
      <c r="P5" s="9" t="s">
        <v>101</v>
      </c>
      <c r="Q5" s="9" t="s">
        <v>101</v>
      </c>
      <c r="R5" s="9" t="s">
        <v>101</v>
      </c>
      <c r="S5" s="9" t="s">
        <v>101</v>
      </c>
      <c r="T5" s="9" t="s">
        <v>101</v>
      </c>
      <c r="U5" s="9" t="s">
        <v>101</v>
      </c>
      <c r="V5" s="19"/>
      <c r="W5" s="19"/>
      <c r="X5" s="19"/>
      <c r="Y5" s="19"/>
      <c r="Z5" s="19"/>
      <c r="AA5" s="19"/>
      <c r="AB5" s="19"/>
      <c r="AC5" s="19"/>
      <c r="AD5" s="19"/>
      <c r="AE5" s="19"/>
      <c r="AF5" s="19"/>
      <c r="AG5" s="7" t="s">
        <v>174</v>
      </c>
      <c r="AH5" s="13">
        <f>iferror(VLOOKUP($B5,covariates!$B$3:$Z$1126,6,FALSE),"")</f>
        <v>27.9</v>
      </c>
      <c r="AI5" s="13">
        <f>iferror(VLOOKUP($B5,covariates!$B$3:$Z$1126,7,FALSE),"")</f>
        <v>6.7</v>
      </c>
      <c r="AJ5" s="9">
        <f>iferror(VLOOKUP($B5,covariates!$B$3:$Z$1126,14,FALSE),"")</f>
        <v>31</v>
      </c>
      <c r="AK5" s="9">
        <f>iferror(VLOOKUP($B5,covariates!$B$3:$Z$1126,16,FALSE),"")</f>
        <v>31</v>
      </c>
      <c r="AL5" s="9">
        <f>iferror(VLOOKUP($B5,covariates!$B$3:$Z$1126,18,FALSE),"")</f>
        <v>30.3</v>
      </c>
      <c r="AM5" s="9">
        <f>iferror(VLOOKUP($B5,covariates!$B$3:$Z$1126,19,FALSE),"")</f>
        <v>2.5</v>
      </c>
    </row>
    <row r="6">
      <c r="A6" s="15">
        <v>22.0</v>
      </c>
      <c r="B6" s="17" t="str">
        <f t="shared" ref="B6:B7" si="4">HYPERLINK("https://github.com/d-wkim/phd/blob/main/data/pdf/cruz_2022.pdf","Cruz et al., 2022")</f>
        <v>Cruz et al., 2022</v>
      </c>
      <c r="C6" s="7" t="s">
        <v>84</v>
      </c>
      <c r="D6" s="19" t="s">
        <v>59</v>
      </c>
      <c r="E6" s="9" t="s">
        <v>64</v>
      </c>
      <c r="F6" s="15"/>
      <c r="G6" s="27"/>
      <c r="H6" s="21" t="str">
        <f t="shared" si="2"/>
        <v/>
      </c>
      <c r="I6" s="15"/>
      <c r="J6" s="15"/>
      <c r="K6" s="15"/>
      <c r="L6" s="15"/>
      <c r="M6" s="15"/>
      <c r="N6" s="15"/>
      <c r="O6" s="9" t="s">
        <v>101</v>
      </c>
      <c r="P6" s="9" t="s">
        <v>101</v>
      </c>
      <c r="Q6" s="9" t="s">
        <v>101</v>
      </c>
      <c r="R6" s="9" t="s">
        <v>101</v>
      </c>
      <c r="S6" s="9" t="s">
        <v>101</v>
      </c>
      <c r="T6" s="9" t="s">
        <v>101</v>
      </c>
      <c r="U6" s="9" t="s">
        <v>101</v>
      </c>
      <c r="V6" s="15"/>
      <c r="W6" s="15"/>
      <c r="X6" s="15"/>
      <c r="Y6" s="15"/>
      <c r="Z6" s="15"/>
      <c r="AA6" s="15"/>
      <c r="AB6" s="15"/>
      <c r="AC6" s="15"/>
      <c r="AD6" s="15"/>
      <c r="AE6" s="19"/>
      <c r="AF6" s="19"/>
      <c r="AG6" s="7" t="s">
        <v>174</v>
      </c>
      <c r="AH6" s="13" t="str">
        <f>iferror(VLOOKUP($B6,covariates!$B$3:$Z$1126,6,FALSE),"")</f>
        <v/>
      </c>
      <c r="AI6" s="13" t="str">
        <f>iferror(VLOOKUP($B6,covariates!$B$3:$Z$1126,7,FALSE),"")</f>
        <v/>
      </c>
      <c r="AJ6" s="9" t="str">
        <f>iferror(VLOOKUP($B6,covariates!$B$3:$Z$1126,14,FALSE),"")</f>
        <v/>
      </c>
      <c r="AK6" s="9" t="str">
        <f>iferror(VLOOKUP($B6,covariates!$B$3:$Z$1126,16,FALSE),"")</f>
        <v/>
      </c>
      <c r="AL6" s="9" t="str">
        <f>iferror(VLOOKUP($B6,covariates!$B$3:$Z$1126,18,FALSE),"")</f>
        <v/>
      </c>
      <c r="AM6" s="9" t="str">
        <f>iferror(VLOOKUP($B6,covariates!$B$3:$Z$1126,19,FALSE),"")</f>
        <v/>
      </c>
    </row>
    <row r="7">
      <c r="A7" s="15">
        <v>22.0</v>
      </c>
      <c r="B7" s="17" t="str">
        <f t="shared" si="4"/>
        <v>Cruz et al., 2022</v>
      </c>
      <c r="C7" s="7" t="s">
        <v>205</v>
      </c>
      <c r="D7" s="19" t="s">
        <v>59</v>
      </c>
      <c r="E7" s="9" t="s">
        <v>64</v>
      </c>
      <c r="F7" s="15"/>
      <c r="G7" s="27"/>
      <c r="H7" s="21" t="str">
        <f t="shared" si="2"/>
        <v/>
      </c>
      <c r="I7" s="15"/>
      <c r="J7" s="15"/>
      <c r="K7" s="15"/>
      <c r="L7" s="15"/>
      <c r="M7" s="15"/>
      <c r="N7" s="15"/>
      <c r="O7" s="9" t="s">
        <v>101</v>
      </c>
      <c r="P7" s="9" t="s">
        <v>101</v>
      </c>
      <c r="Q7" s="9" t="s">
        <v>101</v>
      </c>
      <c r="R7" s="9" t="s">
        <v>101</v>
      </c>
      <c r="S7" s="9" t="s">
        <v>101</v>
      </c>
      <c r="T7" s="9" t="s">
        <v>101</v>
      </c>
      <c r="U7" s="9" t="s">
        <v>101</v>
      </c>
      <c r="V7" s="19"/>
      <c r="W7" s="19"/>
      <c r="X7" s="19"/>
      <c r="Y7" s="19"/>
      <c r="Z7" s="19"/>
      <c r="AA7" s="19"/>
      <c r="AB7" s="19"/>
      <c r="AC7" s="19"/>
      <c r="AD7" s="19"/>
      <c r="AE7" s="19"/>
      <c r="AF7" s="19"/>
      <c r="AG7" s="7" t="s">
        <v>174</v>
      </c>
      <c r="AH7" s="13" t="str">
        <f>iferror(VLOOKUP($B7,covariates!$B$3:$Z$1126,6,FALSE),"")</f>
        <v/>
      </c>
      <c r="AI7" s="13" t="str">
        <f>iferror(VLOOKUP($B7,covariates!$B$3:$Z$1126,7,FALSE),"")</f>
        <v/>
      </c>
      <c r="AJ7" s="9" t="str">
        <f>iferror(VLOOKUP($B7,covariates!$B$3:$Z$1126,14,FALSE),"")</f>
        <v/>
      </c>
      <c r="AK7" s="9" t="str">
        <f>iferror(VLOOKUP($B7,covariates!$B$3:$Z$1126,16,FALSE),"")</f>
        <v/>
      </c>
      <c r="AL7" s="9" t="str">
        <f>iferror(VLOOKUP($B7,covariates!$B$3:$Z$1126,18,FALSE),"")</f>
        <v/>
      </c>
      <c r="AM7" s="9" t="str">
        <f>iferror(VLOOKUP($B7,covariates!$B$3:$Z$1126,19,FALSE),"")</f>
        <v/>
      </c>
    </row>
    <row r="8">
      <c r="A8" s="9">
        <v>43.0</v>
      </c>
      <c r="B8" s="17" t="str">
        <f t="shared" ref="B8:B9" si="5">HYPERLINK("https://github.com/d-wkim/phd/blob/main/data/pdf/kautzner_2015.pdf","Kautzner et al., 2015")</f>
        <v>Kautzner et al., 2015</v>
      </c>
      <c r="C8" s="9" t="s">
        <v>42</v>
      </c>
      <c r="D8" s="7" t="s">
        <v>59</v>
      </c>
      <c r="E8" s="9" t="s">
        <v>64</v>
      </c>
      <c r="F8" s="9">
        <v>74.0</v>
      </c>
      <c r="G8" s="20">
        <v>0.0</v>
      </c>
      <c r="H8" s="21">
        <f t="shared" si="2"/>
        <v>0.05812381937</v>
      </c>
      <c r="I8" s="9"/>
      <c r="J8" s="15"/>
      <c r="K8" s="15"/>
      <c r="L8" s="15"/>
      <c r="M8" s="9"/>
      <c r="N8" s="9"/>
      <c r="O8" s="9" t="s">
        <v>101</v>
      </c>
      <c r="P8" s="9" t="s">
        <v>101</v>
      </c>
      <c r="Q8" s="9" t="s">
        <v>101</v>
      </c>
      <c r="R8" s="9" t="s">
        <v>101</v>
      </c>
      <c r="S8" s="9" t="s">
        <v>101</v>
      </c>
      <c r="T8" s="9" t="s">
        <v>101</v>
      </c>
      <c r="U8" s="9" t="s">
        <v>101</v>
      </c>
      <c r="V8" s="15"/>
      <c r="W8" s="15"/>
      <c r="X8" s="15"/>
      <c r="Y8" s="15"/>
      <c r="Z8" s="15"/>
      <c r="AA8" s="15"/>
      <c r="AB8" s="15"/>
      <c r="AC8" s="15"/>
      <c r="AD8" s="15"/>
      <c r="AE8" s="19"/>
      <c r="AF8" s="19"/>
      <c r="AG8" s="7" t="s">
        <v>109</v>
      </c>
      <c r="AH8" s="13">
        <f>iferror(VLOOKUP($B8,covariates!$B$3:$Z$1126,6,FALSE),"")</f>
        <v>26</v>
      </c>
      <c r="AI8" s="13">
        <f>iferror(VLOOKUP($B8,covariates!$B$3:$Z$1126,7,FALSE),"")</f>
        <v>6.275</v>
      </c>
      <c r="AJ8" s="9">
        <f>iferror(VLOOKUP($B8,covariates!$B$3:$Z$1126,14,FALSE),"")</f>
        <v>0</v>
      </c>
      <c r="AK8" s="9">
        <f>iferror(VLOOKUP($B8,covariates!$B$3:$Z$1126,16,FALSE),"")</f>
        <v>74</v>
      </c>
      <c r="AL8" s="9">
        <f>iferror(VLOOKUP($B8,covariates!$B$3:$Z$1126,18,FALSE),"")</f>
        <v>24</v>
      </c>
      <c r="AM8" s="9">
        <f>iferror(VLOOKUP($B8,covariates!$B$3:$Z$1126,19,FALSE),"")</f>
        <v>2</v>
      </c>
    </row>
    <row r="9">
      <c r="A9" s="9">
        <v>43.0</v>
      </c>
      <c r="B9" s="17" t="str">
        <f t="shared" si="5"/>
        <v>Kautzner et al., 2015</v>
      </c>
      <c r="C9" s="9" t="s">
        <v>84</v>
      </c>
      <c r="D9" s="7" t="s">
        <v>59</v>
      </c>
      <c r="E9" s="9" t="s">
        <v>64</v>
      </c>
      <c r="F9" s="9">
        <v>73.0</v>
      </c>
      <c r="G9" s="20">
        <v>2.0</v>
      </c>
      <c r="H9" s="21">
        <f t="shared" si="2"/>
        <v>0.3008452023</v>
      </c>
      <c r="I9" s="9"/>
      <c r="J9" s="15"/>
      <c r="K9" s="15"/>
      <c r="L9" s="15"/>
      <c r="M9" s="9"/>
      <c r="N9" s="9"/>
      <c r="O9" s="9" t="s">
        <v>101</v>
      </c>
      <c r="P9" s="9" t="s">
        <v>101</v>
      </c>
      <c r="Q9" s="9" t="s">
        <v>101</v>
      </c>
      <c r="R9" s="9" t="s">
        <v>101</v>
      </c>
      <c r="S9" s="9" t="s">
        <v>101</v>
      </c>
      <c r="T9" s="9" t="s">
        <v>101</v>
      </c>
      <c r="U9" s="9" t="s">
        <v>101</v>
      </c>
      <c r="V9" s="15"/>
      <c r="W9" s="15"/>
      <c r="X9" s="15"/>
      <c r="Y9" s="15"/>
      <c r="Z9" s="15"/>
      <c r="AA9" s="15"/>
      <c r="AB9" s="15"/>
      <c r="AC9" s="15"/>
      <c r="AD9" s="15"/>
      <c r="AE9" s="19"/>
      <c r="AF9" s="19"/>
      <c r="AG9" s="7" t="s">
        <v>109</v>
      </c>
      <c r="AH9" s="13">
        <f>iferror(VLOOKUP($B9,covariates!$B$3:$Z$1126,6,FALSE),"")</f>
        <v>26</v>
      </c>
      <c r="AI9" s="13">
        <f>iferror(VLOOKUP($B9,covariates!$B$3:$Z$1126,7,FALSE),"")</f>
        <v>6.275</v>
      </c>
      <c r="AJ9" s="9">
        <f>iferror(VLOOKUP($B9,covariates!$B$3:$Z$1126,14,FALSE),"")</f>
        <v>0</v>
      </c>
      <c r="AK9" s="9">
        <f>iferror(VLOOKUP($B9,covariates!$B$3:$Z$1126,16,FALSE),"")</f>
        <v>74</v>
      </c>
      <c r="AL9" s="9">
        <f>iferror(VLOOKUP($B9,covariates!$B$3:$Z$1126,18,FALSE),"")</f>
        <v>24</v>
      </c>
      <c r="AM9" s="9">
        <f>iferror(VLOOKUP($B9,covariates!$B$3:$Z$1126,19,FALSE),"")</f>
        <v>2</v>
      </c>
    </row>
    <row r="10">
      <c r="A10" s="15">
        <v>49.0</v>
      </c>
      <c r="B10" s="17" t="str">
        <f t="shared" ref="B10:B11" si="6">HYPERLINK("https://github.com/d-wkim/phd/blob/main/data/pdf/laxdal_2005.pdf","Laxdal et al., 2005")</f>
        <v>Laxdal et al., 2005</v>
      </c>
      <c r="C10" s="9" t="s">
        <v>42</v>
      </c>
      <c r="D10" s="7" t="s">
        <v>59</v>
      </c>
      <c r="E10" s="9" t="s">
        <v>64</v>
      </c>
      <c r="F10" s="9">
        <v>40.0</v>
      </c>
      <c r="G10" s="20">
        <v>1.0</v>
      </c>
      <c r="H10" s="21">
        <f t="shared" si="2"/>
        <v>0.2432521277</v>
      </c>
      <c r="I10" s="15"/>
      <c r="J10" s="15"/>
      <c r="K10" s="15"/>
      <c r="L10" s="15"/>
      <c r="M10" s="15"/>
      <c r="N10" s="15"/>
      <c r="O10" s="9" t="s">
        <v>101</v>
      </c>
      <c r="P10" s="9" t="s">
        <v>101</v>
      </c>
      <c r="Q10" s="9" t="s">
        <v>101</v>
      </c>
      <c r="R10" s="9" t="s">
        <v>101</v>
      </c>
      <c r="S10" s="9" t="s">
        <v>101</v>
      </c>
      <c r="T10" s="9" t="s">
        <v>101</v>
      </c>
      <c r="U10" s="9" t="s">
        <v>101</v>
      </c>
      <c r="V10" s="15"/>
      <c r="W10" s="15"/>
      <c r="X10" s="15"/>
      <c r="Y10" s="15"/>
      <c r="Z10" s="15"/>
      <c r="AA10" s="15"/>
      <c r="AB10" s="15"/>
      <c r="AC10" s="15"/>
      <c r="AD10" s="15"/>
      <c r="AE10" s="19"/>
      <c r="AF10" s="19"/>
      <c r="AG10" s="7" t="s">
        <v>109</v>
      </c>
      <c r="AH10" s="13">
        <f>iferror(VLOOKUP($B10,covariates!$B$3:$Z$1126,6,FALSE),"")</f>
        <v>28</v>
      </c>
      <c r="AI10" s="13">
        <f>iferror(VLOOKUP($B10,covariates!$B$3:$Z$1126,7,FALSE),"")</f>
        <v>8.347</v>
      </c>
      <c r="AJ10" s="9" t="str">
        <f>iferror(VLOOKUP($B10,covariates!$B$3:$Z$1126,14,FALSE),"")</f>
        <v/>
      </c>
      <c r="AK10" s="9" t="str">
        <f>iferror(VLOOKUP($B10,covariates!$B$3:$Z$1126,16,FALSE),"")</f>
        <v/>
      </c>
      <c r="AL10" s="9">
        <f>iferror(VLOOKUP($B10,covariates!$B$3:$Z$1126,18,FALSE),"")</f>
        <v>26</v>
      </c>
      <c r="AM10" s="9">
        <f>iferror(VLOOKUP($B10,covariates!$B$3:$Z$1126,19,FALSE),"")</f>
        <v>2.2</v>
      </c>
    </row>
    <row r="11">
      <c r="A11" s="9">
        <v>49.0</v>
      </c>
      <c r="B11" s="17" t="str">
        <f t="shared" si="6"/>
        <v>Laxdal et al., 2005</v>
      </c>
      <c r="C11" s="9" t="s">
        <v>84</v>
      </c>
      <c r="D11" s="7" t="s">
        <v>59</v>
      </c>
      <c r="E11" s="9" t="s">
        <v>64</v>
      </c>
      <c r="F11" s="9">
        <v>78.0</v>
      </c>
      <c r="G11" s="20">
        <v>2.0</v>
      </c>
      <c r="H11" s="13">
        <v>0.4205959625771342</v>
      </c>
      <c r="I11" s="9"/>
      <c r="J11" s="15"/>
      <c r="K11" s="15"/>
      <c r="L11" s="15"/>
      <c r="M11" s="9"/>
      <c r="N11" s="9"/>
      <c r="O11" s="9" t="s">
        <v>101</v>
      </c>
      <c r="P11" s="9" t="s">
        <v>101</v>
      </c>
      <c r="Q11" s="9" t="s">
        <v>101</v>
      </c>
      <c r="R11" s="9" t="s">
        <v>101</v>
      </c>
      <c r="S11" s="9" t="s">
        <v>101</v>
      </c>
      <c r="T11" s="9" t="s">
        <v>101</v>
      </c>
      <c r="U11" s="9" t="s">
        <v>101</v>
      </c>
      <c r="V11" s="15"/>
      <c r="W11" s="15"/>
      <c r="X11" s="15"/>
      <c r="Y11" s="15"/>
      <c r="Z11" s="15"/>
      <c r="AA11" s="15"/>
      <c r="AB11" s="15"/>
      <c r="AC11" s="15"/>
      <c r="AD11" s="15"/>
      <c r="AE11" s="19"/>
      <c r="AF11" s="19"/>
      <c r="AG11" s="7" t="s">
        <v>109</v>
      </c>
      <c r="AH11" s="13">
        <f>iferror(VLOOKUP($B11,covariates!$B$3:$Z$1126,6,FALSE),"")</f>
        <v>28</v>
      </c>
      <c r="AI11" s="13">
        <f>iferror(VLOOKUP($B11,covariates!$B$3:$Z$1126,7,FALSE),"")</f>
        <v>8.347</v>
      </c>
      <c r="AJ11" s="9" t="str">
        <f>iferror(VLOOKUP($B11,covariates!$B$3:$Z$1126,14,FALSE),"")</f>
        <v/>
      </c>
      <c r="AK11" s="9" t="str">
        <f>iferror(VLOOKUP($B11,covariates!$B$3:$Z$1126,16,FALSE),"")</f>
        <v/>
      </c>
      <c r="AL11" s="9">
        <f>iferror(VLOOKUP($B11,covariates!$B$3:$Z$1126,18,FALSE),"")</f>
        <v>26</v>
      </c>
      <c r="AM11" s="9">
        <f>iferror(VLOOKUP($B11,covariates!$B$3:$Z$1126,19,FALSE),"")</f>
        <v>2.2</v>
      </c>
    </row>
    <row r="12">
      <c r="A12" s="15">
        <v>54.0</v>
      </c>
      <c r="B12" s="17" t="str">
        <f t="shared" ref="B12:B13" si="7">HYPERLINK("https://github.com/d-wkim/phd/blob/main/data/pdf/lucidi_2025.pdf","Lucidi et al., 2025")</f>
        <v>Lucidi et al., 2025</v>
      </c>
      <c r="C12" s="9" t="s">
        <v>42</v>
      </c>
      <c r="D12" s="19" t="s">
        <v>59</v>
      </c>
      <c r="E12" s="9" t="s">
        <v>64</v>
      </c>
      <c r="F12" s="9">
        <v>19.0</v>
      </c>
      <c r="G12" s="20">
        <v>7.0</v>
      </c>
      <c r="H12" s="21">
        <f t="shared" ref="H12:H35" si="8">iferror(P_SD(F12,G12),"")</f>
        <v>2.72431184</v>
      </c>
      <c r="I12" s="15"/>
      <c r="J12" s="15"/>
      <c r="K12" s="15"/>
      <c r="L12" s="15"/>
      <c r="M12" s="15"/>
      <c r="N12" s="15"/>
      <c r="O12" s="9" t="s">
        <v>101</v>
      </c>
      <c r="P12" s="9" t="s">
        <v>101</v>
      </c>
      <c r="Q12" s="9" t="s">
        <v>101</v>
      </c>
      <c r="R12" s="9" t="s">
        <v>101</v>
      </c>
      <c r="S12" s="9" t="s">
        <v>101</v>
      </c>
      <c r="T12" s="9" t="s">
        <v>101</v>
      </c>
      <c r="U12" s="9" t="s">
        <v>101</v>
      </c>
      <c r="V12" s="15"/>
      <c r="W12" s="15"/>
      <c r="X12" s="15"/>
      <c r="Y12" s="15"/>
      <c r="Z12" s="15"/>
      <c r="AA12" s="15"/>
      <c r="AB12" s="15"/>
      <c r="AC12" s="15"/>
      <c r="AD12" s="15"/>
      <c r="AE12" s="19"/>
      <c r="AF12" s="19"/>
      <c r="AG12" s="7" t="s">
        <v>109</v>
      </c>
      <c r="AH12" s="13">
        <f>iferror(VLOOKUP($B12,covariates!$B$3:$Z$1126,6,FALSE),"")</f>
        <v>52.8</v>
      </c>
      <c r="AI12" s="13">
        <f>iferror(VLOOKUP($B12,covariates!$B$3:$Z$1126,7,FALSE),"")</f>
        <v>7.3</v>
      </c>
      <c r="AJ12" s="9" t="str">
        <f>iferror(VLOOKUP($B12,covariates!$B$3:$Z$1126,14,FALSE),"")</f>
        <v/>
      </c>
      <c r="AK12" s="9" t="str">
        <f>iferror(VLOOKUP($B12,covariates!$B$3:$Z$1126,16,FALSE),"")</f>
        <v/>
      </c>
      <c r="AL12" s="9">
        <f>iferror(VLOOKUP($B12,covariates!$B$3:$Z$1126,18,FALSE),"")</f>
        <v>240</v>
      </c>
      <c r="AM12" s="9">
        <f>iferror(VLOOKUP($B12,covariates!$B$3:$Z$1126,19,FALSE),"")</f>
        <v>20</v>
      </c>
    </row>
    <row r="13">
      <c r="A13" s="15">
        <v>54.0</v>
      </c>
      <c r="B13" s="17" t="str">
        <f t="shared" si="7"/>
        <v>Lucidi et al., 2025</v>
      </c>
      <c r="C13" s="9" t="s">
        <v>84</v>
      </c>
      <c r="D13" s="19" t="s">
        <v>59</v>
      </c>
      <c r="E13" s="9" t="s">
        <v>64</v>
      </c>
      <c r="F13" s="9">
        <v>20.0</v>
      </c>
      <c r="G13" s="20">
        <v>3.0</v>
      </c>
      <c r="H13" s="21">
        <f t="shared" si="8"/>
        <v>0.9207338731</v>
      </c>
      <c r="I13" s="15"/>
      <c r="J13" s="15"/>
      <c r="K13" s="15"/>
      <c r="L13" s="15"/>
      <c r="M13" s="15"/>
      <c r="N13" s="15"/>
      <c r="O13" s="9" t="s">
        <v>101</v>
      </c>
      <c r="P13" s="9" t="s">
        <v>101</v>
      </c>
      <c r="Q13" s="9" t="s">
        <v>101</v>
      </c>
      <c r="R13" s="9" t="s">
        <v>101</v>
      </c>
      <c r="S13" s="9" t="s">
        <v>101</v>
      </c>
      <c r="T13" s="9" t="s">
        <v>101</v>
      </c>
      <c r="U13" s="9" t="s">
        <v>101</v>
      </c>
      <c r="V13" s="15"/>
      <c r="W13" s="15"/>
      <c r="X13" s="15"/>
      <c r="Y13" s="15"/>
      <c r="Z13" s="15"/>
      <c r="AA13" s="15"/>
      <c r="AB13" s="15"/>
      <c r="AC13" s="15"/>
      <c r="AD13" s="15"/>
      <c r="AE13" s="19"/>
      <c r="AF13" s="19"/>
      <c r="AG13" s="7" t="s">
        <v>109</v>
      </c>
      <c r="AH13" s="13">
        <f>iferror(VLOOKUP($B13,covariates!$B$3:$Z$1126,6,FALSE),"")</f>
        <v>52.8</v>
      </c>
      <c r="AI13" s="13">
        <f>iferror(VLOOKUP($B13,covariates!$B$3:$Z$1126,7,FALSE),"")</f>
        <v>7.3</v>
      </c>
      <c r="AJ13" s="9" t="str">
        <f>iferror(VLOOKUP($B13,covariates!$B$3:$Z$1126,14,FALSE),"")</f>
        <v/>
      </c>
      <c r="AK13" s="9" t="str">
        <f>iferror(VLOOKUP($B13,covariates!$B$3:$Z$1126,16,FALSE),"")</f>
        <v/>
      </c>
      <c r="AL13" s="9">
        <f>iferror(VLOOKUP($B13,covariates!$B$3:$Z$1126,18,FALSE),"")</f>
        <v>240</v>
      </c>
      <c r="AM13" s="9">
        <f>iferror(VLOOKUP($B13,covariates!$B$3:$Z$1126,19,FALSE),"")</f>
        <v>20</v>
      </c>
    </row>
    <row r="14">
      <c r="A14" s="15">
        <v>66.0</v>
      </c>
      <c r="B14" s="17" t="str">
        <f t="shared" ref="B14:B15" si="9">HYPERLINK("https://github.com/d-wkim/phd/blob/main/data/pdf/mohtadi_2016a.pdf","Mohtadi et al., 2016")</f>
        <v>Mohtadi et al., 2016</v>
      </c>
      <c r="C14" s="9" t="s">
        <v>42</v>
      </c>
      <c r="D14" s="19" t="s">
        <v>59</v>
      </c>
      <c r="E14" s="9" t="s">
        <v>64</v>
      </c>
      <c r="F14" s="9">
        <v>110.0</v>
      </c>
      <c r="G14" s="20">
        <v>19.0</v>
      </c>
      <c r="H14" s="21">
        <f t="shared" si="8"/>
        <v>2.247447532</v>
      </c>
      <c r="I14" s="15"/>
      <c r="J14" s="15"/>
      <c r="K14" s="15"/>
      <c r="L14" s="15"/>
      <c r="M14" s="15"/>
      <c r="N14" s="15"/>
      <c r="O14" s="9" t="s">
        <v>101</v>
      </c>
      <c r="P14" s="9" t="s">
        <v>101</v>
      </c>
      <c r="Q14" s="9" t="s">
        <v>101</v>
      </c>
      <c r="R14" s="9" t="s">
        <v>101</v>
      </c>
      <c r="S14" s="9" t="s">
        <v>101</v>
      </c>
      <c r="T14" s="9" t="s">
        <v>101</v>
      </c>
      <c r="U14" s="9" t="s">
        <v>101</v>
      </c>
      <c r="V14" s="15"/>
      <c r="W14" s="15"/>
      <c r="X14" s="15"/>
      <c r="Y14" s="15"/>
      <c r="Z14" s="15"/>
      <c r="AA14" s="15"/>
      <c r="AB14" s="15"/>
      <c r="AC14" s="15"/>
      <c r="AD14" s="15"/>
      <c r="AE14" s="19"/>
      <c r="AF14" s="19"/>
      <c r="AG14" s="7" t="s">
        <v>109</v>
      </c>
      <c r="AH14" s="13">
        <f>iferror(VLOOKUP($B14,covariates!$B$3:$Z$1126,6,FALSE),"")</f>
        <v>28.7</v>
      </c>
      <c r="AI14" s="13">
        <f>iferror(VLOOKUP($B14,covariates!$B$3:$Z$1126,7,FALSE),"")</f>
        <v>9.9</v>
      </c>
      <c r="AJ14" s="9">
        <f>iferror(VLOOKUP($B14,covariates!$B$3:$Z$1126,14,FALSE),"")</f>
        <v>63</v>
      </c>
      <c r="AK14" s="9">
        <f>iferror(VLOOKUP($B14,covariates!$B$3:$Z$1126,16,FALSE),"")</f>
        <v>47</v>
      </c>
      <c r="AL14" s="9">
        <f>iferror(VLOOKUP($B14,covariates!$B$3:$Z$1126,18,FALSE),"")</f>
        <v>24</v>
      </c>
      <c r="AM14" s="9">
        <f>iferror(VLOOKUP($B14,covariates!$B$3:$Z$1126,19,FALSE),"")</f>
        <v>2</v>
      </c>
    </row>
    <row r="15">
      <c r="A15" s="15">
        <v>66.0</v>
      </c>
      <c r="B15" s="17" t="str">
        <f t="shared" si="9"/>
        <v>Mohtadi et al., 2016</v>
      </c>
      <c r="C15" s="9" t="s">
        <v>84</v>
      </c>
      <c r="D15" s="19" t="s">
        <v>59</v>
      </c>
      <c r="E15" s="9" t="s">
        <v>64</v>
      </c>
      <c r="F15" s="9">
        <v>110.0</v>
      </c>
      <c r="G15" s="20">
        <v>24.0</v>
      </c>
      <c r="H15" s="21">
        <f t="shared" si="8"/>
        <v>2.987885672</v>
      </c>
      <c r="I15" s="15"/>
      <c r="J15" s="15"/>
      <c r="K15" s="15"/>
      <c r="L15" s="15"/>
      <c r="M15" s="15"/>
      <c r="N15" s="15"/>
      <c r="O15" s="9" t="s">
        <v>101</v>
      </c>
      <c r="P15" s="9" t="s">
        <v>101</v>
      </c>
      <c r="Q15" s="9" t="s">
        <v>101</v>
      </c>
      <c r="R15" s="9" t="s">
        <v>101</v>
      </c>
      <c r="S15" s="9" t="s">
        <v>101</v>
      </c>
      <c r="T15" s="9" t="s">
        <v>101</v>
      </c>
      <c r="U15" s="9" t="s">
        <v>101</v>
      </c>
      <c r="V15" s="15"/>
      <c r="W15" s="15"/>
      <c r="X15" s="15"/>
      <c r="Y15" s="15"/>
      <c r="Z15" s="15"/>
      <c r="AA15" s="15"/>
      <c r="AB15" s="15"/>
      <c r="AC15" s="15"/>
      <c r="AD15" s="15"/>
      <c r="AE15" s="19"/>
      <c r="AF15" s="19"/>
      <c r="AG15" s="7" t="s">
        <v>109</v>
      </c>
      <c r="AH15" s="13">
        <f>iferror(VLOOKUP($B15,covariates!$B$3:$Z$1126,6,FALSE),"")</f>
        <v>28.7</v>
      </c>
      <c r="AI15" s="13">
        <f>iferror(VLOOKUP($B15,covariates!$B$3:$Z$1126,7,FALSE),"")</f>
        <v>9.9</v>
      </c>
      <c r="AJ15" s="9">
        <f>iferror(VLOOKUP($B15,covariates!$B$3:$Z$1126,14,FALSE),"")</f>
        <v>63</v>
      </c>
      <c r="AK15" s="9">
        <f>iferror(VLOOKUP($B15,covariates!$B$3:$Z$1126,16,FALSE),"")</f>
        <v>47</v>
      </c>
      <c r="AL15" s="9">
        <f>iferror(VLOOKUP($B15,covariates!$B$3:$Z$1126,18,FALSE),"")</f>
        <v>24</v>
      </c>
      <c r="AM15" s="9">
        <f>iferror(VLOOKUP($B15,covariates!$B$3:$Z$1126,19,FALSE),"")</f>
        <v>2</v>
      </c>
    </row>
    <row r="16">
      <c r="A16" s="15">
        <v>67.0</v>
      </c>
      <c r="B16" s="17" t="str">
        <f t="shared" ref="B16:B17" si="10">HYPERLINK("https://github.com/d-wkim/phd/blob/main/data/pdf/mohtadi_chan_2019.pdf","Mohtadi &amp; Chan, 2019")</f>
        <v>Mohtadi &amp; Chan, 2019</v>
      </c>
      <c r="C16" s="7" t="s">
        <v>42</v>
      </c>
      <c r="D16" s="19" t="s">
        <v>59</v>
      </c>
      <c r="E16" s="9" t="s">
        <v>64</v>
      </c>
      <c r="F16" s="15"/>
      <c r="G16" s="27"/>
      <c r="H16" s="21" t="str">
        <f t="shared" si="8"/>
        <v/>
      </c>
      <c r="I16" s="15"/>
      <c r="J16" s="15"/>
      <c r="K16" s="15"/>
      <c r="L16" s="15"/>
      <c r="M16" s="15"/>
      <c r="N16" s="15"/>
      <c r="O16" s="9" t="s">
        <v>101</v>
      </c>
      <c r="P16" s="9" t="s">
        <v>101</v>
      </c>
      <c r="Q16" s="9" t="s">
        <v>101</v>
      </c>
      <c r="R16" s="9" t="s">
        <v>101</v>
      </c>
      <c r="S16" s="9" t="s">
        <v>101</v>
      </c>
      <c r="T16" s="9" t="s">
        <v>101</v>
      </c>
      <c r="U16" s="9" t="s">
        <v>101</v>
      </c>
      <c r="V16" s="15"/>
      <c r="W16" s="15"/>
      <c r="X16" s="15"/>
      <c r="Y16" s="15"/>
      <c r="Z16" s="15"/>
      <c r="AA16" s="15"/>
      <c r="AB16" s="15"/>
      <c r="AC16" s="15"/>
      <c r="AD16" s="15"/>
      <c r="AE16" s="19"/>
      <c r="AF16" s="19"/>
      <c r="AG16" s="7" t="s">
        <v>174</v>
      </c>
      <c r="AH16" s="13" t="str">
        <f>iferror(VLOOKUP($B16,covariates!$B$3:$Z$1126,6,FALSE),"")</f>
        <v/>
      </c>
      <c r="AI16" s="13" t="str">
        <f>iferror(VLOOKUP($B16,covariates!$B$3:$Z$1126,7,FALSE),"")</f>
        <v/>
      </c>
      <c r="AJ16" s="9" t="str">
        <f>iferror(VLOOKUP($B16,covariates!$B$3:$Z$1126,14,FALSE),"")</f>
        <v/>
      </c>
      <c r="AK16" s="9" t="str">
        <f>iferror(VLOOKUP($B16,covariates!$B$3:$Z$1126,16,FALSE),"")</f>
        <v/>
      </c>
      <c r="AL16" s="9" t="str">
        <f>iferror(VLOOKUP($B16,covariates!$B$3:$Z$1126,18,FALSE),"")</f>
        <v/>
      </c>
      <c r="AM16" s="9" t="str">
        <f>iferror(VLOOKUP($B16,covariates!$B$3:$Z$1126,19,FALSE),"")</f>
        <v/>
      </c>
    </row>
    <row r="17">
      <c r="A17" s="15">
        <v>67.0</v>
      </c>
      <c r="B17" s="17" t="str">
        <f t="shared" si="10"/>
        <v>Mohtadi &amp; Chan, 2019</v>
      </c>
      <c r="C17" s="7" t="s">
        <v>84</v>
      </c>
      <c r="D17" s="19" t="s">
        <v>59</v>
      </c>
      <c r="E17" s="9" t="s">
        <v>64</v>
      </c>
      <c r="F17" s="15"/>
      <c r="G17" s="27"/>
      <c r="H17" s="21" t="str">
        <f t="shared" si="8"/>
        <v/>
      </c>
      <c r="I17" s="15"/>
      <c r="J17" s="15"/>
      <c r="K17" s="15"/>
      <c r="L17" s="15"/>
      <c r="M17" s="15"/>
      <c r="N17" s="15"/>
      <c r="O17" s="9" t="s">
        <v>101</v>
      </c>
      <c r="P17" s="9" t="s">
        <v>101</v>
      </c>
      <c r="Q17" s="9" t="s">
        <v>101</v>
      </c>
      <c r="R17" s="9" t="s">
        <v>101</v>
      </c>
      <c r="S17" s="9" t="s">
        <v>101</v>
      </c>
      <c r="T17" s="9" t="s">
        <v>101</v>
      </c>
      <c r="U17" s="9" t="s">
        <v>101</v>
      </c>
      <c r="V17" s="15"/>
      <c r="W17" s="15"/>
      <c r="X17" s="15"/>
      <c r="Y17" s="15"/>
      <c r="Z17" s="15"/>
      <c r="AA17" s="15"/>
      <c r="AB17" s="15"/>
      <c r="AC17" s="15"/>
      <c r="AD17" s="15"/>
      <c r="AE17" s="19"/>
      <c r="AF17" s="19"/>
      <c r="AG17" s="7" t="s">
        <v>174</v>
      </c>
      <c r="AH17" s="13" t="str">
        <f>iferror(VLOOKUP($B17,covariates!$B$3:$Z$1126,6,FALSE),"")</f>
        <v/>
      </c>
      <c r="AI17" s="13" t="str">
        <f>iferror(VLOOKUP($B17,covariates!$B$3:$Z$1126,7,FALSE),"")</f>
        <v/>
      </c>
      <c r="AJ17" s="9" t="str">
        <f>iferror(VLOOKUP($B17,covariates!$B$3:$Z$1126,14,FALSE),"")</f>
        <v/>
      </c>
      <c r="AK17" s="9" t="str">
        <f>iferror(VLOOKUP($B17,covariates!$B$3:$Z$1126,16,FALSE),"")</f>
        <v/>
      </c>
      <c r="AL17" s="9" t="str">
        <f>iferror(VLOOKUP($B17,covariates!$B$3:$Z$1126,18,FALSE),"")</f>
        <v/>
      </c>
      <c r="AM17" s="9" t="str">
        <f>iferror(VLOOKUP($B17,covariates!$B$3:$Z$1126,19,FALSE),"")</f>
        <v/>
      </c>
    </row>
    <row r="18">
      <c r="A18" s="15">
        <v>68.0</v>
      </c>
      <c r="B18" s="17" t="str">
        <f t="shared" ref="B18:B19" si="11">HYPERLINK("https://github.com/d-wkim/phd/blob/main/data/pdf/moraiti_2010.pdf","Moraiti et al., 2010")</f>
        <v>Moraiti et al., 2010</v>
      </c>
      <c r="C18" s="7" t="s">
        <v>42</v>
      </c>
      <c r="D18" s="19" t="s">
        <v>59</v>
      </c>
      <c r="E18" s="9" t="s">
        <v>64</v>
      </c>
      <c r="F18" s="15"/>
      <c r="G18" s="27"/>
      <c r="H18" s="21" t="str">
        <f t="shared" si="8"/>
        <v/>
      </c>
      <c r="I18" s="15"/>
      <c r="J18" s="15"/>
      <c r="K18" s="15"/>
      <c r="L18" s="15"/>
      <c r="M18" s="15"/>
      <c r="N18" s="15"/>
      <c r="O18" s="9" t="s">
        <v>101</v>
      </c>
      <c r="P18" s="9" t="s">
        <v>101</v>
      </c>
      <c r="Q18" s="9" t="s">
        <v>101</v>
      </c>
      <c r="R18" s="9" t="s">
        <v>101</v>
      </c>
      <c r="S18" s="9" t="s">
        <v>101</v>
      </c>
      <c r="T18" s="9" t="s">
        <v>101</v>
      </c>
      <c r="U18" s="9" t="s">
        <v>101</v>
      </c>
      <c r="V18" s="15"/>
      <c r="W18" s="15"/>
      <c r="X18" s="15"/>
      <c r="Y18" s="15"/>
      <c r="Z18" s="15"/>
      <c r="AA18" s="15"/>
      <c r="AB18" s="15"/>
      <c r="AC18" s="15"/>
      <c r="AD18" s="15"/>
      <c r="AE18" s="19"/>
      <c r="AF18" s="19"/>
      <c r="AG18" s="7" t="s">
        <v>174</v>
      </c>
      <c r="AH18" s="13">
        <f>iferror(VLOOKUP($B18,covariates!$B$3:$Z$1126,6,FALSE),"")</f>
        <v>23</v>
      </c>
      <c r="AI18" s="13">
        <f>iferror(VLOOKUP($B18,covariates!$B$3:$Z$1126,7,FALSE),"")</f>
        <v>2</v>
      </c>
      <c r="AJ18" s="9">
        <f>iferror(VLOOKUP($B18,covariates!$B$3:$Z$1126,14,FALSE),"")</f>
        <v>6</v>
      </c>
      <c r="AK18" s="9">
        <f>iferror(VLOOKUP($B18,covariates!$B$3:$Z$1126,16,FALSE),"")</f>
        <v>0</v>
      </c>
      <c r="AL18" s="9">
        <f>iferror(VLOOKUP($B18,covariates!$B$3:$Z$1126,18,FALSE),"")</f>
        <v>21</v>
      </c>
      <c r="AM18" s="9">
        <f>iferror(VLOOKUP($B18,covariates!$B$3:$Z$1126,19,FALSE),"")</f>
        <v>1.8</v>
      </c>
    </row>
    <row r="19">
      <c r="A19" s="15">
        <v>68.0</v>
      </c>
      <c r="B19" s="17" t="str">
        <f t="shared" si="11"/>
        <v>Moraiti et al., 2010</v>
      </c>
      <c r="C19" s="7" t="s">
        <v>84</v>
      </c>
      <c r="D19" s="19" t="s">
        <v>59</v>
      </c>
      <c r="E19" s="9" t="s">
        <v>64</v>
      </c>
      <c r="F19" s="15"/>
      <c r="G19" s="27"/>
      <c r="H19" s="21" t="str">
        <f t="shared" si="8"/>
        <v/>
      </c>
      <c r="I19" s="15"/>
      <c r="J19" s="15"/>
      <c r="K19" s="15"/>
      <c r="L19" s="15"/>
      <c r="M19" s="15"/>
      <c r="N19" s="15"/>
      <c r="O19" s="9" t="s">
        <v>101</v>
      </c>
      <c r="P19" s="9" t="s">
        <v>101</v>
      </c>
      <c r="Q19" s="9" t="s">
        <v>101</v>
      </c>
      <c r="R19" s="9" t="s">
        <v>101</v>
      </c>
      <c r="S19" s="9" t="s">
        <v>101</v>
      </c>
      <c r="T19" s="9" t="s">
        <v>101</v>
      </c>
      <c r="U19" s="9" t="s">
        <v>101</v>
      </c>
      <c r="V19" s="15"/>
      <c r="W19" s="15"/>
      <c r="X19" s="15"/>
      <c r="Y19" s="15"/>
      <c r="Z19" s="15"/>
      <c r="AA19" s="15"/>
      <c r="AB19" s="15"/>
      <c r="AC19" s="15"/>
      <c r="AD19" s="15"/>
      <c r="AE19" s="19"/>
      <c r="AF19" s="19"/>
      <c r="AG19" s="7" t="s">
        <v>174</v>
      </c>
      <c r="AH19" s="13">
        <f>iferror(VLOOKUP($B19,covariates!$B$3:$Z$1126,6,FALSE),"")</f>
        <v>23</v>
      </c>
      <c r="AI19" s="13">
        <f>iferror(VLOOKUP($B19,covariates!$B$3:$Z$1126,7,FALSE),"")</f>
        <v>2</v>
      </c>
      <c r="AJ19" s="9">
        <f>iferror(VLOOKUP($B19,covariates!$B$3:$Z$1126,14,FALSE),"")</f>
        <v>6</v>
      </c>
      <c r="AK19" s="9">
        <f>iferror(VLOOKUP($B19,covariates!$B$3:$Z$1126,16,FALSE),"")</f>
        <v>0</v>
      </c>
      <c r="AL19" s="9">
        <f>iferror(VLOOKUP($B19,covariates!$B$3:$Z$1126,18,FALSE),"")</f>
        <v>21</v>
      </c>
      <c r="AM19" s="9">
        <f>iferror(VLOOKUP($B19,covariates!$B$3:$Z$1126,19,FALSE),"")</f>
        <v>1.8</v>
      </c>
    </row>
    <row r="20">
      <c r="A20" s="15">
        <v>70.0</v>
      </c>
      <c r="B20" s="17" t="str">
        <f t="shared" ref="B20:B21" si="12">HYPERLINK("https://github.com/d-wkim/phd/blob/main/data/pdf/noh_2011.pdf","Noh et al., 2011")</f>
        <v>Noh et al., 2011</v>
      </c>
      <c r="C20" s="7" t="s">
        <v>84</v>
      </c>
      <c r="D20" s="19" t="s">
        <v>59</v>
      </c>
      <c r="E20" s="9" t="s">
        <v>64</v>
      </c>
      <c r="F20" s="9"/>
      <c r="G20" s="27"/>
      <c r="H20" s="21" t="str">
        <f t="shared" si="8"/>
        <v/>
      </c>
      <c r="I20" s="15"/>
      <c r="J20" s="15"/>
      <c r="K20" s="15"/>
      <c r="L20" s="15"/>
      <c r="M20" s="15"/>
      <c r="N20" s="15"/>
      <c r="O20" s="9" t="s">
        <v>101</v>
      </c>
      <c r="P20" s="9" t="s">
        <v>101</v>
      </c>
      <c r="Q20" s="9" t="s">
        <v>101</v>
      </c>
      <c r="R20" s="9" t="s">
        <v>101</v>
      </c>
      <c r="S20" s="9" t="s">
        <v>101</v>
      </c>
      <c r="T20" s="9" t="s">
        <v>101</v>
      </c>
      <c r="U20" s="9" t="s">
        <v>101</v>
      </c>
      <c r="V20" s="15"/>
      <c r="W20" s="15"/>
      <c r="X20" s="15"/>
      <c r="Y20" s="15"/>
      <c r="Z20" s="15"/>
      <c r="AA20" s="15"/>
      <c r="AB20" s="15"/>
      <c r="AC20" s="15"/>
      <c r="AD20" s="15"/>
      <c r="AE20" s="19"/>
      <c r="AF20" s="19"/>
      <c r="AG20" s="7" t="s">
        <v>174</v>
      </c>
      <c r="AH20" s="13">
        <f>iferror(VLOOKUP($B20,covariates!$B$3:$Z$1126,6,FALSE),"")</f>
        <v>25.81397443</v>
      </c>
      <c r="AI20" s="13">
        <f>iferror(VLOOKUP($B20,covariates!$B$3:$Z$1126,7,FALSE),"")</f>
        <v>7.455</v>
      </c>
      <c r="AJ20" s="9">
        <f>iferror(VLOOKUP($B20,covariates!$B$3:$Z$1126,14,FALSE),"")</f>
        <v>30</v>
      </c>
      <c r="AK20" s="9">
        <f>iferror(VLOOKUP($B20,covariates!$B$3:$Z$1126,16,FALSE),"")</f>
        <v>3</v>
      </c>
      <c r="AL20" s="9">
        <f>iferror(VLOOKUP($B20,covariates!$B$3:$Z$1126,18,FALSE),"")</f>
        <v>28.1</v>
      </c>
      <c r="AM20" s="9">
        <f>iferror(VLOOKUP($B20,covariates!$B$3:$Z$1126,19,FALSE),"")</f>
        <v>2.3</v>
      </c>
    </row>
    <row r="21">
      <c r="A21" s="15">
        <v>70.0</v>
      </c>
      <c r="B21" s="17" t="str">
        <f t="shared" si="12"/>
        <v>Noh et al., 2011</v>
      </c>
      <c r="C21" s="7" t="s">
        <v>246</v>
      </c>
      <c r="D21" s="19" t="s">
        <v>59</v>
      </c>
      <c r="E21" s="9" t="s">
        <v>64</v>
      </c>
      <c r="F21" s="9"/>
      <c r="G21" s="27"/>
      <c r="H21" s="21" t="str">
        <f t="shared" si="8"/>
        <v/>
      </c>
      <c r="I21" s="15"/>
      <c r="J21" s="15"/>
      <c r="K21" s="15"/>
      <c r="L21" s="15"/>
      <c r="M21" s="15"/>
      <c r="N21" s="15"/>
      <c r="O21" s="9" t="s">
        <v>101</v>
      </c>
      <c r="P21" s="9" t="s">
        <v>101</v>
      </c>
      <c r="Q21" s="9" t="s">
        <v>101</v>
      </c>
      <c r="R21" s="9" t="s">
        <v>101</v>
      </c>
      <c r="S21" s="9" t="s">
        <v>101</v>
      </c>
      <c r="T21" s="9" t="s">
        <v>101</v>
      </c>
      <c r="U21" s="9" t="s">
        <v>101</v>
      </c>
      <c r="V21" s="15"/>
      <c r="W21" s="15"/>
      <c r="X21" s="15"/>
      <c r="Y21" s="15"/>
      <c r="Z21" s="15"/>
      <c r="AA21" s="15"/>
      <c r="AB21" s="15"/>
      <c r="AC21" s="15"/>
      <c r="AD21" s="15"/>
      <c r="AE21" s="19"/>
      <c r="AF21" s="19"/>
      <c r="AG21" s="7" t="s">
        <v>174</v>
      </c>
      <c r="AH21" s="13">
        <f>iferror(VLOOKUP($B21,covariates!$B$3:$Z$1126,6,FALSE),"")</f>
        <v>25.81397443</v>
      </c>
      <c r="AI21" s="13">
        <f>iferror(VLOOKUP($B21,covariates!$B$3:$Z$1126,7,FALSE),"")</f>
        <v>7.455</v>
      </c>
      <c r="AJ21" s="9">
        <f>iferror(VLOOKUP($B21,covariates!$B$3:$Z$1126,14,FALSE),"")</f>
        <v>30</v>
      </c>
      <c r="AK21" s="9">
        <f>iferror(VLOOKUP($B21,covariates!$B$3:$Z$1126,16,FALSE),"")</f>
        <v>3</v>
      </c>
      <c r="AL21" s="9">
        <f>iferror(VLOOKUP($B21,covariates!$B$3:$Z$1126,18,FALSE),"")</f>
        <v>28.1</v>
      </c>
      <c r="AM21" s="9">
        <f>iferror(VLOOKUP($B21,covariates!$B$3:$Z$1126,19,FALSE),"")</f>
        <v>2.3</v>
      </c>
    </row>
    <row r="22">
      <c r="A22" s="15">
        <v>76.0</v>
      </c>
      <c r="B22" s="17" t="str">
        <f t="shared" ref="B22:B23" si="13">HYPERLINK("https://github.com/d-wkim/phd/blob/main/data/pdf/pinczewski_2007.pdf","Pinczewski et al., 2007")</f>
        <v>Pinczewski et al., 2007</v>
      </c>
      <c r="C22" s="9" t="s">
        <v>42</v>
      </c>
      <c r="D22" s="7" t="s">
        <v>59</v>
      </c>
      <c r="E22" s="9" t="s">
        <v>64</v>
      </c>
      <c r="F22" s="9">
        <v>90.0</v>
      </c>
      <c r="G22" s="20">
        <v>7.0</v>
      </c>
      <c r="H22" s="21">
        <f t="shared" si="8"/>
        <v>0.857243944</v>
      </c>
      <c r="I22" s="15"/>
      <c r="J22" s="15"/>
      <c r="K22" s="15"/>
      <c r="L22" s="15"/>
      <c r="M22" s="15"/>
      <c r="N22" s="15"/>
      <c r="O22" s="9" t="s">
        <v>101</v>
      </c>
      <c r="P22" s="9" t="s">
        <v>101</v>
      </c>
      <c r="Q22" s="9" t="s">
        <v>101</v>
      </c>
      <c r="R22" s="9" t="s">
        <v>101</v>
      </c>
      <c r="S22" s="9" t="s">
        <v>101</v>
      </c>
      <c r="T22" s="9" t="s">
        <v>101</v>
      </c>
      <c r="U22" s="9" t="s">
        <v>101</v>
      </c>
      <c r="V22" s="15"/>
      <c r="W22" s="15"/>
      <c r="X22" s="15"/>
      <c r="Y22" s="15"/>
      <c r="Z22" s="15"/>
      <c r="AA22" s="15"/>
      <c r="AB22" s="15"/>
      <c r="AC22" s="15"/>
      <c r="AD22" s="15"/>
      <c r="AE22" s="19"/>
      <c r="AF22" s="19"/>
      <c r="AG22" s="7" t="s">
        <v>109</v>
      </c>
      <c r="AH22" s="13">
        <f>iferror(VLOOKUP($B22,covariates!$B$3:$Z$1126,6,FALSE),"")</f>
        <v>25</v>
      </c>
      <c r="AI22" s="13">
        <f>iferror(VLOOKUP($B22,covariates!$B$3:$Z$1126,7,FALSE),"")</f>
        <v>5.485</v>
      </c>
      <c r="AJ22" s="9">
        <f>iferror(VLOOKUP($B22,covariates!$B$3:$Z$1126,14,FALSE),"")</f>
        <v>48</v>
      </c>
      <c r="AK22" s="9">
        <f>iferror(VLOOKUP($B22,covariates!$B$3:$Z$1126,16,FALSE),"")</f>
        <v>42</v>
      </c>
      <c r="AL22" s="9">
        <f>iferror(VLOOKUP($B22,covariates!$B$3:$Z$1126,18,FALSE),"")</f>
        <v>120</v>
      </c>
      <c r="AM22" s="9">
        <f>iferror(VLOOKUP($B22,covariates!$B$3:$Z$1126,19,FALSE),"")</f>
        <v>10</v>
      </c>
    </row>
    <row r="23">
      <c r="A23" s="15">
        <v>76.0</v>
      </c>
      <c r="B23" s="17" t="str">
        <f t="shared" si="13"/>
        <v>Pinczewski et al., 2007</v>
      </c>
      <c r="C23" s="9" t="s">
        <v>84</v>
      </c>
      <c r="D23" s="7" t="s">
        <v>59</v>
      </c>
      <c r="E23" s="9" t="s">
        <v>64</v>
      </c>
      <c r="F23" s="9">
        <v>90.0</v>
      </c>
      <c r="G23" s="20">
        <v>12.0</v>
      </c>
      <c r="H23" s="21">
        <f t="shared" si="8"/>
        <v>1.520325798</v>
      </c>
      <c r="I23" s="15"/>
      <c r="J23" s="15"/>
      <c r="K23" s="15"/>
      <c r="L23" s="15"/>
      <c r="M23" s="15"/>
      <c r="N23" s="15"/>
      <c r="O23" s="9" t="s">
        <v>101</v>
      </c>
      <c r="P23" s="9" t="s">
        <v>101</v>
      </c>
      <c r="Q23" s="9" t="s">
        <v>101</v>
      </c>
      <c r="R23" s="9" t="s">
        <v>101</v>
      </c>
      <c r="S23" s="9" t="s">
        <v>101</v>
      </c>
      <c r="T23" s="9" t="s">
        <v>101</v>
      </c>
      <c r="U23" s="9" t="s">
        <v>101</v>
      </c>
      <c r="V23" s="15"/>
      <c r="W23" s="15"/>
      <c r="X23" s="15"/>
      <c r="Y23" s="15"/>
      <c r="Z23" s="15"/>
      <c r="AA23" s="15"/>
      <c r="AB23" s="15"/>
      <c r="AC23" s="15"/>
      <c r="AD23" s="15"/>
      <c r="AE23" s="19"/>
      <c r="AF23" s="19"/>
      <c r="AG23" s="7" t="s">
        <v>109</v>
      </c>
      <c r="AH23" s="13">
        <f>iferror(VLOOKUP($B23,covariates!$B$3:$Z$1126,6,FALSE),"")</f>
        <v>25</v>
      </c>
      <c r="AI23" s="13">
        <f>iferror(VLOOKUP($B23,covariates!$B$3:$Z$1126,7,FALSE),"")</f>
        <v>5.485</v>
      </c>
      <c r="AJ23" s="9">
        <f>iferror(VLOOKUP($B23,covariates!$B$3:$Z$1126,14,FALSE),"")</f>
        <v>48</v>
      </c>
      <c r="AK23" s="9">
        <f>iferror(VLOOKUP($B23,covariates!$B$3:$Z$1126,16,FALSE),"")</f>
        <v>42</v>
      </c>
      <c r="AL23" s="9">
        <f>iferror(VLOOKUP($B23,covariates!$B$3:$Z$1126,18,FALSE),"")</f>
        <v>120</v>
      </c>
      <c r="AM23" s="9">
        <f>iferror(VLOOKUP($B23,covariates!$B$3:$Z$1126,19,FALSE),"")</f>
        <v>10</v>
      </c>
    </row>
    <row r="24">
      <c r="A24" s="15">
        <v>77.0</v>
      </c>
      <c r="B24" s="17" t="str">
        <f t="shared" ref="B24:B25" si="14">HYPERLINK("https://github.com/d-wkim/phd/blob/main/data/pdf/popovic_2024.pdf","Popovic et al., 2024")</f>
        <v>Popovic et al., 2024</v>
      </c>
      <c r="C24" s="9" t="s">
        <v>42</v>
      </c>
      <c r="D24" s="7" t="s">
        <v>59</v>
      </c>
      <c r="E24" s="9" t="s">
        <v>64</v>
      </c>
      <c r="F24" s="9">
        <v>38.0</v>
      </c>
      <c r="G24" s="20">
        <v>3.0</v>
      </c>
      <c r="H24" s="21">
        <f t="shared" si="8"/>
        <v>0.6164414003</v>
      </c>
      <c r="I24" s="15"/>
      <c r="J24" s="15"/>
      <c r="K24" s="15"/>
      <c r="L24" s="15"/>
      <c r="M24" s="15"/>
      <c r="N24" s="15"/>
      <c r="O24" s="9" t="s">
        <v>101</v>
      </c>
      <c r="P24" s="9" t="s">
        <v>101</v>
      </c>
      <c r="Q24" s="9" t="s">
        <v>101</v>
      </c>
      <c r="R24" s="9" t="s">
        <v>101</v>
      </c>
      <c r="S24" s="9" t="s">
        <v>101</v>
      </c>
      <c r="T24" s="9" t="s">
        <v>101</v>
      </c>
      <c r="U24" s="9" t="s">
        <v>101</v>
      </c>
      <c r="V24" s="15"/>
      <c r="W24" s="15"/>
      <c r="X24" s="15"/>
      <c r="Y24" s="15"/>
      <c r="Z24" s="15"/>
      <c r="AA24" s="15"/>
      <c r="AB24" s="15"/>
      <c r="AC24" s="15"/>
      <c r="AD24" s="15"/>
      <c r="AE24" s="19"/>
      <c r="AF24" s="19"/>
      <c r="AG24" s="7" t="s">
        <v>109</v>
      </c>
      <c r="AH24" s="13">
        <f>iferror(VLOOKUP($B24,covariates!$B$3:$Z$1126,6,FALSE),"")</f>
        <v>27</v>
      </c>
      <c r="AI24" s="13">
        <f>iferror(VLOOKUP($B24,covariates!$B$3:$Z$1126,7,FALSE),"")</f>
        <v>6.82</v>
      </c>
      <c r="AJ24" s="9" t="str">
        <f>iferror(VLOOKUP($B24,covariates!$B$3:$Z$1126,14,FALSE),"")</f>
        <v/>
      </c>
      <c r="AK24" s="9" t="str">
        <f>iferror(VLOOKUP($B24,covariates!$B$3:$Z$1126,16,FALSE),"")</f>
        <v/>
      </c>
      <c r="AL24" s="9">
        <f>iferror(VLOOKUP($B24,covariates!$B$3:$Z$1126,18,FALSE),"")</f>
        <v>228</v>
      </c>
      <c r="AM24" s="9">
        <f>iferror(VLOOKUP($B24,covariates!$B$3:$Z$1126,19,FALSE),"")</f>
        <v>19</v>
      </c>
    </row>
    <row r="25">
      <c r="A25" s="15">
        <v>77.0</v>
      </c>
      <c r="B25" s="17" t="str">
        <f t="shared" si="14"/>
        <v>Popovic et al., 2024</v>
      </c>
      <c r="C25" s="9" t="s">
        <v>84</v>
      </c>
      <c r="D25" s="7" t="s">
        <v>59</v>
      </c>
      <c r="E25" s="9" t="s">
        <v>64</v>
      </c>
      <c r="F25" s="9">
        <v>33.0</v>
      </c>
      <c r="G25" s="20">
        <v>4.0</v>
      </c>
      <c r="H25" s="21">
        <f t="shared" si="8"/>
        <v>0.891397652</v>
      </c>
      <c r="I25" s="15"/>
      <c r="J25" s="15"/>
      <c r="K25" s="15"/>
      <c r="L25" s="15"/>
      <c r="M25" s="15"/>
      <c r="N25" s="15"/>
      <c r="O25" s="9" t="s">
        <v>101</v>
      </c>
      <c r="P25" s="9" t="s">
        <v>101</v>
      </c>
      <c r="Q25" s="9" t="s">
        <v>101</v>
      </c>
      <c r="R25" s="9" t="s">
        <v>101</v>
      </c>
      <c r="S25" s="9" t="s">
        <v>101</v>
      </c>
      <c r="T25" s="9" t="s">
        <v>101</v>
      </c>
      <c r="U25" s="9" t="s">
        <v>101</v>
      </c>
      <c r="V25" s="15"/>
      <c r="W25" s="15"/>
      <c r="X25" s="15"/>
      <c r="Y25" s="15"/>
      <c r="Z25" s="15"/>
      <c r="AA25" s="15"/>
      <c r="AB25" s="15"/>
      <c r="AC25" s="15"/>
      <c r="AD25" s="15"/>
      <c r="AE25" s="19"/>
      <c r="AF25" s="19"/>
      <c r="AG25" s="7" t="s">
        <v>109</v>
      </c>
      <c r="AH25" s="13">
        <f>iferror(VLOOKUP($B25,covariates!$B$3:$Z$1126,6,FALSE),"")</f>
        <v>27</v>
      </c>
      <c r="AI25" s="13">
        <f>iferror(VLOOKUP($B25,covariates!$B$3:$Z$1126,7,FALSE),"")</f>
        <v>6.82</v>
      </c>
      <c r="AJ25" s="9" t="str">
        <f>iferror(VLOOKUP($B25,covariates!$B$3:$Z$1126,14,FALSE),"")</f>
        <v/>
      </c>
      <c r="AK25" s="9" t="str">
        <f>iferror(VLOOKUP($B25,covariates!$B$3:$Z$1126,16,FALSE),"")</f>
        <v/>
      </c>
      <c r="AL25" s="9">
        <f>iferror(VLOOKUP($B25,covariates!$B$3:$Z$1126,18,FALSE),"")</f>
        <v>228</v>
      </c>
      <c r="AM25" s="9">
        <f>iferror(VLOOKUP($B25,covariates!$B$3:$Z$1126,19,FALSE),"")</f>
        <v>19</v>
      </c>
    </row>
    <row r="26">
      <c r="A26" s="15">
        <v>85.0</v>
      </c>
      <c r="B26" s="17" t="str">
        <f t="shared" ref="B26:B27" si="15">HYPERLINK("https://github.com/d-wkim/phd/blob/main/data/pdf/smith_2020.pdf","Smith et al., 2020")</f>
        <v>Smith et al., 2020</v>
      </c>
      <c r="C26" s="9" t="s">
        <v>42</v>
      </c>
      <c r="D26" s="19" t="s">
        <v>59</v>
      </c>
      <c r="E26" s="9" t="s">
        <v>64</v>
      </c>
      <c r="F26" s="9">
        <v>32.0</v>
      </c>
      <c r="G26" s="20">
        <v>0.0</v>
      </c>
      <c r="H26" s="21">
        <f t="shared" si="8"/>
        <v>0.08838834765</v>
      </c>
      <c r="I26" s="15"/>
      <c r="J26" s="15"/>
      <c r="K26" s="15"/>
      <c r="L26" s="15"/>
      <c r="M26" s="15"/>
      <c r="N26" s="15"/>
      <c r="O26" s="9" t="s">
        <v>101</v>
      </c>
      <c r="P26" s="9" t="s">
        <v>101</v>
      </c>
      <c r="Q26" s="9" t="s">
        <v>101</v>
      </c>
      <c r="R26" s="9" t="s">
        <v>101</v>
      </c>
      <c r="S26" s="9" t="s">
        <v>101</v>
      </c>
      <c r="T26" s="9" t="s">
        <v>101</v>
      </c>
      <c r="U26" s="9" t="s">
        <v>101</v>
      </c>
      <c r="V26" s="15"/>
      <c r="W26" s="15"/>
      <c r="X26" s="15"/>
      <c r="Y26" s="15"/>
      <c r="Z26" s="15"/>
      <c r="AA26" s="15"/>
      <c r="AB26" s="15"/>
      <c r="AC26" s="15"/>
      <c r="AD26" s="15"/>
      <c r="AE26" s="19"/>
      <c r="AF26" s="19"/>
      <c r="AG26" s="7" t="s">
        <v>109</v>
      </c>
      <c r="AH26" s="13">
        <f>iferror(VLOOKUP($B26,covariates!$B$3:$Z$1126,6,FALSE),"")</f>
        <v>17.7</v>
      </c>
      <c r="AI26" s="13">
        <f>iferror(VLOOKUP($B26,covariates!$B$3:$Z$1126,7,FALSE),"")</f>
        <v>2.4</v>
      </c>
      <c r="AJ26" s="9">
        <f>iferror(VLOOKUP($B26,covariates!$B$3:$Z$1126,14,FALSE),"")</f>
        <v>15</v>
      </c>
      <c r="AK26" s="9">
        <f>iferror(VLOOKUP($B26,covariates!$B$3:$Z$1126,16,FALSE),"")</f>
        <v>17</v>
      </c>
      <c r="AL26" s="9">
        <f>iferror(VLOOKUP($B26,covariates!$B$3:$Z$1126,18,FALSE),"")</f>
        <v>24</v>
      </c>
      <c r="AM26" s="9">
        <f>iferror(VLOOKUP($B26,covariates!$B$3:$Z$1126,19,FALSE),"")</f>
        <v>2</v>
      </c>
    </row>
    <row r="27">
      <c r="A27" s="15">
        <v>85.0</v>
      </c>
      <c r="B27" s="17" t="str">
        <f t="shared" si="15"/>
        <v>Smith et al., 2020</v>
      </c>
      <c r="C27" s="9" t="s">
        <v>84</v>
      </c>
      <c r="D27" s="19" t="s">
        <v>59</v>
      </c>
      <c r="E27" s="9" t="s">
        <v>64</v>
      </c>
      <c r="F27" s="9">
        <v>32.0</v>
      </c>
      <c r="G27" s="20">
        <v>2.0</v>
      </c>
      <c r="H27" s="21">
        <f t="shared" si="8"/>
        <v>0.4714045208</v>
      </c>
      <c r="I27" s="15"/>
      <c r="J27" s="15"/>
      <c r="K27" s="15"/>
      <c r="L27" s="15"/>
      <c r="M27" s="15"/>
      <c r="N27" s="15"/>
      <c r="O27" s="9" t="s">
        <v>101</v>
      </c>
      <c r="P27" s="9" t="s">
        <v>101</v>
      </c>
      <c r="Q27" s="9" t="s">
        <v>101</v>
      </c>
      <c r="R27" s="9" t="s">
        <v>101</v>
      </c>
      <c r="S27" s="9" t="s">
        <v>101</v>
      </c>
      <c r="T27" s="9" t="s">
        <v>101</v>
      </c>
      <c r="U27" s="9" t="s">
        <v>101</v>
      </c>
      <c r="V27" s="15"/>
      <c r="W27" s="15"/>
      <c r="X27" s="15"/>
      <c r="Y27" s="15"/>
      <c r="Z27" s="15"/>
      <c r="AA27" s="15"/>
      <c r="AB27" s="15"/>
      <c r="AC27" s="15"/>
      <c r="AD27" s="15"/>
      <c r="AE27" s="19"/>
      <c r="AF27" s="19"/>
      <c r="AG27" s="7" t="s">
        <v>109</v>
      </c>
      <c r="AH27" s="13">
        <f>iferror(VLOOKUP($B27,covariates!$B$3:$Z$1126,6,FALSE),"")</f>
        <v>17.7</v>
      </c>
      <c r="AI27" s="13">
        <f>iferror(VLOOKUP($B27,covariates!$B$3:$Z$1126,7,FALSE),"")</f>
        <v>2.4</v>
      </c>
      <c r="AJ27" s="9">
        <f>iferror(VLOOKUP($B27,covariates!$B$3:$Z$1126,14,FALSE),"")</f>
        <v>15</v>
      </c>
      <c r="AK27" s="9">
        <f>iferror(VLOOKUP($B27,covariates!$B$3:$Z$1126,16,FALSE),"")</f>
        <v>17</v>
      </c>
      <c r="AL27" s="9">
        <f>iferror(VLOOKUP($B27,covariates!$B$3:$Z$1126,18,FALSE),"")</f>
        <v>24</v>
      </c>
      <c r="AM27" s="9">
        <f>iferror(VLOOKUP($B27,covariates!$B$3:$Z$1126,19,FALSE),"")</f>
        <v>2</v>
      </c>
    </row>
    <row r="28">
      <c r="A28" s="15">
        <v>87.0</v>
      </c>
      <c r="B28" s="17" t="str">
        <f t="shared" ref="B28:B29" si="16">HYPERLINK("https://github.com/d-wkim/phd/blob/main/data/pdf/sonnery-cottet_2026.pdf","Sonnery-cottet et al., 2026")</f>
        <v>Sonnery-cottet et al., 2026</v>
      </c>
      <c r="C28" s="9" t="s">
        <v>42</v>
      </c>
      <c r="D28" s="19" t="s">
        <v>59</v>
      </c>
      <c r="E28" s="9" t="s">
        <v>64</v>
      </c>
      <c r="F28" s="9">
        <v>273.0</v>
      </c>
      <c r="G28" s="20">
        <v>12.0</v>
      </c>
      <c r="H28" s="21">
        <f t="shared" si="8"/>
        <v>0.7913176074</v>
      </c>
      <c r="I28" s="15"/>
      <c r="J28" s="15"/>
      <c r="K28" s="15"/>
      <c r="L28" s="15"/>
      <c r="M28" s="15"/>
      <c r="N28" s="15"/>
      <c r="O28" s="9" t="s">
        <v>101</v>
      </c>
      <c r="P28" s="9" t="s">
        <v>101</v>
      </c>
      <c r="Q28" s="9" t="s">
        <v>101</v>
      </c>
      <c r="R28" s="9" t="s">
        <v>101</v>
      </c>
      <c r="S28" s="9" t="s">
        <v>101</v>
      </c>
      <c r="T28" s="9" t="s">
        <v>101</v>
      </c>
      <c r="U28" s="9" t="s">
        <v>101</v>
      </c>
      <c r="V28" s="15"/>
      <c r="W28" s="15"/>
      <c r="X28" s="15"/>
      <c r="Y28" s="15"/>
      <c r="Z28" s="15"/>
      <c r="AA28" s="15"/>
      <c r="AB28" s="15"/>
      <c r="AC28" s="15"/>
      <c r="AD28" s="15"/>
      <c r="AE28" s="19"/>
      <c r="AF28" s="19"/>
      <c r="AG28" s="7" t="s">
        <v>109</v>
      </c>
      <c r="AH28" s="13">
        <f>iferror(VLOOKUP($B28,covariates!$B$3:$Z$1126,6,FALSE),"")</f>
        <v>24.8</v>
      </c>
      <c r="AI28" s="13">
        <f>iferror(VLOOKUP($B28,covariates!$B$3:$Z$1126,7,FALSE),"")</f>
        <v>4.4</v>
      </c>
      <c r="AJ28" s="9">
        <f>iferror(VLOOKUP($B28,covariates!$B$3:$Z$1126,14,FALSE),"")</f>
        <v>214</v>
      </c>
      <c r="AK28" s="9">
        <f>iferror(VLOOKUP($B28,covariates!$B$3:$Z$1126,16,FALSE),"")</f>
        <v>69</v>
      </c>
      <c r="AL28" s="9">
        <f>iferror(VLOOKUP($B28,covariates!$B$3:$Z$1126,18,FALSE),"")</f>
        <v>61.5</v>
      </c>
      <c r="AM28" s="9">
        <f>iferror(VLOOKUP($B28,covariates!$B$3:$Z$1126,19,FALSE),"")</f>
        <v>5.1</v>
      </c>
    </row>
    <row r="29">
      <c r="A29" s="15">
        <v>87.0</v>
      </c>
      <c r="B29" s="17" t="str">
        <f t="shared" si="16"/>
        <v>Sonnery-cottet et al., 2026</v>
      </c>
      <c r="C29" s="9" t="s">
        <v>84</v>
      </c>
      <c r="D29" s="19" t="s">
        <v>59</v>
      </c>
      <c r="E29" s="9" t="s">
        <v>64</v>
      </c>
      <c r="F29" s="9">
        <v>283.0</v>
      </c>
      <c r="G29" s="20">
        <v>12.0</v>
      </c>
      <c r="H29" s="21">
        <f t="shared" si="8"/>
        <v>0.7759503617</v>
      </c>
      <c r="I29" s="15"/>
      <c r="J29" s="15"/>
      <c r="K29" s="15"/>
      <c r="L29" s="15"/>
      <c r="M29" s="15"/>
      <c r="N29" s="15"/>
      <c r="O29" s="9" t="s">
        <v>101</v>
      </c>
      <c r="P29" s="9" t="s">
        <v>101</v>
      </c>
      <c r="Q29" s="9" t="s">
        <v>101</v>
      </c>
      <c r="R29" s="9" t="s">
        <v>101</v>
      </c>
      <c r="S29" s="9" t="s">
        <v>101</v>
      </c>
      <c r="T29" s="9" t="s">
        <v>101</v>
      </c>
      <c r="U29" s="9" t="s">
        <v>101</v>
      </c>
      <c r="V29" s="15"/>
      <c r="W29" s="15"/>
      <c r="X29" s="15"/>
      <c r="Y29" s="15"/>
      <c r="Z29" s="15"/>
      <c r="AA29" s="15"/>
      <c r="AB29" s="15"/>
      <c r="AC29" s="15"/>
      <c r="AD29" s="15"/>
      <c r="AE29" s="19"/>
      <c r="AF29" s="19"/>
      <c r="AG29" s="7" t="s">
        <v>109</v>
      </c>
      <c r="AH29" s="13">
        <f>iferror(VLOOKUP($B29,covariates!$B$3:$Z$1126,6,FALSE),"")</f>
        <v>24.8</v>
      </c>
      <c r="AI29" s="13">
        <f>iferror(VLOOKUP($B29,covariates!$B$3:$Z$1126,7,FALSE),"")</f>
        <v>4.4</v>
      </c>
      <c r="AJ29" s="9">
        <f>iferror(VLOOKUP($B29,covariates!$B$3:$Z$1126,14,FALSE),"")</f>
        <v>214</v>
      </c>
      <c r="AK29" s="9">
        <f>iferror(VLOOKUP($B29,covariates!$B$3:$Z$1126,16,FALSE),"")</f>
        <v>69</v>
      </c>
      <c r="AL29" s="9">
        <f>iferror(VLOOKUP($B29,covariates!$B$3:$Z$1126,18,FALSE),"")</f>
        <v>61.5</v>
      </c>
      <c r="AM29" s="9">
        <f>iferror(VLOOKUP($B29,covariates!$B$3:$Z$1126,19,FALSE),"")</f>
        <v>5.1</v>
      </c>
    </row>
    <row r="30">
      <c r="A30" s="15">
        <v>90.0</v>
      </c>
      <c r="B30" s="17" t="str">
        <f t="shared" ref="B30:B31" si="17">HYPERLINK("https://github.com/d-wkim/phd/blob/main/data/pdf/taylor_2009.pdf","Taylor et al., 2009")</f>
        <v>Taylor et al., 2009</v>
      </c>
      <c r="C30" s="9" t="s">
        <v>42</v>
      </c>
      <c r="D30" s="7" t="s">
        <v>59</v>
      </c>
      <c r="E30" s="9" t="s">
        <v>64</v>
      </c>
      <c r="F30" s="9">
        <v>32.0</v>
      </c>
      <c r="G30" s="20">
        <v>3.0</v>
      </c>
      <c r="H30" s="21">
        <f t="shared" si="8"/>
        <v>0.6827237887</v>
      </c>
      <c r="I30" s="15"/>
      <c r="J30" s="15"/>
      <c r="K30" s="15"/>
      <c r="L30" s="15"/>
      <c r="M30" s="15"/>
      <c r="N30" s="15"/>
      <c r="O30" s="9" t="s">
        <v>101</v>
      </c>
      <c r="P30" s="9" t="s">
        <v>101</v>
      </c>
      <c r="Q30" s="9" t="s">
        <v>101</v>
      </c>
      <c r="R30" s="9" t="s">
        <v>101</v>
      </c>
      <c r="S30" s="9" t="s">
        <v>101</v>
      </c>
      <c r="T30" s="9" t="s">
        <v>101</v>
      </c>
      <c r="U30" s="9" t="s">
        <v>101</v>
      </c>
      <c r="V30" s="15"/>
      <c r="W30" s="15"/>
      <c r="X30" s="15"/>
      <c r="Y30" s="15"/>
      <c r="Z30" s="15"/>
      <c r="AA30" s="15"/>
      <c r="AB30" s="15"/>
      <c r="AC30" s="15"/>
      <c r="AD30" s="15"/>
      <c r="AE30" s="19"/>
      <c r="AF30" s="19"/>
      <c r="AG30" s="7" t="s">
        <v>109</v>
      </c>
      <c r="AH30" s="13">
        <f>iferror(VLOOKUP($B30,covariates!$B$3:$Z$1126,6,FALSE),"")</f>
        <v>21.7</v>
      </c>
      <c r="AI30" s="13">
        <f>iferror(VLOOKUP($B30,covariates!$B$3:$Z$1126,7,FALSE),"")</f>
        <v>4.597</v>
      </c>
      <c r="AJ30" s="9">
        <f>iferror(VLOOKUP($B30,covariates!$B$3:$Z$1126,14,FALSE),"")</f>
        <v>25</v>
      </c>
      <c r="AK30" s="9">
        <f>iferror(VLOOKUP($B30,covariates!$B$3:$Z$1126,16,FALSE),"")</f>
        <v>7</v>
      </c>
      <c r="AL30" s="9">
        <f>iferror(VLOOKUP($B30,covariates!$B$3:$Z$1126,18,FALSE),"")</f>
        <v>32.4</v>
      </c>
      <c r="AM30" s="9">
        <f>iferror(VLOOKUP($B30,covariates!$B$3:$Z$1126,19,FALSE),"")</f>
        <v>2.7</v>
      </c>
    </row>
    <row r="31">
      <c r="A31" s="15">
        <v>90.0</v>
      </c>
      <c r="B31" s="17" t="str">
        <f t="shared" si="17"/>
        <v>Taylor et al., 2009</v>
      </c>
      <c r="C31" s="9" t="s">
        <v>84</v>
      </c>
      <c r="D31" s="7" t="s">
        <v>59</v>
      </c>
      <c r="E31" s="9" t="s">
        <v>64</v>
      </c>
      <c r="F31" s="9">
        <v>32.0</v>
      </c>
      <c r="G31" s="20">
        <v>4.0</v>
      </c>
      <c r="H31" s="21">
        <f t="shared" si="8"/>
        <v>0.9091372901</v>
      </c>
      <c r="I31" s="15"/>
      <c r="J31" s="15"/>
      <c r="K31" s="15"/>
      <c r="L31" s="15"/>
      <c r="M31" s="15"/>
      <c r="N31" s="15"/>
      <c r="O31" s="9" t="s">
        <v>101</v>
      </c>
      <c r="P31" s="9" t="s">
        <v>101</v>
      </c>
      <c r="Q31" s="9" t="s">
        <v>101</v>
      </c>
      <c r="R31" s="9" t="s">
        <v>101</v>
      </c>
      <c r="S31" s="9" t="s">
        <v>101</v>
      </c>
      <c r="T31" s="9" t="s">
        <v>101</v>
      </c>
      <c r="U31" s="9" t="s">
        <v>101</v>
      </c>
      <c r="V31" s="15"/>
      <c r="W31" s="15"/>
      <c r="X31" s="15"/>
      <c r="Y31" s="15"/>
      <c r="Z31" s="15"/>
      <c r="AA31" s="15"/>
      <c r="AB31" s="15"/>
      <c r="AC31" s="15"/>
      <c r="AD31" s="15"/>
      <c r="AE31" s="19"/>
      <c r="AF31" s="19"/>
      <c r="AG31" s="7" t="s">
        <v>109</v>
      </c>
      <c r="AH31" s="13">
        <f>iferror(VLOOKUP($B31,covariates!$B$3:$Z$1126,6,FALSE),"")</f>
        <v>21.7</v>
      </c>
      <c r="AI31" s="13">
        <f>iferror(VLOOKUP($B31,covariates!$B$3:$Z$1126,7,FALSE),"")</f>
        <v>4.597</v>
      </c>
      <c r="AJ31" s="9">
        <f>iferror(VLOOKUP($B31,covariates!$B$3:$Z$1126,14,FALSE),"")</f>
        <v>25</v>
      </c>
      <c r="AK31" s="9">
        <f>iferror(VLOOKUP($B31,covariates!$B$3:$Z$1126,16,FALSE),"")</f>
        <v>7</v>
      </c>
      <c r="AL31" s="9">
        <f>iferror(VLOOKUP($B31,covariates!$B$3:$Z$1126,18,FALSE),"")</f>
        <v>32.4</v>
      </c>
      <c r="AM31" s="9">
        <f>iferror(VLOOKUP($B31,covariates!$B$3:$Z$1126,19,FALSE),"")</f>
        <v>2.7</v>
      </c>
    </row>
    <row r="32">
      <c r="A32" s="15">
        <v>96.0</v>
      </c>
      <c r="B32" s="17" t="str">
        <f t="shared" ref="B32:B33" si="18">HYPERLINK("https://github.com/d-wkim/phd/blob/main/data/pdf/wipfler_2011.pdf","Wipfler et al., 2011")</f>
        <v>Wipfler et al., 2011</v>
      </c>
      <c r="C32" s="9" t="s">
        <v>42</v>
      </c>
      <c r="D32" s="19" t="s">
        <v>59</v>
      </c>
      <c r="E32" s="9" t="s">
        <v>64</v>
      </c>
      <c r="F32" s="9">
        <v>29.0</v>
      </c>
      <c r="G32" s="20">
        <v>3.0</v>
      </c>
      <c r="H32" s="21">
        <f t="shared" si="8"/>
        <v>0.7249260317</v>
      </c>
      <c r="I32" s="15"/>
      <c r="J32" s="15"/>
      <c r="K32" s="15"/>
      <c r="L32" s="15"/>
      <c r="M32" s="15"/>
      <c r="N32" s="15"/>
      <c r="O32" s="9" t="s">
        <v>101</v>
      </c>
      <c r="P32" s="9" t="s">
        <v>101</v>
      </c>
      <c r="Q32" s="9" t="s">
        <v>101</v>
      </c>
      <c r="R32" s="9" t="s">
        <v>101</v>
      </c>
      <c r="S32" s="9" t="s">
        <v>101</v>
      </c>
      <c r="T32" s="9" t="s">
        <v>101</v>
      </c>
      <c r="U32" s="9" t="s">
        <v>101</v>
      </c>
      <c r="V32" s="15"/>
      <c r="W32" s="15"/>
      <c r="X32" s="15"/>
      <c r="Y32" s="15"/>
      <c r="Z32" s="15"/>
      <c r="AA32" s="15"/>
      <c r="AB32" s="15"/>
      <c r="AC32" s="15"/>
      <c r="AD32" s="15"/>
      <c r="AE32" s="19"/>
      <c r="AF32" s="19"/>
      <c r="AG32" s="7" t="s">
        <v>109</v>
      </c>
      <c r="AH32" s="13">
        <f>iferror(VLOOKUP($B32,covariates!$B$3:$Z$1126,6,FALSE),"")</f>
        <v>29.87</v>
      </c>
      <c r="AI32" s="13">
        <f>iferror(VLOOKUP($B32,covariates!$B$3:$Z$1126,7,FALSE),"")</f>
        <v>7.304</v>
      </c>
      <c r="AJ32" s="9">
        <f>iferror(VLOOKUP($B32,covariates!$B$3:$Z$1126,14,FALSE),"")</f>
        <v>19</v>
      </c>
      <c r="AK32" s="9">
        <f>iferror(VLOOKUP($B32,covariates!$B$3:$Z$1126,16,FALSE),"")</f>
        <v>12</v>
      </c>
      <c r="AL32" s="9">
        <f>iferror(VLOOKUP($B32,covariates!$B$3:$Z$1126,18,FALSE),"")</f>
        <v>108</v>
      </c>
      <c r="AM32" s="9">
        <f>iferror(VLOOKUP($B32,covariates!$B$3:$Z$1126,19,FALSE),"")</f>
        <v>9</v>
      </c>
    </row>
    <row r="33">
      <c r="A33" s="15">
        <v>96.0</v>
      </c>
      <c r="B33" s="17" t="str">
        <f t="shared" si="18"/>
        <v>Wipfler et al., 2011</v>
      </c>
      <c r="C33" s="9" t="s">
        <v>84</v>
      </c>
      <c r="D33" s="19" t="s">
        <v>59</v>
      </c>
      <c r="E33" s="9" t="s">
        <v>64</v>
      </c>
      <c r="F33" s="9">
        <v>25.0</v>
      </c>
      <c r="G33" s="20">
        <v>3.0</v>
      </c>
      <c r="H33" s="21">
        <f t="shared" si="8"/>
        <v>0.7954545455</v>
      </c>
      <c r="I33" s="15"/>
      <c r="J33" s="15"/>
      <c r="K33" s="15"/>
      <c r="L33" s="15"/>
      <c r="M33" s="15"/>
      <c r="N33" s="15"/>
      <c r="O33" s="9" t="s">
        <v>101</v>
      </c>
      <c r="P33" s="9" t="s">
        <v>101</v>
      </c>
      <c r="Q33" s="9" t="s">
        <v>101</v>
      </c>
      <c r="R33" s="9" t="s">
        <v>101</v>
      </c>
      <c r="S33" s="9" t="s">
        <v>101</v>
      </c>
      <c r="T33" s="9" t="s">
        <v>101</v>
      </c>
      <c r="U33" s="9" t="s">
        <v>101</v>
      </c>
      <c r="V33" s="15"/>
      <c r="W33" s="15"/>
      <c r="X33" s="15"/>
      <c r="Y33" s="15"/>
      <c r="Z33" s="15"/>
      <c r="AA33" s="15"/>
      <c r="AB33" s="15"/>
      <c r="AC33" s="15"/>
      <c r="AD33" s="15"/>
      <c r="AE33" s="19"/>
      <c r="AF33" s="19"/>
      <c r="AG33" s="7" t="s">
        <v>109</v>
      </c>
      <c r="AH33" s="13">
        <f>iferror(VLOOKUP($B33,covariates!$B$3:$Z$1126,6,FALSE),"")</f>
        <v>29.87</v>
      </c>
      <c r="AI33" s="13">
        <f>iferror(VLOOKUP($B33,covariates!$B$3:$Z$1126,7,FALSE),"")</f>
        <v>7.304</v>
      </c>
      <c r="AJ33" s="9">
        <f>iferror(VLOOKUP($B33,covariates!$B$3:$Z$1126,14,FALSE),"")</f>
        <v>19</v>
      </c>
      <c r="AK33" s="9">
        <f>iferror(VLOOKUP($B33,covariates!$B$3:$Z$1126,16,FALSE),"")</f>
        <v>12</v>
      </c>
      <c r="AL33" s="9">
        <f>iferror(VLOOKUP($B33,covariates!$B$3:$Z$1126,18,FALSE),"")</f>
        <v>108</v>
      </c>
      <c r="AM33" s="9">
        <f>iferror(VLOOKUP($B33,covariates!$B$3:$Z$1126,19,FALSE),"")</f>
        <v>9</v>
      </c>
    </row>
    <row r="34">
      <c r="A34" s="15">
        <v>97.0</v>
      </c>
      <c r="B34" s="17" t="str">
        <f t="shared" ref="B34:B35" si="19">HYPERLINK("https://github.com/d-wkim/phd/blob/main/data/pdf/yadav_2025.pdf","Yadav et al., 2025")</f>
        <v>Yadav et al., 2025</v>
      </c>
      <c r="C34" s="9" t="s">
        <v>84</v>
      </c>
      <c r="D34" s="7" t="s">
        <v>59</v>
      </c>
      <c r="E34" s="9" t="s">
        <v>64</v>
      </c>
      <c r="F34" s="9">
        <v>36.0</v>
      </c>
      <c r="G34" s="20">
        <v>1.0</v>
      </c>
      <c r="H34" s="21">
        <f t="shared" si="8"/>
        <v>0.2571428571</v>
      </c>
      <c r="I34" s="15"/>
      <c r="J34" s="15"/>
      <c r="K34" s="15"/>
      <c r="L34" s="15"/>
      <c r="M34" s="15"/>
      <c r="N34" s="15"/>
      <c r="O34" s="9" t="s">
        <v>101</v>
      </c>
      <c r="P34" s="9" t="s">
        <v>101</v>
      </c>
      <c r="Q34" s="9" t="s">
        <v>101</v>
      </c>
      <c r="R34" s="9" t="s">
        <v>101</v>
      </c>
      <c r="S34" s="9" t="s">
        <v>101</v>
      </c>
      <c r="T34" s="9" t="s">
        <v>101</v>
      </c>
      <c r="U34" s="9" t="s">
        <v>101</v>
      </c>
      <c r="V34" s="15"/>
      <c r="W34" s="15"/>
      <c r="X34" s="15"/>
      <c r="Y34" s="15"/>
      <c r="Z34" s="15"/>
      <c r="AA34" s="15"/>
      <c r="AB34" s="15"/>
      <c r="AC34" s="15"/>
      <c r="AD34" s="15"/>
      <c r="AE34" s="19"/>
      <c r="AF34" s="19"/>
      <c r="AG34" s="7" t="s">
        <v>109</v>
      </c>
      <c r="AH34" s="13">
        <f>iferror(VLOOKUP($B34,covariates!$B$3:$Z$1126,6,FALSE),"")</f>
        <v>30.06</v>
      </c>
      <c r="AI34" s="13">
        <f>iferror(VLOOKUP($B34,covariates!$B$3:$Z$1126,7,FALSE),"")</f>
        <v>8.87</v>
      </c>
      <c r="AJ34" s="9">
        <f>iferror(VLOOKUP($B34,covariates!$B$3:$Z$1126,14,FALSE),"")</f>
        <v>32</v>
      </c>
      <c r="AK34" s="9">
        <f>iferror(VLOOKUP($B34,covariates!$B$3:$Z$1126,16,FALSE),"")</f>
        <v>4</v>
      </c>
      <c r="AL34" s="9">
        <f>iferror(VLOOKUP($B34,covariates!$B$3:$Z$1126,18,FALSE),"")</f>
        <v>12</v>
      </c>
      <c r="AM34" s="9">
        <f>iferror(VLOOKUP($B34,covariates!$B$3:$Z$1126,19,FALSE),"")</f>
        <v>1</v>
      </c>
    </row>
    <row r="35">
      <c r="A35" s="15">
        <v>97.0</v>
      </c>
      <c r="B35" s="17" t="str">
        <f t="shared" si="19"/>
        <v>Yadav et al., 2025</v>
      </c>
      <c r="C35" s="9" t="s">
        <v>200</v>
      </c>
      <c r="D35" s="7" t="s">
        <v>59</v>
      </c>
      <c r="E35" s="9" t="s">
        <v>64</v>
      </c>
      <c r="F35" s="9">
        <v>33.0</v>
      </c>
      <c r="G35" s="20">
        <v>0.0</v>
      </c>
      <c r="H35" s="21">
        <f t="shared" si="8"/>
        <v>0.08703882798</v>
      </c>
      <c r="I35" s="15"/>
      <c r="J35" s="15"/>
      <c r="K35" s="15"/>
      <c r="L35" s="15"/>
      <c r="M35" s="15"/>
      <c r="N35" s="15"/>
      <c r="O35" s="9" t="s">
        <v>101</v>
      </c>
      <c r="P35" s="9" t="s">
        <v>101</v>
      </c>
      <c r="Q35" s="9" t="s">
        <v>101</v>
      </c>
      <c r="R35" s="9" t="s">
        <v>101</v>
      </c>
      <c r="S35" s="9" t="s">
        <v>101</v>
      </c>
      <c r="T35" s="9" t="s">
        <v>101</v>
      </c>
      <c r="U35" s="9" t="s">
        <v>101</v>
      </c>
      <c r="V35" s="19"/>
      <c r="W35" s="19"/>
      <c r="X35" s="19"/>
      <c r="Y35" s="19"/>
      <c r="Z35" s="19"/>
      <c r="AA35" s="19"/>
      <c r="AB35" s="19"/>
      <c r="AC35" s="19"/>
      <c r="AD35" s="19"/>
      <c r="AE35" s="19"/>
      <c r="AF35" s="19"/>
      <c r="AG35" s="7" t="s">
        <v>109</v>
      </c>
      <c r="AH35" s="13">
        <f>iferror(VLOOKUP($B35,covariates!$B$3:$Z$1126,6,FALSE),"")</f>
        <v>30.06</v>
      </c>
      <c r="AI35" s="13">
        <f>iferror(VLOOKUP($B35,covariates!$B$3:$Z$1126,7,FALSE),"")</f>
        <v>8.87</v>
      </c>
      <c r="AJ35" s="9">
        <f>iferror(VLOOKUP($B35,covariates!$B$3:$Z$1126,14,FALSE),"")</f>
        <v>32</v>
      </c>
      <c r="AK35" s="9">
        <f>iferror(VLOOKUP($B35,covariates!$B$3:$Z$1126,16,FALSE),"")</f>
        <v>4</v>
      </c>
      <c r="AL35" s="9">
        <f>iferror(VLOOKUP($B35,covariates!$B$3:$Z$1126,18,FALSE),"")</f>
        <v>12</v>
      </c>
      <c r="AM35" s="9">
        <f>iferror(VLOOKUP($B35,covariates!$B$3:$Z$1126,19,FALSE),"")</f>
        <v>1</v>
      </c>
    </row>
    <row r="36">
      <c r="A36" s="15">
        <v>3.0</v>
      </c>
      <c r="B36" s="17" t="str">
        <f t="shared" ref="B36:B37" si="20">HYPERLINK("https://github.com/d-wkim/phd/blob/main/data/pdf/ahldén_2009.pdf","Ahldén et al., 2009")</f>
        <v>Ahldén et al., 2009</v>
      </c>
      <c r="C36" s="9" t="s">
        <v>42</v>
      </c>
      <c r="D36" s="7" t="s">
        <v>316</v>
      </c>
      <c r="E36" s="9" t="s">
        <v>64</v>
      </c>
      <c r="F36" s="9"/>
      <c r="G36" s="13"/>
      <c r="H36" s="13"/>
      <c r="I36" s="15"/>
      <c r="J36" s="15"/>
      <c r="K36" s="15"/>
      <c r="L36" s="15"/>
      <c r="M36" s="15"/>
      <c r="N36" s="15"/>
      <c r="O36" s="9">
        <v>26.0</v>
      </c>
      <c r="P36" s="9" t="s">
        <v>101</v>
      </c>
      <c r="Q36" s="9" t="s">
        <v>101</v>
      </c>
      <c r="R36" s="9" t="s">
        <v>101</v>
      </c>
      <c r="S36" s="9" t="s">
        <v>101</v>
      </c>
      <c r="T36" s="9" t="s">
        <v>101</v>
      </c>
      <c r="U36" s="9" t="s">
        <v>101</v>
      </c>
      <c r="V36" s="15"/>
      <c r="W36" s="15"/>
      <c r="X36" s="15"/>
      <c r="Y36" s="15"/>
      <c r="Z36" s="15"/>
      <c r="AA36" s="15"/>
      <c r="AB36" s="15"/>
      <c r="AC36" s="15"/>
      <c r="AD36" s="15"/>
      <c r="AE36" s="19"/>
      <c r="AF36" s="19"/>
      <c r="AG36" s="7" t="s">
        <v>174</v>
      </c>
      <c r="AH36" s="13">
        <f>iferror(VLOOKUP($B36,covariates!$B$3:$Z$1126,6,FALSE),"")</f>
        <v>27.41260836</v>
      </c>
      <c r="AI36" s="13">
        <f>iferror(VLOOKUP($B36,covariates!$B$3:$Z$1126,7,FALSE),"")</f>
        <v>8.902</v>
      </c>
      <c r="AJ36" s="9">
        <f>iferror(VLOOKUP($B36,covariates!$B$3:$Z$1126,14,FALSE),"")</f>
        <v>14</v>
      </c>
      <c r="AK36" s="9">
        <f>iferror(VLOOKUP($B36,covariates!$B$3:$Z$1126,16,FALSE),"")</f>
        <v>8</v>
      </c>
      <c r="AL36" s="9">
        <f>iferror(VLOOKUP($B36,covariates!$B$3:$Z$1126,18,FALSE),"")</f>
        <v>90.27134752</v>
      </c>
      <c r="AM36" s="9">
        <f>iferror(VLOOKUP($B36,covariates!$B$3:$Z$1126,19,FALSE),"")</f>
        <v>7.5</v>
      </c>
    </row>
    <row r="37">
      <c r="A37" s="15">
        <v>3.0</v>
      </c>
      <c r="B37" s="17" t="str">
        <f t="shared" si="20"/>
        <v>Ahldén et al., 2009</v>
      </c>
      <c r="C37" s="9" t="s">
        <v>84</v>
      </c>
      <c r="D37" s="7" t="s">
        <v>316</v>
      </c>
      <c r="E37" s="9" t="s">
        <v>64</v>
      </c>
      <c r="F37" s="9"/>
      <c r="G37" s="13"/>
      <c r="H37" s="13"/>
      <c r="I37" s="15"/>
      <c r="J37" s="15"/>
      <c r="K37" s="15"/>
      <c r="L37" s="15"/>
      <c r="M37" s="15"/>
      <c r="N37" s="15"/>
      <c r="O37" s="9">
        <v>29.0</v>
      </c>
      <c r="P37" s="9" t="s">
        <v>101</v>
      </c>
      <c r="Q37" s="9" t="s">
        <v>101</v>
      </c>
      <c r="R37" s="9" t="s">
        <v>101</v>
      </c>
      <c r="S37" s="9" t="s">
        <v>101</v>
      </c>
      <c r="T37" s="9" t="s">
        <v>101</v>
      </c>
      <c r="U37" s="9" t="s">
        <v>101</v>
      </c>
      <c r="V37" s="15"/>
      <c r="W37" s="15"/>
      <c r="X37" s="15"/>
      <c r="Y37" s="15"/>
      <c r="Z37" s="15"/>
      <c r="AA37" s="15"/>
      <c r="AB37" s="15"/>
      <c r="AC37" s="15"/>
      <c r="AD37" s="15"/>
      <c r="AE37" s="19"/>
      <c r="AF37" s="19"/>
      <c r="AG37" s="7" t="s">
        <v>174</v>
      </c>
      <c r="AH37" s="13">
        <f>iferror(VLOOKUP($B37,covariates!$B$3:$Z$1126,6,FALSE),"")</f>
        <v>27.41260836</v>
      </c>
      <c r="AI37" s="13">
        <f>iferror(VLOOKUP($B37,covariates!$B$3:$Z$1126,7,FALSE),"")</f>
        <v>8.902</v>
      </c>
      <c r="AJ37" s="9">
        <f>iferror(VLOOKUP($B37,covariates!$B$3:$Z$1126,14,FALSE),"")</f>
        <v>14</v>
      </c>
      <c r="AK37" s="9">
        <f>iferror(VLOOKUP($B37,covariates!$B$3:$Z$1126,16,FALSE),"")</f>
        <v>8</v>
      </c>
      <c r="AL37" s="9">
        <f>iferror(VLOOKUP($B37,covariates!$B$3:$Z$1126,18,FALSE),"")</f>
        <v>90.27134752</v>
      </c>
      <c r="AM37" s="9">
        <f>iferror(VLOOKUP($B37,covariates!$B$3:$Z$1126,19,FALSE),"")</f>
        <v>7.5</v>
      </c>
    </row>
    <row r="38">
      <c r="A38" s="15">
        <v>5.0</v>
      </c>
      <c r="B38" s="17" t="str">
        <f t="shared" ref="B38:B39" si="21">HYPERLINK("https://github.com/d-wkim/phd/blob/main/data/pdf/anderson_2001.pdf","Anderson et al., 2001")</f>
        <v>Anderson et al., 2001</v>
      </c>
      <c r="C38" s="9" t="s">
        <v>42</v>
      </c>
      <c r="D38" s="7" t="s">
        <v>316</v>
      </c>
      <c r="E38" s="9" t="s">
        <v>64</v>
      </c>
      <c r="F38" s="9"/>
      <c r="G38" s="21"/>
      <c r="H38" s="13"/>
      <c r="I38" s="15"/>
      <c r="J38" s="15"/>
      <c r="K38" s="15"/>
      <c r="L38" s="15"/>
      <c r="M38" s="15"/>
      <c r="N38" s="15"/>
      <c r="O38" s="9" t="s">
        <v>101</v>
      </c>
      <c r="P38" s="9" t="s">
        <v>101</v>
      </c>
      <c r="Q38" s="9" t="s">
        <v>101</v>
      </c>
      <c r="R38" s="9" t="s">
        <v>101</v>
      </c>
      <c r="S38" s="9" t="s">
        <v>101</v>
      </c>
      <c r="T38" s="9" t="s">
        <v>101</v>
      </c>
      <c r="U38" s="9" t="s">
        <v>101</v>
      </c>
      <c r="V38" s="15"/>
      <c r="W38" s="15"/>
      <c r="X38" s="15"/>
      <c r="Y38" s="15"/>
      <c r="Z38" s="15"/>
      <c r="AA38" s="15"/>
      <c r="AB38" s="15"/>
      <c r="AC38" s="15"/>
      <c r="AD38" s="15"/>
      <c r="AE38" s="19"/>
      <c r="AF38" s="19"/>
      <c r="AG38" s="7" t="s">
        <v>174</v>
      </c>
      <c r="AH38" s="13">
        <f>iferror(VLOOKUP($B38,covariates!$B$3:$Z$1126,6,FALSE),"")</f>
        <v>23.6</v>
      </c>
      <c r="AI38" s="13">
        <f>iferror(VLOOKUP($B38,covariates!$B$3:$Z$1126,7,FALSE),"")</f>
        <v>7.132</v>
      </c>
      <c r="AJ38" s="9">
        <f>iferror(VLOOKUP($B38,covariates!$B$3:$Z$1126,14,FALSE),"")</f>
        <v>23</v>
      </c>
      <c r="AK38" s="9">
        <f>iferror(VLOOKUP($B38,covariates!$B$3:$Z$1126,16,FALSE),"")</f>
        <v>12</v>
      </c>
      <c r="AL38" s="9">
        <f>iferror(VLOOKUP($B38,covariates!$B$3:$Z$1126,18,FALSE),"")</f>
        <v>34.6</v>
      </c>
      <c r="AM38" s="9">
        <f>iferror(VLOOKUP($B38,covariates!$B$3:$Z$1126,19,FALSE),"")</f>
        <v>2.9</v>
      </c>
    </row>
    <row r="39">
      <c r="A39" s="15">
        <v>5.0</v>
      </c>
      <c r="B39" s="17" t="str">
        <f t="shared" si="21"/>
        <v>Anderson et al., 2001</v>
      </c>
      <c r="C39" s="9" t="s">
        <v>84</v>
      </c>
      <c r="D39" s="7" t="s">
        <v>316</v>
      </c>
      <c r="E39" s="9" t="s">
        <v>64</v>
      </c>
      <c r="F39" s="9"/>
      <c r="G39" s="21"/>
      <c r="H39" s="13"/>
      <c r="I39" s="15"/>
      <c r="J39" s="15"/>
      <c r="K39" s="15"/>
      <c r="L39" s="15"/>
      <c r="M39" s="15"/>
      <c r="N39" s="15"/>
      <c r="O39" s="9" t="s">
        <v>101</v>
      </c>
      <c r="P39" s="9" t="s">
        <v>101</v>
      </c>
      <c r="Q39" s="9" t="s">
        <v>101</v>
      </c>
      <c r="R39" s="9" t="s">
        <v>101</v>
      </c>
      <c r="S39" s="9" t="s">
        <v>101</v>
      </c>
      <c r="T39" s="9" t="s">
        <v>101</v>
      </c>
      <c r="U39" s="9" t="s">
        <v>101</v>
      </c>
      <c r="V39" s="15"/>
      <c r="W39" s="15"/>
      <c r="X39" s="15"/>
      <c r="Y39" s="15"/>
      <c r="Z39" s="15"/>
      <c r="AA39" s="15"/>
      <c r="AB39" s="15"/>
      <c r="AC39" s="15"/>
      <c r="AD39" s="15"/>
      <c r="AE39" s="19"/>
      <c r="AF39" s="19"/>
      <c r="AG39" s="7" t="s">
        <v>174</v>
      </c>
      <c r="AH39" s="13">
        <f>iferror(VLOOKUP($B39,covariates!$B$3:$Z$1126,6,FALSE),"")</f>
        <v>23.6</v>
      </c>
      <c r="AI39" s="13">
        <f>iferror(VLOOKUP($B39,covariates!$B$3:$Z$1126,7,FALSE),"")</f>
        <v>7.132</v>
      </c>
      <c r="AJ39" s="9">
        <f>iferror(VLOOKUP($B39,covariates!$B$3:$Z$1126,14,FALSE),"")</f>
        <v>23</v>
      </c>
      <c r="AK39" s="9">
        <f>iferror(VLOOKUP($B39,covariates!$B$3:$Z$1126,16,FALSE),"")</f>
        <v>12</v>
      </c>
      <c r="AL39" s="9">
        <f>iferror(VLOOKUP($B39,covariates!$B$3:$Z$1126,18,FALSE),"")</f>
        <v>34.6</v>
      </c>
      <c r="AM39" s="9">
        <f>iferror(VLOOKUP($B39,covariates!$B$3:$Z$1126,19,FALSE),"")</f>
        <v>2.9</v>
      </c>
    </row>
    <row r="40">
      <c r="A40" s="15">
        <v>11.0</v>
      </c>
      <c r="B40" s="17" t="str">
        <f t="shared" ref="B40:B41" si="22">HYPERLINK("https://github.com/d-wkim/phd/blob/main/data/pdf/beynnon_2002.pdf","Beynnon et al., 2002")</f>
        <v>Beynnon et al., 2002</v>
      </c>
      <c r="C40" s="9" t="s">
        <v>42</v>
      </c>
      <c r="D40" s="7" t="s">
        <v>316</v>
      </c>
      <c r="E40" s="9" t="s">
        <v>64</v>
      </c>
      <c r="F40" s="15"/>
      <c r="G40" s="21"/>
      <c r="H40" s="13"/>
      <c r="I40" s="15"/>
      <c r="J40" s="15"/>
      <c r="K40" s="15"/>
      <c r="L40" s="15"/>
      <c r="M40" s="15"/>
      <c r="N40" s="15"/>
      <c r="O40" s="9" t="s">
        <v>101</v>
      </c>
      <c r="P40" s="9" t="s">
        <v>101</v>
      </c>
      <c r="Q40" s="9" t="s">
        <v>101</v>
      </c>
      <c r="R40" s="9" t="s">
        <v>101</v>
      </c>
      <c r="S40" s="9" t="s">
        <v>101</v>
      </c>
      <c r="T40" s="9" t="s">
        <v>101</v>
      </c>
      <c r="U40" s="9" t="s">
        <v>101</v>
      </c>
      <c r="V40" s="15"/>
      <c r="W40" s="15"/>
      <c r="X40" s="15"/>
      <c r="Y40" s="15"/>
      <c r="Z40" s="15"/>
      <c r="AA40" s="15"/>
      <c r="AB40" s="15"/>
      <c r="AC40" s="15"/>
      <c r="AD40" s="15"/>
      <c r="AE40" s="19"/>
      <c r="AF40" s="19"/>
      <c r="AG40" s="7" t="s">
        <v>174</v>
      </c>
      <c r="AH40" s="13">
        <f>iferror(VLOOKUP($B40,covariates!$B$3:$Z$1126,6,FALSE),"")</f>
        <v>28.5</v>
      </c>
      <c r="AI40" s="13">
        <f>iferror(VLOOKUP($B40,covariates!$B$3:$Z$1126,7,FALSE),"")</f>
        <v>6.959</v>
      </c>
      <c r="AJ40" s="9">
        <f>iferror(VLOOKUP($B40,covariates!$B$3:$Z$1126,14,FALSE),"")</f>
        <v>18</v>
      </c>
      <c r="AK40" s="9">
        <f>iferror(VLOOKUP($B40,covariates!$B$3:$Z$1126,16,FALSE),"")</f>
        <v>10</v>
      </c>
      <c r="AL40" s="9">
        <f>iferror(VLOOKUP($B40,covariates!$B$3:$Z$1126,18,FALSE),"")</f>
        <v>36</v>
      </c>
      <c r="AM40" s="9">
        <f>iferror(VLOOKUP($B40,covariates!$B$3:$Z$1126,19,FALSE),"")</f>
        <v>3</v>
      </c>
    </row>
    <row r="41">
      <c r="A41" s="15">
        <v>11.0</v>
      </c>
      <c r="B41" s="17" t="str">
        <f t="shared" si="22"/>
        <v>Beynnon et al., 2002</v>
      </c>
      <c r="C41" s="9" t="s">
        <v>84</v>
      </c>
      <c r="D41" s="7" t="s">
        <v>316</v>
      </c>
      <c r="E41" s="9" t="s">
        <v>64</v>
      </c>
      <c r="F41" s="15"/>
      <c r="G41" s="21"/>
      <c r="H41" s="13"/>
      <c r="I41" s="15"/>
      <c r="J41" s="15"/>
      <c r="K41" s="15"/>
      <c r="L41" s="15"/>
      <c r="M41" s="15"/>
      <c r="N41" s="15"/>
      <c r="O41" s="9" t="s">
        <v>101</v>
      </c>
      <c r="P41" s="9" t="s">
        <v>101</v>
      </c>
      <c r="Q41" s="9" t="s">
        <v>101</v>
      </c>
      <c r="R41" s="9" t="s">
        <v>101</v>
      </c>
      <c r="S41" s="9" t="s">
        <v>101</v>
      </c>
      <c r="T41" s="9" t="s">
        <v>101</v>
      </c>
      <c r="U41" s="9" t="s">
        <v>101</v>
      </c>
      <c r="V41" s="15"/>
      <c r="W41" s="15"/>
      <c r="X41" s="15"/>
      <c r="Y41" s="15"/>
      <c r="Z41" s="15"/>
      <c r="AA41" s="15"/>
      <c r="AB41" s="15"/>
      <c r="AC41" s="15"/>
      <c r="AD41" s="15"/>
      <c r="AE41" s="19"/>
      <c r="AF41" s="19"/>
      <c r="AG41" s="7" t="s">
        <v>174</v>
      </c>
      <c r="AH41" s="13">
        <f>iferror(VLOOKUP($B41,covariates!$B$3:$Z$1126,6,FALSE),"")</f>
        <v>28.5</v>
      </c>
      <c r="AI41" s="13">
        <f>iferror(VLOOKUP($B41,covariates!$B$3:$Z$1126,7,FALSE),"")</f>
        <v>6.959</v>
      </c>
      <c r="AJ41" s="9">
        <f>iferror(VLOOKUP($B41,covariates!$B$3:$Z$1126,14,FALSE),"")</f>
        <v>18</v>
      </c>
      <c r="AK41" s="9">
        <f>iferror(VLOOKUP($B41,covariates!$B$3:$Z$1126,16,FALSE),"")</f>
        <v>10</v>
      </c>
      <c r="AL41" s="9">
        <f>iferror(VLOOKUP($B41,covariates!$B$3:$Z$1126,18,FALSE),"")</f>
        <v>36</v>
      </c>
      <c r="AM41" s="9">
        <f>iferror(VLOOKUP($B41,covariates!$B$3:$Z$1126,19,FALSE),"")</f>
        <v>3</v>
      </c>
    </row>
    <row r="42">
      <c r="A42" s="15">
        <v>26.0</v>
      </c>
      <c r="B42" s="17" t="str">
        <f t="shared" ref="B42:B43" si="23">HYPERLINK("https://github.com/d-wkim/phd/blob/main/data/pdf/feller_webster_2003.pdf","Feller &amp; Webster, 2003")</f>
        <v>Feller &amp; Webster, 2003</v>
      </c>
      <c r="C42" s="9" t="s">
        <v>42</v>
      </c>
      <c r="D42" s="7" t="s">
        <v>316</v>
      </c>
      <c r="E42" s="9" t="s">
        <v>64</v>
      </c>
      <c r="F42" s="15"/>
      <c r="G42" s="21"/>
      <c r="H42" s="13"/>
      <c r="I42" s="15"/>
      <c r="J42" s="15"/>
      <c r="K42" s="15"/>
      <c r="L42" s="15"/>
      <c r="M42" s="15"/>
      <c r="N42" s="15"/>
      <c r="O42" s="9" t="s">
        <v>101</v>
      </c>
      <c r="P42" s="9" t="s">
        <v>101</v>
      </c>
      <c r="Q42" s="9" t="s">
        <v>101</v>
      </c>
      <c r="R42" s="9" t="s">
        <v>101</v>
      </c>
      <c r="S42" s="9" t="s">
        <v>101</v>
      </c>
      <c r="T42" s="9" t="s">
        <v>101</v>
      </c>
      <c r="U42" s="9" t="s">
        <v>101</v>
      </c>
      <c r="V42" s="15"/>
      <c r="W42" s="15"/>
      <c r="X42" s="15"/>
      <c r="Y42" s="15"/>
      <c r="Z42" s="15"/>
      <c r="AA42" s="15"/>
      <c r="AB42" s="15"/>
      <c r="AC42" s="15"/>
      <c r="AD42" s="15"/>
      <c r="AE42" s="19"/>
      <c r="AF42" s="19"/>
      <c r="AG42" s="7" t="s">
        <v>174</v>
      </c>
      <c r="AH42" s="13">
        <f>iferror(VLOOKUP($B42,covariates!$B$3:$Z$1126,6,FALSE),"")</f>
        <v>25.8</v>
      </c>
      <c r="AI42" s="13">
        <f>iferror(VLOOKUP($B42,covariates!$B$3:$Z$1126,7,FALSE),"")</f>
        <v>6</v>
      </c>
      <c r="AJ42" s="9">
        <f>iferror(VLOOKUP($B42,covariates!$B$3:$Z$1126,14,FALSE),"")</f>
        <v>23</v>
      </c>
      <c r="AK42" s="9">
        <f>iferror(VLOOKUP($B42,covariates!$B$3:$Z$1126,16,FALSE),"")</f>
        <v>8</v>
      </c>
      <c r="AL42" s="9">
        <f>iferror(VLOOKUP($B42,covariates!$B$3:$Z$1126,18,FALSE),"")</f>
        <v>36</v>
      </c>
      <c r="AM42" s="9">
        <f>iferror(VLOOKUP($B42,covariates!$B$3:$Z$1126,19,FALSE),"")</f>
        <v>3</v>
      </c>
    </row>
    <row r="43">
      <c r="A43" s="15">
        <v>26.0</v>
      </c>
      <c r="B43" s="17" t="str">
        <f t="shared" si="23"/>
        <v>Feller &amp; Webster, 2003</v>
      </c>
      <c r="C43" s="9" t="s">
        <v>84</v>
      </c>
      <c r="D43" s="7" t="s">
        <v>316</v>
      </c>
      <c r="E43" s="9" t="s">
        <v>64</v>
      </c>
      <c r="F43" s="9"/>
      <c r="G43" s="21"/>
      <c r="H43" s="13"/>
      <c r="I43" s="15"/>
      <c r="J43" s="15"/>
      <c r="K43" s="15"/>
      <c r="L43" s="15"/>
      <c r="M43" s="15"/>
      <c r="N43" s="15"/>
      <c r="O43" s="9" t="s">
        <v>101</v>
      </c>
      <c r="P43" s="9" t="s">
        <v>101</v>
      </c>
      <c r="Q43" s="9" t="s">
        <v>101</v>
      </c>
      <c r="R43" s="9" t="s">
        <v>101</v>
      </c>
      <c r="S43" s="9" t="s">
        <v>101</v>
      </c>
      <c r="T43" s="9" t="s">
        <v>101</v>
      </c>
      <c r="U43" s="9" t="s">
        <v>101</v>
      </c>
      <c r="V43" s="15"/>
      <c r="W43" s="15"/>
      <c r="X43" s="15"/>
      <c r="Y43" s="15"/>
      <c r="Z43" s="15"/>
      <c r="AA43" s="15"/>
      <c r="AB43" s="15"/>
      <c r="AC43" s="15"/>
      <c r="AD43" s="15"/>
      <c r="AE43" s="19"/>
      <c r="AF43" s="19"/>
      <c r="AG43" s="7" t="s">
        <v>174</v>
      </c>
      <c r="AH43" s="13">
        <f>iferror(VLOOKUP($B43,covariates!$B$3:$Z$1126,6,FALSE),"")</f>
        <v>25.8</v>
      </c>
      <c r="AI43" s="13">
        <f>iferror(VLOOKUP($B43,covariates!$B$3:$Z$1126,7,FALSE),"")</f>
        <v>6</v>
      </c>
      <c r="AJ43" s="9">
        <f>iferror(VLOOKUP($B43,covariates!$B$3:$Z$1126,14,FALSE),"")</f>
        <v>23</v>
      </c>
      <c r="AK43" s="9">
        <f>iferror(VLOOKUP($B43,covariates!$B$3:$Z$1126,16,FALSE),"")</f>
        <v>8</v>
      </c>
      <c r="AL43" s="9">
        <f>iferror(VLOOKUP($B43,covariates!$B$3:$Z$1126,18,FALSE),"")</f>
        <v>36</v>
      </c>
      <c r="AM43" s="9">
        <f>iferror(VLOOKUP($B43,covariates!$B$3:$Z$1126,19,FALSE),"")</f>
        <v>3</v>
      </c>
    </row>
    <row r="44">
      <c r="A44" s="15">
        <v>31.0</v>
      </c>
      <c r="B44" s="17" t="str">
        <f t="shared" ref="B44:B45" si="24">HYPERLINK("https://github.com/d-wkim/phd/blob/main/data/pdf/gobbi_francisco_2006.pdf","Gobbi &amp; Francisco, 2006")</f>
        <v>Gobbi &amp; Francisco, 2006</v>
      </c>
      <c r="C44" s="9" t="s">
        <v>42</v>
      </c>
      <c r="D44" s="7" t="s">
        <v>316</v>
      </c>
      <c r="E44" s="9" t="s">
        <v>64</v>
      </c>
      <c r="F44" s="15"/>
      <c r="G44" s="21"/>
      <c r="H44" s="13"/>
      <c r="I44" s="15"/>
      <c r="J44" s="15"/>
      <c r="K44" s="15"/>
      <c r="L44" s="15"/>
      <c r="M44" s="15"/>
      <c r="N44" s="66"/>
      <c r="O44" s="9" t="s">
        <v>101</v>
      </c>
      <c r="P44" s="9" t="s">
        <v>101</v>
      </c>
      <c r="Q44" s="9" t="s">
        <v>101</v>
      </c>
      <c r="R44" s="9" t="s">
        <v>101</v>
      </c>
      <c r="S44" s="9" t="s">
        <v>101</v>
      </c>
      <c r="T44" s="9" t="s">
        <v>101</v>
      </c>
      <c r="U44" s="9" t="s">
        <v>101</v>
      </c>
      <c r="V44" s="66"/>
      <c r="W44" s="66"/>
      <c r="X44" s="15"/>
      <c r="Y44" s="15"/>
      <c r="Z44" s="15"/>
      <c r="AA44" s="15"/>
      <c r="AB44" s="15"/>
      <c r="AC44" s="15"/>
      <c r="AD44" s="15"/>
      <c r="AE44" s="19"/>
      <c r="AF44" s="19"/>
      <c r="AG44" s="7" t="s">
        <v>174</v>
      </c>
      <c r="AH44" s="13" t="str">
        <f>iferror(VLOOKUP($B44,covariates!$B$3:$Z$1126,6,FALSE),"")</f>
        <v/>
      </c>
      <c r="AI44" s="13" t="str">
        <f>iferror(VLOOKUP($B44,covariates!$B$3:$Z$1126,7,FALSE),"")</f>
        <v/>
      </c>
      <c r="AJ44" s="9" t="str">
        <f>iferror(VLOOKUP($B44,covariates!$B$3:$Z$1126,14,FALSE),"")</f>
        <v/>
      </c>
      <c r="AK44" s="9" t="str">
        <f>iferror(VLOOKUP($B44,covariates!$B$3:$Z$1126,16,FALSE),"")</f>
        <v/>
      </c>
      <c r="AL44" s="9" t="str">
        <f>iferror(VLOOKUP($B44,covariates!$B$3:$Z$1126,18,FALSE),"")</f>
        <v/>
      </c>
      <c r="AM44" s="9" t="str">
        <f>iferror(VLOOKUP($B44,covariates!$B$3:$Z$1126,19,FALSE),"")</f>
        <v/>
      </c>
    </row>
    <row r="45">
      <c r="A45" s="15">
        <v>31.0</v>
      </c>
      <c r="B45" s="17" t="str">
        <f t="shared" si="24"/>
        <v>Gobbi &amp; Francisco, 2006</v>
      </c>
      <c r="C45" s="9" t="s">
        <v>84</v>
      </c>
      <c r="D45" s="7" t="s">
        <v>316</v>
      </c>
      <c r="E45" s="9" t="s">
        <v>64</v>
      </c>
      <c r="F45" s="15"/>
      <c r="G45" s="21"/>
      <c r="H45" s="13"/>
      <c r="I45" s="15"/>
      <c r="J45" s="15"/>
      <c r="K45" s="15"/>
      <c r="L45" s="15"/>
      <c r="M45" s="15"/>
      <c r="N45" s="66"/>
      <c r="O45" s="9" t="s">
        <v>101</v>
      </c>
      <c r="P45" s="9" t="s">
        <v>101</v>
      </c>
      <c r="Q45" s="9" t="s">
        <v>101</v>
      </c>
      <c r="R45" s="9" t="s">
        <v>101</v>
      </c>
      <c r="S45" s="9" t="s">
        <v>101</v>
      </c>
      <c r="T45" s="9" t="s">
        <v>101</v>
      </c>
      <c r="U45" s="9" t="s">
        <v>101</v>
      </c>
      <c r="V45" s="66"/>
      <c r="W45" s="66"/>
      <c r="X45" s="15"/>
      <c r="Y45" s="15"/>
      <c r="Z45" s="15"/>
      <c r="AA45" s="15"/>
      <c r="AB45" s="15"/>
      <c r="AC45" s="15"/>
      <c r="AD45" s="15"/>
      <c r="AE45" s="19"/>
      <c r="AF45" s="19"/>
      <c r="AG45" s="7" t="s">
        <v>174</v>
      </c>
      <c r="AH45" s="13" t="str">
        <f>iferror(VLOOKUP($B45,covariates!$B$3:$Z$1126,6,FALSE),"")</f>
        <v/>
      </c>
      <c r="AI45" s="13" t="str">
        <f>iferror(VLOOKUP($B45,covariates!$B$3:$Z$1126,7,FALSE),"")</f>
        <v/>
      </c>
      <c r="AJ45" s="9" t="str">
        <f>iferror(VLOOKUP($B45,covariates!$B$3:$Z$1126,14,FALSE),"")</f>
        <v/>
      </c>
      <c r="AK45" s="9" t="str">
        <f>iferror(VLOOKUP($B45,covariates!$B$3:$Z$1126,16,FALSE),"")</f>
        <v/>
      </c>
      <c r="AL45" s="9" t="str">
        <f>iferror(VLOOKUP($B45,covariates!$B$3:$Z$1126,18,FALSE),"")</f>
        <v/>
      </c>
      <c r="AM45" s="9" t="str">
        <f>iferror(VLOOKUP($B45,covariates!$B$3:$Z$1126,19,FALSE),"")</f>
        <v/>
      </c>
    </row>
    <row r="46">
      <c r="A46" s="15">
        <v>33.0</v>
      </c>
      <c r="B46" s="17" t="str">
        <f t="shared" ref="B46:B47" si="25">HYPERLINK("https://github.com/d-wkim/phd/blob/main/data/pdf/harilainen_2006.pdf","Harilainen et al., 2006")</f>
        <v>Harilainen et al., 2006</v>
      </c>
      <c r="C46" s="9" t="s">
        <v>42</v>
      </c>
      <c r="D46" s="7" t="s">
        <v>316</v>
      </c>
      <c r="E46" s="9" t="s">
        <v>64</v>
      </c>
      <c r="F46" s="9"/>
      <c r="G46" s="21"/>
      <c r="H46" s="13"/>
      <c r="I46" s="15"/>
      <c r="J46" s="15"/>
      <c r="K46" s="15"/>
      <c r="L46" s="15"/>
      <c r="M46" s="15"/>
      <c r="N46" s="66"/>
      <c r="O46" s="9" t="s">
        <v>101</v>
      </c>
      <c r="P46" s="9" t="s">
        <v>101</v>
      </c>
      <c r="Q46" s="9" t="s">
        <v>101</v>
      </c>
      <c r="R46" s="9" t="s">
        <v>101</v>
      </c>
      <c r="S46" s="9" t="s">
        <v>101</v>
      </c>
      <c r="T46" s="9" t="s">
        <v>101</v>
      </c>
      <c r="U46" s="9" t="s">
        <v>101</v>
      </c>
      <c r="V46" s="66"/>
      <c r="W46" s="66"/>
      <c r="X46" s="15"/>
      <c r="Y46" s="15"/>
      <c r="Z46" s="15"/>
      <c r="AA46" s="15"/>
      <c r="AB46" s="15"/>
      <c r="AC46" s="15"/>
      <c r="AD46" s="15"/>
      <c r="AE46" s="19"/>
      <c r="AF46" s="19"/>
      <c r="AG46" s="7" t="s">
        <v>174</v>
      </c>
      <c r="AH46" s="13" t="str">
        <f>iferror(VLOOKUP($B46,covariates!$B$3:$Z$1126,6,FALSE),"")</f>
        <v/>
      </c>
      <c r="AI46" s="13" t="str">
        <f>iferror(VLOOKUP($B46,covariates!$B$3:$Z$1126,7,FALSE),"")</f>
        <v/>
      </c>
      <c r="AJ46" s="9" t="str">
        <f>iferror(VLOOKUP($B46,covariates!$B$3:$Z$1126,14,FALSE),"")</f>
        <v/>
      </c>
      <c r="AK46" s="9" t="str">
        <f>iferror(VLOOKUP($B46,covariates!$B$3:$Z$1126,16,FALSE),"")</f>
        <v/>
      </c>
      <c r="AL46" s="9">
        <f>iferror(VLOOKUP($B46,covariates!$B$3:$Z$1126,18,FALSE),"")</f>
        <v>60.6</v>
      </c>
      <c r="AM46" s="9">
        <f>iferror(VLOOKUP($B46,covariates!$B$3:$Z$1126,19,FALSE),"")</f>
        <v>5.1</v>
      </c>
    </row>
    <row r="47">
      <c r="A47" s="15">
        <v>33.0</v>
      </c>
      <c r="B47" s="17" t="str">
        <f t="shared" si="25"/>
        <v>Harilainen et al., 2006</v>
      </c>
      <c r="C47" s="9" t="s">
        <v>84</v>
      </c>
      <c r="D47" s="7" t="s">
        <v>316</v>
      </c>
      <c r="E47" s="9" t="s">
        <v>64</v>
      </c>
      <c r="F47" s="9"/>
      <c r="G47" s="21"/>
      <c r="H47" s="13"/>
      <c r="I47" s="15"/>
      <c r="J47" s="15"/>
      <c r="K47" s="15"/>
      <c r="L47" s="15"/>
      <c r="M47" s="15"/>
      <c r="N47" s="66"/>
      <c r="O47" s="9" t="s">
        <v>101</v>
      </c>
      <c r="P47" s="9" t="s">
        <v>101</v>
      </c>
      <c r="Q47" s="9" t="s">
        <v>101</v>
      </c>
      <c r="R47" s="9" t="s">
        <v>101</v>
      </c>
      <c r="S47" s="9" t="s">
        <v>101</v>
      </c>
      <c r="T47" s="9" t="s">
        <v>101</v>
      </c>
      <c r="U47" s="9" t="s">
        <v>101</v>
      </c>
      <c r="V47" s="66"/>
      <c r="W47" s="66"/>
      <c r="X47" s="15"/>
      <c r="Y47" s="15"/>
      <c r="Z47" s="15"/>
      <c r="AA47" s="15"/>
      <c r="AB47" s="15"/>
      <c r="AC47" s="15"/>
      <c r="AD47" s="15"/>
      <c r="AE47" s="19"/>
      <c r="AF47" s="19"/>
      <c r="AG47" s="7" t="s">
        <v>174</v>
      </c>
      <c r="AH47" s="13" t="str">
        <f>iferror(VLOOKUP($B47,covariates!$B$3:$Z$1126,6,FALSE),"")</f>
        <v/>
      </c>
      <c r="AI47" s="13" t="str">
        <f>iferror(VLOOKUP($B47,covariates!$B$3:$Z$1126,7,FALSE),"")</f>
        <v/>
      </c>
      <c r="AJ47" s="9" t="str">
        <f>iferror(VLOOKUP($B47,covariates!$B$3:$Z$1126,14,FALSE),"")</f>
        <v/>
      </c>
      <c r="AK47" s="9" t="str">
        <f>iferror(VLOOKUP($B47,covariates!$B$3:$Z$1126,16,FALSE),"")</f>
        <v/>
      </c>
      <c r="AL47" s="9">
        <f>iferror(VLOOKUP($B47,covariates!$B$3:$Z$1126,18,FALSE),"")</f>
        <v>60.6</v>
      </c>
      <c r="AM47" s="9">
        <f>iferror(VLOOKUP($B47,covariates!$B$3:$Z$1126,19,FALSE),"")</f>
        <v>5.1</v>
      </c>
    </row>
    <row r="48">
      <c r="A48" s="15">
        <v>45.0</v>
      </c>
      <c r="B48" s="17" t="str">
        <f t="shared" ref="B48:B49" si="26">HYPERLINK("https://github.com/d-wkim/phd/blob/main/data/pdf/konrads_2016.pdf","Konrads et al., 2016")</f>
        <v>Konrads et al., 2016</v>
      </c>
      <c r="C48" s="9" t="s">
        <v>42</v>
      </c>
      <c r="D48" s="7" t="s">
        <v>316</v>
      </c>
      <c r="E48" s="9" t="s">
        <v>64</v>
      </c>
      <c r="F48" s="9"/>
      <c r="G48" s="21"/>
      <c r="H48" s="13"/>
      <c r="I48" s="15"/>
      <c r="J48" s="15"/>
      <c r="K48" s="15"/>
      <c r="L48" s="15"/>
      <c r="M48" s="15"/>
      <c r="N48" s="15"/>
      <c r="O48" s="9" t="s">
        <v>101</v>
      </c>
      <c r="P48" s="9" t="s">
        <v>101</v>
      </c>
      <c r="Q48" s="9" t="s">
        <v>101</v>
      </c>
      <c r="R48" s="9" t="s">
        <v>101</v>
      </c>
      <c r="S48" s="9" t="s">
        <v>101</v>
      </c>
      <c r="T48" s="9" t="s">
        <v>101</v>
      </c>
      <c r="U48" s="9" t="s">
        <v>101</v>
      </c>
      <c r="V48" s="15"/>
      <c r="W48" s="15"/>
      <c r="X48" s="15"/>
      <c r="Y48" s="15"/>
      <c r="Z48" s="15"/>
      <c r="AA48" s="15"/>
      <c r="AB48" s="15"/>
      <c r="AC48" s="15"/>
      <c r="AD48" s="15"/>
      <c r="AE48" s="19"/>
      <c r="AF48" s="19"/>
      <c r="AG48" s="7" t="s">
        <v>174</v>
      </c>
      <c r="AH48" s="13">
        <f>iferror(VLOOKUP($B48,covariates!$B$3:$Z$1126,6,FALSE),"")</f>
        <v>29.8</v>
      </c>
      <c r="AI48" s="13">
        <f>iferror(VLOOKUP($B48,covariates!$B$3:$Z$1126,7,FALSE),"")</f>
        <v>6.33</v>
      </c>
      <c r="AJ48" s="9">
        <f>iferror(VLOOKUP($B48,covariates!$B$3:$Z$1126,14,FALSE),"")</f>
        <v>22</v>
      </c>
      <c r="AK48" s="9">
        <f>iferror(VLOOKUP($B48,covariates!$B$3:$Z$1126,16,FALSE),"")</f>
        <v>9</v>
      </c>
      <c r="AL48" s="9">
        <f>iferror(VLOOKUP($B48,covariates!$B$3:$Z$1126,18,FALSE),"")</f>
        <v>120</v>
      </c>
      <c r="AM48" s="9">
        <f>iferror(VLOOKUP($B48,covariates!$B$3:$Z$1126,19,FALSE),"")</f>
        <v>10</v>
      </c>
    </row>
    <row r="49">
      <c r="A49" s="15">
        <v>45.0</v>
      </c>
      <c r="B49" s="17" t="str">
        <f t="shared" si="26"/>
        <v>Konrads et al., 2016</v>
      </c>
      <c r="C49" s="9" t="s">
        <v>84</v>
      </c>
      <c r="D49" s="7" t="s">
        <v>316</v>
      </c>
      <c r="E49" s="9" t="s">
        <v>64</v>
      </c>
      <c r="F49" s="9"/>
      <c r="G49" s="21"/>
      <c r="H49" s="13"/>
      <c r="I49" s="15"/>
      <c r="J49" s="15"/>
      <c r="K49" s="15"/>
      <c r="L49" s="15"/>
      <c r="M49" s="15"/>
      <c r="N49" s="15"/>
      <c r="O49" s="9" t="s">
        <v>101</v>
      </c>
      <c r="P49" s="9" t="s">
        <v>101</v>
      </c>
      <c r="Q49" s="9" t="s">
        <v>101</v>
      </c>
      <c r="R49" s="9" t="s">
        <v>101</v>
      </c>
      <c r="S49" s="9" t="s">
        <v>101</v>
      </c>
      <c r="T49" s="9" t="s">
        <v>101</v>
      </c>
      <c r="U49" s="9" t="s">
        <v>101</v>
      </c>
      <c r="V49" s="15"/>
      <c r="W49" s="15"/>
      <c r="X49" s="15"/>
      <c r="Y49" s="15"/>
      <c r="Z49" s="15"/>
      <c r="AA49" s="15"/>
      <c r="AB49" s="15"/>
      <c r="AC49" s="15"/>
      <c r="AD49" s="15"/>
      <c r="AE49" s="19"/>
      <c r="AF49" s="19"/>
      <c r="AG49" s="7" t="s">
        <v>174</v>
      </c>
      <c r="AH49" s="13">
        <f>iferror(VLOOKUP($B49,covariates!$B$3:$Z$1126,6,FALSE),"")</f>
        <v>29.8</v>
      </c>
      <c r="AI49" s="13">
        <f>iferror(VLOOKUP($B49,covariates!$B$3:$Z$1126,7,FALSE),"")</f>
        <v>6.33</v>
      </c>
      <c r="AJ49" s="9">
        <f>iferror(VLOOKUP($B49,covariates!$B$3:$Z$1126,14,FALSE),"")</f>
        <v>22</v>
      </c>
      <c r="AK49" s="9">
        <f>iferror(VLOOKUP($B49,covariates!$B$3:$Z$1126,16,FALSE),"")</f>
        <v>9</v>
      </c>
      <c r="AL49" s="9">
        <f>iferror(VLOOKUP($B49,covariates!$B$3:$Z$1126,18,FALSE),"")</f>
        <v>120</v>
      </c>
      <c r="AM49" s="9">
        <f>iferror(VLOOKUP($B49,covariates!$B$3:$Z$1126,19,FALSE),"")</f>
        <v>10</v>
      </c>
    </row>
    <row r="50">
      <c r="A50" s="15">
        <v>46.0</v>
      </c>
      <c r="B50" s="17" t="str">
        <f t="shared" ref="B50:B51" si="27">HYPERLINK("https://github.com/d-wkim/phd/blob/main/data/pdf/laoruengthana_2009.pdf","Laoruengthana et al., 2009")</f>
        <v>Laoruengthana et al., 2009</v>
      </c>
      <c r="C50" s="9" t="s">
        <v>42</v>
      </c>
      <c r="D50" s="7" t="s">
        <v>316</v>
      </c>
      <c r="E50" s="9" t="s">
        <v>64</v>
      </c>
      <c r="F50" s="9"/>
      <c r="G50" s="21"/>
      <c r="H50" s="13"/>
      <c r="I50" s="15"/>
      <c r="J50" s="15"/>
      <c r="K50" s="15"/>
      <c r="L50" s="15"/>
      <c r="M50" s="15"/>
      <c r="N50" s="15"/>
      <c r="O50" s="9" t="s">
        <v>101</v>
      </c>
      <c r="P50" s="9" t="s">
        <v>101</v>
      </c>
      <c r="Q50" s="9" t="s">
        <v>101</v>
      </c>
      <c r="R50" s="9" t="s">
        <v>101</v>
      </c>
      <c r="S50" s="9" t="s">
        <v>101</v>
      </c>
      <c r="T50" s="9" t="s">
        <v>101</v>
      </c>
      <c r="U50" s="9" t="s">
        <v>101</v>
      </c>
      <c r="V50" s="15"/>
      <c r="W50" s="15"/>
      <c r="X50" s="15"/>
      <c r="Y50" s="15"/>
      <c r="Z50" s="15"/>
      <c r="AA50" s="15"/>
      <c r="AB50" s="15"/>
      <c r="AC50" s="15"/>
      <c r="AD50" s="15"/>
      <c r="AE50" s="19"/>
      <c r="AF50" s="19"/>
      <c r="AG50" s="7" t="s">
        <v>174</v>
      </c>
      <c r="AH50" s="13">
        <f>iferror(VLOOKUP($B50,covariates!$B$3:$Z$1126,6,FALSE),"")</f>
        <v>29.93</v>
      </c>
      <c r="AI50" s="13">
        <f>iferror(VLOOKUP($B50,covariates!$B$3:$Z$1126,7,FALSE),"")</f>
        <v>8.911</v>
      </c>
      <c r="AJ50" s="9" t="str">
        <f>iferror(VLOOKUP($B50,covariates!$B$3:$Z$1126,14,FALSE),"")</f>
        <v/>
      </c>
      <c r="AK50" s="9" t="str">
        <f>iferror(VLOOKUP($B50,covariates!$B$3:$Z$1126,16,FALSE),"")</f>
        <v/>
      </c>
      <c r="AL50" s="9">
        <f>iferror(VLOOKUP($B50,covariates!$B$3:$Z$1126,18,FALSE),"")</f>
        <v>19</v>
      </c>
      <c r="AM50" s="9">
        <f>iferror(VLOOKUP($B50,covariates!$B$3:$Z$1126,19,FALSE),"")</f>
        <v>1.6</v>
      </c>
    </row>
    <row r="51">
      <c r="A51" s="15">
        <v>46.0</v>
      </c>
      <c r="B51" s="17" t="str">
        <f t="shared" si="27"/>
        <v>Laoruengthana et al., 2009</v>
      </c>
      <c r="C51" s="9" t="s">
        <v>84</v>
      </c>
      <c r="D51" s="7" t="s">
        <v>316</v>
      </c>
      <c r="E51" s="9" t="s">
        <v>64</v>
      </c>
      <c r="F51" s="9"/>
      <c r="G51" s="21"/>
      <c r="H51" s="13"/>
      <c r="I51" s="15"/>
      <c r="J51" s="15"/>
      <c r="K51" s="15"/>
      <c r="L51" s="15"/>
      <c r="M51" s="15"/>
      <c r="N51" s="15"/>
      <c r="O51" s="9" t="s">
        <v>101</v>
      </c>
      <c r="P51" s="9" t="s">
        <v>101</v>
      </c>
      <c r="Q51" s="9" t="s">
        <v>101</v>
      </c>
      <c r="R51" s="9" t="s">
        <v>101</v>
      </c>
      <c r="S51" s="9" t="s">
        <v>101</v>
      </c>
      <c r="T51" s="9" t="s">
        <v>101</v>
      </c>
      <c r="U51" s="9" t="s">
        <v>101</v>
      </c>
      <c r="V51" s="15"/>
      <c r="W51" s="15"/>
      <c r="X51" s="15"/>
      <c r="Y51" s="15"/>
      <c r="Z51" s="15"/>
      <c r="AA51" s="15"/>
      <c r="AB51" s="15"/>
      <c r="AC51" s="15"/>
      <c r="AD51" s="15"/>
      <c r="AE51" s="19"/>
      <c r="AF51" s="19"/>
      <c r="AG51" s="7" t="s">
        <v>174</v>
      </c>
      <c r="AH51" s="13">
        <f>iferror(VLOOKUP($B51,covariates!$B$3:$Z$1126,6,FALSE),"")</f>
        <v>29.93</v>
      </c>
      <c r="AI51" s="13">
        <f>iferror(VLOOKUP($B51,covariates!$B$3:$Z$1126,7,FALSE),"")</f>
        <v>8.911</v>
      </c>
      <c r="AJ51" s="9" t="str">
        <f>iferror(VLOOKUP($B51,covariates!$B$3:$Z$1126,14,FALSE),"")</f>
        <v/>
      </c>
      <c r="AK51" s="9" t="str">
        <f>iferror(VLOOKUP($B51,covariates!$B$3:$Z$1126,16,FALSE),"")</f>
        <v/>
      </c>
      <c r="AL51" s="9">
        <f>iferror(VLOOKUP($B51,covariates!$B$3:$Z$1126,18,FALSE),"")</f>
        <v>19</v>
      </c>
      <c r="AM51" s="9">
        <f>iferror(VLOOKUP($B51,covariates!$B$3:$Z$1126,19,FALSE),"")</f>
        <v>1.6</v>
      </c>
    </row>
    <row r="52">
      <c r="A52" s="15">
        <v>47.0</v>
      </c>
      <c r="B52" s="17" t="str">
        <f t="shared" ref="B52:B53" si="28">HYPERLINK("https://github.com/d-wkim/phd/blob/main/data/pdf/lawhorn_2012.pdf","Lawhorn et al., 2012")</f>
        <v>Lawhorn et al., 2012</v>
      </c>
      <c r="C52" s="9" t="s">
        <v>84</v>
      </c>
      <c r="D52" s="7" t="s">
        <v>316</v>
      </c>
      <c r="E52" s="9" t="s">
        <v>64</v>
      </c>
      <c r="F52" s="15"/>
      <c r="G52" s="21"/>
      <c r="H52" s="13"/>
      <c r="I52" s="15"/>
      <c r="J52" s="15"/>
      <c r="K52" s="15"/>
      <c r="L52" s="15"/>
      <c r="M52" s="15"/>
      <c r="N52" s="15"/>
      <c r="O52" s="9" t="s">
        <v>101</v>
      </c>
      <c r="P52" s="9" t="s">
        <v>101</v>
      </c>
      <c r="Q52" s="9" t="s">
        <v>101</v>
      </c>
      <c r="R52" s="9" t="s">
        <v>101</v>
      </c>
      <c r="S52" s="9" t="s">
        <v>101</v>
      </c>
      <c r="T52" s="9" t="s">
        <v>101</v>
      </c>
      <c r="U52" s="9" t="s">
        <v>101</v>
      </c>
      <c r="V52" s="15"/>
      <c r="W52" s="15"/>
      <c r="X52" s="15"/>
      <c r="Y52" s="15"/>
      <c r="Z52" s="15"/>
      <c r="AA52" s="15"/>
      <c r="AB52" s="15"/>
      <c r="AC52" s="15"/>
      <c r="AD52" s="15"/>
      <c r="AE52" s="19"/>
      <c r="AF52" s="19"/>
      <c r="AG52" s="7" t="s">
        <v>174</v>
      </c>
      <c r="AH52" s="13">
        <f>iferror(VLOOKUP($B52,covariates!$B$3:$Z$1126,6,FALSE),"")</f>
        <v>32</v>
      </c>
      <c r="AI52" s="13">
        <f>iferror(VLOOKUP($B52,covariates!$B$3:$Z$1126,7,FALSE),"")</f>
        <v>8.433</v>
      </c>
      <c r="AJ52" s="9">
        <f>iferror(VLOOKUP($B52,covariates!$B$3:$Z$1126,14,FALSE),"")</f>
        <v>32</v>
      </c>
      <c r="AK52" s="9">
        <f>iferror(VLOOKUP($B52,covariates!$B$3:$Z$1126,16,FALSE),"")</f>
        <v>22</v>
      </c>
      <c r="AL52" s="9">
        <f>iferror(VLOOKUP($B52,covariates!$B$3:$Z$1126,18,FALSE),"")</f>
        <v>24</v>
      </c>
      <c r="AM52" s="9">
        <f>iferror(VLOOKUP($B52,covariates!$B$3:$Z$1126,19,FALSE),"")</f>
        <v>2</v>
      </c>
    </row>
    <row r="53">
      <c r="A53" s="15">
        <v>47.0</v>
      </c>
      <c r="B53" s="17" t="str">
        <f t="shared" si="28"/>
        <v>Lawhorn et al., 2012</v>
      </c>
      <c r="C53" s="9" t="s">
        <v>205</v>
      </c>
      <c r="D53" s="7" t="s">
        <v>316</v>
      </c>
      <c r="E53" s="9" t="s">
        <v>64</v>
      </c>
      <c r="F53" s="15"/>
      <c r="G53" s="21"/>
      <c r="H53" s="13"/>
      <c r="I53" s="15"/>
      <c r="J53" s="15"/>
      <c r="K53" s="15"/>
      <c r="L53" s="15"/>
      <c r="M53" s="15"/>
      <c r="N53" s="15"/>
      <c r="O53" s="9" t="s">
        <v>101</v>
      </c>
      <c r="P53" s="9" t="s">
        <v>101</v>
      </c>
      <c r="Q53" s="9" t="s">
        <v>101</v>
      </c>
      <c r="R53" s="9" t="s">
        <v>101</v>
      </c>
      <c r="S53" s="9" t="s">
        <v>101</v>
      </c>
      <c r="T53" s="9" t="s">
        <v>101</v>
      </c>
      <c r="U53" s="9" t="s">
        <v>101</v>
      </c>
      <c r="V53" s="19"/>
      <c r="W53" s="19"/>
      <c r="X53" s="19"/>
      <c r="Y53" s="19"/>
      <c r="Z53" s="19"/>
      <c r="AA53" s="19"/>
      <c r="AB53" s="19"/>
      <c r="AC53" s="19"/>
      <c r="AD53" s="19"/>
      <c r="AE53" s="19"/>
      <c r="AF53" s="19"/>
      <c r="AG53" s="7" t="s">
        <v>174</v>
      </c>
      <c r="AH53" s="13">
        <f>iferror(VLOOKUP($B53,covariates!$B$3:$Z$1126,6,FALSE),"")</f>
        <v>32</v>
      </c>
      <c r="AI53" s="13">
        <f>iferror(VLOOKUP($B53,covariates!$B$3:$Z$1126,7,FALSE),"")</f>
        <v>8.433</v>
      </c>
      <c r="AJ53" s="9">
        <f>iferror(VLOOKUP($B53,covariates!$B$3:$Z$1126,14,FALSE),"")</f>
        <v>32</v>
      </c>
      <c r="AK53" s="9">
        <f>iferror(VLOOKUP($B53,covariates!$B$3:$Z$1126,16,FALSE),"")</f>
        <v>22</v>
      </c>
      <c r="AL53" s="9">
        <f>iferror(VLOOKUP($B53,covariates!$B$3:$Z$1126,18,FALSE),"")</f>
        <v>24</v>
      </c>
      <c r="AM53" s="9">
        <f>iferror(VLOOKUP($B53,covariates!$B$3:$Z$1126,19,FALSE),"")</f>
        <v>2</v>
      </c>
    </row>
    <row r="54">
      <c r="A54" s="15">
        <v>49.0</v>
      </c>
      <c r="B54" s="17" t="str">
        <f t="shared" ref="B54:B55" si="29">HYPERLINK("https://github.com/d-wkim/phd/blob/main/data/pdf/laxdal_2005.pdf","Laxdal et al., 2005")</f>
        <v>Laxdal et al., 2005</v>
      </c>
      <c r="C54" s="9" t="s">
        <v>42</v>
      </c>
      <c r="D54" s="7" t="s">
        <v>316</v>
      </c>
      <c r="E54" s="9" t="s">
        <v>64</v>
      </c>
      <c r="F54" s="9"/>
      <c r="G54" s="21"/>
      <c r="H54" s="13"/>
      <c r="I54" s="15"/>
      <c r="J54" s="15"/>
      <c r="K54" s="15"/>
      <c r="L54" s="15"/>
      <c r="M54" s="15"/>
      <c r="N54" s="15"/>
      <c r="O54" s="9" t="s">
        <v>101</v>
      </c>
      <c r="P54" s="9" t="s">
        <v>101</v>
      </c>
      <c r="Q54" s="9" t="s">
        <v>101</v>
      </c>
      <c r="R54" s="9" t="s">
        <v>101</v>
      </c>
      <c r="S54" s="9" t="s">
        <v>101</v>
      </c>
      <c r="T54" s="9" t="s">
        <v>101</v>
      </c>
      <c r="U54" s="9" t="s">
        <v>101</v>
      </c>
      <c r="V54" s="15"/>
      <c r="W54" s="15"/>
      <c r="X54" s="15"/>
      <c r="Y54" s="15"/>
      <c r="Z54" s="15"/>
      <c r="AA54" s="15"/>
      <c r="AB54" s="15"/>
      <c r="AC54" s="15"/>
      <c r="AD54" s="15"/>
      <c r="AE54" s="19"/>
      <c r="AF54" s="19"/>
      <c r="AG54" s="7" t="s">
        <v>174</v>
      </c>
      <c r="AH54" s="13">
        <f>iferror(VLOOKUP($B54,covariates!$B$3:$Z$1126,6,FALSE),"")</f>
        <v>28</v>
      </c>
      <c r="AI54" s="13">
        <f>iferror(VLOOKUP($B54,covariates!$B$3:$Z$1126,7,FALSE),"")</f>
        <v>8.347</v>
      </c>
      <c r="AJ54" s="9" t="str">
        <f>iferror(VLOOKUP($B54,covariates!$B$3:$Z$1126,14,FALSE),"")</f>
        <v/>
      </c>
      <c r="AK54" s="9" t="str">
        <f>iferror(VLOOKUP($B54,covariates!$B$3:$Z$1126,16,FALSE),"")</f>
        <v/>
      </c>
      <c r="AL54" s="9">
        <f>iferror(VLOOKUP($B54,covariates!$B$3:$Z$1126,18,FALSE),"")</f>
        <v>26</v>
      </c>
      <c r="AM54" s="9">
        <f>iferror(VLOOKUP($B54,covariates!$B$3:$Z$1126,19,FALSE),"")</f>
        <v>2.2</v>
      </c>
    </row>
    <row r="55">
      <c r="A55" s="15">
        <v>49.0</v>
      </c>
      <c r="B55" s="17" t="str">
        <f t="shared" si="29"/>
        <v>Laxdal et al., 2005</v>
      </c>
      <c r="C55" s="9" t="s">
        <v>84</v>
      </c>
      <c r="D55" s="7" t="s">
        <v>316</v>
      </c>
      <c r="E55" s="9" t="s">
        <v>64</v>
      </c>
      <c r="F55" s="9"/>
      <c r="G55" s="21"/>
      <c r="H55" s="13"/>
      <c r="I55" s="9"/>
      <c r="J55" s="15"/>
      <c r="K55" s="15"/>
      <c r="L55" s="15"/>
      <c r="M55" s="15"/>
      <c r="N55" s="15"/>
      <c r="O55" s="9" t="s">
        <v>101</v>
      </c>
      <c r="P55" s="9" t="s">
        <v>101</v>
      </c>
      <c r="Q55" s="9" t="s">
        <v>101</v>
      </c>
      <c r="R55" s="9" t="s">
        <v>101</v>
      </c>
      <c r="S55" s="9" t="s">
        <v>101</v>
      </c>
      <c r="T55" s="9" t="s">
        <v>101</v>
      </c>
      <c r="U55" s="9" t="s">
        <v>101</v>
      </c>
      <c r="V55" s="15"/>
      <c r="W55" s="15"/>
      <c r="X55" s="15"/>
      <c r="Y55" s="15"/>
      <c r="Z55" s="15"/>
      <c r="AA55" s="15"/>
      <c r="AB55" s="15"/>
      <c r="AC55" s="15"/>
      <c r="AD55" s="15"/>
      <c r="AE55" s="19"/>
      <c r="AF55" s="19"/>
      <c r="AG55" s="7" t="s">
        <v>174</v>
      </c>
      <c r="AH55" s="13">
        <f>iferror(VLOOKUP($B55,covariates!$B$3:$Z$1126,6,FALSE),"")</f>
        <v>28</v>
      </c>
      <c r="AI55" s="13">
        <f>iferror(VLOOKUP($B55,covariates!$B$3:$Z$1126,7,FALSE),"")</f>
        <v>8.347</v>
      </c>
      <c r="AJ55" s="9" t="str">
        <f>iferror(VLOOKUP($B55,covariates!$B$3:$Z$1126,14,FALSE),"")</f>
        <v/>
      </c>
      <c r="AK55" s="9" t="str">
        <f>iferror(VLOOKUP($B55,covariates!$B$3:$Z$1126,16,FALSE),"")</f>
        <v/>
      </c>
      <c r="AL55" s="9">
        <f>iferror(VLOOKUP($B55,covariates!$B$3:$Z$1126,18,FALSE),"")</f>
        <v>26</v>
      </c>
      <c r="AM55" s="9">
        <f>iferror(VLOOKUP($B55,covariates!$B$3:$Z$1126,19,FALSE),"")</f>
        <v>2.2</v>
      </c>
    </row>
    <row r="56">
      <c r="A56" s="15">
        <v>52.0</v>
      </c>
      <c r="B56" s="17" t="str">
        <f t="shared" ref="B56:B57" si="30">HYPERLINK("https://github.com/d-wkim/phd/blob/main/data/pdf/lidén_2007.pdf","Lidén et al., 2007")</f>
        <v>Lidén et al., 2007</v>
      </c>
      <c r="C56" s="9" t="s">
        <v>42</v>
      </c>
      <c r="D56" s="7" t="s">
        <v>316</v>
      </c>
      <c r="E56" s="9" t="s">
        <v>64</v>
      </c>
      <c r="F56" s="9"/>
      <c r="G56" s="13"/>
      <c r="H56" s="13"/>
      <c r="I56" s="15"/>
      <c r="J56" s="15"/>
      <c r="K56" s="15"/>
      <c r="L56" s="15"/>
      <c r="M56" s="15"/>
      <c r="N56" s="15"/>
      <c r="O56" s="9" t="s">
        <v>101</v>
      </c>
      <c r="P56" s="9" t="s">
        <v>101</v>
      </c>
      <c r="Q56" s="9" t="s">
        <v>101</v>
      </c>
      <c r="R56" s="9" t="s">
        <v>101</v>
      </c>
      <c r="S56" s="9" t="s">
        <v>101</v>
      </c>
      <c r="T56" s="9" t="s">
        <v>101</v>
      </c>
      <c r="U56" s="9" t="s">
        <v>101</v>
      </c>
      <c r="V56" s="15"/>
      <c r="W56" s="15"/>
      <c r="X56" s="15"/>
      <c r="Y56" s="15"/>
      <c r="Z56" s="15"/>
      <c r="AA56" s="15"/>
      <c r="AB56" s="15"/>
      <c r="AC56" s="15"/>
      <c r="AD56" s="15"/>
      <c r="AE56" s="19"/>
      <c r="AF56" s="19"/>
      <c r="AG56" s="7" t="s">
        <v>174</v>
      </c>
      <c r="AH56" s="13">
        <f>iferror(VLOOKUP($B56,covariates!$B$3:$Z$1126,6,FALSE),"")</f>
        <v>28</v>
      </c>
      <c r="AI56" s="13">
        <f>iferror(VLOOKUP($B56,covariates!$B$3:$Z$1126,7,FALSE),"")</f>
        <v>8.368</v>
      </c>
      <c r="AJ56" s="9">
        <f>iferror(VLOOKUP($B56,covariates!$B$3:$Z$1126,14,FALSE),"")</f>
        <v>23</v>
      </c>
      <c r="AK56" s="9">
        <f>iferror(VLOOKUP($B56,covariates!$B$3:$Z$1126,16,FALSE),"")</f>
        <v>11</v>
      </c>
      <c r="AL56" s="9">
        <f>iferror(VLOOKUP($B56,covariates!$B$3:$Z$1126,18,FALSE),"")</f>
        <v>87.10618173</v>
      </c>
      <c r="AM56" s="9">
        <f>iferror(VLOOKUP($B56,covariates!$B$3:$Z$1126,19,FALSE),"")</f>
        <v>7.3</v>
      </c>
    </row>
    <row r="57">
      <c r="A57" s="15">
        <v>52.0</v>
      </c>
      <c r="B57" s="17" t="str">
        <f t="shared" si="30"/>
        <v>Lidén et al., 2007</v>
      </c>
      <c r="C57" s="9" t="s">
        <v>84</v>
      </c>
      <c r="D57" s="7" t="s">
        <v>316</v>
      </c>
      <c r="E57" s="9" t="s">
        <v>64</v>
      </c>
      <c r="F57" s="9"/>
      <c r="G57" s="21"/>
      <c r="H57" s="13"/>
      <c r="I57" s="15"/>
      <c r="J57" s="15"/>
      <c r="K57" s="15"/>
      <c r="L57" s="15"/>
      <c r="M57" s="15"/>
      <c r="N57" s="15"/>
      <c r="O57" s="9" t="s">
        <v>101</v>
      </c>
      <c r="P57" s="9" t="s">
        <v>101</v>
      </c>
      <c r="Q57" s="9" t="s">
        <v>101</v>
      </c>
      <c r="R57" s="9" t="s">
        <v>101</v>
      </c>
      <c r="S57" s="9" t="s">
        <v>101</v>
      </c>
      <c r="T57" s="9" t="s">
        <v>101</v>
      </c>
      <c r="U57" s="9" t="s">
        <v>101</v>
      </c>
      <c r="V57" s="15"/>
      <c r="W57" s="15"/>
      <c r="X57" s="15"/>
      <c r="Y57" s="15"/>
      <c r="Z57" s="15"/>
      <c r="AA57" s="15"/>
      <c r="AB57" s="15"/>
      <c r="AC57" s="15"/>
      <c r="AD57" s="15"/>
      <c r="AE57" s="19"/>
      <c r="AF57" s="19"/>
      <c r="AG57" s="7" t="s">
        <v>174</v>
      </c>
      <c r="AH57" s="13">
        <f>iferror(VLOOKUP($B57,covariates!$B$3:$Z$1126,6,FALSE),"")</f>
        <v>28</v>
      </c>
      <c r="AI57" s="13">
        <f>iferror(VLOOKUP($B57,covariates!$B$3:$Z$1126,7,FALSE),"")</f>
        <v>8.368</v>
      </c>
      <c r="AJ57" s="9">
        <f>iferror(VLOOKUP($B57,covariates!$B$3:$Z$1126,14,FALSE),"")</f>
        <v>23</v>
      </c>
      <c r="AK57" s="9">
        <f>iferror(VLOOKUP($B57,covariates!$B$3:$Z$1126,16,FALSE),"")</f>
        <v>11</v>
      </c>
      <c r="AL57" s="9">
        <f>iferror(VLOOKUP($B57,covariates!$B$3:$Z$1126,18,FALSE),"")</f>
        <v>87.10618173</v>
      </c>
      <c r="AM57" s="9">
        <f>iferror(VLOOKUP($B57,covariates!$B$3:$Z$1126,19,FALSE),"")</f>
        <v>7.3</v>
      </c>
    </row>
    <row r="58">
      <c r="A58" s="15">
        <v>57.0</v>
      </c>
      <c r="B58" s="17" t="str">
        <f t="shared" ref="B58:B59" si="31">HYPERLINK("https://github.com/d-wkim/phd/blob/main/data/pdf/maletis_2007.pdf","Maletis et al., 2007")</f>
        <v>Maletis et al., 2007</v>
      </c>
      <c r="C58" s="9" t="s">
        <v>42</v>
      </c>
      <c r="D58" s="7" t="s">
        <v>316</v>
      </c>
      <c r="E58" s="9" t="s">
        <v>64</v>
      </c>
      <c r="F58" s="9"/>
      <c r="G58" s="21"/>
      <c r="H58" s="13"/>
      <c r="I58" s="15"/>
      <c r="J58" s="15"/>
      <c r="K58" s="15"/>
      <c r="L58" s="15"/>
      <c r="M58" s="15"/>
      <c r="N58" s="15"/>
      <c r="O58" s="9" t="s">
        <v>101</v>
      </c>
      <c r="P58" s="9" t="s">
        <v>101</v>
      </c>
      <c r="Q58" s="9" t="s">
        <v>101</v>
      </c>
      <c r="R58" s="9" t="s">
        <v>101</v>
      </c>
      <c r="S58" s="9" t="s">
        <v>101</v>
      </c>
      <c r="T58" s="9" t="s">
        <v>101</v>
      </c>
      <c r="U58" s="9" t="s">
        <v>101</v>
      </c>
      <c r="V58" s="15"/>
      <c r="W58" s="15"/>
      <c r="X58" s="15"/>
      <c r="Y58" s="15"/>
      <c r="Z58" s="15"/>
      <c r="AA58" s="15"/>
      <c r="AB58" s="15"/>
      <c r="AC58" s="15"/>
      <c r="AD58" s="15"/>
      <c r="AE58" s="19"/>
      <c r="AF58" s="19"/>
      <c r="AG58" s="7" t="s">
        <v>174</v>
      </c>
      <c r="AH58" s="13" t="str">
        <f>iferror(VLOOKUP($B58,covariates!$B$3:$Z$1126,6,FALSE),"")</f>
        <v/>
      </c>
      <c r="AI58" s="13" t="str">
        <f>iferror(VLOOKUP($B58,covariates!$B$3:$Z$1126,7,FALSE),"")</f>
        <v/>
      </c>
      <c r="AJ58" s="9" t="str">
        <f>iferror(VLOOKUP($B58,covariates!$B$3:$Z$1126,14,FALSE),"")</f>
        <v/>
      </c>
      <c r="AK58" s="9" t="str">
        <f>iferror(VLOOKUP($B58,covariates!$B$3:$Z$1126,16,FALSE),"")</f>
        <v/>
      </c>
      <c r="AL58" s="9" t="str">
        <f>iferror(VLOOKUP($B58,covariates!$B$3:$Z$1126,18,FALSE),"")</f>
        <v/>
      </c>
      <c r="AM58" s="9" t="str">
        <f>iferror(VLOOKUP($B58,covariates!$B$3:$Z$1126,19,FALSE),"")</f>
        <v/>
      </c>
    </row>
    <row r="59">
      <c r="A59" s="15">
        <v>57.0</v>
      </c>
      <c r="B59" s="17" t="str">
        <f t="shared" si="31"/>
        <v>Maletis et al., 2007</v>
      </c>
      <c r="C59" s="9" t="s">
        <v>84</v>
      </c>
      <c r="D59" s="7" t="s">
        <v>316</v>
      </c>
      <c r="E59" s="9" t="s">
        <v>64</v>
      </c>
      <c r="F59" s="9"/>
      <c r="G59" s="21"/>
      <c r="H59" s="13"/>
      <c r="I59" s="15"/>
      <c r="J59" s="15"/>
      <c r="K59" s="15"/>
      <c r="L59" s="15"/>
      <c r="M59" s="15"/>
      <c r="N59" s="15"/>
      <c r="O59" s="9" t="s">
        <v>101</v>
      </c>
      <c r="P59" s="9" t="s">
        <v>101</v>
      </c>
      <c r="Q59" s="9" t="s">
        <v>101</v>
      </c>
      <c r="R59" s="9" t="s">
        <v>101</v>
      </c>
      <c r="S59" s="9" t="s">
        <v>101</v>
      </c>
      <c r="T59" s="9" t="s">
        <v>101</v>
      </c>
      <c r="U59" s="9" t="s">
        <v>101</v>
      </c>
      <c r="V59" s="15"/>
      <c r="W59" s="15"/>
      <c r="X59" s="15"/>
      <c r="Y59" s="15"/>
      <c r="Z59" s="15"/>
      <c r="AA59" s="15"/>
      <c r="AB59" s="15"/>
      <c r="AC59" s="15"/>
      <c r="AD59" s="15"/>
      <c r="AE59" s="19"/>
      <c r="AF59" s="19"/>
      <c r="AG59" s="7" t="s">
        <v>174</v>
      </c>
      <c r="AH59" s="13" t="str">
        <f>iferror(VLOOKUP($B59,covariates!$B$3:$Z$1126,6,FALSE),"")</f>
        <v/>
      </c>
      <c r="AI59" s="13" t="str">
        <f>iferror(VLOOKUP($B59,covariates!$B$3:$Z$1126,7,FALSE),"")</f>
        <v/>
      </c>
      <c r="AJ59" s="9" t="str">
        <f>iferror(VLOOKUP($B59,covariates!$B$3:$Z$1126,14,FALSE),"")</f>
        <v/>
      </c>
      <c r="AK59" s="9" t="str">
        <f>iferror(VLOOKUP($B59,covariates!$B$3:$Z$1126,16,FALSE),"")</f>
        <v/>
      </c>
      <c r="AL59" s="9" t="str">
        <f>iferror(VLOOKUP($B59,covariates!$B$3:$Z$1126,18,FALSE),"")</f>
        <v/>
      </c>
      <c r="AM59" s="9" t="str">
        <f>iferror(VLOOKUP($B59,covariates!$B$3:$Z$1126,19,FALSE),"")</f>
        <v/>
      </c>
    </row>
    <row r="60">
      <c r="A60" s="15">
        <v>67.0</v>
      </c>
      <c r="B60" s="17" t="str">
        <f t="shared" ref="B60:B61" si="32">HYPERLINK("https://github.com/d-wkim/phd/blob/main/data/pdf/mohtadi_chan_2019.pdf","Mohtadi &amp; Chan, 2019")</f>
        <v>Mohtadi &amp; Chan, 2019</v>
      </c>
      <c r="C60" s="9" t="s">
        <v>42</v>
      </c>
      <c r="D60" s="7" t="s">
        <v>316</v>
      </c>
      <c r="E60" s="9" t="s">
        <v>64</v>
      </c>
      <c r="F60" s="15"/>
      <c r="G60" s="21"/>
      <c r="H60" s="13"/>
      <c r="I60" s="15"/>
      <c r="J60" s="15"/>
      <c r="K60" s="15"/>
      <c r="L60" s="15"/>
      <c r="M60" s="15"/>
      <c r="N60" s="15"/>
      <c r="O60" s="9" t="s">
        <v>101</v>
      </c>
      <c r="P60" s="9" t="s">
        <v>101</v>
      </c>
      <c r="Q60" s="9" t="s">
        <v>101</v>
      </c>
      <c r="R60" s="9" t="s">
        <v>101</v>
      </c>
      <c r="S60" s="9" t="s">
        <v>101</v>
      </c>
      <c r="T60" s="9" t="s">
        <v>101</v>
      </c>
      <c r="U60" s="9" t="s">
        <v>101</v>
      </c>
      <c r="V60" s="15"/>
      <c r="W60" s="15"/>
      <c r="X60" s="15"/>
      <c r="Y60" s="15"/>
      <c r="Z60" s="15"/>
      <c r="AA60" s="15"/>
      <c r="AB60" s="15"/>
      <c r="AC60" s="15"/>
      <c r="AD60" s="15"/>
      <c r="AE60" s="19"/>
      <c r="AF60" s="19"/>
      <c r="AG60" s="7" t="s">
        <v>174</v>
      </c>
      <c r="AH60" s="13" t="str">
        <f>iferror(VLOOKUP($B60,covariates!$B$3:$Z$1126,6,FALSE),"")</f>
        <v/>
      </c>
      <c r="AI60" s="13" t="str">
        <f>iferror(VLOOKUP($B60,covariates!$B$3:$Z$1126,7,FALSE),"")</f>
        <v/>
      </c>
      <c r="AJ60" s="9" t="str">
        <f>iferror(VLOOKUP($B60,covariates!$B$3:$Z$1126,14,FALSE),"")</f>
        <v/>
      </c>
      <c r="AK60" s="9" t="str">
        <f>iferror(VLOOKUP($B60,covariates!$B$3:$Z$1126,16,FALSE),"")</f>
        <v/>
      </c>
      <c r="AL60" s="9" t="str">
        <f>iferror(VLOOKUP($B60,covariates!$B$3:$Z$1126,18,FALSE),"")</f>
        <v/>
      </c>
      <c r="AM60" s="9" t="str">
        <f>iferror(VLOOKUP($B60,covariates!$B$3:$Z$1126,19,FALSE),"")</f>
        <v/>
      </c>
    </row>
    <row r="61">
      <c r="A61" s="15">
        <v>67.0</v>
      </c>
      <c r="B61" s="17" t="str">
        <f t="shared" si="32"/>
        <v>Mohtadi &amp; Chan, 2019</v>
      </c>
      <c r="C61" s="9" t="s">
        <v>84</v>
      </c>
      <c r="D61" s="7" t="s">
        <v>316</v>
      </c>
      <c r="E61" s="9" t="s">
        <v>64</v>
      </c>
      <c r="F61" s="15"/>
      <c r="G61" s="21"/>
      <c r="H61" s="13"/>
      <c r="I61" s="15"/>
      <c r="J61" s="15"/>
      <c r="K61" s="15"/>
      <c r="L61" s="15"/>
      <c r="M61" s="15"/>
      <c r="N61" s="15"/>
      <c r="O61" s="9" t="s">
        <v>101</v>
      </c>
      <c r="P61" s="9" t="s">
        <v>101</v>
      </c>
      <c r="Q61" s="9" t="s">
        <v>101</v>
      </c>
      <c r="R61" s="9" t="s">
        <v>101</v>
      </c>
      <c r="S61" s="9" t="s">
        <v>101</v>
      </c>
      <c r="T61" s="9" t="s">
        <v>101</v>
      </c>
      <c r="U61" s="9" t="s">
        <v>101</v>
      </c>
      <c r="V61" s="15"/>
      <c r="W61" s="15"/>
      <c r="X61" s="15"/>
      <c r="Y61" s="15"/>
      <c r="Z61" s="15"/>
      <c r="AA61" s="15"/>
      <c r="AB61" s="15"/>
      <c r="AC61" s="15"/>
      <c r="AD61" s="15"/>
      <c r="AE61" s="19"/>
      <c r="AF61" s="19"/>
      <c r="AG61" s="7" t="s">
        <v>174</v>
      </c>
      <c r="AH61" s="13" t="str">
        <f>iferror(VLOOKUP($B61,covariates!$B$3:$Z$1126,6,FALSE),"")</f>
        <v/>
      </c>
      <c r="AI61" s="13" t="str">
        <f>iferror(VLOOKUP($B61,covariates!$B$3:$Z$1126,7,FALSE),"")</f>
        <v/>
      </c>
      <c r="AJ61" s="9" t="str">
        <f>iferror(VLOOKUP($B61,covariates!$B$3:$Z$1126,14,FALSE),"")</f>
        <v/>
      </c>
      <c r="AK61" s="9" t="str">
        <f>iferror(VLOOKUP($B61,covariates!$B$3:$Z$1126,16,FALSE),"")</f>
        <v/>
      </c>
      <c r="AL61" s="9" t="str">
        <f>iferror(VLOOKUP($B61,covariates!$B$3:$Z$1126,18,FALSE),"")</f>
        <v/>
      </c>
      <c r="AM61" s="9" t="str">
        <f>iferror(VLOOKUP($B61,covariates!$B$3:$Z$1126,19,FALSE),"")</f>
        <v/>
      </c>
    </row>
    <row r="62">
      <c r="A62" s="15">
        <v>70.0</v>
      </c>
      <c r="B62" s="17" t="str">
        <f t="shared" ref="B62:B63" si="33">HYPERLINK("https://github.com/d-wkim/phd/blob/main/data/pdf/noh_2011.pdf","Noh et al., 2011")</f>
        <v>Noh et al., 2011</v>
      </c>
      <c r="C62" s="9" t="s">
        <v>84</v>
      </c>
      <c r="D62" s="7" t="s">
        <v>316</v>
      </c>
      <c r="E62" s="9" t="s">
        <v>64</v>
      </c>
      <c r="F62" s="9"/>
      <c r="G62" s="21"/>
      <c r="H62" s="13"/>
      <c r="I62" s="15"/>
      <c r="J62" s="15"/>
      <c r="K62" s="15"/>
      <c r="L62" s="15"/>
      <c r="M62" s="15"/>
      <c r="N62" s="66"/>
      <c r="O62" s="9" t="s">
        <v>101</v>
      </c>
      <c r="P62" s="9" t="s">
        <v>101</v>
      </c>
      <c r="Q62" s="9" t="s">
        <v>101</v>
      </c>
      <c r="R62" s="9" t="s">
        <v>101</v>
      </c>
      <c r="S62" s="9" t="s">
        <v>101</v>
      </c>
      <c r="T62" s="9" t="s">
        <v>101</v>
      </c>
      <c r="U62" s="9" t="s">
        <v>101</v>
      </c>
      <c r="V62" s="66"/>
      <c r="W62" s="66"/>
      <c r="X62" s="15"/>
      <c r="Y62" s="15"/>
      <c r="Z62" s="15"/>
      <c r="AA62" s="15"/>
      <c r="AB62" s="15"/>
      <c r="AC62" s="15"/>
      <c r="AD62" s="15"/>
      <c r="AE62" s="19"/>
      <c r="AF62" s="19"/>
      <c r="AG62" s="7" t="s">
        <v>174</v>
      </c>
      <c r="AH62" s="13">
        <f>iferror(VLOOKUP($B62,covariates!$B$3:$Z$1126,6,FALSE),"")</f>
        <v>25.81397443</v>
      </c>
      <c r="AI62" s="13">
        <f>iferror(VLOOKUP($B62,covariates!$B$3:$Z$1126,7,FALSE),"")</f>
        <v>7.455</v>
      </c>
      <c r="AJ62" s="9">
        <f>iferror(VLOOKUP($B62,covariates!$B$3:$Z$1126,14,FALSE),"")</f>
        <v>30</v>
      </c>
      <c r="AK62" s="9">
        <f>iferror(VLOOKUP($B62,covariates!$B$3:$Z$1126,16,FALSE),"")</f>
        <v>3</v>
      </c>
      <c r="AL62" s="9">
        <f>iferror(VLOOKUP($B62,covariates!$B$3:$Z$1126,18,FALSE),"")</f>
        <v>28.1</v>
      </c>
      <c r="AM62" s="9">
        <f>iferror(VLOOKUP($B62,covariates!$B$3:$Z$1126,19,FALSE),"")</f>
        <v>2.3</v>
      </c>
    </row>
    <row r="63">
      <c r="A63" s="15">
        <v>70.0</v>
      </c>
      <c r="B63" s="17" t="str">
        <f t="shared" si="33"/>
        <v>Noh et al., 2011</v>
      </c>
      <c r="C63" s="9" t="s">
        <v>246</v>
      </c>
      <c r="D63" s="7" t="s">
        <v>316</v>
      </c>
      <c r="E63" s="9" t="s">
        <v>64</v>
      </c>
      <c r="F63" s="9"/>
      <c r="G63" s="21"/>
      <c r="H63" s="13"/>
      <c r="I63" s="15"/>
      <c r="J63" s="15"/>
      <c r="K63" s="15"/>
      <c r="L63" s="15"/>
      <c r="M63" s="15"/>
      <c r="N63" s="66"/>
      <c r="O63" s="9" t="s">
        <v>101</v>
      </c>
      <c r="P63" s="9" t="s">
        <v>101</v>
      </c>
      <c r="Q63" s="9" t="s">
        <v>101</v>
      </c>
      <c r="R63" s="9" t="s">
        <v>101</v>
      </c>
      <c r="S63" s="9" t="s">
        <v>101</v>
      </c>
      <c r="T63" s="9" t="s">
        <v>101</v>
      </c>
      <c r="U63" s="9" t="s">
        <v>101</v>
      </c>
      <c r="V63" s="66"/>
      <c r="W63" s="66"/>
      <c r="X63" s="15"/>
      <c r="Y63" s="15"/>
      <c r="Z63" s="15"/>
      <c r="AA63" s="15"/>
      <c r="AB63" s="15"/>
      <c r="AC63" s="15"/>
      <c r="AD63" s="15"/>
      <c r="AE63" s="19"/>
      <c r="AF63" s="19"/>
      <c r="AG63" s="7" t="s">
        <v>174</v>
      </c>
      <c r="AH63" s="13">
        <f>iferror(VLOOKUP($B63,covariates!$B$3:$Z$1126,6,FALSE),"")</f>
        <v>25.81397443</v>
      </c>
      <c r="AI63" s="13">
        <f>iferror(VLOOKUP($B63,covariates!$B$3:$Z$1126,7,FALSE),"")</f>
        <v>7.455</v>
      </c>
      <c r="AJ63" s="9">
        <f>iferror(VLOOKUP($B63,covariates!$B$3:$Z$1126,14,FALSE),"")</f>
        <v>30</v>
      </c>
      <c r="AK63" s="9">
        <f>iferror(VLOOKUP($B63,covariates!$B$3:$Z$1126,16,FALSE),"")</f>
        <v>3</v>
      </c>
      <c r="AL63" s="9">
        <f>iferror(VLOOKUP($B63,covariates!$B$3:$Z$1126,18,FALSE),"")</f>
        <v>28.1</v>
      </c>
      <c r="AM63" s="9">
        <f>iferror(VLOOKUP($B63,covariates!$B$3:$Z$1126,19,FALSE),"")</f>
        <v>2.3</v>
      </c>
    </row>
    <row r="64">
      <c r="A64" s="15">
        <v>72.0</v>
      </c>
      <c r="B64" s="17" t="str">
        <f t="shared" ref="B64:B65" si="34">HYPERLINK("https://github.com/d-wkim/phd/blob/main/data/pdf/oneill_1996.pdf","Oneill et al., 1996")</f>
        <v>Oneill et al., 1996</v>
      </c>
      <c r="C64" s="9" t="s">
        <v>42</v>
      </c>
      <c r="D64" s="7" t="s">
        <v>316</v>
      </c>
      <c r="E64" s="9" t="s">
        <v>64</v>
      </c>
      <c r="F64" s="15"/>
      <c r="G64" s="21"/>
      <c r="H64" s="13"/>
      <c r="I64" s="15"/>
      <c r="J64" s="15"/>
      <c r="K64" s="15"/>
      <c r="L64" s="15"/>
      <c r="M64" s="15"/>
      <c r="N64" s="66"/>
      <c r="O64" s="9" t="s">
        <v>101</v>
      </c>
      <c r="P64" s="9" t="s">
        <v>101</v>
      </c>
      <c r="Q64" s="9" t="s">
        <v>101</v>
      </c>
      <c r="R64" s="9" t="s">
        <v>101</v>
      </c>
      <c r="S64" s="9" t="s">
        <v>101</v>
      </c>
      <c r="T64" s="9" t="s">
        <v>101</v>
      </c>
      <c r="U64" s="9" t="s">
        <v>101</v>
      </c>
      <c r="V64" s="66"/>
      <c r="W64" s="66"/>
      <c r="X64" s="15"/>
      <c r="Y64" s="15"/>
      <c r="Z64" s="15"/>
      <c r="AA64" s="15"/>
      <c r="AB64" s="15"/>
      <c r="AC64" s="15"/>
      <c r="AD64" s="15"/>
      <c r="AE64" s="19"/>
      <c r="AF64" s="19"/>
      <c r="AG64" s="7" t="s">
        <v>174</v>
      </c>
      <c r="AH64" s="13" t="str">
        <f>iferror(VLOOKUP($B64,covariates!$B$3:$Z$1126,6,FALSE),"")</f>
        <v/>
      </c>
      <c r="AI64" s="13" t="str">
        <f>iferror(VLOOKUP($B64,covariates!$B$3:$Z$1126,7,FALSE),"")</f>
        <v/>
      </c>
      <c r="AJ64" s="9" t="str">
        <f>iferror(VLOOKUP($B64,covariates!$B$3:$Z$1126,14,FALSE),"")</f>
        <v/>
      </c>
      <c r="AK64" s="9" t="str">
        <f>iferror(VLOOKUP($B64,covariates!$B$3:$Z$1126,16,FALSE),"")</f>
        <v/>
      </c>
      <c r="AL64" s="9" t="str">
        <f>iferror(VLOOKUP($B64,covariates!$B$3:$Z$1126,18,FALSE),"")</f>
        <v/>
      </c>
      <c r="AM64" s="9" t="str">
        <f>iferror(VLOOKUP($B64,covariates!$B$3:$Z$1126,19,FALSE),"")</f>
        <v/>
      </c>
    </row>
    <row r="65">
      <c r="A65" s="15">
        <v>72.0</v>
      </c>
      <c r="B65" s="17" t="str">
        <f t="shared" si="34"/>
        <v>Oneill et al., 1996</v>
      </c>
      <c r="C65" s="9" t="s">
        <v>84</v>
      </c>
      <c r="D65" s="7" t="s">
        <v>316</v>
      </c>
      <c r="E65" s="9" t="s">
        <v>64</v>
      </c>
      <c r="F65" s="15"/>
      <c r="G65" s="21"/>
      <c r="H65" s="13"/>
      <c r="I65" s="15"/>
      <c r="J65" s="15"/>
      <c r="K65" s="15"/>
      <c r="L65" s="15"/>
      <c r="M65" s="15"/>
      <c r="N65" s="66"/>
      <c r="O65" s="9" t="s">
        <v>101</v>
      </c>
      <c r="P65" s="9" t="s">
        <v>101</v>
      </c>
      <c r="Q65" s="9" t="s">
        <v>101</v>
      </c>
      <c r="R65" s="9" t="s">
        <v>101</v>
      </c>
      <c r="S65" s="9" t="s">
        <v>101</v>
      </c>
      <c r="T65" s="9" t="s">
        <v>101</v>
      </c>
      <c r="U65" s="9" t="s">
        <v>101</v>
      </c>
      <c r="V65" s="66"/>
      <c r="W65" s="66"/>
      <c r="X65" s="15"/>
      <c r="Y65" s="15"/>
      <c r="Z65" s="15"/>
      <c r="AA65" s="15"/>
      <c r="AB65" s="15"/>
      <c r="AC65" s="15"/>
      <c r="AD65" s="15"/>
      <c r="AE65" s="19"/>
      <c r="AF65" s="19"/>
      <c r="AG65" s="7" t="s">
        <v>174</v>
      </c>
      <c r="AH65" s="13" t="str">
        <f>iferror(VLOOKUP($B65,covariates!$B$3:$Z$1126,6,FALSE),"")</f>
        <v/>
      </c>
      <c r="AI65" s="13" t="str">
        <f>iferror(VLOOKUP($B65,covariates!$B$3:$Z$1126,7,FALSE),"")</f>
        <v/>
      </c>
      <c r="AJ65" s="9" t="str">
        <f>iferror(VLOOKUP($B65,covariates!$B$3:$Z$1126,14,FALSE),"")</f>
        <v/>
      </c>
      <c r="AK65" s="9" t="str">
        <f>iferror(VLOOKUP($B65,covariates!$B$3:$Z$1126,16,FALSE),"")</f>
        <v/>
      </c>
      <c r="AL65" s="9" t="str">
        <f>iferror(VLOOKUP($B65,covariates!$B$3:$Z$1126,18,FALSE),"")</f>
        <v/>
      </c>
      <c r="AM65" s="9" t="str">
        <f>iferror(VLOOKUP($B65,covariates!$B$3:$Z$1126,19,FALSE),"")</f>
        <v/>
      </c>
    </row>
    <row r="66">
      <c r="A66" s="15">
        <v>76.0</v>
      </c>
      <c r="B66" s="17" t="str">
        <f t="shared" ref="B66:B67" si="35">HYPERLINK("https://github.com/d-wkim/phd/blob/main/data/pdf/pinczewski_2007.pdf","Pinczewski et al., 2007")</f>
        <v>Pinczewski et al., 2007</v>
      </c>
      <c r="C66" s="9" t="s">
        <v>42</v>
      </c>
      <c r="D66" s="7" t="s">
        <v>316</v>
      </c>
      <c r="E66" s="9" t="s">
        <v>64</v>
      </c>
      <c r="F66" s="9"/>
      <c r="G66" s="21"/>
      <c r="H66" s="13"/>
      <c r="I66" s="88"/>
      <c r="J66" s="15"/>
      <c r="K66" s="15"/>
      <c r="L66" s="15"/>
      <c r="M66" s="15"/>
      <c r="N66" s="15"/>
      <c r="O66" s="9" t="s">
        <v>101</v>
      </c>
      <c r="P66" s="9" t="s">
        <v>101</v>
      </c>
      <c r="Q66" s="9" t="s">
        <v>101</v>
      </c>
      <c r="R66" s="9" t="s">
        <v>101</v>
      </c>
      <c r="S66" s="9" t="s">
        <v>101</v>
      </c>
      <c r="T66" s="9" t="s">
        <v>101</v>
      </c>
      <c r="U66" s="9" t="s">
        <v>101</v>
      </c>
      <c r="V66" s="15"/>
      <c r="W66" s="15"/>
      <c r="X66" s="15"/>
      <c r="Y66" s="15"/>
      <c r="Z66" s="15"/>
      <c r="AA66" s="15"/>
      <c r="AB66" s="15"/>
      <c r="AC66" s="15"/>
      <c r="AD66" s="15"/>
      <c r="AE66" s="19"/>
      <c r="AF66" s="19"/>
      <c r="AG66" s="7" t="s">
        <v>174</v>
      </c>
      <c r="AH66" s="13">
        <f>iferror(VLOOKUP($B66,covariates!$B$3:$Z$1126,6,FALSE),"")</f>
        <v>25</v>
      </c>
      <c r="AI66" s="13">
        <f>iferror(VLOOKUP($B66,covariates!$B$3:$Z$1126,7,FALSE),"")</f>
        <v>5.485</v>
      </c>
      <c r="AJ66" s="9">
        <f>iferror(VLOOKUP($B66,covariates!$B$3:$Z$1126,14,FALSE),"")</f>
        <v>48</v>
      </c>
      <c r="AK66" s="9">
        <f>iferror(VLOOKUP($B66,covariates!$B$3:$Z$1126,16,FALSE),"")</f>
        <v>42</v>
      </c>
      <c r="AL66" s="9">
        <f>iferror(VLOOKUP($B66,covariates!$B$3:$Z$1126,18,FALSE),"")</f>
        <v>120</v>
      </c>
      <c r="AM66" s="9">
        <f>iferror(VLOOKUP($B66,covariates!$B$3:$Z$1126,19,FALSE),"")</f>
        <v>10</v>
      </c>
    </row>
    <row r="67">
      <c r="A67" s="15">
        <v>76.0</v>
      </c>
      <c r="B67" s="17" t="str">
        <f t="shared" si="35"/>
        <v>Pinczewski et al., 2007</v>
      </c>
      <c r="C67" s="9" t="s">
        <v>84</v>
      </c>
      <c r="D67" s="7" t="s">
        <v>316</v>
      </c>
      <c r="E67" s="9" t="s">
        <v>64</v>
      </c>
      <c r="F67" s="9"/>
      <c r="G67" s="21"/>
      <c r="H67" s="13"/>
      <c r="I67" s="88"/>
      <c r="J67" s="15"/>
      <c r="K67" s="15"/>
      <c r="L67" s="15"/>
      <c r="M67" s="15"/>
      <c r="N67" s="15"/>
      <c r="O67" s="9" t="s">
        <v>101</v>
      </c>
      <c r="P67" s="9" t="s">
        <v>101</v>
      </c>
      <c r="Q67" s="9" t="s">
        <v>101</v>
      </c>
      <c r="R67" s="9" t="s">
        <v>101</v>
      </c>
      <c r="S67" s="9" t="s">
        <v>101</v>
      </c>
      <c r="T67" s="9" t="s">
        <v>101</v>
      </c>
      <c r="U67" s="9" t="s">
        <v>101</v>
      </c>
      <c r="V67" s="15"/>
      <c r="W67" s="15"/>
      <c r="X67" s="15"/>
      <c r="Y67" s="15"/>
      <c r="Z67" s="15"/>
      <c r="AA67" s="15"/>
      <c r="AB67" s="15"/>
      <c r="AC67" s="15"/>
      <c r="AD67" s="15"/>
      <c r="AE67" s="19"/>
      <c r="AF67" s="19"/>
      <c r="AG67" s="7" t="s">
        <v>174</v>
      </c>
      <c r="AH67" s="13">
        <f>iferror(VLOOKUP($B67,covariates!$B$3:$Z$1126,6,FALSE),"")</f>
        <v>25</v>
      </c>
      <c r="AI67" s="13">
        <f>iferror(VLOOKUP($B67,covariates!$B$3:$Z$1126,7,FALSE),"")</f>
        <v>5.485</v>
      </c>
      <c r="AJ67" s="9">
        <f>iferror(VLOOKUP($B67,covariates!$B$3:$Z$1126,14,FALSE),"")</f>
        <v>48</v>
      </c>
      <c r="AK67" s="9">
        <f>iferror(VLOOKUP($B67,covariates!$B$3:$Z$1126,16,FALSE),"")</f>
        <v>42</v>
      </c>
      <c r="AL67" s="9">
        <f>iferror(VLOOKUP($B67,covariates!$B$3:$Z$1126,18,FALSE),"")</f>
        <v>120</v>
      </c>
      <c r="AM67" s="9">
        <f>iferror(VLOOKUP($B67,covariates!$B$3:$Z$1126,19,FALSE),"")</f>
        <v>10</v>
      </c>
    </row>
    <row r="68">
      <c r="A68" s="15">
        <v>82.0</v>
      </c>
      <c r="B68" s="17" t="str">
        <f t="shared" ref="B68:B69" si="36">HYPERLINK("https://github.com/d-wkim/phd/blob/main/data/pdf/sajovic_2018.pdf","Sajovic et al., 2018")</f>
        <v>Sajovic et al., 2018</v>
      </c>
      <c r="C68" s="9" t="s">
        <v>42</v>
      </c>
      <c r="D68" s="7" t="s">
        <v>316</v>
      </c>
      <c r="E68" s="9" t="s">
        <v>64</v>
      </c>
      <c r="F68" s="9"/>
      <c r="G68" s="21"/>
      <c r="H68" s="13" t="str">
        <f t="shared" ref="H68:H71" si="37">iferror(RANGE_SD(F68,I68,M68),"")</f>
        <v/>
      </c>
      <c r="I68" s="88"/>
      <c r="J68" s="15"/>
      <c r="K68" s="15"/>
      <c r="L68" s="15"/>
      <c r="M68" s="15"/>
      <c r="N68" s="15"/>
      <c r="O68" s="9" t="s">
        <v>101</v>
      </c>
      <c r="P68" s="9" t="s">
        <v>101</v>
      </c>
      <c r="Q68" s="9" t="s">
        <v>101</v>
      </c>
      <c r="R68" s="9" t="s">
        <v>101</v>
      </c>
      <c r="S68" s="9" t="s">
        <v>101</v>
      </c>
      <c r="T68" s="9" t="s">
        <v>101</v>
      </c>
      <c r="U68" s="9" t="s">
        <v>101</v>
      </c>
      <c r="V68" s="15"/>
      <c r="W68" s="15"/>
      <c r="X68" s="15"/>
      <c r="Y68" s="15"/>
      <c r="Z68" s="15"/>
      <c r="AA68" s="15"/>
      <c r="AB68" s="15"/>
      <c r="AC68" s="15"/>
      <c r="AD68" s="15"/>
      <c r="AE68" s="19"/>
      <c r="AF68" s="19"/>
      <c r="AG68" s="7" t="s">
        <v>174</v>
      </c>
      <c r="AH68" s="13">
        <f>iferror(VLOOKUP($B68,covariates!$B$3:$Z$1126,6,FALSE),"")</f>
        <v>45.5</v>
      </c>
      <c r="AI68" s="13">
        <f>iferror(VLOOKUP($B68,covariates!$B$3:$Z$1126,7,FALSE),"")</f>
        <v>8.7</v>
      </c>
      <c r="AJ68" s="9">
        <f>iferror(VLOOKUP($B68,covariates!$B$3:$Z$1126,14,FALSE),"")</f>
        <v>15</v>
      </c>
      <c r="AK68" s="9">
        <f>iferror(VLOOKUP($B68,covariates!$B$3:$Z$1126,16,FALSE),"")</f>
        <v>9</v>
      </c>
      <c r="AL68" s="9">
        <f>iferror(VLOOKUP($B68,covariates!$B$3:$Z$1126,18,FALSE),"")</f>
        <v>204</v>
      </c>
      <c r="AM68" s="9">
        <f>iferror(VLOOKUP($B68,covariates!$B$3:$Z$1126,19,FALSE),"")</f>
        <v>17</v>
      </c>
    </row>
    <row r="69">
      <c r="A69" s="15">
        <v>82.0</v>
      </c>
      <c r="B69" s="17" t="str">
        <f t="shared" si="36"/>
        <v>Sajovic et al., 2018</v>
      </c>
      <c r="C69" s="9" t="s">
        <v>84</v>
      </c>
      <c r="D69" s="7" t="s">
        <v>316</v>
      </c>
      <c r="E69" s="9" t="s">
        <v>64</v>
      </c>
      <c r="F69" s="15"/>
      <c r="G69" s="21"/>
      <c r="H69" s="13" t="str">
        <f t="shared" si="37"/>
        <v/>
      </c>
      <c r="I69" s="88"/>
      <c r="J69" s="15"/>
      <c r="K69" s="15"/>
      <c r="L69" s="15"/>
      <c r="M69" s="15"/>
      <c r="N69" s="15"/>
      <c r="O69" s="9" t="s">
        <v>101</v>
      </c>
      <c r="P69" s="9" t="s">
        <v>101</v>
      </c>
      <c r="Q69" s="9" t="s">
        <v>101</v>
      </c>
      <c r="R69" s="9" t="s">
        <v>101</v>
      </c>
      <c r="S69" s="9" t="s">
        <v>101</v>
      </c>
      <c r="T69" s="9" t="s">
        <v>101</v>
      </c>
      <c r="U69" s="9" t="s">
        <v>101</v>
      </c>
      <c r="V69" s="15"/>
      <c r="W69" s="15"/>
      <c r="X69" s="15"/>
      <c r="Y69" s="15"/>
      <c r="Z69" s="15"/>
      <c r="AA69" s="15"/>
      <c r="AB69" s="15"/>
      <c r="AC69" s="15"/>
      <c r="AD69" s="15"/>
      <c r="AE69" s="19"/>
      <c r="AF69" s="19"/>
      <c r="AG69" s="7" t="s">
        <v>174</v>
      </c>
      <c r="AH69" s="13">
        <f>iferror(VLOOKUP($B69,covariates!$B$3:$Z$1126,6,FALSE),"")</f>
        <v>45.5</v>
      </c>
      <c r="AI69" s="13">
        <f>iferror(VLOOKUP($B69,covariates!$B$3:$Z$1126,7,FALSE),"")</f>
        <v>8.7</v>
      </c>
      <c r="AJ69" s="9">
        <f>iferror(VLOOKUP($B69,covariates!$B$3:$Z$1126,14,FALSE),"")</f>
        <v>15</v>
      </c>
      <c r="AK69" s="9">
        <f>iferror(VLOOKUP($B69,covariates!$B$3:$Z$1126,16,FALSE),"")</f>
        <v>9</v>
      </c>
      <c r="AL69" s="9">
        <f>iferror(VLOOKUP($B69,covariates!$B$3:$Z$1126,18,FALSE),"")</f>
        <v>204</v>
      </c>
      <c r="AM69" s="9">
        <f>iferror(VLOOKUP($B69,covariates!$B$3:$Z$1126,19,FALSE),"")</f>
        <v>17</v>
      </c>
    </row>
    <row r="70">
      <c r="A70" s="15">
        <v>90.0</v>
      </c>
      <c r="B70" s="17" t="str">
        <f t="shared" ref="B70:B71" si="38">HYPERLINK("https://github.com/d-wkim/phd/blob/main/data/pdf/taylor_2009.pdf","Taylor et al., 2009")</f>
        <v>Taylor et al., 2009</v>
      </c>
      <c r="C70" s="9" t="s">
        <v>42</v>
      </c>
      <c r="D70" s="7" t="s">
        <v>316</v>
      </c>
      <c r="E70" s="9" t="s">
        <v>64</v>
      </c>
      <c r="F70" s="15"/>
      <c r="G70" s="21"/>
      <c r="H70" s="13" t="str">
        <f t="shared" si="37"/>
        <v/>
      </c>
      <c r="I70" s="88"/>
      <c r="J70" s="15"/>
      <c r="K70" s="15"/>
      <c r="L70" s="15"/>
      <c r="M70" s="15"/>
      <c r="N70" s="15"/>
      <c r="O70" s="9" t="s">
        <v>101</v>
      </c>
      <c r="P70" s="9" t="s">
        <v>101</v>
      </c>
      <c r="Q70" s="9" t="s">
        <v>101</v>
      </c>
      <c r="R70" s="9" t="s">
        <v>101</v>
      </c>
      <c r="S70" s="9" t="s">
        <v>101</v>
      </c>
      <c r="T70" s="9" t="s">
        <v>101</v>
      </c>
      <c r="U70" s="9" t="s">
        <v>101</v>
      </c>
      <c r="V70" s="15"/>
      <c r="W70" s="15"/>
      <c r="X70" s="15"/>
      <c r="Y70" s="15"/>
      <c r="Z70" s="15"/>
      <c r="AA70" s="15"/>
      <c r="AB70" s="15"/>
      <c r="AC70" s="15"/>
      <c r="AD70" s="15"/>
      <c r="AE70" s="19"/>
      <c r="AF70" s="19"/>
      <c r="AG70" s="7" t="s">
        <v>174</v>
      </c>
      <c r="AH70" s="13">
        <f>iferror(VLOOKUP($B70,covariates!$B$3:$Z$1126,6,FALSE),"")</f>
        <v>21.7</v>
      </c>
      <c r="AI70" s="13">
        <f>iferror(VLOOKUP($B70,covariates!$B$3:$Z$1126,7,FALSE),"")</f>
        <v>4.597</v>
      </c>
      <c r="AJ70" s="9">
        <f>iferror(VLOOKUP($B70,covariates!$B$3:$Z$1126,14,FALSE),"")</f>
        <v>25</v>
      </c>
      <c r="AK70" s="9">
        <f>iferror(VLOOKUP($B70,covariates!$B$3:$Z$1126,16,FALSE),"")</f>
        <v>7</v>
      </c>
      <c r="AL70" s="9">
        <f>iferror(VLOOKUP($B70,covariates!$B$3:$Z$1126,18,FALSE),"")</f>
        <v>32.4</v>
      </c>
      <c r="AM70" s="9">
        <f>iferror(VLOOKUP($B70,covariates!$B$3:$Z$1126,19,FALSE),"")</f>
        <v>2.7</v>
      </c>
    </row>
    <row r="71">
      <c r="A71" s="15">
        <v>90.0</v>
      </c>
      <c r="B71" s="17" t="str">
        <f t="shared" si="38"/>
        <v>Taylor et al., 2009</v>
      </c>
      <c r="C71" s="9" t="s">
        <v>84</v>
      </c>
      <c r="D71" s="7" t="s">
        <v>316</v>
      </c>
      <c r="E71" s="9" t="s">
        <v>64</v>
      </c>
      <c r="F71" s="15"/>
      <c r="G71" s="21"/>
      <c r="H71" s="13" t="str">
        <f t="shared" si="37"/>
        <v/>
      </c>
      <c r="I71" s="88"/>
      <c r="J71" s="15"/>
      <c r="K71" s="15"/>
      <c r="L71" s="15"/>
      <c r="M71" s="15"/>
      <c r="N71" s="15"/>
      <c r="O71" s="9" t="s">
        <v>101</v>
      </c>
      <c r="P71" s="9" t="s">
        <v>101</v>
      </c>
      <c r="Q71" s="9" t="s">
        <v>101</v>
      </c>
      <c r="R71" s="9" t="s">
        <v>101</v>
      </c>
      <c r="S71" s="9" t="s">
        <v>101</v>
      </c>
      <c r="T71" s="9" t="s">
        <v>101</v>
      </c>
      <c r="U71" s="9" t="s">
        <v>101</v>
      </c>
      <c r="V71" s="15"/>
      <c r="W71" s="15"/>
      <c r="X71" s="15"/>
      <c r="Y71" s="15"/>
      <c r="Z71" s="15"/>
      <c r="AA71" s="15"/>
      <c r="AB71" s="15"/>
      <c r="AC71" s="15"/>
      <c r="AD71" s="15"/>
      <c r="AE71" s="19"/>
      <c r="AF71" s="19"/>
      <c r="AG71" s="7" t="s">
        <v>174</v>
      </c>
      <c r="AH71" s="13">
        <f>iferror(VLOOKUP($B71,covariates!$B$3:$Z$1126,6,FALSE),"")</f>
        <v>21.7</v>
      </c>
      <c r="AI71" s="13">
        <f>iferror(VLOOKUP($B71,covariates!$B$3:$Z$1126,7,FALSE),"")</f>
        <v>4.597</v>
      </c>
      <c r="AJ71" s="9">
        <f>iferror(VLOOKUP($B71,covariates!$B$3:$Z$1126,14,FALSE),"")</f>
        <v>25</v>
      </c>
      <c r="AK71" s="9">
        <f>iferror(VLOOKUP($B71,covariates!$B$3:$Z$1126,16,FALSE),"")</f>
        <v>7</v>
      </c>
      <c r="AL71" s="9">
        <f>iferror(VLOOKUP($B71,covariates!$B$3:$Z$1126,18,FALSE),"")</f>
        <v>32.4</v>
      </c>
      <c r="AM71" s="9">
        <f>iferror(VLOOKUP($B71,covariates!$B$3:$Z$1126,19,FALSE),"")</f>
        <v>2.7</v>
      </c>
    </row>
    <row r="72">
      <c r="A72" s="15">
        <v>95.0</v>
      </c>
      <c r="B72" s="17" t="str">
        <f t="shared" ref="B72:B73" si="39">HYPERLINK("https://github.com/d-wkim/phd/blob/main/data/pdf/webster_2001.pdf","Webster et al., 2001")</f>
        <v>Webster et al., 2001</v>
      </c>
      <c r="C72" s="9" t="s">
        <v>42</v>
      </c>
      <c r="D72" s="7" t="s">
        <v>316</v>
      </c>
      <c r="E72" s="9" t="s">
        <v>64</v>
      </c>
      <c r="F72" s="9"/>
      <c r="G72" s="21"/>
      <c r="H72" s="13"/>
      <c r="I72" s="88"/>
      <c r="J72" s="15"/>
      <c r="K72" s="15"/>
      <c r="L72" s="15"/>
      <c r="M72" s="15"/>
      <c r="N72" s="15"/>
      <c r="O72" s="9" t="s">
        <v>101</v>
      </c>
      <c r="P72" s="9" t="s">
        <v>101</v>
      </c>
      <c r="Q72" s="9" t="s">
        <v>101</v>
      </c>
      <c r="R72" s="9" t="s">
        <v>101</v>
      </c>
      <c r="S72" s="9" t="s">
        <v>101</v>
      </c>
      <c r="T72" s="9" t="s">
        <v>101</v>
      </c>
      <c r="U72" s="9" t="s">
        <v>101</v>
      </c>
      <c r="V72" s="15"/>
      <c r="W72" s="15"/>
      <c r="X72" s="15"/>
      <c r="Y72" s="15"/>
      <c r="Z72" s="15"/>
      <c r="AA72" s="15"/>
      <c r="AB72" s="15"/>
      <c r="AC72" s="15"/>
      <c r="AD72" s="15"/>
      <c r="AE72" s="19"/>
      <c r="AF72" s="19"/>
      <c r="AG72" s="7" t="s">
        <v>174</v>
      </c>
      <c r="AH72" s="13">
        <f>iferror(VLOOKUP($B72,covariates!$B$3:$Z$1126,6,FALSE),"")</f>
        <v>26</v>
      </c>
      <c r="AI72" s="13">
        <f>iferror(VLOOKUP($B72,covariates!$B$3:$Z$1126,7,FALSE),"")</f>
        <v>6.3</v>
      </c>
      <c r="AJ72" s="9">
        <f>iferror(VLOOKUP($B72,covariates!$B$3:$Z$1126,14,FALSE),"")</f>
        <v>20</v>
      </c>
      <c r="AK72" s="9">
        <f>iferror(VLOOKUP($B72,covariates!$B$3:$Z$1126,16,FALSE),"")</f>
        <v>8</v>
      </c>
      <c r="AL72" s="9">
        <f>iferror(VLOOKUP($B72,covariates!$B$3:$Z$1126,18,FALSE),"")</f>
        <v>24</v>
      </c>
      <c r="AM72" s="9">
        <f>iferror(VLOOKUP($B72,covariates!$B$3:$Z$1126,19,FALSE),"")</f>
        <v>2</v>
      </c>
    </row>
    <row r="73">
      <c r="A73" s="15">
        <v>95.0</v>
      </c>
      <c r="B73" s="17" t="str">
        <f t="shared" si="39"/>
        <v>Webster et al., 2001</v>
      </c>
      <c r="C73" s="9" t="s">
        <v>84</v>
      </c>
      <c r="D73" s="7" t="s">
        <v>316</v>
      </c>
      <c r="E73" s="9" t="s">
        <v>64</v>
      </c>
      <c r="F73" s="9"/>
      <c r="G73" s="21"/>
      <c r="H73" s="13"/>
      <c r="I73" s="88"/>
      <c r="J73" s="15"/>
      <c r="K73" s="15"/>
      <c r="L73" s="15"/>
      <c r="M73" s="15"/>
      <c r="N73" s="15"/>
      <c r="O73" s="9" t="s">
        <v>101</v>
      </c>
      <c r="P73" s="9" t="s">
        <v>101</v>
      </c>
      <c r="Q73" s="9" t="s">
        <v>101</v>
      </c>
      <c r="R73" s="9" t="s">
        <v>101</v>
      </c>
      <c r="S73" s="9" t="s">
        <v>101</v>
      </c>
      <c r="T73" s="9" t="s">
        <v>101</v>
      </c>
      <c r="U73" s="9" t="s">
        <v>101</v>
      </c>
      <c r="V73" s="15"/>
      <c r="W73" s="15"/>
      <c r="X73" s="15"/>
      <c r="Y73" s="15"/>
      <c r="Z73" s="15"/>
      <c r="AA73" s="15"/>
      <c r="AB73" s="15"/>
      <c r="AC73" s="15"/>
      <c r="AD73" s="15"/>
      <c r="AE73" s="19"/>
      <c r="AF73" s="19"/>
      <c r="AG73" s="7" t="s">
        <v>174</v>
      </c>
      <c r="AH73" s="13">
        <f>iferror(VLOOKUP($B73,covariates!$B$3:$Z$1126,6,FALSE),"")</f>
        <v>26</v>
      </c>
      <c r="AI73" s="13">
        <f>iferror(VLOOKUP($B73,covariates!$B$3:$Z$1126,7,FALSE),"")</f>
        <v>6.3</v>
      </c>
      <c r="AJ73" s="9">
        <f>iferror(VLOOKUP($B73,covariates!$B$3:$Z$1126,14,FALSE),"")</f>
        <v>20</v>
      </c>
      <c r="AK73" s="9">
        <f>iferror(VLOOKUP($B73,covariates!$B$3:$Z$1126,16,FALSE),"")</f>
        <v>8</v>
      </c>
      <c r="AL73" s="9">
        <f>iferror(VLOOKUP($B73,covariates!$B$3:$Z$1126,18,FALSE),"")</f>
        <v>24</v>
      </c>
      <c r="AM73" s="9">
        <f>iferror(VLOOKUP($B73,covariates!$B$3:$Z$1126,19,FALSE),"")</f>
        <v>2</v>
      </c>
    </row>
    <row r="74">
      <c r="A74" s="15">
        <v>10.0</v>
      </c>
      <c r="B74" s="17" t="str">
        <f t="shared" ref="B74:B75" si="40">HYPERLINK("https://github.com/d-wkim/phd/blob/main/data/pdf/barié_2020.pdf","Barié et al., 2020")</f>
        <v>Barié et al., 2020</v>
      </c>
      <c r="C74" s="9" t="s">
        <v>42</v>
      </c>
      <c r="D74" s="7" t="s">
        <v>220</v>
      </c>
      <c r="E74" s="9" t="s">
        <v>222</v>
      </c>
      <c r="F74" s="9">
        <v>43.0</v>
      </c>
      <c r="G74" s="13">
        <v>91.0</v>
      </c>
      <c r="H74" s="13">
        <v>7.3</v>
      </c>
      <c r="I74" s="88"/>
      <c r="J74" s="15"/>
      <c r="K74" s="15"/>
      <c r="L74" s="15"/>
      <c r="M74" s="15"/>
      <c r="N74" s="21">
        <v>0.91</v>
      </c>
      <c r="O74" s="9" t="s">
        <v>101</v>
      </c>
      <c r="P74" s="9" t="s">
        <v>101</v>
      </c>
      <c r="Q74" s="9" t="s">
        <v>101</v>
      </c>
      <c r="R74" s="9" t="s">
        <v>101</v>
      </c>
      <c r="S74" s="9" t="s">
        <v>101</v>
      </c>
      <c r="T74" s="9" t="s">
        <v>101</v>
      </c>
      <c r="U74" s="9" t="s">
        <v>101</v>
      </c>
      <c r="V74" s="15">
        <v>1.113</v>
      </c>
      <c r="W74" s="15"/>
      <c r="X74" s="15"/>
      <c r="Y74" s="15">
        <v>1.239</v>
      </c>
      <c r="Z74" s="15"/>
      <c r="AA74" s="15"/>
      <c r="AB74" s="15"/>
      <c r="AC74" s="15"/>
      <c r="AD74" s="15"/>
      <c r="AE74" s="19"/>
      <c r="AF74" s="19"/>
      <c r="AG74" s="7" t="s">
        <v>109</v>
      </c>
      <c r="AH74" s="13">
        <f>iferror(VLOOKUP($B74,covariates!$B$3:$Z$1126,6,FALSE),"")</f>
        <v>30.6</v>
      </c>
      <c r="AI74" s="13">
        <f>iferror(VLOOKUP($B74,covariates!$B$3:$Z$1126,7,FALSE),"")</f>
        <v>7.5</v>
      </c>
      <c r="AJ74" s="9">
        <f>iferror(VLOOKUP($B74,covariates!$B$3:$Z$1126,14,FALSE),"")</f>
        <v>17</v>
      </c>
      <c r="AK74" s="9">
        <f>iferror(VLOOKUP($B74,covariates!$B$3:$Z$1126,16,FALSE),"")</f>
        <v>13</v>
      </c>
      <c r="AL74" s="9">
        <f>iferror(VLOOKUP($B74,covariates!$B$3:$Z$1126,18,FALSE),"")</f>
        <v>122.4</v>
      </c>
      <c r="AM74" s="9">
        <f>iferror(VLOOKUP($B74,covariates!$B$3:$Z$1126,19,FALSE),"")</f>
        <v>10.2</v>
      </c>
    </row>
    <row r="75">
      <c r="A75" s="15">
        <v>10.0</v>
      </c>
      <c r="B75" s="17" t="str">
        <f t="shared" si="40"/>
        <v>Barié et al., 2020</v>
      </c>
      <c r="C75" s="9" t="s">
        <v>200</v>
      </c>
      <c r="D75" s="7" t="s">
        <v>220</v>
      </c>
      <c r="E75" s="9" t="s">
        <v>222</v>
      </c>
      <c r="F75" s="9">
        <v>43.0</v>
      </c>
      <c r="G75" s="13">
        <v>92.0</v>
      </c>
      <c r="H75" s="13">
        <v>11.5</v>
      </c>
      <c r="I75" s="88"/>
      <c r="J75" s="15"/>
      <c r="K75" s="15"/>
      <c r="L75" s="15"/>
      <c r="M75" s="15"/>
      <c r="N75" s="21">
        <v>0.92</v>
      </c>
      <c r="O75" s="9" t="s">
        <v>101</v>
      </c>
      <c r="P75" s="9" t="s">
        <v>101</v>
      </c>
      <c r="Q75" s="9" t="s">
        <v>101</v>
      </c>
      <c r="R75" s="9" t="s">
        <v>101</v>
      </c>
      <c r="S75" s="9" t="s">
        <v>101</v>
      </c>
      <c r="T75" s="9" t="s">
        <v>101</v>
      </c>
      <c r="U75" s="9" t="s">
        <v>101</v>
      </c>
      <c r="V75" s="15">
        <v>1.754</v>
      </c>
      <c r="W75" s="15"/>
      <c r="X75" s="15"/>
      <c r="Y75" s="15">
        <v>3.077</v>
      </c>
      <c r="Z75" s="19"/>
      <c r="AA75" s="19"/>
      <c r="AB75" s="19"/>
      <c r="AC75" s="19"/>
      <c r="AD75" s="19"/>
      <c r="AE75" s="19"/>
      <c r="AF75" s="19"/>
      <c r="AG75" s="7" t="s">
        <v>109</v>
      </c>
      <c r="AH75" s="13">
        <f>iferror(VLOOKUP($B75,covariates!$B$3:$Z$1126,6,FALSE),"")</f>
        <v>30.6</v>
      </c>
      <c r="AI75" s="13">
        <f>iferror(VLOOKUP($B75,covariates!$B$3:$Z$1126,7,FALSE),"")</f>
        <v>7.5</v>
      </c>
      <c r="AJ75" s="9">
        <f>iferror(VLOOKUP($B75,covariates!$B$3:$Z$1126,14,FALSE),"")</f>
        <v>17</v>
      </c>
      <c r="AK75" s="9">
        <f>iferror(VLOOKUP($B75,covariates!$B$3:$Z$1126,16,FALSE),"")</f>
        <v>13</v>
      </c>
      <c r="AL75" s="9">
        <f>iferror(VLOOKUP($B75,covariates!$B$3:$Z$1126,18,FALSE),"")</f>
        <v>122.4</v>
      </c>
      <c r="AM75" s="9">
        <f>iferror(VLOOKUP($B75,covariates!$B$3:$Z$1126,19,FALSE),"")</f>
        <v>10.2</v>
      </c>
    </row>
    <row r="76">
      <c r="A76" s="15">
        <v>12.0</v>
      </c>
      <c r="B76" s="17" t="str">
        <f t="shared" ref="B76:B77" si="41">HYPERLINK("https://github.com/d-wkim/phd/blob/main/data/pdf/bi_2018.pdf","Bi et al., 2018")</f>
        <v>Bi et al., 2018</v>
      </c>
      <c r="C76" s="9" t="s">
        <v>84</v>
      </c>
      <c r="D76" s="7" t="s">
        <v>220</v>
      </c>
      <c r="E76" s="9" t="s">
        <v>222</v>
      </c>
      <c r="F76" s="9">
        <v>62.0</v>
      </c>
      <c r="G76" s="13">
        <v>90.4</v>
      </c>
      <c r="H76" s="13">
        <v>7.1</v>
      </c>
      <c r="I76" s="88"/>
      <c r="J76" s="15"/>
      <c r="K76" s="15"/>
      <c r="L76" s="15"/>
      <c r="M76" s="15"/>
      <c r="N76" s="21">
        <v>0.904</v>
      </c>
      <c r="O76" s="9" t="s">
        <v>101</v>
      </c>
      <c r="P76" s="9" t="s">
        <v>101</v>
      </c>
      <c r="Q76" s="9" t="s">
        <v>101</v>
      </c>
      <c r="R76" s="9" t="s">
        <v>101</v>
      </c>
      <c r="S76" s="9" t="s">
        <v>101</v>
      </c>
      <c r="T76" s="9" t="s">
        <v>101</v>
      </c>
      <c r="U76" s="9" t="s">
        <v>101</v>
      </c>
      <c r="V76" s="15">
        <v>0.902</v>
      </c>
      <c r="W76" s="15"/>
      <c r="X76" s="15"/>
      <c r="Y76" s="15">
        <v>0.814</v>
      </c>
      <c r="Z76" s="15"/>
      <c r="AA76" s="15"/>
      <c r="AB76" s="15"/>
      <c r="AC76" s="15"/>
      <c r="AD76" s="15"/>
      <c r="AE76" s="19"/>
      <c r="AF76" s="19"/>
      <c r="AG76" s="7" t="s">
        <v>109</v>
      </c>
      <c r="AH76" s="13">
        <f>iferror(VLOOKUP($B76,covariates!$B$3:$Z$1126,6,FALSE),"")</f>
        <v>27.9</v>
      </c>
      <c r="AI76" s="13">
        <f>iferror(VLOOKUP($B76,covariates!$B$3:$Z$1126,7,FALSE),"")</f>
        <v>6.7</v>
      </c>
      <c r="AJ76" s="9">
        <f>iferror(VLOOKUP($B76,covariates!$B$3:$Z$1126,14,FALSE),"")</f>
        <v>31</v>
      </c>
      <c r="AK76" s="9">
        <f>iferror(VLOOKUP($B76,covariates!$B$3:$Z$1126,16,FALSE),"")</f>
        <v>31</v>
      </c>
      <c r="AL76" s="9">
        <f>iferror(VLOOKUP($B76,covariates!$B$3:$Z$1126,18,FALSE),"")</f>
        <v>30.3</v>
      </c>
      <c r="AM76" s="9">
        <f>iferror(VLOOKUP($B76,covariates!$B$3:$Z$1126,19,FALSE),"")</f>
        <v>2.5</v>
      </c>
    </row>
    <row r="77">
      <c r="A77" s="15">
        <v>12.0</v>
      </c>
      <c r="B77" s="17" t="str">
        <f t="shared" si="41"/>
        <v>Bi et al., 2018</v>
      </c>
      <c r="C77" s="9" t="s">
        <v>186</v>
      </c>
      <c r="D77" s="7" t="s">
        <v>220</v>
      </c>
      <c r="E77" s="9" t="s">
        <v>222</v>
      </c>
      <c r="F77" s="9">
        <v>62.0</v>
      </c>
      <c r="G77" s="13">
        <v>89.3</v>
      </c>
      <c r="H77" s="13">
        <v>8.4</v>
      </c>
      <c r="I77" s="88"/>
      <c r="J77" s="15"/>
      <c r="K77" s="15"/>
      <c r="L77" s="15"/>
      <c r="M77" s="15"/>
      <c r="N77" s="21">
        <v>0.893</v>
      </c>
      <c r="O77" s="9" t="s">
        <v>101</v>
      </c>
      <c r="P77" s="9" t="s">
        <v>101</v>
      </c>
      <c r="Q77" s="9" t="s">
        <v>101</v>
      </c>
      <c r="R77" s="9" t="s">
        <v>101</v>
      </c>
      <c r="S77" s="9" t="s">
        <v>101</v>
      </c>
      <c r="T77" s="9" t="s">
        <v>101</v>
      </c>
      <c r="U77" s="9" t="s">
        <v>101</v>
      </c>
      <c r="V77" s="15">
        <v>1.067</v>
      </c>
      <c r="W77" s="15"/>
      <c r="X77" s="15"/>
      <c r="Y77" s="15">
        <v>1.138</v>
      </c>
      <c r="Z77" s="19"/>
      <c r="AA77" s="19"/>
      <c r="AB77" s="19"/>
      <c r="AC77" s="19"/>
      <c r="AD77" s="19"/>
      <c r="AE77" s="19"/>
      <c r="AF77" s="19"/>
      <c r="AG77" s="7" t="s">
        <v>109</v>
      </c>
      <c r="AH77" s="13">
        <f>iferror(VLOOKUP($B77,covariates!$B$3:$Z$1126,6,FALSE),"")</f>
        <v>27.9</v>
      </c>
      <c r="AI77" s="13">
        <f>iferror(VLOOKUP($B77,covariates!$B$3:$Z$1126,7,FALSE),"")</f>
        <v>6.7</v>
      </c>
      <c r="AJ77" s="9">
        <f>iferror(VLOOKUP($B77,covariates!$B$3:$Z$1126,14,FALSE),"")</f>
        <v>31</v>
      </c>
      <c r="AK77" s="9">
        <f>iferror(VLOOKUP($B77,covariates!$B$3:$Z$1126,16,FALSE),"")</f>
        <v>31</v>
      </c>
      <c r="AL77" s="9">
        <f>iferror(VLOOKUP($B77,covariates!$B$3:$Z$1126,18,FALSE),"")</f>
        <v>30.3</v>
      </c>
      <c r="AM77" s="9">
        <f>iferror(VLOOKUP($B77,covariates!$B$3:$Z$1126,19,FALSE),"")</f>
        <v>2.5</v>
      </c>
    </row>
    <row r="78">
      <c r="A78" s="15">
        <v>13.0</v>
      </c>
      <c r="B78" s="17" t="str">
        <f t="shared" ref="B78:B79" si="42">HYPERLINK("https://github.com/d-wkim/phd/blob/main/data/pdf/björnsson_2016.pdf","Björnsson et al., 2016")</f>
        <v>Björnsson et al., 2016</v>
      </c>
      <c r="C78" s="9" t="s">
        <v>42</v>
      </c>
      <c r="D78" s="7" t="s">
        <v>220</v>
      </c>
      <c r="E78" s="9" t="s">
        <v>222</v>
      </c>
      <c r="F78" s="9">
        <v>61.0</v>
      </c>
      <c r="G78" s="13">
        <v>67.3</v>
      </c>
      <c r="H78" s="13">
        <v>20.8</v>
      </c>
      <c r="I78" s="88"/>
      <c r="J78" s="15"/>
      <c r="K78" s="15"/>
      <c r="L78" s="15"/>
      <c r="M78" s="15"/>
      <c r="N78" s="21">
        <v>0.6729999999999999</v>
      </c>
      <c r="O78" s="9" t="s">
        <v>101</v>
      </c>
      <c r="P78" s="9" t="s">
        <v>101</v>
      </c>
      <c r="Q78" s="9" t="s">
        <v>101</v>
      </c>
      <c r="R78" s="9" t="s">
        <v>101</v>
      </c>
      <c r="S78" s="9" t="s">
        <v>101</v>
      </c>
      <c r="T78" s="9" t="s">
        <v>101</v>
      </c>
      <c r="U78" s="9" t="s">
        <v>101</v>
      </c>
      <c r="V78" s="15">
        <v>2.663</v>
      </c>
      <c r="W78" s="15"/>
      <c r="X78" s="15"/>
      <c r="Y78" s="15">
        <v>7.092</v>
      </c>
      <c r="Z78" s="15"/>
      <c r="AA78" s="15"/>
      <c r="AB78" s="15"/>
      <c r="AC78" s="15"/>
      <c r="AD78" s="15"/>
      <c r="AE78" s="19"/>
      <c r="AF78" s="19"/>
      <c r="AG78" s="7" t="s">
        <v>109</v>
      </c>
      <c r="AH78" s="13">
        <f>iferror(VLOOKUP($B78,covariates!$B$3:$Z$1126,6,FALSE),"")</f>
        <v>28.2</v>
      </c>
      <c r="AI78" s="13">
        <f>iferror(VLOOKUP($B78,covariates!$B$3:$Z$1126,7,FALSE),"")</f>
        <v>9.1</v>
      </c>
      <c r="AJ78" s="9">
        <f>iferror(VLOOKUP($B78,covariates!$B$3:$Z$1126,14,FALSE),"")</f>
        <v>42</v>
      </c>
      <c r="AK78" s="9">
        <f>iferror(VLOOKUP($B78,covariates!$B$3:$Z$1126,16,FALSE),"")</f>
        <v>19</v>
      </c>
      <c r="AL78" s="9">
        <f>iferror(VLOOKUP($B78,covariates!$B$3:$Z$1126,18,FALSE),"")</f>
        <v>202.6</v>
      </c>
      <c r="AM78" s="9">
        <f>iferror(VLOOKUP($B78,covariates!$B$3:$Z$1126,19,FALSE),"")</f>
        <v>16.9</v>
      </c>
    </row>
    <row r="79">
      <c r="A79" s="15">
        <v>13.0</v>
      </c>
      <c r="B79" s="17" t="str">
        <f t="shared" si="42"/>
        <v>Björnsson et al., 2016</v>
      </c>
      <c r="C79" s="9" t="s">
        <v>84</v>
      </c>
      <c r="D79" s="7" t="s">
        <v>220</v>
      </c>
      <c r="E79" s="9" t="s">
        <v>222</v>
      </c>
      <c r="F79" s="9">
        <v>86.0</v>
      </c>
      <c r="G79" s="13">
        <v>74.0</v>
      </c>
      <c r="H79" s="13">
        <v>18.8</v>
      </c>
      <c r="I79" s="88"/>
      <c r="J79" s="15"/>
      <c r="K79" s="15"/>
      <c r="L79" s="15"/>
      <c r="M79" s="15"/>
      <c r="N79" s="21">
        <v>0.74</v>
      </c>
      <c r="O79" s="9" t="s">
        <v>101</v>
      </c>
      <c r="P79" s="9" t="s">
        <v>101</v>
      </c>
      <c r="Q79" s="9" t="s">
        <v>101</v>
      </c>
      <c r="R79" s="9" t="s">
        <v>101</v>
      </c>
      <c r="S79" s="9" t="s">
        <v>101</v>
      </c>
      <c r="T79" s="9" t="s">
        <v>101</v>
      </c>
      <c r="U79" s="9" t="s">
        <v>101</v>
      </c>
      <c r="V79" s="15">
        <v>2.027</v>
      </c>
      <c r="W79" s="15"/>
      <c r="X79" s="15"/>
      <c r="Y79" s="15">
        <v>4.109</v>
      </c>
      <c r="Z79" s="15"/>
      <c r="AA79" s="15"/>
      <c r="AB79" s="15"/>
      <c r="AC79" s="15"/>
      <c r="AD79" s="15"/>
      <c r="AE79" s="19"/>
      <c r="AF79" s="19"/>
      <c r="AG79" s="7" t="s">
        <v>109</v>
      </c>
      <c r="AH79" s="13">
        <f>iferror(VLOOKUP($B79,covariates!$B$3:$Z$1126,6,FALSE),"")</f>
        <v>28.2</v>
      </c>
      <c r="AI79" s="13">
        <f>iferror(VLOOKUP($B79,covariates!$B$3:$Z$1126,7,FALSE),"")</f>
        <v>9.1</v>
      </c>
      <c r="AJ79" s="9">
        <f>iferror(VLOOKUP($B79,covariates!$B$3:$Z$1126,14,FALSE),"")</f>
        <v>42</v>
      </c>
      <c r="AK79" s="9">
        <f>iferror(VLOOKUP($B79,covariates!$B$3:$Z$1126,16,FALSE),"")</f>
        <v>19</v>
      </c>
      <c r="AL79" s="9">
        <f>iferror(VLOOKUP($B79,covariates!$B$3:$Z$1126,18,FALSE),"")</f>
        <v>202.6</v>
      </c>
      <c r="AM79" s="9">
        <f>iferror(VLOOKUP($B79,covariates!$B$3:$Z$1126,19,FALSE),"")</f>
        <v>16.9</v>
      </c>
    </row>
    <row r="80">
      <c r="A80" s="15">
        <v>14.0</v>
      </c>
      <c r="B80" s="17" t="str">
        <f t="shared" ref="B80:B81" si="43">HYPERLINK("https://github.com/d-wkim/phd/blob/main/data/pdf/bottoni_2015.pdf","Bottoni et al., 2015")</f>
        <v>Bottoni et al., 2015</v>
      </c>
      <c r="C80" s="9" t="s">
        <v>84</v>
      </c>
      <c r="D80" s="7" t="s">
        <v>220</v>
      </c>
      <c r="E80" s="9" t="s">
        <v>222</v>
      </c>
      <c r="F80" s="9">
        <v>44.0</v>
      </c>
      <c r="G80" s="13">
        <v>79.5</v>
      </c>
      <c r="H80" s="13">
        <v>24.7</v>
      </c>
      <c r="I80" s="88"/>
      <c r="J80" s="15"/>
      <c r="K80" s="15"/>
      <c r="L80" s="15"/>
      <c r="M80" s="15"/>
      <c r="N80" s="21">
        <v>0.795</v>
      </c>
      <c r="O80" s="9" t="s">
        <v>101</v>
      </c>
      <c r="P80" s="9" t="s">
        <v>101</v>
      </c>
      <c r="Q80" s="9" t="s">
        <v>101</v>
      </c>
      <c r="R80" s="9" t="s">
        <v>101</v>
      </c>
      <c r="S80" s="9" t="s">
        <v>101</v>
      </c>
      <c r="T80" s="9" t="s">
        <v>101</v>
      </c>
      <c r="U80" s="9" t="s">
        <v>101</v>
      </c>
      <c r="V80" s="15">
        <v>3.724</v>
      </c>
      <c r="W80" s="15"/>
      <c r="X80" s="15"/>
      <c r="Y80" s="15">
        <v>13.868</v>
      </c>
      <c r="Z80" s="15"/>
      <c r="AA80" s="15"/>
      <c r="AB80" s="15"/>
      <c r="AC80" s="15"/>
      <c r="AD80" s="15"/>
      <c r="AE80" s="19"/>
      <c r="AF80" s="19"/>
      <c r="AG80" s="7" t="s">
        <v>109</v>
      </c>
      <c r="AH80" s="13">
        <f>iferror(VLOOKUP($B80,covariates!$B$3:$Z$1126,6,FALSE),"")</f>
        <v>28.9</v>
      </c>
      <c r="AI80" s="13">
        <f>iferror(VLOOKUP($B80,covariates!$B$3:$Z$1126,7,FALSE),"")</f>
        <v>5.8</v>
      </c>
      <c r="AJ80" s="9">
        <f>iferror(VLOOKUP($B80,covariates!$B$3:$Z$1126,14,FALSE),"")</f>
        <v>41</v>
      </c>
      <c r="AK80" s="9">
        <f>iferror(VLOOKUP($B80,covariates!$B$3:$Z$1126,16,FALSE),"")</f>
        <v>7</v>
      </c>
      <c r="AL80" s="9">
        <f>iferror(VLOOKUP($B80,covariates!$B$3:$Z$1126,18,FALSE),"")</f>
        <v>120</v>
      </c>
      <c r="AM80" s="9">
        <f>iferror(VLOOKUP($B80,covariates!$B$3:$Z$1126,19,FALSE),"")</f>
        <v>10</v>
      </c>
    </row>
    <row r="81">
      <c r="A81" s="15">
        <v>14.0</v>
      </c>
      <c r="B81" s="17" t="str">
        <f t="shared" si="43"/>
        <v>Bottoni et al., 2015</v>
      </c>
      <c r="C81" s="9" t="s">
        <v>205</v>
      </c>
      <c r="D81" s="7" t="s">
        <v>220</v>
      </c>
      <c r="E81" s="9" t="s">
        <v>222</v>
      </c>
      <c r="F81" s="9">
        <v>36.0</v>
      </c>
      <c r="G81" s="13">
        <v>81.1</v>
      </c>
      <c r="H81" s="13">
        <v>23.1</v>
      </c>
      <c r="I81" s="88"/>
      <c r="J81" s="15"/>
      <c r="K81" s="15"/>
      <c r="L81" s="15"/>
      <c r="M81" s="15"/>
      <c r="N81" s="21">
        <v>0.8109999999999999</v>
      </c>
      <c r="O81" s="9" t="s">
        <v>101</v>
      </c>
      <c r="P81" s="9" t="s">
        <v>101</v>
      </c>
      <c r="Q81" s="9" t="s">
        <v>101</v>
      </c>
      <c r="R81" s="9" t="s">
        <v>101</v>
      </c>
      <c r="S81" s="9" t="s">
        <v>101</v>
      </c>
      <c r="T81" s="9" t="s">
        <v>101</v>
      </c>
      <c r="U81" s="9" t="s">
        <v>101</v>
      </c>
      <c r="V81" s="15">
        <v>3.85</v>
      </c>
      <c r="W81" s="15"/>
      <c r="X81" s="15"/>
      <c r="Y81" s="15">
        <v>14.823</v>
      </c>
      <c r="Z81" s="19"/>
      <c r="AA81" s="19"/>
      <c r="AB81" s="19"/>
      <c r="AC81" s="19"/>
      <c r="AD81" s="19"/>
      <c r="AE81" s="19"/>
      <c r="AF81" s="19"/>
      <c r="AG81" s="7" t="s">
        <v>109</v>
      </c>
      <c r="AH81" s="13">
        <f>iferror(VLOOKUP($B81,covariates!$B$3:$Z$1126,6,FALSE),"")</f>
        <v>28.9</v>
      </c>
      <c r="AI81" s="13">
        <f>iferror(VLOOKUP($B81,covariates!$B$3:$Z$1126,7,FALSE),"")</f>
        <v>5.8</v>
      </c>
      <c r="AJ81" s="9">
        <f>iferror(VLOOKUP($B81,covariates!$B$3:$Z$1126,14,FALSE),"")</f>
        <v>41</v>
      </c>
      <c r="AK81" s="9">
        <f>iferror(VLOOKUP($B81,covariates!$B$3:$Z$1126,16,FALSE),"")</f>
        <v>7</v>
      </c>
      <c r="AL81" s="9">
        <f>iferror(VLOOKUP($B81,covariates!$B$3:$Z$1126,18,FALSE),"")</f>
        <v>120</v>
      </c>
      <c r="AM81" s="9">
        <f>iferror(VLOOKUP($B81,covariates!$B$3:$Z$1126,19,FALSE),"")</f>
        <v>10</v>
      </c>
    </row>
    <row r="82">
      <c r="A82" s="15">
        <v>18.0</v>
      </c>
      <c r="B82" s="17" t="str">
        <f t="shared" ref="B82:B83" si="44">HYPERLINK("https://github.com/d-wkim/phd/blob/main/data/pdf/butt_2024.pdf","Butt et al., 2024")</f>
        <v>Butt et al., 2024</v>
      </c>
      <c r="C82" s="9" t="s">
        <v>84</v>
      </c>
      <c r="D82" s="7" t="s">
        <v>220</v>
      </c>
      <c r="E82" s="9" t="s">
        <v>222</v>
      </c>
      <c r="F82" s="9">
        <v>30.0</v>
      </c>
      <c r="G82" s="13">
        <v>89.7</v>
      </c>
      <c r="H82" s="13">
        <v>5.7</v>
      </c>
      <c r="I82" s="15"/>
      <c r="J82" s="15"/>
      <c r="K82" s="15"/>
      <c r="L82" s="15"/>
      <c r="M82" s="15"/>
      <c r="N82" s="21">
        <v>0.897</v>
      </c>
      <c r="O82" s="9" t="s">
        <v>101</v>
      </c>
      <c r="P82" s="9" t="s">
        <v>101</v>
      </c>
      <c r="Q82" s="9" t="s">
        <v>101</v>
      </c>
      <c r="R82" s="9" t="s">
        <v>101</v>
      </c>
      <c r="S82" s="9" t="s">
        <v>101</v>
      </c>
      <c r="T82" s="9" t="s">
        <v>101</v>
      </c>
      <c r="U82" s="9" t="s">
        <v>101</v>
      </c>
      <c r="V82" s="15">
        <v>1.041</v>
      </c>
      <c r="W82" s="15"/>
      <c r="X82" s="15"/>
      <c r="Y82" s="15">
        <v>1.084</v>
      </c>
      <c r="Z82" s="15"/>
      <c r="AA82" s="15"/>
      <c r="AB82" s="15"/>
      <c r="AC82" s="15"/>
      <c r="AD82" s="15"/>
      <c r="AE82" s="19"/>
      <c r="AF82" s="19"/>
      <c r="AG82" s="7" t="s">
        <v>109</v>
      </c>
      <c r="AH82" s="13">
        <f>iferror(VLOOKUP($B82,covariates!$B$3:$Z$1126,6,FALSE),"")</f>
        <v>29.17</v>
      </c>
      <c r="AI82" s="13">
        <f>iferror(VLOOKUP($B82,covariates!$B$3:$Z$1126,7,FALSE),"")</f>
        <v>5.03</v>
      </c>
      <c r="AJ82" s="9">
        <f>iferror(VLOOKUP($B82,covariates!$B$3:$Z$1126,14,FALSE),"")</f>
        <v>29</v>
      </c>
      <c r="AK82" s="9">
        <f>iferror(VLOOKUP($B82,covariates!$B$3:$Z$1126,16,FALSE),"")</f>
        <v>1</v>
      </c>
      <c r="AL82" s="9">
        <f>iferror(VLOOKUP($B82,covariates!$B$3:$Z$1126,18,FALSE),"")</f>
        <v>60</v>
      </c>
      <c r="AM82" s="9">
        <f>iferror(VLOOKUP($B82,covariates!$B$3:$Z$1126,19,FALSE),"")</f>
        <v>5</v>
      </c>
    </row>
    <row r="83">
      <c r="A83" s="15">
        <v>18.0</v>
      </c>
      <c r="B83" s="17" t="str">
        <f t="shared" si="44"/>
        <v>Butt et al., 2024</v>
      </c>
      <c r="C83" s="9" t="s">
        <v>186</v>
      </c>
      <c r="D83" s="7" t="s">
        <v>220</v>
      </c>
      <c r="E83" s="9" t="s">
        <v>222</v>
      </c>
      <c r="F83" s="9">
        <v>30.0</v>
      </c>
      <c r="G83" s="13">
        <v>89.9</v>
      </c>
      <c r="H83" s="13">
        <v>9.8</v>
      </c>
      <c r="I83" s="15"/>
      <c r="J83" s="15"/>
      <c r="K83" s="15"/>
      <c r="L83" s="15"/>
      <c r="M83" s="15"/>
      <c r="N83" s="21">
        <v>0.899</v>
      </c>
      <c r="O83" s="9" t="s">
        <v>101</v>
      </c>
      <c r="P83" s="9" t="s">
        <v>101</v>
      </c>
      <c r="Q83" s="9" t="s">
        <v>101</v>
      </c>
      <c r="R83" s="9" t="s">
        <v>101</v>
      </c>
      <c r="S83" s="9" t="s">
        <v>101</v>
      </c>
      <c r="T83" s="9" t="s">
        <v>101</v>
      </c>
      <c r="U83" s="9" t="s">
        <v>101</v>
      </c>
      <c r="V83" s="15">
        <v>1.789</v>
      </c>
      <c r="W83" s="15"/>
      <c r="X83" s="15"/>
      <c r="Y83" s="15">
        <v>3.201</v>
      </c>
      <c r="Z83" s="19"/>
      <c r="AA83" s="19"/>
      <c r="AB83" s="19"/>
      <c r="AC83" s="19"/>
      <c r="AD83" s="19"/>
      <c r="AE83" s="19"/>
      <c r="AF83" s="19"/>
      <c r="AG83" s="7" t="s">
        <v>109</v>
      </c>
      <c r="AH83" s="13">
        <f>iferror(VLOOKUP($B83,covariates!$B$3:$Z$1126,6,FALSE),"")</f>
        <v>29.17</v>
      </c>
      <c r="AI83" s="13">
        <f>iferror(VLOOKUP($B83,covariates!$B$3:$Z$1126,7,FALSE),"")</f>
        <v>5.03</v>
      </c>
      <c r="AJ83" s="9">
        <f>iferror(VLOOKUP($B83,covariates!$B$3:$Z$1126,14,FALSE),"")</f>
        <v>29</v>
      </c>
      <c r="AK83" s="9">
        <f>iferror(VLOOKUP($B83,covariates!$B$3:$Z$1126,16,FALSE),"")</f>
        <v>1</v>
      </c>
      <c r="AL83" s="9">
        <f>iferror(VLOOKUP($B83,covariates!$B$3:$Z$1126,18,FALSE),"")</f>
        <v>60</v>
      </c>
      <c r="AM83" s="9">
        <f>iferror(VLOOKUP($B83,covariates!$B$3:$Z$1126,19,FALSE),"")</f>
        <v>5</v>
      </c>
    </row>
    <row r="84">
      <c r="A84" s="15">
        <v>19.0</v>
      </c>
      <c r="B84" s="17" t="str">
        <f t="shared" ref="B84:B85" si="45">HYPERLINK("https://github.com/d-wkim/phd/blob/main/data/pdf/calvert_2025.pdf","Calvert et al., 2025")</f>
        <v>Calvert et al., 2025</v>
      </c>
      <c r="C84" s="9" t="s">
        <v>84</v>
      </c>
      <c r="D84" s="7" t="s">
        <v>220</v>
      </c>
      <c r="E84" s="9" t="s">
        <v>222</v>
      </c>
      <c r="F84" s="9">
        <v>92.0</v>
      </c>
      <c r="G84" s="13">
        <v>92.0</v>
      </c>
      <c r="H84" s="13">
        <v>8.0</v>
      </c>
      <c r="I84" s="15"/>
      <c r="J84" s="15"/>
      <c r="K84" s="15"/>
      <c r="L84" s="15"/>
      <c r="M84" s="15"/>
      <c r="N84" s="21">
        <v>0.92</v>
      </c>
      <c r="O84" s="9" t="s">
        <v>101</v>
      </c>
      <c r="P84" s="9" t="s">
        <v>101</v>
      </c>
      <c r="Q84" s="9" t="s">
        <v>101</v>
      </c>
      <c r="R84" s="9" t="s">
        <v>101</v>
      </c>
      <c r="S84" s="9" t="s">
        <v>101</v>
      </c>
      <c r="T84" s="9" t="s">
        <v>101</v>
      </c>
      <c r="U84" s="9" t="s">
        <v>101</v>
      </c>
      <c r="V84" s="15">
        <v>0.834</v>
      </c>
      <c r="W84" s="15"/>
      <c r="X84" s="15"/>
      <c r="Y84" s="15">
        <v>0.696</v>
      </c>
      <c r="Z84" s="15"/>
      <c r="AA84" s="15"/>
      <c r="AB84" s="15"/>
      <c r="AC84" s="15"/>
      <c r="AD84" s="15"/>
      <c r="AE84" s="19"/>
      <c r="AF84" s="19"/>
      <c r="AG84" s="7" t="s">
        <v>109</v>
      </c>
      <c r="AH84" s="13">
        <f>iferror(VLOOKUP($B84,covariates!$B$3:$Z$1126,6,FALSE),"")</f>
        <v>29.4</v>
      </c>
      <c r="AI84" s="13">
        <f>iferror(VLOOKUP($B84,covariates!$B$3:$Z$1126,7,FALSE),"")</f>
        <v>7.7</v>
      </c>
      <c r="AJ84" s="9">
        <f>iferror(VLOOKUP($B84,covariates!$B$3:$Z$1126,14,FALSE),"")</f>
        <v>28</v>
      </c>
      <c r="AK84" s="9">
        <f>iferror(VLOOKUP($B84,covariates!$B$3:$Z$1126,16,FALSE),"")</f>
        <v>27</v>
      </c>
      <c r="AL84" s="9">
        <f>iferror(VLOOKUP($B84,covariates!$B$3:$Z$1126,18,FALSE),"")</f>
        <v>24</v>
      </c>
      <c r="AM84" s="9">
        <f>iferror(VLOOKUP($B84,covariates!$B$3:$Z$1126,19,FALSE),"")</f>
        <v>2</v>
      </c>
    </row>
    <row r="85">
      <c r="A85" s="15">
        <v>19.0</v>
      </c>
      <c r="B85" s="17" t="str">
        <f t="shared" si="45"/>
        <v>Calvert et al., 2025</v>
      </c>
      <c r="C85" s="9" t="s">
        <v>200</v>
      </c>
      <c r="D85" s="7" t="s">
        <v>220</v>
      </c>
      <c r="E85" s="9" t="s">
        <v>222</v>
      </c>
      <c r="F85" s="9">
        <v>89.0</v>
      </c>
      <c r="G85" s="13">
        <v>89.0</v>
      </c>
      <c r="H85" s="13">
        <v>10.0</v>
      </c>
      <c r="I85" s="15"/>
      <c r="J85" s="15"/>
      <c r="K85" s="15"/>
      <c r="L85" s="15"/>
      <c r="M85" s="15"/>
      <c r="N85" s="21">
        <v>0.89</v>
      </c>
      <c r="O85" s="9" t="s">
        <v>101</v>
      </c>
      <c r="P85" s="9" t="s">
        <v>101</v>
      </c>
      <c r="Q85" s="9" t="s">
        <v>101</v>
      </c>
      <c r="R85" s="9" t="s">
        <v>101</v>
      </c>
      <c r="S85" s="9" t="s">
        <v>101</v>
      </c>
      <c r="T85" s="9" t="s">
        <v>101</v>
      </c>
      <c r="U85" s="9" t="s">
        <v>101</v>
      </c>
      <c r="V85" s="15">
        <v>1.06</v>
      </c>
      <c r="W85" s="15"/>
      <c r="X85" s="15"/>
      <c r="Y85" s="15">
        <v>1.124</v>
      </c>
      <c r="Z85" s="19"/>
      <c r="AA85" s="19"/>
      <c r="AB85" s="19"/>
      <c r="AC85" s="19"/>
      <c r="AD85" s="19"/>
      <c r="AE85" s="19"/>
      <c r="AF85" s="19"/>
      <c r="AG85" s="7" t="s">
        <v>109</v>
      </c>
      <c r="AH85" s="13">
        <f>iferror(VLOOKUP($B85,covariates!$B$3:$Z$1126,6,FALSE),"")</f>
        <v>29.4</v>
      </c>
      <c r="AI85" s="13">
        <f>iferror(VLOOKUP($B85,covariates!$B$3:$Z$1126,7,FALSE),"")</f>
        <v>7.7</v>
      </c>
      <c r="AJ85" s="9">
        <f>iferror(VLOOKUP($B85,covariates!$B$3:$Z$1126,14,FALSE),"")</f>
        <v>28</v>
      </c>
      <c r="AK85" s="9">
        <f>iferror(VLOOKUP($B85,covariates!$B$3:$Z$1126,16,FALSE),"")</f>
        <v>27</v>
      </c>
      <c r="AL85" s="9">
        <f>iferror(VLOOKUP($B85,covariates!$B$3:$Z$1126,18,FALSE),"")</f>
        <v>24</v>
      </c>
      <c r="AM85" s="9">
        <f>iferror(VLOOKUP($B85,covariates!$B$3:$Z$1126,19,FALSE),"")</f>
        <v>2</v>
      </c>
    </row>
    <row r="86">
      <c r="A86" s="15">
        <v>32.0</v>
      </c>
      <c r="B86" s="17" t="str">
        <f t="shared" ref="B86:B87" si="46">HYPERLINK("https://github.com/d-wkim/phd/blob/main/data/pdf/guglielmetti_2021.pdf","Guglielmetti et al., 2021")</f>
        <v>Guglielmetti et al., 2021</v>
      </c>
      <c r="C86" s="9" t="s">
        <v>42</v>
      </c>
      <c r="D86" s="7" t="s">
        <v>220</v>
      </c>
      <c r="E86" s="9" t="s">
        <v>222</v>
      </c>
      <c r="F86" s="9">
        <v>31.0</v>
      </c>
      <c r="G86" s="13">
        <v>88.75</v>
      </c>
      <c r="H86" s="13">
        <v>9.27</v>
      </c>
      <c r="I86" s="15"/>
      <c r="J86" s="15"/>
      <c r="K86" s="15"/>
      <c r="L86" s="15"/>
      <c r="M86" s="15"/>
      <c r="N86" s="21">
        <v>0.8875</v>
      </c>
      <c r="O86" s="9" t="s">
        <v>101</v>
      </c>
      <c r="P86" s="9" t="s">
        <v>101</v>
      </c>
      <c r="Q86" s="9" t="s">
        <v>101</v>
      </c>
      <c r="R86" s="9" t="s">
        <v>101</v>
      </c>
      <c r="S86" s="9" t="s">
        <v>101</v>
      </c>
      <c r="T86" s="9" t="s">
        <v>101</v>
      </c>
      <c r="U86" s="9" t="s">
        <v>101</v>
      </c>
      <c r="V86" s="15">
        <v>1.665</v>
      </c>
      <c r="W86" s="15"/>
      <c r="X86" s="15"/>
      <c r="Y86" s="15">
        <v>2.772</v>
      </c>
      <c r="Z86" s="15"/>
      <c r="AA86" s="15"/>
      <c r="AB86" s="15"/>
      <c r="AC86" s="15"/>
      <c r="AD86" s="15"/>
      <c r="AE86" s="19"/>
      <c r="AF86" s="19"/>
      <c r="AG86" s="7" t="s">
        <v>109</v>
      </c>
      <c r="AH86" s="13">
        <f>iferror(VLOOKUP($B86,covariates!$B$3:$Z$1126,6,FALSE),"")</f>
        <v>25.2</v>
      </c>
      <c r="AI86" s="13">
        <f>iferror(VLOOKUP($B86,covariates!$B$3:$Z$1126,7,FALSE),"")</f>
        <v>5.48</v>
      </c>
      <c r="AJ86" s="9">
        <f>iferror(VLOOKUP($B86,covariates!$B$3:$Z$1126,14,FALSE),"")</f>
        <v>23</v>
      </c>
      <c r="AK86" s="9">
        <f>iferror(VLOOKUP($B86,covariates!$B$3:$Z$1126,16,FALSE),"")</f>
        <v>8</v>
      </c>
      <c r="AL86" s="9">
        <f>iferror(VLOOKUP($B86,covariates!$B$3:$Z$1126,18,FALSE),"")</f>
        <v>24</v>
      </c>
      <c r="AM86" s="9">
        <f>iferror(VLOOKUP($B86,covariates!$B$3:$Z$1126,19,FALSE),"")</f>
        <v>2</v>
      </c>
    </row>
    <row r="87">
      <c r="A87" s="15">
        <v>32.0</v>
      </c>
      <c r="B87" s="17" t="str">
        <f t="shared" si="46"/>
        <v>Guglielmetti et al., 2021</v>
      </c>
      <c r="C87" s="9" t="s">
        <v>84</v>
      </c>
      <c r="D87" s="7" t="s">
        <v>220</v>
      </c>
      <c r="E87" s="9" t="s">
        <v>222</v>
      </c>
      <c r="F87" s="9">
        <v>31.0</v>
      </c>
      <c r="G87" s="13">
        <v>91.0</v>
      </c>
      <c r="H87" s="13">
        <v>9.07</v>
      </c>
      <c r="I87" s="15"/>
      <c r="J87" s="15"/>
      <c r="K87" s="15"/>
      <c r="L87" s="15"/>
      <c r="M87" s="15"/>
      <c r="N87" s="21">
        <v>0.91</v>
      </c>
      <c r="O87" s="9" t="s">
        <v>101</v>
      </c>
      <c r="P87" s="9" t="s">
        <v>101</v>
      </c>
      <c r="Q87" s="9" t="s">
        <v>101</v>
      </c>
      <c r="R87" s="9" t="s">
        <v>101</v>
      </c>
      <c r="S87" s="9" t="s">
        <v>101</v>
      </c>
      <c r="T87" s="9" t="s">
        <v>101</v>
      </c>
      <c r="U87" s="9" t="s">
        <v>101</v>
      </c>
      <c r="V87" s="15">
        <v>1.629</v>
      </c>
      <c r="W87" s="15"/>
      <c r="X87" s="15"/>
      <c r="Y87" s="15">
        <v>2.654</v>
      </c>
      <c r="Z87" s="15"/>
      <c r="AA87" s="15"/>
      <c r="AB87" s="15"/>
      <c r="AC87" s="15"/>
      <c r="AD87" s="15"/>
      <c r="AE87" s="19"/>
      <c r="AF87" s="19"/>
      <c r="AG87" s="7" t="s">
        <v>109</v>
      </c>
      <c r="AH87" s="13">
        <f>iferror(VLOOKUP($B87,covariates!$B$3:$Z$1126,6,FALSE),"")</f>
        <v>25.2</v>
      </c>
      <c r="AI87" s="13">
        <f>iferror(VLOOKUP($B87,covariates!$B$3:$Z$1126,7,FALSE),"")</f>
        <v>5.48</v>
      </c>
      <c r="AJ87" s="9">
        <f>iferror(VLOOKUP($B87,covariates!$B$3:$Z$1126,14,FALSE),"")</f>
        <v>23</v>
      </c>
      <c r="AK87" s="9">
        <f>iferror(VLOOKUP($B87,covariates!$B$3:$Z$1126,16,FALSE),"")</f>
        <v>8</v>
      </c>
      <c r="AL87" s="9">
        <f>iferror(VLOOKUP($B87,covariates!$B$3:$Z$1126,18,FALSE),"")</f>
        <v>24</v>
      </c>
      <c r="AM87" s="9">
        <f>iferror(VLOOKUP($B87,covariates!$B$3:$Z$1126,19,FALSE),"")</f>
        <v>2</v>
      </c>
    </row>
    <row r="88">
      <c r="A88" s="15">
        <v>36.0</v>
      </c>
      <c r="B88" s="17" t="str">
        <f t="shared" ref="B88:B89" si="47">HYPERLINK("https://github.com/d-wkim/phd/blob/main/data/pdf/horstmann_2022.pdf","Horstmann et al., 2022")</f>
        <v>Horstmann et al., 2022</v>
      </c>
      <c r="C88" s="9" t="s">
        <v>84</v>
      </c>
      <c r="D88" s="7" t="s">
        <v>220</v>
      </c>
      <c r="E88" s="9" t="s">
        <v>222</v>
      </c>
      <c r="F88" s="57">
        <v>26.0</v>
      </c>
      <c r="G88" s="13">
        <v>83.7</v>
      </c>
      <c r="H88" s="13">
        <v>12.7</v>
      </c>
      <c r="I88" s="15"/>
      <c r="J88" s="15"/>
      <c r="K88" s="15"/>
      <c r="L88" s="15"/>
      <c r="M88" s="15"/>
      <c r="N88" s="21">
        <v>0.8370000000000001</v>
      </c>
      <c r="O88" s="9" t="s">
        <v>101</v>
      </c>
      <c r="P88" s="9" t="s">
        <v>101</v>
      </c>
      <c r="Q88" s="9" t="s">
        <v>101</v>
      </c>
      <c r="R88" s="9" t="s">
        <v>101</v>
      </c>
      <c r="S88" s="9" t="s">
        <v>101</v>
      </c>
      <c r="T88" s="9" t="s">
        <v>101</v>
      </c>
      <c r="U88" s="9" t="s">
        <v>101</v>
      </c>
      <c r="V88" s="15">
        <v>2.491</v>
      </c>
      <c r="W88" s="15"/>
      <c r="X88" s="15"/>
      <c r="Y88" s="15">
        <v>6.205</v>
      </c>
      <c r="Z88" s="15"/>
      <c r="AA88" s="15"/>
      <c r="AB88" s="15"/>
      <c r="AC88" s="15"/>
      <c r="AD88" s="15"/>
      <c r="AE88" s="19"/>
      <c r="AF88" s="19"/>
      <c r="AG88" s="7" t="s">
        <v>109</v>
      </c>
      <c r="AH88" s="13">
        <f>iferror(VLOOKUP($B88,covariates!$B$3:$Z$1126,6,FALSE),"")</f>
        <v>32.7</v>
      </c>
      <c r="AI88" s="13">
        <f>iferror(VLOOKUP($B88,covariates!$B$3:$Z$1126,7,FALSE),"")</f>
        <v>11.4</v>
      </c>
      <c r="AJ88" s="9">
        <f>iferror(VLOOKUP($B88,covariates!$B$3:$Z$1126,14,FALSE),"")</f>
        <v>12</v>
      </c>
      <c r="AK88" s="9">
        <f>iferror(VLOOKUP($B88,covariates!$B$3:$Z$1126,16,FALSE),"")</f>
        <v>15</v>
      </c>
      <c r="AL88" s="9">
        <f>iferror(VLOOKUP($B88,covariates!$B$3:$Z$1126,18,FALSE),"")</f>
        <v>24</v>
      </c>
      <c r="AM88" s="9">
        <f>iferror(VLOOKUP($B88,covariates!$B$3:$Z$1126,19,FALSE),"")</f>
        <v>2</v>
      </c>
    </row>
    <row r="89">
      <c r="A89" s="15">
        <v>36.0</v>
      </c>
      <c r="B89" s="17" t="str">
        <f t="shared" si="47"/>
        <v>Horstmann et al., 2022</v>
      </c>
      <c r="C89" s="9" t="s">
        <v>200</v>
      </c>
      <c r="D89" s="7" t="s">
        <v>220</v>
      </c>
      <c r="E89" s="9" t="s">
        <v>222</v>
      </c>
      <c r="F89" s="9">
        <v>23.0</v>
      </c>
      <c r="G89" s="13">
        <v>89.3</v>
      </c>
      <c r="H89" s="13">
        <v>12.2</v>
      </c>
      <c r="I89" s="15"/>
      <c r="J89" s="15"/>
      <c r="K89" s="15"/>
      <c r="L89" s="15"/>
      <c r="M89" s="15"/>
      <c r="N89" s="21">
        <v>0.893</v>
      </c>
      <c r="O89" s="9" t="s">
        <v>101</v>
      </c>
      <c r="P89" s="9" t="s">
        <v>101</v>
      </c>
      <c r="Q89" s="9" t="s">
        <v>101</v>
      </c>
      <c r="R89" s="9" t="s">
        <v>101</v>
      </c>
      <c r="S89" s="9" t="s">
        <v>101</v>
      </c>
      <c r="T89" s="9" t="s">
        <v>101</v>
      </c>
      <c r="U89" s="9" t="s">
        <v>101</v>
      </c>
      <c r="V89" s="15">
        <v>2.544</v>
      </c>
      <c r="W89" s="15"/>
      <c r="X89" s="15"/>
      <c r="Y89" s="15">
        <v>6.472</v>
      </c>
      <c r="Z89" s="19"/>
      <c r="AA89" s="19"/>
      <c r="AB89" s="19"/>
      <c r="AC89" s="19"/>
      <c r="AD89" s="19"/>
      <c r="AE89" s="19"/>
      <c r="AF89" s="19"/>
      <c r="AG89" s="7" t="s">
        <v>109</v>
      </c>
      <c r="AH89" s="13">
        <f>iferror(VLOOKUP($B89,covariates!$B$3:$Z$1126,6,FALSE),"")</f>
        <v>32.7</v>
      </c>
      <c r="AI89" s="13">
        <f>iferror(VLOOKUP($B89,covariates!$B$3:$Z$1126,7,FALSE),"")</f>
        <v>11.4</v>
      </c>
      <c r="AJ89" s="9">
        <f>iferror(VLOOKUP($B89,covariates!$B$3:$Z$1126,14,FALSE),"")</f>
        <v>12</v>
      </c>
      <c r="AK89" s="9">
        <f>iferror(VLOOKUP($B89,covariates!$B$3:$Z$1126,16,FALSE),"")</f>
        <v>15</v>
      </c>
      <c r="AL89" s="9">
        <f>iferror(VLOOKUP($B89,covariates!$B$3:$Z$1126,18,FALSE),"")</f>
        <v>24</v>
      </c>
      <c r="AM89" s="9">
        <f>iferror(VLOOKUP($B89,covariates!$B$3:$Z$1126,19,FALSE),"")</f>
        <v>2</v>
      </c>
    </row>
    <row r="90">
      <c r="A90" s="15">
        <v>38.0</v>
      </c>
      <c r="B90" s="17" t="str">
        <f t="shared" ref="B90:B91" si="48">HYPERLINK("https://github.com/d-wkim/phd/blob/main/data/pdf/iliopoulos_2017.pdf","Iliopoulos et al., 2017")</f>
        <v>Iliopoulos et al., 2017</v>
      </c>
      <c r="C90" s="9" t="s">
        <v>42</v>
      </c>
      <c r="D90" s="7" t="s">
        <v>220</v>
      </c>
      <c r="E90" s="9" t="s">
        <v>222</v>
      </c>
      <c r="F90" s="9">
        <v>45.0</v>
      </c>
      <c r="G90" s="13">
        <v>83.2</v>
      </c>
      <c r="H90" s="13">
        <v>2.8</v>
      </c>
      <c r="I90" s="15"/>
      <c r="J90" s="15"/>
      <c r="K90" s="15"/>
      <c r="L90" s="15"/>
      <c r="M90" s="15"/>
      <c r="N90" s="21">
        <v>0.8320000000000001</v>
      </c>
      <c r="O90" s="9" t="s">
        <v>101</v>
      </c>
      <c r="P90" s="9" t="s">
        <v>101</v>
      </c>
      <c r="Q90" s="9" t="s">
        <v>101</v>
      </c>
      <c r="R90" s="9" t="s">
        <v>101</v>
      </c>
      <c r="S90" s="9" t="s">
        <v>101</v>
      </c>
      <c r="T90" s="9" t="s">
        <v>101</v>
      </c>
      <c r="U90" s="9" t="s">
        <v>101</v>
      </c>
      <c r="V90" s="15">
        <v>0.417</v>
      </c>
      <c r="W90" s="15"/>
      <c r="X90" s="15"/>
      <c r="Y90" s="15">
        <v>0.174</v>
      </c>
      <c r="Z90" s="15"/>
      <c r="AA90" s="15"/>
      <c r="AB90" s="15"/>
      <c r="AC90" s="15"/>
      <c r="AD90" s="15"/>
      <c r="AE90" s="19"/>
      <c r="AF90" s="19"/>
      <c r="AG90" s="7" t="s">
        <v>109</v>
      </c>
      <c r="AH90" s="13">
        <f>iferror(VLOOKUP($B90,covariates!$B$3:$Z$1126,6,FALSE),"")</f>
        <v>24.8</v>
      </c>
      <c r="AI90" s="13">
        <f>iferror(VLOOKUP($B90,covariates!$B$3:$Z$1126,7,FALSE),"")</f>
        <v>5</v>
      </c>
      <c r="AJ90" s="9">
        <f>iferror(VLOOKUP($B90,covariates!$B$3:$Z$1126,14,FALSE),"")</f>
        <v>10</v>
      </c>
      <c r="AK90" s="9">
        <f>iferror(VLOOKUP($B90,covariates!$B$3:$Z$1126,16,FALSE),"")</f>
        <v>0</v>
      </c>
      <c r="AL90" s="9">
        <f>iferror(VLOOKUP($B90,covariates!$B$3:$Z$1126,18,FALSE),"")</f>
        <v>9</v>
      </c>
      <c r="AM90" s="9">
        <f>iferror(VLOOKUP($B90,covariates!$B$3:$Z$1126,19,FALSE),"")</f>
        <v>0.8</v>
      </c>
    </row>
    <row r="91">
      <c r="A91" s="15">
        <v>38.0</v>
      </c>
      <c r="B91" s="17" t="str">
        <f t="shared" si="48"/>
        <v>Iliopoulos et al., 2017</v>
      </c>
      <c r="C91" s="9" t="s">
        <v>84</v>
      </c>
      <c r="D91" s="7" t="s">
        <v>220</v>
      </c>
      <c r="E91" s="9" t="s">
        <v>222</v>
      </c>
      <c r="F91" s="9">
        <v>45.0</v>
      </c>
      <c r="G91" s="13">
        <v>82.78</v>
      </c>
      <c r="H91" s="13">
        <v>2.8</v>
      </c>
      <c r="I91" s="15"/>
      <c r="J91" s="15"/>
      <c r="K91" s="15"/>
      <c r="L91" s="15"/>
      <c r="M91" s="15"/>
      <c r="N91" s="21">
        <v>0.8278</v>
      </c>
      <c r="O91" s="9" t="s">
        <v>101</v>
      </c>
      <c r="P91" s="9" t="s">
        <v>101</v>
      </c>
      <c r="Q91" s="9" t="s">
        <v>101</v>
      </c>
      <c r="R91" s="9" t="s">
        <v>101</v>
      </c>
      <c r="S91" s="9" t="s">
        <v>101</v>
      </c>
      <c r="T91" s="9" t="s">
        <v>101</v>
      </c>
      <c r="U91" s="9" t="s">
        <v>101</v>
      </c>
      <c r="V91" s="15">
        <v>0.417</v>
      </c>
      <c r="W91" s="15"/>
      <c r="X91" s="15"/>
      <c r="Y91" s="15">
        <v>0.174</v>
      </c>
      <c r="Z91" s="15"/>
      <c r="AA91" s="15"/>
      <c r="AB91" s="15"/>
      <c r="AC91" s="15"/>
      <c r="AD91" s="15"/>
      <c r="AE91" s="19"/>
      <c r="AF91" s="19"/>
      <c r="AG91" s="7" t="s">
        <v>109</v>
      </c>
      <c r="AH91" s="13">
        <f>iferror(VLOOKUP($B91,covariates!$B$3:$Z$1126,6,FALSE),"")</f>
        <v>24.8</v>
      </c>
      <c r="AI91" s="13">
        <f>iferror(VLOOKUP($B91,covariates!$B$3:$Z$1126,7,FALSE),"")</f>
        <v>5</v>
      </c>
      <c r="AJ91" s="9">
        <f>iferror(VLOOKUP($B91,covariates!$B$3:$Z$1126,14,FALSE),"")</f>
        <v>10</v>
      </c>
      <c r="AK91" s="9">
        <f>iferror(VLOOKUP($B91,covariates!$B$3:$Z$1126,16,FALSE),"")</f>
        <v>0</v>
      </c>
      <c r="AL91" s="9">
        <f>iferror(VLOOKUP($B91,covariates!$B$3:$Z$1126,18,FALSE),"")</f>
        <v>9</v>
      </c>
      <c r="AM91" s="9">
        <f>iferror(VLOOKUP($B91,covariates!$B$3:$Z$1126,19,FALSE),"")</f>
        <v>0.8</v>
      </c>
    </row>
    <row r="92">
      <c r="A92" s="15">
        <v>44.0</v>
      </c>
      <c r="B92" s="17" t="str">
        <f t="shared" ref="B92:B93" si="49">HYPERLINK("https://github.com/d-wkim/phd/blob/main/data/pdf/komzak_2022.pdf","Komzak et al., 2022")</f>
        <v>Komzak et al., 2022</v>
      </c>
      <c r="C92" s="9" t="s">
        <v>42</v>
      </c>
      <c r="D92" s="7" t="s">
        <v>220</v>
      </c>
      <c r="E92" s="9" t="s">
        <v>222</v>
      </c>
      <c r="F92" s="9">
        <v>36.0</v>
      </c>
      <c r="G92" s="13">
        <v>74.2</v>
      </c>
      <c r="H92" s="13">
        <v>10.2</v>
      </c>
      <c r="I92" s="15"/>
      <c r="J92" s="15"/>
      <c r="K92" s="15"/>
      <c r="L92" s="15"/>
      <c r="M92" s="15"/>
      <c r="N92" s="21">
        <v>0.742</v>
      </c>
      <c r="O92" s="9" t="s">
        <v>101</v>
      </c>
      <c r="P92" s="9" t="s">
        <v>101</v>
      </c>
      <c r="Q92" s="9" t="s">
        <v>101</v>
      </c>
      <c r="R92" s="9" t="s">
        <v>101</v>
      </c>
      <c r="S92" s="9" t="s">
        <v>101</v>
      </c>
      <c r="T92" s="9" t="s">
        <v>101</v>
      </c>
      <c r="U92" s="9" t="s">
        <v>101</v>
      </c>
      <c r="V92" s="15">
        <v>1.7</v>
      </c>
      <c r="W92" s="15"/>
      <c r="X92" s="15"/>
      <c r="Y92" s="15">
        <v>2.89</v>
      </c>
      <c r="Z92" s="15"/>
      <c r="AA92" s="15"/>
      <c r="AB92" s="15"/>
      <c r="AC92" s="15"/>
      <c r="AD92" s="15"/>
      <c r="AE92" s="19"/>
      <c r="AF92" s="19"/>
      <c r="AG92" s="7" t="s">
        <v>109</v>
      </c>
      <c r="AH92" s="13">
        <f>iferror(VLOOKUP($B92,covariates!$B$3:$Z$1126,6,FALSE),"")</f>
        <v>31</v>
      </c>
      <c r="AI92" s="13">
        <f>iferror(VLOOKUP($B92,covariates!$B$3:$Z$1126,7,FALSE),"")</f>
        <v>9.459</v>
      </c>
      <c r="AJ92" s="9">
        <f>iferror(VLOOKUP($B92,covariates!$B$3:$Z$1126,14,FALSE),"")</f>
        <v>23</v>
      </c>
      <c r="AK92" s="9">
        <f>iferror(VLOOKUP($B92,covariates!$B$3:$Z$1126,16,FALSE),"")</f>
        <v>17</v>
      </c>
      <c r="AL92" s="9">
        <f>iferror(VLOOKUP($B92,covariates!$B$3:$Z$1126,18,FALSE),"")</f>
        <v>28</v>
      </c>
      <c r="AM92" s="9">
        <f>iferror(VLOOKUP($B92,covariates!$B$3:$Z$1126,19,FALSE),"")</f>
        <v>2.3</v>
      </c>
    </row>
    <row r="93">
      <c r="A93" s="15">
        <v>44.0</v>
      </c>
      <c r="B93" s="17" t="str">
        <f t="shared" si="49"/>
        <v>Komzak et al., 2022</v>
      </c>
      <c r="C93" s="9" t="s">
        <v>200</v>
      </c>
      <c r="D93" s="7" t="s">
        <v>220</v>
      </c>
      <c r="E93" s="9" t="s">
        <v>222</v>
      </c>
      <c r="F93" s="9">
        <v>36.0</v>
      </c>
      <c r="G93" s="13">
        <v>78.3</v>
      </c>
      <c r="H93" s="13">
        <v>10.5</v>
      </c>
      <c r="I93" s="15"/>
      <c r="J93" s="15"/>
      <c r="K93" s="15"/>
      <c r="L93" s="15"/>
      <c r="M93" s="15"/>
      <c r="N93" s="21">
        <v>0.7829999999999999</v>
      </c>
      <c r="O93" s="9" t="s">
        <v>101</v>
      </c>
      <c r="P93" s="9" t="s">
        <v>101</v>
      </c>
      <c r="Q93" s="9" t="s">
        <v>101</v>
      </c>
      <c r="R93" s="9" t="s">
        <v>101</v>
      </c>
      <c r="S93" s="9" t="s">
        <v>101</v>
      </c>
      <c r="T93" s="9" t="s">
        <v>101</v>
      </c>
      <c r="U93" s="9" t="s">
        <v>101</v>
      </c>
      <c r="V93" s="15">
        <v>1.75</v>
      </c>
      <c r="W93" s="15"/>
      <c r="X93" s="15"/>
      <c r="Y93" s="15">
        <v>3.063</v>
      </c>
      <c r="Z93" s="19"/>
      <c r="AA93" s="19"/>
      <c r="AB93" s="19"/>
      <c r="AC93" s="19"/>
      <c r="AD93" s="19"/>
      <c r="AE93" s="19"/>
      <c r="AF93" s="19"/>
      <c r="AG93" s="7" t="s">
        <v>109</v>
      </c>
      <c r="AH93" s="13">
        <f>iferror(VLOOKUP($B93,covariates!$B$3:$Z$1126,6,FALSE),"")</f>
        <v>31</v>
      </c>
      <c r="AI93" s="13">
        <f>iferror(VLOOKUP($B93,covariates!$B$3:$Z$1126,7,FALSE),"")</f>
        <v>9.459</v>
      </c>
      <c r="AJ93" s="9">
        <f>iferror(VLOOKUP($B93,covariates!$B$3:$Z$1126,14,FALSE),"")</f>
        <v>23</v>
      </c>
      <c r="AK93" s="9">
        <f>iferror(VLOOKUP($B93,covariates!$B$3:$Z$1126,16,FALSE),"")</f>
        <v>17</v>
      </c>
      <c r="AL93" s="9">
        <f>iferror(VLOOKUP($B93,covariates!$B$3:$Z$1126,18,FALSE),"")</f>
        <v>28</v>
      </c>
      <c r="AM93" s="9">
        <f>iferror(VLOOKUP($B93,covariates!$B$3:$Z$1126,19,FALSE),"")</f>
        <v>2.3</v>
      </c>
    </row>
    <row r="94">
      <c r="A94" s="15">
        <v>51.0</v>
      </c>
      <c r="B94" s="17" t="str">
        <f t="shared" ref="B94:B95" si="50">HYPERLINK("https://github.com/d-wkim/phd/blob/main/data/pdf/li_2015.pdf","Li et al., 2015")</f>
        <v>Li et al., 2015</v>
      </c>
      <c r="C94" s="9" t="s">
        <v>84</v>
      </c>
      <c r="D94" s="7" t="s">
        <v>220</v>
      </c>
      <c r="E94" s="9" t="s">
        <v>222</v>
      </c>
      <c r="F94" s="9">
        <v>32.0</v>
      </c>
      <c r="G94" s="13">
        <v>87.5</v>
      </c>
      <c r="H94" s="13">
        <v>3.2</v>
      </c>
      <c r="I94" s="15"/>
      <c r="J94" s="15"/>
      <c r="K94" s="15"/>
      <c r="L94" s="15"/>
      <c r="M94" s="15"/>
      <c r="N94" s="21">
        <v>0.875</v>
      </c>
      <c r="O94" s="9" t="s">
        <v>101</v>
      </c>
      <c r="P94" s="9" t="s">
        <v>101</v>
      </c>
      <c r="Q94" s="9" t="s">
        <v>101</v>
      </c>
      <c r="R94" s="9" t="s">
        <v>101</v>
      </c>
      <c r="S94" s="9" t="s">
        <v>101</v>
      </c>
      <c r="T94" s="9" t="s">
        <v>101</v>
      </c>
      <c r="U94" s="9" t="s">
        <v>101</v>
      </c>
      <c r="V94" s="15">
        <v>0.566</v>
      </c>
      <c r="W94" s="15"/>
      <c r="X94" s="15"/>
      <c r="Y94" s="15">
        <v>0.32</v>
      </c>
      <c r="Z94" s="15"/>
      <c r="AA94" s="15"/>
      <c r="AB94" s="15"/>
      <c r="AC94" s="15"/>
      <c r="AD94" s="15"/>
      <c r="AE94" s="19"/>
      <c r="AF94" s="19"/>
      <c r="AG94" s="7" t="s">
        <v>109</v>
      </c>
      <c r="AH94" s="13">
        <f>iferror(VLOOKUP($B94,covariates!$B$3:$Z$1126,6,FALSE),"")</f>
        <v>29.8</v>
      </c>
      <c r="AI94" s="13">
        <f>iferror(VLOOKUP($B94,covariates!$B$3:$Z$1126,7,FALSE),"")</f>
        <v>7.9</v>
      </c>
      <c r="AJ94" s="9">
        <f>iferror(VLOOKUP($B94,covariates!$B$3:$Z$1126,14,FALSE),"")</f>
        <v>17</v>
      </c>
      <c r="AK94" s="9">
        <f>iferror(VLOOKUP($B94,covariates!$B$3:$Z$1126,16,FALSE),"")</f>
        <v>15</v>
      </c>
      <c r="AL94" s="9">
        <f>iferror(VLOOKUP($B94,covariates!$B$3:$Z$1126,18,FALSE),"")</f>
        <v>69.6</v>
      </c>
      <c r="AM94" s="9">
        <f>iferror(VLOOKUP($B94,covariates!$B$3:$Z$1126,19,FALSE),"")</f>
        <v>5.8</v>
      </c>
    </row>
    <row r="95">
      <c r="A95" s="15">
        <v>51.0</v>
      </c>
      <c r="B95" s="17" t="str">
        <f t="shared" si="50"/>
        <v>Li et al., 2015</v>
      </c>
      <c r="C95" s="9" t="s">
        <v>205</v>
      </c>
      <c r="D95" s="7" t="s">
        <v>220</v>
      </c>
      <c r="E95" s="9" t="s">
        <v>222</v>
      </c>
      <c r="F95" s="9">
        <v>32.0</v>
      </c>
      <c r="G95" s="13">
        <v>83.8</v>
      </c>
      <c r="H95" s="13">
        <v>6.9</v>
      </c>
      <c r="I95" s="15"/>
      <c r="J95" s="15"/>
      <c r="K95" s="15"/>
      <c r="L95" s="15"/>
      <c r="M95" s="15"/>
      <c r="N95" s="21">
        <v>0.838</v>
      </c>
      <c r="O95" s="9" t="s">
        <v>101</v>
      </c>
      <c r="P95" s="9" t="s">
        <v>101</v>
      </c>
      <c r="Q95" s="9" t="s">
        <v>101</v>
      </c>
      <c r="R95" s="9" t="s">
        <v>101</v>
      </c>
      <c r="S95" s="9" t="s">
        <v>101</v>
      </c>
      <c r="T95" s="9" t="s">
        <v>101</v>
      </c>
      <c r="U95" s="9" t="s">
        <v>101</v>
      </c>
      <c r="V95" s="15">
        <v>1.22</v>
      </c>
      <c r="W95" s="15"/>
      <c r="X95" s="15"/>
      <c r="Y95" s="15">
        <v>1.488</v>
      </c>
      <c r="Z95" s="19"/>
      <c r="AA95" s="19"/>
      <c r="AB95" s="19"/>
      <c r="AC95" s="19"/>
      <c r="AD95" s="19"/>
      <c r="AE95" s="19"/>
      <c r="AF95" s="19"/>
      <c r="AG95" s="7" t="s">
        <v>109</v>
      </c>
      <c r="AH95" s="13">
        <f>iferror(VLOOKUP($B95,covariates!$B$3:$Z$1126,6,FALSE),"")</f>
        <v>29.8</v>
      </c>
      <c r="AI95" s="13">
        <f>iferror(VLOOKUP($B95,covariates!$B$3:$Z$1126,7,FALSE),"")</f>
        <v>7.9</v>
      </c>
      <c r="AJ95" s="9">
        <f>iferror(VLOOKUP($B95,covariates!$B$3:$Z$1126,14,FALSE),"")</f>
        <v>17</v>
      </c>
      <c r="AK95" s="9">
        <f>iferror(VLOOKUP($B95,covariates!$B$3:$Z$1126,16,FALSE),"")</f>
        <v>15</v>
      </c>
      <c r="AL95" s="9">
        <f>iferror(VLOOKUP($B95,covariates!$B$3:$Z$1126,18,FALSE),"")</f>
        <v>69.6</v>
      </c>
      <c r="AM95" s="9">
        <f>iferror(VLOOKUP($B95,covariates!$B$3:$Z$1126,19,FALSE),"")</f>
        <v>5.8</v>
      </c>
    </row>
    <row r="96">
      <c r="A96" s="15">
        <v>53.0</v>
      </c>
      <c r="B96" s="17" t="str">
        <f t="shared" ref="B96:B97" si="51">HYPERLINK("https://github.com/d-wkim/phd/blob/main/data/pdf/lind_2020.pdf","Lind et al., 2020")</f>
        <v>Lind et al., 2020</v>
      </c>
      <c r="C96" s="9" t="s">
        <v>84</v>
      </c>
      <c r="D96" s="7" t="s">
        <v>220</v>
      </c>
      <c r="E96" s="9" t="s">
        <v>222</v>
      </c>
      <c r="F96" s="9">
        <v>49.0</v>
      </c>
      <c r="G96" s="13">
        <v>78.0</v>
      </c>
      <c r="H96" s="13">
        <v>18.0</v>
      </c>
      <c r="I96" s="15"/>
      <c r="J96" s="15"/>
      <c r="K96" s="15"/>
      <c r="L96" s="15"/>
      <c r="M96" s="15"/>
      <c r="N96" s="21">
        <v>0.78</v>
      </c>
      <c r="O96" s="9" t="s">
        <v>101</v>
      </c>
      <c r="P96" s="9" t="s">
        <v>101</v>
      </c>
      <c r="Q96" s="9" t="s">
        <v>101</v>
      </c>
      <c r="R96" s="9" t="s">
        <v>101</v>
      </c>
      <c r="S96" s="9" t="s">
        <v>101</v>
      </c>
      <c r="T96" s="9" t="s">
        <v>101</v>
      </c>
      <c r="U96" s="9" t="s">
        <v>101</v>
      </c>
      <c r="V96" s="15">
        <v>2.571</v>
      </c>
      <c r="W96" s="15"/>
      <c r="X96" s="15"/>
      <c r="Y96" s="15">
        <v>6.61</v>
      </c>
      <c r="Z96" s="15"/>
      <c r="AA96" s="15"/>
      <c r="AB96" s="15"/>
      <c r="AC96" s="15"/>
      <c r="AD96" s="15"/>
      <c r="AE96" s="19"/>
      <c r="AF96" s="19"/>
      <c r="AG96" s="7" t="s">
        <v>109</v>
      </c>
      <c r="AH96" s="13">
        <f>iferror(VLOOKUP($B96,covariates!$B$3:$Z$1126,6,FALSE),"")</f>
        <v>27.1</v>
      </c>
      <c r="AI96" s="13">
        <f>iferror(VLOOKUP($B96,covariates!$B$3:$Z$1126,7,FALSE),"")</f>
        <v>6.1</v>
      </c>
      <c r="AJ96" s="9">
        <f>iferror(VLOOKUP($B96,covariates!$B$3:$Z$1126,14,FALSE),"")</f>
        <v>25</v>
      </c>
      <c r="AK96" s="9">
        <f>iferror(VLOOKUP($B96,covariates!$B$3:$Z$1126,16,FALSE),"")</f>
        <v>24</v>
      </c>
      <c r="AL96" s="9">
        <f>iferror(VLOOKUP($B96,covariates!$B$3:$Z$1126,18,FALSE),"")</f>
        <v>24</v>
      </c>
      <c r="AM96" s="9">
        <f>iferror(VLOOKUP($B96,covariates!$B$3:$Z$1126,19,FALSE),"")</f>
        <v>2</v>
      </c>
    </row>
    <row r="97">
      <c r="A97" s="15">
        <v>53.0</v>
      </c>
      <c r="B97" s="17" t="str">
        <f t="shared" si="51"/>
        <v>Lind et al., 2020</v>
      </c>
      <c r="C97" s="9" t="s">
        <v>200</v>
      </c>
      <c r="D97" s="7" t="s">
        <v>220</v>
      </c>
      <c r="E97" s="9" t="s">
        <v>222</v>
      </c>
      <c r="F97" s="9">
        <v>47.0</v>
      </c>
      <c r="G97" s="13">
        <v>82.0</v>
      </c>
      <c r="H97" s="13">
        <v>14.0</v>
      </c>
      <c r="I97" s="15"/>
      <c r="J97" s="15"/>
      <c r="K97" s="15"/>
      <c r="L97" s="15"/>
      <c r="M97" s="15"/>
      <c r="N97" s="21">
        <v>0.82</v>
      </c>
      <c r="O97" s="9" t="s">
        <v>101</v>
      </c>
      <c r="P97" s="9" t="s">
        <v>101</v>
      </c>
      <c r="Q97" s="9" t="s">
        <v>101</v>
      </c>
      <c r="R97" s="9" t="s">
        <v>101</v>
      </c>
      <c r="S97" s="9" t="s">
        <v>101</v>
      </c>
      <c r="T97" s="9" t="s">
        <v>101</v>
      </c>
      <c r="U97" s="9" t="s">
        <v>101</v>
      </c>
      <c r="V97" s="15">
        <v>2.042</v>
      </c>
      <c r="W97" s="15"/>
      <c r="X97" s="15"/>
      <c r="Y97" s="15">
        <v>4.17</v>
      </c>
      <c r="Z97" s="19"/>
      <c r="AA97" s="19"/>
      <c r="AB97" s="19"/>
      <c r="AC97" s="19"/>
      <c r="AD97" s="19"/>
      <c r="AE97" s="19"/>
      <c r="AF97" s="19"/>
      <c r="AG97" s="7" t="s">
        <v>109</v>
      </c>
      <c r="AH97" s="13">
        <f>iferror(VLOOKUP($B97,covariates!$B$3:$Z$1126,6,FALSE),"")</f>
        <v>27.1</v>
      </c>
      <c r="AI97" s="13">
        <f>iferror(VLOOKUP($B97,covariates!$B$3:$Z$1126,7,FALSE),"")</f>
        <v>6.1</v>
      </c>
      <c r="AJ97" s="9">
        <f>iferror(VLOOKUP($B97,covariates!$B$3:$Z$1126,14,FALSE),"")</f>
        <v>25</v>
      </c>
      <c r="AK97" s="9">
        <f>iferror(VLOOKUP($B97,covariates!$B$3:$Z$1126,16,FALSE),"")</f>
        <v>24</v>
      </c>
      <c r="AL97" s="9">
        <f>iferror(VLOOKUP($B97,covariates!$B$3:$Z$1126,18,FALSE),"")</f>
        <v>24</v>
      </c>
      <c r="AM97" s="9">
        <f>iferror(VLOOKUP($B97,covariates!$B$3:$Z$1126,19,FALSE),"")</f>
        <v>2</v>
      </c>
    </row>
    <row r="98">
      <c r="A98" s="15">
        <v>54.0</v>
      </c>
      <c r="B98" s="17" t="str">
        <f t="shared" ref="B98:B99" si="52">HYPERLINK("https://github.com/d-wkim/phd/blob/main/data/pdf/lucidi_2025.pdf","Lucidi et al., 2025")</f>
        <v>Lucidi et al., 2025</v>
      </c>
      <c r="C98" s="9" t="s">
        <v>42</v>
      </c>
      <c r="D98" s="7" t="s">
        <v>220</v>
      </c>
      <c r="E98" s="9" t="s">
        <v>222</v>
      </c>
      <c r="F98" s="9">
        <v>19.0</v>
      </c>
      <c r="G98" s="13">
        <v>78.4</v>
      </c>
      <c r="H98" s="13">
        <v>13.7</v>
      </c>
      <c r="I98" s="15"/>
      <c r="J98" s="15"/>
      <c r="K98" s="15"/>
      <c r="L98" s="15"/>
      <c r="M98" s="15"/>
      <c r="N98" s="21">
        <v>0.784</v>
      </c>
      <c r="O98" s="9" t="s">
        <v>101</v>
      </c>
      <c r="P98" s="9" t="s">
        <v>101</v>
      </c>
      <c r="Q98" s="9" t="s">
        <v>101</v>
      </c>
      <c r="R98" s="9" t="s">
        <v>101</v>
      </c>
      <c r="S98" s="9" t="s">
        <v>101</v>
      </c>
      <c r="T98" s="9" t="s">
        <v>101</v>
      </c>
      <c r="U98" s="9" t="s">
        <v>101</v>
      </c>
      <c r="V98" s="15">
        <v>3.143</v>
      </c>
      <c r="W98" s="15"/>
      <c r="X98" s="15"/>
      <c r="Y98" s="15">
        <v>9.878</v>
      </c>
      <c r="Z98" s="15"/>
      <c r="AA98" s="15"/>
      <c r="AB98" s="15"/>
      <c r="AC98" s="15"/>
      <c r="AD98" s="15"/>
      <c r="AE98" s="19"/>
      <c r="AF98" s="19"/>
      <c r="AG98" s="7" t="s">
        <v>109</v>
      </c>
      <c r="AH98" s="13">
        <f>iferror(VLOOKUP($B98,covariates!$B$3:$Z$1126,6,FALSE),"")</f>
        <v>52.8</v>
      </c>
      <c r="AI98" s="13">
        <f>iferror(VLOOKUP($B98,covariates!$B$3:$Z$1126,7,FALSE),"")</f>
        <v>7.3</v>
      </c>
      <c r="AJ98" s="9" t="str">
        <f>iferror(VLOOKUP($B98,covariates!$B$3:$Z$1126,14,FALSE),"")</f>
        <v/>
      </c>
      <c r="AK98" s="9" t="str">
        <f>iferror(VLOOKUP($B98,covariates!$B$3:$Z$1126,16,FALSE),"")</f>
        <v/>
      </c>
      <c r="AL98" s="9">
        <f>iferror(VLOOKUP($B98,covariates!$B$3:$Z$1126,18,FALSE),"")</f>
        <v>240</v>
      </c>
      <c r="AM98" s="9">
        <f>iferror(VLOOKUP($B98,covariates!$B$3:$Z$1126,19,FALSE),"")</f>
        <v>20</v>
      </c>
    </row>
    <row r="99">
      <c r="A99" s="15">
        <v>54.0</v>
      </c>
      <c r="B99" s="17" t="str">
        <f t="shared" si="52"/>
        <v>Lucidi et al., 2025</v>
      </c>
      <c r="C99" s="9" t="s">
        <v>84</v>
      </c>
      <c r="D99" s="7" t="s">
        <v>220</v>
      </c>
      <c r="E99" s="9" t="s">
        <v>222</v>
      </c>
      <c r="F99" s="9">
        <v>20.0</v>
      </c>
      <c r="G99" s="13">
        <v>81.6</v>
      </c>
      <c r="H99" s="13">
        <v>11.9</v>
      </c>
      <c r="I99" s="15"/>
      <c r="J99" s="15"/>
      <c r="K99" s="15"/>
      <c r="L99" s="15"/>
      <c r="M99" s="15"/>
      <c r="N99" s="21">
        <v>0.816</v>
      </c>
      <c r="O99" s="9" t="s">
        <v>101</v>
      </c>
      <c r="P99" s="9" t="s">
        <v>101</v>
      </c>
      <c r="Q99" s="9" t="s">
        <v>101</v>
      </c>
      <c r="R99" s="9" t="s">
        <v>101</v>
      </c>
      <c r="S99" s="9" t="s">
        <v>101</v>
      </c>
      <c r="T99" s="9" t="s">
        <v>101</v>
      </c>
      <c r="U99" s="9" t="s">
        <v>101</v>
      </c>
      <c r="V99" s="15">
        <v>2.661</v>
      </c>
      <c r="W99" s="15"/>
      <c r="X99" s="15"/>
      <c r="Y99" s="15">
        <v>7.081</v>
      </c>
      <c r="Z99" s="15"/>
      <c r="AA99" s="15"/>
      <c r="AB99" s="15"/>
      <c r="AC99" s="15"/>
      <c r="AD99" s="15"/>
      <c r="AE99" s="19"/>
      <c r="AF99" s="19"/>
      <c r="AG99" s="7" t="s">
        <v>109</v>
      </c>
      <c r="AH99" s="13">
        <f>iferror(VLOOKUP($B99,covariates!$B$3:$Z$1126,6,FALSE),"")</f>
        <v>52.8</v>
      </c>
      <c r="AI99" s="13">
        <f>iferror(VLOOKUP($B99,covariates!$B$3:$Z$1126,7,FALSE),"")</f>
        <v>7.3</v>
      </c>
      <c r="AJ99" s="9" t="str">
        <f>iferror(VLOOKUP($B99,covariates!$B$3:$Z$1126,14,FALSE),"")</f>
        <v/>
      </c>
      <c r="AK99" s="9" t="str">
        <f>iferror(VLOOKUP($B99,covariates!$B$3:$Z$1126,16,FALSE),"")</f>
        <v/>
      </c>
      <c r="AL99" s="9">
        <f>iferror(VLOOKUP($B99,covariates!$B$3:$Z$1126,18,FALSE),"")</f>
        <v>240</v>
      </c>
      <c r="AM99" s="9">
        <f>iferror(VLOOKUP($B99,covariates!$B$3:$Z$1126,19,FALSE),"")</f>
        <v>20</v>
      </c>
    </row>
    <row r="100">
      <c r="A100" s="15">
        <v>55.0</v>
      </c>
      <c r="B100" s="17" t="str">
        <f t="shared" ref="B100:B101" si="53">HYPERLINK("https://github.com/d-wkim/phd/blob/main/data/pdf/lui_2012.pdf","Lui et al., 2012")</f>
        <v>Lui et al., 2012</v>
      </c>
      <c r="C100" s="9" t="s">
        <v>42</v>
      </c>
      <c r="D100" s="7" t="s">
        <v>220</v>
      </c>
      <c r="E100" s="9" t="s">
        <v>222</v>
      </c>
      <c r="F100" s="9">
        <v>14.0</v>
      </c>
      <c r="G100" s="13">
        <v>71.9</v>
      </c>
      <c r="H100" s="13">
        <v>15.2</v>
      </c>
      <c r="I100" s="15"/>
      <c r="J100" s="15"/>
      <c r="K100" s="15"/>
      <c r="L100" s="15"/>
      <c r="M100" s="15"/>
      <c r="N100" s="21">
        <v>0.7190000000000001</v>
      </c>
      <c r="O100" s="9" t="s">
        <v>101</v>
      </c>
      <c r="P100" s="9" t="s">
        <v>101</v>
      </c>
      <c r="Q100" s="9" t="s">
        <v>101</v>
      </c>
      <c r="R100" s="9" t="s">
        <v>101</v>
      </c>
      <c r="S100" s="9" t="s">
        <v>101</v>
      </c>
      <c r="T100" s="9" t="s">
        <v>101</v>
      </c>
      <c r="U100" s="9" t="s">
        <v>101</v>
      </c>
      <c r="V100" s="15">
        <v>4.062</v>
      </c>
      <c r="W100" s="15"/>
      <c r="X100" s="15"/>
      <c r="Y100" s="15">
        <v>16.5</v>
      </c>
      <c r="Z100" s="15"/>
      <c r="AA100" s="15"/>
      <c r="AB100" s="15"/>
      <c r="AC100" s="15"/>
      <c r="AD100" s="15"/>
      <c r="AE100" s="19"/>
      <c r="AF100" s="19"/>
      <c r="AG100" s="7" t="s">
        <v>109</v>
      </c>
      <c r="AH100" s="13">
        <f>iferror(VLOOKUP($B100,covariates!$B$3:$Z$1126,6,FALSE),"")</f>
        <v>26.5</v>
      </c>
      <c r="AI100" s="13">
        <f>iferror(VLOOKUP($B100,covariates!$B$3:$Z$1126,7,FALSE),"")</f>
        <v>5</v>
      </c>
      <c r="AJ100" s="9">
        <f>iferror(VLOOKUP($B100,covariates!$B$3:$Z$1126,14,FALSE),"")</f>
        <v>14</v>
      </c>
      <c r="AK100" s="9">
        <f>iferror(VLOOKUP($B100,covariates!$B$3:$Z$1126,16,FALSE),"")</f>
        <v>0</v>
      </c>
      <c r="AL100" s="9">
        <f>iferror(VLOOKUP($B100,covariates!$B$3:$Z$1126,18,FALSE),"")</f>
        <v>12</v>
      </c>
      <c r="AM100" s="9">
        <f>iferror(VLOOKUP($B100,covariates!$B$3:$Z$1126,19,FALSE),"")</f>
        <v>1</v>
      </c>
    </row>
    <row r="101">
      <c r="A101" s="15">
        <v>55.0</v>
      </c>
      <c r="B101" s="17" t="str">
        <f t="shared" si="53"/>
        <v>Lui et al., 2012</v>
      </c>
      <c r="C101" s="9" t="s">
        <v>84</v>
      </c>
      <c r="D101" s="7" t="s">
        <v>220</v>
      </c>
      <c r="E101" s="9" t="s">
        <v>222</v>
      </c>
      <c r="F101" s="9">
        <v>17.0</v>
      </c>
      <c r="G101" s="13">
        <v>73.1</v>
      </c>
      <c r="H101" s="13">
        <v>12.3</v>
      </c>
      <c r="I101" s="15"/>
      <c r="J101" s="15"/>
      <c r="K101" s="15"/>
      <c r="L101" s="15"/>
      <c r="M101" s="15"/>
      <c r="N101" s="21">
        <v>0.731</v>
      </c>
      <c r="O101" s="9" t="s">
        <v>101</v>
      </c>
      <c r="P101" s="9" t="s">
        <v>101</v>
      </c>
      <c r="Q101" s="9" t="s">
        <v>101</v>
      </c>
      <c r="R101" s="9" t="s">
        <v>101</v>
      </c>
      <c r="S101" s="9" t="s">
        <v>101</v>
      </c>
      <c r="T101" s="9" t="s">
        <v>101</v>
      </c>
      <c r="U101" s="9" t="s">
        <v>101</v>
      </c>
      <c r="V101" s="15">
        <v>2.983</v>
      </c>
      <c r="W101" s="15"/>
      <c r="X101" s="15"/>
      <c r="Y101" s="15">
        <v>8.898</v>
      </c>
      <c r="Z101" s="15"/>
      <c r="AA101" s="15"/>
      <c r="AB101" s="15"/>
      <c r="AC101" s="15"/>
      <c r="AD101" s="15"/>
      <c r="AE101" s="19"/>
      <c r="AF101" s="19"/>
      <c r="AG101" s="7" t="s">
        <v>109</v>
      </c>
      <c r="AH101" s="13">
        <f>iferror(VLOOKUP($B101,covariates!$B$3:$Z$1126,6,FALSE),"")</f>
        <v>26.5</v>
      </c>
      <c r="AI101" s="13">
        <f>iferror(VLOOKUP($B101,covariates!$B$3:$Z$1126,7,FALSE),"")</f>
        <v>5</v>
      </c>
      <c r="AJ101" s="9">
        <f>iferror(VLOOKUP($B101,covariates!$B$3:$Z$1126,14,FALSE),"")</f>
        <v>14</v>
      </c>
      <c r="AK101" s="9">
        <f>iferror(VLOOKUP($B101,covariates!$B$3:$Z$1126,16,FALSE),"")</f>
        <v>0</v>
      </c>
      <c r="AL101" s="9">
        <f>iferror(VLOOKUP($B101,covariates!$B$3:$Z$1126,18,FALSE),"")</f>
        <v>12</v>
      </c>
      <c r="AM101" s="9">
        <f>iferror(VLOOKUP($B101,covariates!$B$3:$Z$1126,19,FALSE),"")</f>
        <v>1</v>
      </c>
    </row>
    <row r="102">
      <c r="A102" s="15">
        <v>56.0</v>
      </c>
      <c r="B102" s="17" t="str">
        <f t="shared" ref="B102:B103" si="54">HYPERLINK("https://github.com/d-wkim/phd/blob/main/data/pdf/lund_2014.pdf","Lund et al., 2014")</f>
        <v>Lund et al., 2014</v>
      </c>
      <c r="C102" s="9" t="s">
        <v>42</v>
      </c>
      <c r="D102" s="7" t="s">
        <v>220</v>
      </c>
      <c r="E102" s="9" t="s">
        <v>222</v>
      </c>
      <c r="F102" s="9">
        <v>18.0</v>
      </c>
      <c r="G102" s="13">
        <v>75.0</v>
      </c>
      <c r="H102" s="13">
        <v>13.0</v>
      </c>
      <c r="I102" s="15"/>
      <c r="J102" s="15"/>
      <c r="K102" s="15"/>
      <c r="L102" s="15"/>
      <c r="M102" s="15"/>
      <c r="N102" s="21">
        <v>0.75</v>
      </c>
      <c r="O102" s="9" t="s">
        <v>101</v>
      </c>
      <c r="P102" s="9" t="s">
        <v>101</v>
      </c>
      <c r="Q102" s="9" t="s">
        <v>101</v>
      </c>
      <c r="R102" s="9" t="s">
        <v>101</v>
      </c>
      <c r="S102" s="9" t="s">
        <v>101</v>
      </c>
      <c r="T102" s="9" t="s">
        <v>101</v>
      </c>
      <c r="U102" s="9" t="s">
        <v>101</v>
      </c>
      <c r="V102" s="15">
        <v>3.064</v>
      </c>
      <c r="W102" s="15"/>
      <c r="X102" s="15"/>
      <c r="Y102" s="15">
        <v>9.388</v>
      </c>
      <c r="Z102" s="15"/>
      <c r="AA102" s="15"/>
      <c r="AB102" s="15"/>
      <c r="AC102" s="15"/>
      <c r="AD102" s="15"/>
      <c r="AE102" s="19"/>
      <c r="AF102" s="19"/>
      <c r="AG102" s="7" t="s">
        <v>109</v>
      </c>
      <c r="AH102" s="13">
        <f>iferror(VLOOKUP($B102,covariates!$B$3:$Z$1126,6,FALSE),"")</f>
        <v>31</v>
      </c>
      <c r="AI102" s="13">
        <f>iferror(VLOOKUP($B102,covariates!$B$3:$Z$1126,7,FALSE),"")</f>
        <v>8</v>
      </c>
      <c r="AJ102" s="9">
        <f>iferror(VLOOKUP($B102,covariates!$B$3:$Z$1126,14,FALSE),"")</f>
        <v>15</v>
      </c>
      <c r="AK102" s="9">
        <f>iferror(VLOOKUP($B102,covariates!$B$3:$Z$1126,16,FALSE),"")</f>
        <v>3</v>
      </c>
      <c r="AL102" s="9">
        <f>iferror(VLOOKUP($B102,covariates!$B$3:$Z$1126,18,FALSE),"")</f>
        <v>24</v>
      </c>
      <c r="AM102" s="9">
        <f>iferror(VLOOKUP($B102,covariates!$B$3:$Z$1126,19,FALSE),"")</f>
        <v>2</v>
      </c>
    </row>
    <row r="103">
      <c r="A103" s="15">
        <v>56.0</v>
      </c>
      <c r="B103" s="17" t="str">
        <f t="shared" si="54"/>
        <v>Lund et al., 2014</v>
      </c>
      <c r="C103" s="9" t="s">
        <v>200</v>
      </c>
      <c r="D103" s="7" t="s">
        <v>220</v>
      </c>
      <c r="E103" s="9" t="s">
        <v>222</v>
      </c>
      <c r="F103" s="9">
        <v>21.0</v>
      </c>
      <c r="G103" s="13">
        <v>76.0</v>
      </c>
      <c r="H103" s="13">
        <v>16.0</v>
      </c>
      <c r="I103" s="15"/>
      <c r="J103" s="15"/>
      <c r="K103" s="15"/>
      <c r="L103" s="15"/>
      <c r="M103" s="15"/>
      <c r="N103" s="21">
        <v>0.76</v>
      </c>
      <c r="O103" s="9" t="s">
        <v>101</v>
      </c>
      <c r="P103" s="9" t="s">
        <v>101</v>
      </c>
      <c r="Q103" s="9" t="s">
        <v>101</v>
      </c>
      <c r="R103" s="9" t="s">
        <v>101</v>
      </c>
      <c r="S103" s="9" t="s">
        <v>101</v>
      </c>
      <c r="T103" s="9" t="s">
        <v>101</v>
      </c>
      <c r="U103" s="9" t="s">
        <v>101</v>
      </c>
      <c r="V103" s="15">
        <v>3.491</v>
      </c>
      <c r="W103" s="15"/>
      <c r="X103" s="15"/>
      <c r="Y103" s="15">
        <v>12.187</v>
      </c>
      <c r="Z103" s="19"/>
      <c r="AA103" s="19"/>
      <c r="AB103" s="19"/>
      <c r="AC103" s="19"/>
      <c r="AD103" s="19"/>
      <c r="AE103" s="19"/>
      <c r="AF103" s="19"/>
      <c r="AG103" s="7" t="s">
        <v>109</v>
      </c>
      <c r="AH103" s="13">
        <f>iferror(VLOOKUP($B103,covariates!$B$3:$Z$1126,6,FALSE),"")</f>
        <v>31</v>
      </c>
      <c r="AI103" s="13">
        <f>iferror(VLOOKUP($B103,covariates!$B$3:$Z$1126,7,FALSE),"")</f>
        <v>8</v>
      </c>
      <c r="AJ103" s="9">
        <f>iferror(VLOOKUP($B103,covariates!$B$3:$Z$1126,14,FALSE),"")</f>
        <v>15</v>
      </c>
      <c r="AK103" s="9">
        <f>iferror(VLOOKUP($B103,covariates!$B$3:$Z$1126,16,FALSE),"")</f>
        <v>3</v>
      </c>
      <c r="AL103" s="9">
        <f>iferror(VLOOKUP($B103,covariates!$B$3:$Z$1126,18,FALSE),"")</f>
        <v>24</v>
      </c>
      <c r="AM103" s="9">
        <f>iferror(VLOOKUP($B103,covariates!$B$3:$Z$1126,19,FALSE),"")</f>
        <v>2</v>
      </c>
    </row>
    <row r="104">
      <c r="A104" s="15">
        <v>58.0</v>
      </c>
      <c r="B104" s="17" t="str">
        <f t="shared" ref="B104:B105" si="55">HYPERLINK("https://github.com/d-wkim/phd/blob/main/data/pdf/malik_2026.pdf","Malik et al., 2026")</f>
        <v>Malik et al., 2026</v>
      </c>
      <c r="C104" s="9" t="s">
        <v>84</v>
      </c>
      <c r="D104" s="7" t="s">
        <v>220</v>
      </c>
      <c r="E104" s="9" t="s">
        <v>222</v>
      </c>
      <c r="F104" s="9">
        <v>25.0</v>
      </c>
      <c r="G104" s="13">
        <v>78.9</v>
      </c>
      <c r="H104" s="13">
        <v>7.4</v>
      </c>
      <c r="I104" s="15"/>
      <c r="J104" s="15"/>
      <c r="K104" s="15"/>
      <c r="L104" s="15"/>
      <c r="M104" s="15"/>
      <c r="N104" s="21">
        <v>0.789</v>
      </c>
      <c r="O104" s="9" t="s">
        <v>101</v>
      </c>
      <c r="P104" s="9" t="s">
        <v>101</v>
      </c>
      <c r="Q104" s="9" t="s">
        <v>101</v>
      </c>
      <c r="R104" s="9" t="s">
        <v>101</v>
      </c>
      <c r="S104" s="9" t="s">
        <v>101</v>
      </c>
      <c r="T104" s="9" t="s">
        <v>101</v>
      </c>
      <c r="U104" s="9" t="s">
        <v>101</v>
      </c>
      <c r="V104" s="15">
        <v>1.48</v>
      </c>
      <c r="W104" s="15"/>
      <c r="X104" s="15"/>
      <c r="Y104" s="15">
        <v>2.19</v>
      </c>
      <c r="Z104" s="15"/>
      <c r="AA104" s="15"/>
      <c r="AB104" s="15"/>
      <c r="AC104" s="15"/>
      <c r="AD104" s="15"/>
      <c r="AE104" s="19"/>
      <c r="AF104" s="19"/>
      <c r="AG104" s="7" t="s">
        <v>109</v>
      </c>
      <c r="AH104" s="13">
        <f>iferror(VLOOKUP($B104,covariates!$B$3:$Z$1126,6,FALSE),"")</f>
        <v>28.12</v>
      </c>
      <c r="AI104" s="13">
        <f>iferror(VLOOKUP($B104,covariates!$B$3:$Z$1126,7,FALSE),"")</f>
        <v>5.21</v>
      </c>
      <c r="AJ104" s="9">
        <f>iferror(VLOOKUP($B104,covariates!$B$3:$Z$1126,14,FALSE),"")</f>
        <v>18</v>
      </c>
      <c r="AK104" s="9">
        <f>iferror(VLOOKUP($B104,covariates!$B$3:$Z$1126,16,FALSE),"")</f>
        <v>7</v>
      </c>
      <c r="AL104" s="9">
        <f>iferror(VLOOKUP($B104,covariates!$B$3:$Z$1126,18,FALSE),"")</f>
        <v>6</v>
      </c>
      <c r="AM104" s="9">
        <f>iferror(VLOOKUP($B104,covariates!$B$3:$Z$1126,19,FALSE),"")</f>
        <v>0.5</v>
      </c>
    </row>
    <row r="105">
      <c r="A105" s="15">
        <v>58.0</v>
      </c>
      <c r="B105" s="17" t="str">
        <f t="shared" si="55"/>
        <v>Malik et al., 2026</v>
      </c>
      <c r="C105" s="9" t="s">
        <v>186</v>
      </c>
      <c r="D105" s="7" t="s">
        <v>220</v>
      </c>
      <c r="E105" s="9" t="s">
        <v>222</v>
      </c>
      <c r="F105" s="9">
        <v>25.0</v>
      </c>
      <c r="G105" s="13">
        <v>82.6</v>
      </c>
      <c r="H105" s="13">
        <v>6.3</v>
      </c>
      <c r="I105" s="15"/>
      <c r="J105" s="15"/>
      <c r="K105" s="15"/>
      <c r="L105" s="15"/>
      <c r="M105" s="15"/>
      <c r="N105" s="21">
        <v>0.826</v>
      </c>
      <c r="O105" s="9" t="s">
        <v>101</v>
      </c>
      <c r="P105" s="9" t="s">
        <v>101</v>
      </c>
      <c r="Q105" s="9" t="s">
        <v>101</v>
      </c>
      <c r="R105" s="9" t="s">
        <v>101</v>
      </c>
      <c r="S105" s="9" t="s">
        <v>101</v>
      </c>
      <c r="T105" s="9" t="s">
        <v>101</v>
      </c>
      <c r="U105" s="9" t="s">
        <v>101</v>
      </c>
      <c r="V105" s="15">
        <v>1.26</v>
      </c>
      <c r="W105" s="15"/>
      <c r="X105" s="15"/>
      <c r="Y105" s="15">
        <v>1.588</v>
      </c>
      <c r="Z105" s="19"/>
      <c r="AA105" s="19"/>
      <c r="AB105" s="19"/>
      <c r="AC105" s="19"/>
      <c r="AD105" s="19"/>
      <c r="AE105" s="19"/>
      <c r="AF105" s="19"/>
      <c r="AG105" s="7" t="s">
        <v>109</v>
      </c>
      <c r="AH105" s="13">
        <f>iferror(VLOOKUP($B105,covariates!$B$3:$Z$1126,6,FALSE),"")</f>
        <v>28.12</v>
      </c>
      <c r="AI105" s="13">
        <f>iferror(VLOOKUP($B105,covariates!$B$3:$Z$1126,7,FALSE),"")</f>
        <v>5.21</v>
      </c>
      <c r="AJ105" s="9">
        <f>iferror(VLOOKUP($B105,covariates!$B$3:$Z$1126,14,FALSE),"")</f>
        <v>18</v>
      </c>
      <c r="AK105" s="9">
        <f>iferror(VLOOKUP($B105,covariates!$B$3:$Z$1126,16,FALSE),"")</f>
        <v>7</v>
      </c>
      <c r="AL105" s="9">
        <f>iferror(VLOOKUP($B105,covariates!$B$3:$Z$1126,18,FALSE),"")</f>
        <v>6</v>
      </c>
      <c r="AM105" s="9">
        <f>iferror(VLOOKUP($B105,covariates!$B$3:$Z$1126,19,FALSE),"")</f>
        <v>0.5</v>
      </c>
    </row>
    <row r="106">
      <c r="A106" s="15">
        <v>62.0</v>
      </c>
      <c r="B106" s="17" t="str">
        <f t="shared" ref="B106:B107" si="56">HYPERLINK("https://github.com/d-wkim/phd/blob/main/data/pdf/matsumoto_2006.pdf","Matsumoto et al., 2006")</f>
        <v>Matsumoto et al., 2006</v>
      </c>
      <c r="C106" s="9" t="s">
        <v>42</v>
      </c>
      <c r="D106" s="7" t="s">
        <v>220</v>
      </c>
      <c r="E106" s="9" t="s">
        <v>222</v>
      </c>
      <c r="F106" s="9">
        <v>37.0</v>
      </c>
      <c r="G106" s="13">
        <v>84.3</v>
      </c>
      <c r="H106" s="13">
        <v>11.0</v>
      </c>
      <c r="I106" s="15"/>
      <c r="J106" s="15"/>
      <c r="K106" s="15"/>
      <c r="L106" s="15"/>
      <c r="M106" s="15"/>
      <c r="N106" s="21">
        <v>0.843</v>
      </c>
      <c r="O106" s="9" t="s">
        <v>101</v>
      </c>
      <c r="P106" s="9" t="s">
        <v>101</v>
      </c>
      <c r="Q106" s="9" t="s">
        <v>101</v>
      </c>
      <c r="R106" s="9" t="s">
        <v>101</v>
      </c>
      <c r="S106" s="9" t="s">
        <v>101</v>
      </c>
      <c r="T106" s="9" t="s">
        <v>101</v>
      </c>
      <c r="U106" s="9" t="s">
        <v>101</v>
      </c>
      <c r="V106" s="15">
        <v>1.808</v>
      </c>
      <c r="W106" s="15"/>
      <c r="X106" s="15"/>
      <c r="Y106" s="15">
        <v>3.269</v>
      </c>
      <c r="Z106" s="15"/>
      <c r="AA106" s="15"/>
      <c r="AB106" s="15"/>
      <c r="AC106" s="15"/>
      <c r="AD106" s="15"/>
      <c r="AE106" s="19"/>
      <c r="AF106" s="19"/>
      <c r="AG106" s="7" t="s">
        <v>109</v>
      </c>
      <c r="AH106" s="13">
        <f>iferror(VLOOKUP($B106,covariates!$B$3:$Z$1126,6,FALSE),"")</f>
        <v>23.7</v>
      </c>
      <c r="AI106" s="13">
        <f>iferror(VLOOKUP($B106,covariates!$B$3:$Z$1126,7,FALSE),"")</f>
        <v>7.7</v>
      </c>
      <c r="AJ106" s="9">
        <f>iferror(VLOOKUP($B106,covariates!$B$3:$Z$1126,14,FALSE),"")</f>
        <v>21</v>
      </c>
      <c r="AK106" s="9">
        <f>iferror(VLOOKUP($B106,covariates!$B$3:$Z$1126,16,FALSE),"")</f>
        <v>16</v>
      </c>
      <c r="AL106" s="9">
        <f>iferror(VLOOKUP($B106,covariates!$B$3:$Z$1126,18,FALSE),"")</f>
        <v>87</v>
      </c>
      <c r="AM106" s="9">
        <f>iferror(VLOOKUP($B106,covariates!$B$3:$Z$1126,19,FALSE),"")</f>
        <v>7.3</v>
      </c>
    </row>
    <row r="107">
      <c r="A107" s="15">
        <v>62.0</v>
      </c>
      <c r="B107" s="17" t="str">
        <f t="shared" si="56"/>
        <v>Matsumoto et al., 2006</v>
      </c>
      <c r="C107" s="9" t="s">
        <v>84</v>
      </c>
      <c r="D107" s="7" t="s">
        <v>220</v>
      </c>
      <c r="E107" s="9" t="s">
        <v>222</v>
      </c>
      <c r="F107" s="9">
        <v>35.0</v>
      </c>
      <c r="G107" s="13">
        <v>86.8</v>
      </c>
      <c r="H107" s="13">
        <v>8.3</v>
      </c>
      <c r="I107" s="15"/>
      <c r="J107" s="15"/>
      <c r="K107" s="15"/>
      <c r="L107" s="15"/>
      <c r="M107" s="15"/>
      <c r="N107" s="21">
        <v>0.868</v>
      </c>
      <c r="O107" s="9" t="s">
        <v>101</v>
      </c>
      <c r="P107" s="9" t="s">
        <v>101</v>
      </c>
      <c r="Q107" s="9" t="s">
        <v>101</v>
      </c>
      <c r="R107" s="9" t="s">
        <v>101</v>
      </c>
      <c r="S107" s="9" t="s">
        <v>101</v>
      </c>
      <c r="T107" s="9" t="s">
        <v>101</v>
      </c>
      <c r="U107" s="9" t="s">
        <v>101</v>
      </c>
      <c r="V107" s="15">
        <v>1.403</v>
      </c>
      <c r="W107" s="15"/>
      <c r="X107" s="15"/>
      <c r="Y107" s="15">
        <v>1.968</v>
      </c>
      <c r="Z107" s="15"/>
      <c r="AA107" s="15"/>
      <c r="AB107" s="15"/>
      <c r="AC107" s="15"/>
      <c r="AD107" s="15"/>
      <c r="AE107" s="19"/>
      <c r="AF107" s="19"/>
      <c r="AG107" s="7" t="s">
        <v>109</v>
      </c>
      <c r="AH107" s="13">
        <f>iferror(VLOOKUP($B107,covariates!$B$3:$Z$1126,6,FALSE),"")</f>
        <v>23.7</v>
      </c>
      <c r="AI107" s="13">
        <f>iferror(VLOOKUP($B107,covariates!$B$3:$Z$1126,7,FALSE),"")</f>
        <v>7.7</v>
      </c>
      <c r="AJ107" s="9">
        <f>iferror(VLOOKUP($B107,covariates!$B$3:$Z$1126,14,FALSE),"")</f>
        <v>21</v>
      </c>
      <c r="AK107" s="9">
        <f>iferror(VLOOKUP($B107,covariates!$B$3:$Z$1126,16,FALSE),"")</f>
        <v>16</v>
      </c>
      <c r="AL107" s="9">
        <f>iferror(VLOOKUP($B107,covariates!$B$3:$Z$1126,18,FALSE),"")</f>
        <v>87</v>
      </c>
      <c r="AM107" s="9">
        <f>iferror(VLOOKUP($B107,covariates!$B$3:$Z$1126,19,FALSE),"")</f>
        <v>7.3</v>
      </c>
    </row>
    <row r="108">
      <c r="A108" s="15">
        <v>68.0</v>
      </c>
      <c r="B108" s="17" t="str">
        <f t="shared" ref="B108:B109" si="57">HYPERLINK("https://github.com/d-wkim/phd/blob/main/data/pdf/moraiti_2010.pdf","Moraiti et al., 2010")</f>
        <v>Moraiti et al., 2010</v>
      </c>
      <c r="C108" s="9" t="s">
        <v>42</v>
      </c>
      <c r="D108" s="7" t="s">
        <v>220</v>
      </c>
      <c r="E108" s="9" t="s">
        <v>222</v>
      </c>
      <c r="F108" s="9">
        <v>6.0</v>
      </c>
      <c r="G108" s="13">
        <v>92.0</v>
      </c>
      <c r="H108" s="13">
        <v>7.0</v>
      </c>
      <c r="I108" s="15"/>
      <c r="J108" s="15"/>
      <c r="K108" s="15"/>
      <c r="L108" s="15"/>
      <c r="M108" s="15"/>
      <c r="N108" s="21">
        <v>0.92</v>
      </c>
      <c r="O108" s="9" t="s">
        <v>101</v>
      </c>
      <c r="P108" s="9" t="s">
        <v>101</v>
      </c>
      <c r="Q108" s="9" t="s">
        <v>101</v>
      </c>
      <c r="R108" s="9" t="s">
        <v>101</v>
      </c>
      <c r="S108" s="9" t="s">
        <v>101</v>
      </c>
      <c r="T108" s="9" t="s">
        <v>101</v>
      </c>
      <c r="U108" s="9" t="s">
        <v>101</v>
      </c>
      <c r="V108" s="15">
        <v>2.858</v>
      </c>
      <c r="W108" s="15"/>
      <c r="X108" s="15"/>
      <c r="Y108" s="15">
        <v>8.168</v>
      </c>
      <c r="Z108" s="15"/>
      <c r="AA108" s="15"/>
      <c r="AB108" s="15"/>
      <c r="AC108" s="15"/>
      <c r="AD108" s="15"/>
      <c r="AE108" s="19"/>
      <c r="AF108" s="19"/>
      <c r="AG108" s="7" t="s">
        <v>109</v>
      </c>
      <c r="AH108" s="13">
        <f>iferror(VLOOKUP($B108,covariates!$B$3:$Z$1126,6,FALSE),"")</f>
        <v>23</v>
      </c>
      <c r="AI108" s="13">
        <f>iferror(VLOOKUP($B108,covariates!$B$3:$Z$1126,7,FALSE),"")</f>
        <v>2</v>
      </c>
      <c r="AJ108" s="9">
        <f>iferror(VLOOKUP($B108,covariates!$B$3:$Z$1126,14,FALSE),"")</f>
        <v>6</v>
      </c>
      <c r="AK108" s="9">
        <f>iferror(VLOOKUP($B108,covariates!$B$3:$Z$1126,16,FALSE),"")</f>
        <v>0</v>
      </c>
      <c r="AL108" s="9">
        <f>iferror(VLOOKUP($B108,covariates!$B$3:$Z$1126,18,FALSE),"")</f>
        <v>21</v>
      </c>
      <c r="AM108" s="9">
        <f>iferror(VLOOKUP($B108,covariates!$B$3:$Z$1126,19,FALSE),"")</f>
        <v>1.8</v>
      </c>
    </row>
    <row r="109">
      <c r="A109" s="15">
        <v>68.0</v>
      </c>
      <c r="B109" s="17" t="str">
        <f t="shared" si="57"/>
        <v>Moraiti et al., 2010</v>
      </c>
      <c r="C109" s="9" t="s">
        <v>84</v>
      </c>
      <c r="D109" s="7" t="s">
        <v>220</v>
      </c>
      <c r="E109" s="9" t="s">
        <v>222</v>
      </c>
      <c r="F109" s="9">
        <v>6.0</v>
      </c>
      <c r="G109" s="13">
        <v>90.0</v>
      </c>
      <c r="H109" s="13">
        <v>10.0</v>
      </c>
      <c r="I109" s="15"/>
      <c r="J109" s="15"/>
      <c r="K109" s="15"/>
      <c r="L109" s="15"/>
      <c r="M109" s="15"/>
      <c r="N109" s="21">
        <v>0.9</v>
      </c>
      <c r="O109" s="9" t="s">
        <v>101</v>
      </c>
      <c r="P109" s="9" t="s">
        <v>101</v>
      </c>
      <c r="Q109" s="9" t="s">
        <v>101</v>
      </c>
      <c r="R109" s="9" t="s">
        <v>101</v>
      </c>
      <c r="S109" s="9" t="s">
        <v>101</v>
      </c>
      <c r="T109" s="9" t="s">
        <v>101</v>
      </c>
      <c r="U109" s="9" t="s">
        <v>101</v>
      </c>
      <c r="V109" s="15">
        <v>4.082</v>
      </c>
      <c r="W109" s="15"/>
      <c r="X109" s="15"/>
      <c r="Y109" s="15">
        <v>16.663</v>
      </c>
      <c r="Z109" s="15"/>
      <c r="AA109" s="15"/>
      <c r="AB109" s="15"/>
      <c r="AC109" s="15"/>
      <c r="AD109" s="15"/>
      <c r="AE109" s="19"/>
      <c r="AF109" s="19"/>
      <c r="AG109" s="7" t="s">
        <v>109</v>
      </c>
      <c r="AH109" s="13">
        <f>iferror(VLOOKUP($B109,covariates!$B$3:$Z$1126,6,FALSE),"")</f>
        <v>23</v>
      </c>
      <c r="AI109" s="13">
        <f>iferror(VLOOKUP($B109,covariates!$B$3:$Z$1126,7,FALSE),"")</f>
        <v>2</v>
      </c>
      <c r="AJ109" s="9">
        <f>iferror(VLOOKUP($B109,covariates!$B$3:$Z$1126,14,FALSE),"")</f>
        <v>6</v>
      </c>
      <c r="AK109" s="9">
        <f>iferror(VLOOKUP($B109,covariates!$B$3:$Z$1126,16,FALSE),"")</f>
        <v>0</v>
      </c>
      <c r="AL109" s="9">
        <f>iferror(VLOOKUP($B109,covariates!$B$3:$Z$1126,18,FALSE),"")</f>
        <v>21</v>
      </c>
      <c r="AM109" s="9">
        <f>iferror(VLOOKUP($B109,covariates!$B$3:$Z$1126,19,FALSE),"")</f>
        <v>1.8</v>
      </c>
    </row>
    <row r="110">
      <c r="A110" s="15">
        <v>73.0</v>
      </c>
      <c r="B110" s="17" t="str">
        <f t="shared" ref="B110:B111" si="58">HYPERLINK("https://github.com/d-wkim/phd/blob/main/data/pdf/papalia_2015.pdf","Papalia et al., 2015")</f>
        <v>Papalia et al., 2015</v>
      </c>
      <c r="C110" s="9" t="s">
        <v>42</v>
      </c>
      <c r="D110" s="7" t="s">
        <v>220</v>
      </c>
      <c r="E110" s="9" t="s">
        <v>222</v>
      </c>
      <c r="F110" s="9">
        <v>20.0</v>
      </c>
      <c r="G110" s="13">
        <v>86.9</v>
      </c>
      <c r="H110" s="13">
        <v>11.7</v>
      </c>
      <c r="I110" s="15"/>
      <c r="J110" s="15"/>
      <c r="K110" s="15"/>
      <c r="L110" s="15"/>
      <c r="M110" s="15"/>
      <c r="N110" s="21">
        <v>0.8690000000000001</v>
      </c>
      <c r="O110" s="9" t="s">
        <v>101</v>
      </c>
      <c r="P110" s="9" t="s">
        <v>101</v>
      </c>
      <c r="Q110" s="9" t="s">
        <v>101</v>
      </c>
      <c r="R110" s="9" t="s">
        <v>101</v>
      </c>
      <c r="S110" s="9" t="s">
        <v>101</v>
      </c>
      <c r="T110" s="9" t="s">
        <v>101</v>
      </c>
      <c r="U110" s="9" t="s">
        <v>101</v>
      </c>
      <c r="V110" s="15">
        <v>2.616</v>
      </c>
      <c r="W110" s="15"/>
      <c r="X110" s="15"/>
      <c r="Y110" s="15">
        <v>6.843</v>
      </c>
      <c r="Z110" s="15"/>
      <c r="AA110" s="15"/>
      <c r="AB110" s="15"/>
      <c r="AC110" s="15"/>
      <c r="AD110" s="15"/>
      <c r="AE110" s="19"/>
      <c r="AF110" s="19"/>
      <c r="AG110" s="7" t="s">
        <v>109</v>
      </c>
      <c r="AH110" s="13">
        <f>iferror(VLOOKUP($B110,covariates!$B$3:$Z$1126,6,FALSE),"")</f>
        <v>24.7</v>
      </c>
      <c r="AI110" s="13" t="str">
        <f>iferror(VLOOKUP($B110,covariates!$B$3:$Z$1126,7,FALSE),"")</f>
        <v/>
      </c>
      <c r="AJ110" s="9">
        <f>iferror(VLOOKUP($B110,covariates!$B$3:$Z$1126,14,FALSE),"")</f>
        <v>0</v>
      </c>
      <c r="AK110" s="9">
        <f>iferror(VLOOKUP($B110,covariates!$B$3:$Z$1126,16,FALSE),"")</f>
        <v>20</v>
      </c>
      <c r="AL110" s="9">
        <f>iferror(VLOOKUP($B110,covariates!$B$3:$Z$1126,18,FALSE),"")</f>
        <v>6</v>
      </c>
      <c r="AM110" s="9">
        <f>iferror(VLOOKUP($B110,covariates!$B$3:$Z$1126,19,FALSE),"")</f>
        <v>0.5</v>
      </c>
    </row>
    <row r="111">
      <c r="A111" s="15">
        <v>73.0</v>
      </c>
      <c r="B111" s="17" t="str">
        <f t="shared" si="58"/>
        <v>Papalia et al., 2015</v>
      </c>
      <c r="C111" s="9" t="s">
        <v>84</v>
      </c>
      <c r="D111" s="7" t="s">
        <v>220</v>
      </c>
      <c r="E111" s="9" t="s">
        <v>222</v>
      </c>
      <c r="F111" s="9">
        <v>20.0</v>
      </c>
      <c r="G111" s="13">
        <v>90.97</v>
      </c>
      <c r="H111" s="13">
        <v>5.1</v>
      </c>
      <c r="I111" s="15"/>
      <c r="J111" s="15"/>
      <c r="K111" s="15"/>
      <c r="L111" s="15"/>
      <c r="M111" s="15"/>
      <c r="N111" s="21">
        <v>0.9097</v>
      </c>
      <c r="O111" s="9" t="s">
        <v>101</v>
      </c>
      <c r="P111" s="9" t="s">
        <v>101</v>
      </c>
      <c r="Q111" s="9" t="s">
        <v>101</v>
      </c>
      <c r="R111" s="9" t="s">
        <v>101</v>
      </c>
      <c r="S111" s="9" t="s">
        <v>101</v>
      </c>
      <c r="T111" s="9" t="s">
        <v>101</v>
      </c>
      <c r="U111" s="9" t="s">
        <v>101</v>
      </c>
      <c r="V111" s="15">
        <v>1.14</v>
      </c>
      <c r="W111" s="15"/>
      <c r="X111" s="15"/>
      <c r="Y111" s="15">
        <v>1.3</v>
      </c>
      <c r="Z111" s="15"/>
      <c r="AA111" s="15"/>
      <c r="AB111" s="15"/>
      <c r="AC111" s="15"/>
      <c r="AD111" s="15"/>
      <c r="AE111" s="19"/>
      <c r="AF111" s="19"/>
      <c r="AG111" s="7" t="s">
        <v>109</v>
      </c>
      <c r="AH111" s="13">
        <f>iferror(VLOOKUP($B111,covariates!$B$3:$Z$1126,6,FALSE),"")</f>
        <v>24.7</v>
      </c>
      <c r="AI111" s="13" t="str">
        <f>iferror(VLOOKUP($B111,covariates!$B$3:$Z$1126,7,FALSE),"")</f>
        <v/>
      </c>
      <c r="AJ111" s="9">
        <f>iferror(VLOOKUP($B111,covariates!$B$3:$Z$1126,14,FALSE),"")</f>
        <v>0</v>
      </c>
      <c r="AK111" s="9">
        <f>iferror(VLOOKUP($B111,covariates!$B$3:$Z$1126,16,FALSE),"")</f>
        <v>20</v>
      </c>
      <c r="AL111" s="9">
        <f>iferror(VLOOKUP($B111,covariates!$B$3:$Z$1126,18,FALSE),"")</f>
        <v>6</v>
      </c>
      <c r="AM111" s="9">
        <f>iferror(VLOOKUP($B111,covariates!$B$3:$Z$1126,19,FALSE),"")</f>
        <v>0.5</v>
      </c>
    </row>
    <row r="112">
      <c r="A112" s="15">
        <v>84.0</v>
      </c>
      <c r="B112" s="17" t="str">
        <f t="shared" ref="B112:B113" si="59">HYPERLINK("https://github.com/d-wkim/phd/blob/main/data/pdf/sinding_2020.pdf","Sinding et al., 2020")</f>
        <v>Sinding et al., 2020</v>
      </c>
      <c r="C112" s="9" t="s">
        <v>84</v>
      </c>
      <c r="D112" s="7" t="s">
        <v>220</v>
      </c>
      <c r="E112" s="9" t="s">
        <v>222</v>
      </c>
      <c r="F112" s="9">
        <v>43.0</v>
      </c>
      <c r="G112" s="13">
        <v>76.0</v>
      </c>
      <c r="H112" s="13">
        <v>15.0</v>
      </c>
      <c r="I112" s="15"/>
      <c r="J112" s="15"/>
      <c r="K112" s="15"/>
      <c r="L112" s="15"/>
      <c r="M112" s="15"/>
      <c r="N112" s="21">
        <v>0.76</v>
      </c>
      <c r="O112" s="9" t="s">
        <v>101</v>
      </c>
      <c r="P112" s="9" t="s">
        <v>101</v>
      </c>
      <c r="Q112" s="9" t="s">
        <v>101</v>
      </c>
      <c r="R112" s="9" t="s">
        <v>101</v>
      </c>
      <c r="S112" s="9" t="s">
        <v>101</v>
      </c>
      <c r="T112" s="9" t="s">
        <v>101</v>
      </c>
      <c r="U112" s="9" t="s">
        <v>101</v>
      </c>
      <c r="V112" s="15">
        <v>2.287</v>
      </c>
      <c r="W112" s="15"/>
      <c r="X112" s="15"/>
      <c r="Y112" s="15">
        <v>5.23</v>
      </c>
      <c r="Z112" s="15"/>
      <c r="AA112" s="15"/>
      <c r="AB112" s="15"/>
      <c r="AC112" s="15"/>
      <c r="AD112" s="15"/>
      <c r="AE112" s="19"/>
      <c r="AF112" s="19"/>
      <c r="AG112" s="7" t="s">
        <v>109</v>
      </c>
      <c r="AH112" s="13">
        <f>iferror(VLOOKUP($B112,covariates!$B$3:$Z$1126,6,FALSE),"")</f>
        <v>28.3</v>
      </c>
      <c r="AI112" s="13">
        <f>iferror(VLOOKUP($B112,covariates!$B$3:$Z$1126,7,FALSE),"")</f>
        <v>6.2</v>
      </c>
      <c r="AJ112" s="9">
        <f>iferror(VLOOKUP($B112,covariates!$B$3:$Z$1126,14,FALSE),"")</f>
        <v>23</v>
      </c>
      <c r="AK112" s="9">
        <f>iferror(VLOOKUP($B112,covariates!$B$3:$Z$1126,16,FALSE),"")</f>
        <v>20</v>
      </c>
      <c r="AL112" s="9">
        <f>iferror(VLOOKUP($B112,covariates!$B$3:$Z$1126,18,FALSE),"")</f>
        <v>12.5</v>
      </c>
      <c r="AM112" s="9">
        <f>iferror(VLOOKUP($B112,covariates!$B$3:$Z$1126,19,FALSE),"")</f>
        <v>1</v>
      </c>
    </row>
    <row r="113">
      <c r="A113" s="15">
        <v>84.0</v>
      </c>
      <c r="B113" s="17" t="str">
        <f t="shared" si="59"/>
        <v>Sinding et al., 2020</v>
      </c>
      <c r="C113" s="9" t="s">
        <v>200</v>
      </c>
      <c r="D113" s="7" t="s">
        <v>220</v>
      </c>
      <c r="E113" s="9" t="s">
        <v>222</v>
      </c>
      <c r="F113" s="9">
        <v>42.0</v>
      </c>
      <c r="G113" s="13">
        <v>76.0</v>
      </c>
      <c r="H113" s="13">
        <v>17.0</v>
      </c>
      <c r="I113" s="15"/>
      <c r="J113" s="15"/>
      <c r="K113" s="15"/>
      <c r="L113" s="15"/>
      <c r="M113" s="15"/>
      <c r="N113" s="21">
        <v>0.76</v>
      </c>
      <c r="O113" s="9" t="s">
        <v>101</v>
      </c>
      <c r="P113" s="9" t="s">
        <v>101</v>
      </c>
      <c r="Q113" s="9" t="s">
        <v>101</v>
      </c>
      <c r="R113" s="9" t="s">
        <v>101</v>
      </c>
      <c r="S113" s="9" t="s">
        <v>101</v>
      </c>
      <c r="T113" s="9" t="s">
        <v>101</v>
      </c>
      <c r="U113" s="9" t="s">
        <v>101</v>
      </c>
      <c r="V113" s="15">
        <v>2.623</v>
      </c>
      <c r="W113" s="15"/>
      <c r="X113" s="15"/>
      <c r="Y113" s="15">
        <v>6.88</v>
      </c>
      <c r="Z113" s="19"/>
      <c r="AA113" s="19"/>
      <c r="AB113" s="19"/>
      <c r="AC113" s="19"/>
      <c r="AD113" s="19"/>
      <c r="AE113" s="19"/>
      <c r="AF113" s="19"/>
      <c r="AG113" s="7" t="s">
        <v>109</v>
      </c>
      <c r="AH113" s="13">
        <f>iferror(VLOOKUP($B113,covariates!$B$3:$Z$1126,6,FALSE),"")</f>
        <v>28.3</v>
      </c>
      <c r="AI113" s="13">
        <f>iferror(VLOOKUP($B113,covariates!$B$3:$Z$1126,7,FALSE),"")</f>
        <v>6.2</v>
      </c>
      <c r="AJ113" s="9">
        <f>iferror(VLOOKUP($B113,covariates!$B$3:$Z$1126,14,FALSE),"")</f>
        <v>23</v>
      </c>
      <c r="AK113" s="9">
        <f>iferror(VLOOKUP($B113,covariates!$B$3:$Z$1126,16,FALSE),"")</f>
        <v>20</v>
      </c>
      <c r="AL113" s="9">
        <f>iferror(VLOOKUP($B113,covariates!$B$3:$Z$1126,18,FALSE),"")</f>
        <v>12.5</v>
      </c>
      <c r="AM113" s="9">
        <f>iferror(VLOOKUP($B113,covariates!$B$3:$Z$1126,19,FALSE),"")</f>
        <v>1</v>
      </c>
    </row>
    <row r="114">
      <c r="A114" s="15">
        <v>85.0</v>
      </c>
      <c r="B114" s="17" t="str">
        <f t="shared" ref="B114:B115" si="60">HYPERLINK("https://github.com/d-wkim/phd/blob/main/data/pdf/smith_2020.pdf","Smith et al., 2020")</f>
        <v>Smith et al., 2020</v>
      </c>
      <c r="C114" s="9" t="s">
        <v>42</v>
      </c>
      <c r="D114" s="7" t="s">
        <v>220</v>
      </c>
      <c r="E114" s="9" t="s">
        <v>222</v>
      </c>
      <c r="F114" s="9">
        <v>32.0</v>
      </c>
      <c r="G114" s="13">
        <v>89.4</v>
      </c>
      <c r="H114" s="13">
        <v>9.2</v>
      </c>
      <c r="I114" s="15"/>
      <c r="J114" s="15"/>
      <c r="K114" s="15"/>
      <c r="L114" s="15"/>
      <c r="M114" s="15"/>
      <c r="N114" s="21">
        <v>0.894</v>
      </c>
      <c r="O114" s="9" t="s">
        <v>101</v>
      </c>
      <c r="P114" s="9" t="s">
        <v>101</v>
      </c>
      <c r="Q114" s="9" t="s">
        <v>101</v>
      </c>
      <c r="R114" s="9" t="s">
        <v>101</v>
      </c>
      <c r="S114" s="9" t="s">
        <v>101</v>
      </c>
      <c r="T114" s="9" t="s">
        <v>101</v>
      </c>
      <c r="U114" s="9" t="s">
        <v>101</v>
      </c>
      <c r="V114" s="15">
        <v>1.626</v>
      </c>
      <c r="W114" s="15"/>
      <c r="X114" s="15"/>
      <c r="Y114" s="15">
        <v>2.644</v>
      </c>
      <c r="Z114" s="15"/>
      <c r="AA114" s="15"/>
      <c r="AB114" s="15"/>
      <c r="AC114" s="15"/>
      <c r="AD114" s="15"/>
      <c r="AE114" s="19"/>
      <c r="AF114" s="19"/>
      <c r="AG114" s="7" t="s">
        <v>109</v>
      </c>
      <c r="AH114" s="13">
        <f>iferror(VLOOKUP($B114,covariates!$B$3:$Z$1126,6,FALSE),"")</f>
        <v>17.7</v>
      </c>
      <c r="AI114" s="13">
        <f>iferror(VLOOKUP($B114,covariates!$B$3:$Z$1126,7,FALSE),"")</f>
        <v>2.4</v>
      </c>
      <c r="AJ114" s="9">
        <f>iferror(VLOOKUP($B114,covariates!$B$3:$Z$1126,14,FALSE),"")</f>
        <v>15</v>
      </c>
      <c r="AK114" s="9">
        <f>iferror(VLOOKUP($B114,covariates!$B$3:$Z$1126,16,FALSE),"")</f>
        <v>17</v>
      </c>
      <c r="AL114" s="9">
        <f>iferror(VLOOKUP($B114,covariates!$B$3:$Z$1126,18,FALSE),"")</f>
        <v>24</v>
      </c>
      <c r="AM114" s="9">
        <f>iferror(VLOOKUP($B114,covariates!$B$3:$Z$1126,19,FALSE),"")</f>
        <v>2</v>
      </c>
    </row>
    <row r="115">
      <c r="A115" s="15">
        <v>85.0</v>
      </c>
      <c r="B115" s="17" t="str">
        <f t="shared" si="60"/>
        <v>Smith et al., 2020</v>
      </c>
      <c r="C115" s="9" t="s">
        <v>84</v>
      </c>
      <c r="D115" s="7" t="s">
        <v>220</v>
      </c>
      <c r="E115" s="9" t="s">
        <v>222</v>
      </c>
      <c r="F115" s="9">
        <v>32.0</v>
      </c>
      <c r="G115" s="13">
        <v>94.8</v>
      </c>
      <c r="H115" s="13">
        <v>6.4</v>
      </c>
      <c r="I115" s="15"/>
      <c r="J115" s="15"/>
      <c r="K115" s="15"/>
      <c r="L115" s="15"/>
      <c r="M115" s="15"/>
      <c r="N115" s="21">
        <v>0.948</v>
      </c>
      <c r="O115" s="9" t="s">
        <v>101</v>
      </c>
      <c r="P115" s="9" t="s">
        <v>101</v>
      </c>
      <c r="Q115" s="9" t="s">
        <v>101</v>
      </c>
      <c r="R115" s="9" t="s">
        <v>101</v>
      </c>
      <c r="S115" s="9" t="s">
        <v>101</v>
      </c>
      <c r="T115" s="9" t="s">
        <v>101</v>
      </c>
      <c r="U115" s="9" t="s">
        <v>101</v>
      </c>
      <c r="V115" s="15">
        <v>1.131</v>
      </c>
      <c r="W115" s="15"/>
      <c r="X115" s="15"/>
      <c r="Y115" s="15">
        <v>1.279</v>
      </c>
      <c r="Z115" s="15"/>
      <c r="AA115" s="15"/>
      <c r="AB115" s="15"/>
      <c r="AC115" s="15"/>
      <c r="AD115" s="15"/>
      <c r="AE115" s="19"/>
      <c r="AF115" s="19"/>
      <c r="AG115" s="7" t="s">
        <v>109</v>
      </c>
      <c r="AH115" s="13">
        <f>iferror(VLOOKUP($B115,covariates!$B$3:$Z$1126,6,FALSE),"")</f>
        <v>17.7</v>
      </c>
      <c r="AI115" s="13">
        <f>iferror(VLOOKUP($B115,covariates!$B$3:$Z$1126,7,FALSE),"")</f>
        <v>2.4</v>
      </c>
      <c r="AJ115" s="9">
        <f>iferror(VLOOKUP($B115,covariates!$B$3:$Z$1126,14,FALSE),"")</f>
        <v>15</v>
      </c>
      <c r="AK115" s="9">
        <f>iferror(VLOOKUP($B115,covariates!$B$3:$Z$1126,16,FALSE),"")</f>
        <v>17</v>
      </c>
      <c r="AL115" s="9">
        <f>iferror(VLOOKUP($B115,covariates!$B$3:$Z$1126,18,FALSE),"")</f>
        <v>24</v>
      </c>
      <c r="AM115" s="9">
        <f>iferror(VLOOKUP($B115,covariates!$B$3:$Z$1126,19,FALSE),"")</f>
        <v>2</v>
      </c>
    </row>
    <row r="116">
      <c r="A116" s="15">
        <v>87.0</v>
      </c>
      <c r="B116" s="17" t="str">
        <f t="shared" ref="B116:B117" si="61">HYPERLINK("https://github.com/d-wkim/phd/blob/main/data/pdf/sonnery-cottet_2026.pdf","Sonnery-cottet et al., 2026")</f>
        <v>Sonnery-cottet et al., 2026</v>
      </c>
      <c r="C116" s="9" t="s">
        <v>42</v>
      </c>
      <c r="D116" s="7" t="s">
        <v>220</v>
      </c>
      <c r="E116" s="9" t="s">
        <v>222</v>
      </c>
      <c r="F116" s="9">
        <v>296.0</v>
      </c>
      <c r="G116" s="13">
        <v>89.4</v>
      </c>
      <c r="H116" s="13">
        <v>10.9</v>
      </c>
      <c r="I116" s="15"/>
      <c r="J116" s="15"/>
      <c r="K116" s="15"/>
      <c r="L116" s="15"/>
      <c r="M116" s="15"/>
      <c r="N116" s="21">
        <v>0.894</v>
      </c>
      <c r="O116" s="9" t="s">
        <v>101</v>
      </c>
      <c r="P116" s="9" t="s">
        <v>101</v>
      </c>
      <c r="Q116" s="9" t="s">
        <v>101</v>
      </c>
      <c r="R116" s="9" t="s">
        <v>101</v>
      </c>
      <c r="S116" s="9" t="s">
        <v>101</v>
      </c>
      <c r="T116" s="9" t="s">
        <v>101</v>
      </c>
      <c r="U116" s="9" t="s">
        <v>101</v>
      </c>
      <c r="V116" s="15">
        <v>0.634</v>
      </c>
      <c r="W116" s="15"/>
      <c r="X116" s="15"/>
      <c r="Y116" s="15">
        <v>0.402</v>
      </c>
      <c r="Z116" s="15"/>
      <c r="AA116" s="15"/>
      <c r="AB116" s="15"/>
      <c r="AC116" s="15"/>
      <c r="AD116" s="15"/>
      <c r="AE116" s="19"/>
      <c r="AF116" s="19"/>
      <c r="AG116" s="7" t="s">
        <v>109</v>
      </c>
      <c r="AH116" s="13">
        <f>iferror(VLOOKUP($B116,covariates!$B$3:$Z$1126,6,FALSE),"")</f>
        <v>24.8</v>
      </c>
      <c r="AI116" s="13">
        <f>iferror(VLOOKUP($B116,covariates!$B$3:$Z$1126,7,FALSE),"")</f>
        <v>4.4</v>
      </c>
      <c r="AJ116" s="9">
        <f>iferror(VLOOKUP($B116,covariates!$B$3:$Z$1126,14,FALSE),"")</f>
        <v>214</v>
      </c>
      <c r="AK116" s="9">
        <f>iferror(VLOOKUP($B116,covariates!$B$3:$Z$1126,16,FALSE),"")</f>
        <v>69</v>
      </c>
      <c r="AL116" s="9">
        <f>iferror(VLOOKUP($B116,covariates!$B$3:$Z$1126,18,FALSE),"")</f>
        <v>61.5</v>
      </c>
      <c r="AM116" s="9">
        <f>iferror(VLOOKUP($B116,covariates!$B$3:$Z$1126,19,FALSE),"")</f>
        <v>5.1</v>
      </c>
    </row>
    <row r="117">
      <c r="A117" s="15">
        <v>87.0</v>
      </c>
      <c r="B117" s="17" t="str">
        <f t="shared" si="61"/>
        <v>Sonnery-cottet et al., 2026</v>
      </c>
      <c r="C117" s="9" t="s">
        <v>84</v>
      </c>
      <c r="D117" s="7" t="s">
        <v>220</v>
      </c>
      <c r="E117" s="9" t="s">
        <v>222</v>
      </c>
      <c r="F117" s="9">
        <v>297.0</v>
      </c>
      <c r="G117" s="13">
        <v>91.0</v>
      </c>
      <c r="H117" s="13">
        <v>10.3</v>
      </c>
      <c r="I117" s="15"/>
      <c r="J117" s="15"/>
      <c r="K117" s="15"/>
      <c r="L117" s="15"/>
      <c r="M117" s="15"/>
      <c r="N117" s="21">
        <v>0.91</v>
      </c>
      <c r="O117" s="9" t="s">
        <v>101</v>
      </c>
      <c r="P117" s="9" t="s">
        <v>101</v>
      </c>
      <c r="Q117" s="9" t="s">
        <v>101</v>
      </c>
      <c r="R117" s="9" t="s">
        <v>101</v>
      </c>
      <c r="S117" s="9" t="s">
        <v>101</v>
      </c>
      <c r="T117" s="9" t="s">
        <v>101</v>
      </c>
      <c r="U117" s="9" t="s">
        <v>101</v>
      </c>
      <c r="V117" s="15">
        <v>0.598</v>
      </c>
      <c r="W117" s="15"/>
      <c r="X117" s="15"/>
      <c r="Y117" s="15">
        <v>0.358</v>
      </c>
      <c r="Z117" s="15"/>
      <c r="AA117" s="15"/>
      <c r="AB117" s="15"/>
      <c r="AC117" s="15"/>
      <c r="AD117" s="15"/>
      <c r="AE117" s="19"/>
      <c r="AF117" s="19"/>
      <c r="AG117" s="7" t="s">
        <v>109</v>
      </c>
      <c r="AH117" s="13">
        <f>iferror(VLOOKUP($B117,covariates!$B$3:$Z$1126,6,FALSE),"")</f>
        <v>24.8</v>
      </c>
      <c r="AI117" s="13">
        <f>iferror(VLOOKUP($B117,covariates!$B$3:$Z$1126,7,FALSE),"")</f>
        <v>4.4</v>
      </c>
      <c r="AJ117" s="9">
        <f>iferror(VLOOKUP($B117,covariates!$B$3:$Z$1126,14,FALSE),"")</f>
        <v>214</v>
      </c>
      <c r="AK117" s="9">
        <f>iferror(VLOOKUP($B117,covariates!$B$3:$Z$1126,16,FALSE),"")</f>
        <v>69</v>
      </c>
      <c r="AL117" s="9">
        <f>iferror(VLOOKUP($B117,covariates!$B$3:$Z$1126,18,FALSE),"")</f>
        <v>61.5</v>
      </c>
      <c r="AM117" s="9">
        <f>iferror(VLOOKUP($B117,covariates!$B$3:$Z$1126,19,FALSE),"")</f>
        <v>5.1</v>
      </c>
    </row>
    <row r="118">
      <c r="A118" s="15">
        <v>89.0</v>
      </c>
      <c r="B118" s="17" t="str">
        <f t="shared" ref="B118:B119" si="62">HYPERLINK("https://github.com/d-wkim/phd/blob/main/data/pdf/tang_2023.pdf","Tang et al., 2023")</f>
        <v>Tang et al., 2023</v>
      </c>
      <c r="C118" s="9" t="s">
        <v>84</v>
      </c>
      <c r="D118" s="7" t="s">
        <v>220</v>
      </c>
      <c r="E118" s="9" t="s">
        <v>222</v>
      </c>
      <c r="F118" s="9">
        <v>16.0</v>
      </c>
      <c r="G118" s="13">
        <v>90.13</v>
      </c>
      <c r="H118" s="13">
        <v>6.99</v>
      </c>
      <c r="I118" s="15"/>
      <c r="J118" s="15"/>
      <c r="K118" s="9">
        <v>92.5</v>
      </c>
      <c r="L118" s="15"/>
      <c r="M118" s="15"/>
      <c r="N118" s="21">
        <v>0.9013</v>
      </c>
      <c r="O118" s="9" t="s">
        <v>101</v>
      </c>
      <c r="P118" s="9" t="s">
        <v>101</v>
      </c>
      <c r="Q118" s="9" t="s">
        <v>101</v>
      </c>
      <c r="R118" s="9" t="s">
        <v>101</v>
      </c>
      <c r="S118" s="9" t="s">
        <v>101</v>
      </c>
      <c r="T118" s="9" t="s">
        <v>101</v>
      </c>
      <c r="U118" s="9" t="s">
        <v>101</v>
      </c>
      <c r="V118" s="15">
        <v>1.748</v>
      </c>
      <c r="W118" s="15"/>
      <c r="X118" s="15"/>
      <c r="Y118" s="15">
        <v>3.056</v>
      </c>
      <c r="Z118" s="15"/>
      <c r="AA118" s="15"/>
      <c r="AB118" s="15"/>
      <c r="AC118" s="15"/>
      <c r="AD118" s="15"/>
      <c r="AE118" s="19"/>
      <c r="AF118" s="19"/>
      <c r="AG118" s="7" t="s">
        <v>109</v>
      </c>
      <c r="AH118" s="13">
        <f>iferror(VLOOKUP($B118,covariates!$B$3:$Z$1126,6,FALSE),"")</f>
        <v>28.31</v>
      </c>
      <c r="AI118" s="13">
        <f>iferror(VLOOKUP($B118,covariates!$B$3:$Z$1126,7,FALSE),"")</f>
        <v>8.55</v>
      </c>
      <c r="AJ118" s="9">
        <f>iferror(VLOOKUP($B118,covariates!$B$3:$Z$1126,14,FALSE),"")</f>
        <v>13</v>
      </c>
      <c r="AK118" s="9">
        <f>iferror(VLOOKUP($B118,covariates!$B$3:$Z$1126,16,FALSE),"")</f>
        <v>3</v>
      </c>
      <c r="AL118" s="9">
        <f>iferror(VLOOKUP($B118,covariates!$B$3:$Z$1126,18,FALSE),"")</f>
        <v>24</v>
      </c>
      <c r="AM118" s="9">
        <f>iferror(VLOOKUP($B118,covariates!$B$3:$Z$1126,19,FALSE),"")</f>
        <v>2</v>
      </c>
    </row>
    <row r="119">
      <c r="A119" s="15">
        <v>89.0</v>
      </c>
      <c r="B119" s="17" t="str">
        <f t="shared" si="62"/>
        <v>Tang et al., 2023</v>
      </c>
      <c r="C119" s="9" t="s">
        <v>200</v>
      </c>
      <c r="D119" s="7" t="s">
        <v>220</v>
      </c>
      <c r="E119" s="9" t="s">
        <v>222</v>
      </c>
      <c r="F119" s="9">
        <v>17.0</v>
      </c>
      <c r="G119" s="13">
        <v>87.12</v>
      </c>
      <c r="H119" s="13">
        <v>6.61</v>
      </c>
      <c r="I119" s="15"/>
      <c r="J119" s="15"/>
      <c r="K119" s="9">
        <v>90.0</v>
      </c>
      <c r="L119" s="15"/>
      <c r="M119" s="15"/>
      <c r="N119" s="21">
        <v>0.8712000000000001</v>
      </c>
      <c r="O119" s="9" t="s">
        <v>101</v>
      </c>
      <c r="P119" s="9" t="s">
        <v>101</v>
      </c>
      <c r="Q119" s="9" t="s">
        <v>101</v>
      </c>
      <c r="R119" s="9" t="s">
        <v>101</v>
      </c>
      <c r="S119" s="9" t="s">
        <v>101</v>
      </c>
      <c r="T119" s="9" t="s">
        <v>101</v>
      </c>
      <c r="U119" s="9" t="s">
        <v>101</v>
      </c>
      <c r="V119" s="15">
        <v>1.603</v>
      </c>
      <c r="W119" s="15"/>
      <c r="X119" s="15"/>
      <c r="Y119" s="15">
        <v>2.57</v>
      </c>
      <c r="Z119" s="19"/>
      <c r="AA119" s="19"/>
      <c r="AB119" s="19"/>
      <c r="AC119" s="19"/>
      <c r="AD119" s="19"/>
      <c r="AE119" s="19"/>
      <c r="AF119" s="19"/>
      <c r="AG119" s="7" t="s">
        <v>109</v>
      </c>
      <c r="AH119" s="13">
        <f>iferror(VLOOKUP($B119,covariates!$B$3:$Z$1126,6,FALSE),"")</f>
        <v>28.31</v>
      </c>
      <c r="AI119" s="13">
        <f>iferror(VLOOKUP($B119,covariates!$B$3:$Z$1126,7,FALSE),"")</f>
        <v>8.55</v>
      </c>
      <c r="AJ119" s="9">
        <f>iferror(VLOOKUP($B119,covariates!$B$3:$Z$1126,14,FALSE),"")</f>
        <v>13</v>
      </c>
      <c r="AK119" s="9">
        <f>iferror(VLOOKUP($B119,covariates!$B$3:$Z$1126,16,FALSE),"")</f>
        <v>3</v>
      </c>
      <c r="AL119" s="9">
        <f>iferror(VLOOKUP($B119,covariates!$B$3:$Z$1126,18,FALSE),"")</f>
        <v>24</v>
      </c>
      <c r="AM119" s="9">
        <f>iferror(VLOOKUP($B119,covariates!$B$3:$Z$1126,19,FALSE),"")</f>
        <v>2</v>
      </c>
    </row>
    <row r="120">
      <c r="A120" s="15">
        <v>93.0</v>
      </c>
      <c r="B120" s="17" t="str">
        <f t="shared" ref="B120:B121" si="63">HYPERLINK("https://github.com/d-wkim/phd/blob/main/data/pdf/vilchez-cavazos_2020.pdf","Vilchez-cavazos et al., 2020")</f>
        <v>Vilchez-cavazos et al., 2020</v>
      </c>
      <c r="C120" s="9" t="s">
        <v>42</v>
      </c>
      <c r="D120" s="7" t="s">
        <v>220</v>
      </c>
      <c r="E120" s="9" t="s">
        <v>222</v>
      </c>
      <c r="F120" s="9">
        <v>14.0</v>
      </c>
      <c r="G120" s="13">
        <v>90.0</v>
      </c>
      <c r="H120" s="13">
        <f t="shared" ref="H120:H121" si="64">iferror(RANGE_SD(F120,J120,L120),"")</f>
        <v>1.757</v>
      </c>
      <c r="I120" s="15"/>
      <c r="J120" s="9">
        <v>87.0</v>
      </c>
      <c r="K120" s="13">
        <v>90.0</v>
      </c>
      <c r="L120" s="9">
        <v>93.0</v>
      </c>
      <c r="M120" s="15"/>
      <c r="N120" s="21">
        <v>0.9</v>
      </c>
      <c r="O120" s="9" t="s">
        <v>101</v>
      </c>
      <c r="P120" s="9" t="s">
        <v>101</v>
      </c>
      <c r="Q120" s="9" t="s">
        <v>101</v>
      </c>
      <c r="R120" s="9" t="s">
        <v>101</v>
      </c>
      <c r="S120" s="9" t="s">
        <v>101</v>
      </c>
      <c r="T120" s="9" t="s">
        <v>101</v>
      </c>
      <c r="U120" s="9" t="s">
        <v>101</v>
      </c>
      <c r="V120" s="15">
        <v>0.47</v>
      </c>
      <c r="W120" s="15"/>
      <c r="X120" s="15"/>
      <c r="Y120" s="15">
        <v>0.221</v>
      </c>
      <c r="Z120" s="15"/>
      <c r="AA120" s="15"/>
      <c r="AB120" s="15"/>
      <c r="AC120" s="15"/>
      <c r="AD120" s="15"/>
      <c r="AE120" s="19"/>
      <c r="AF120" s="19"/>
      <c r="AG120" s="7" t="s">
        <v>109</v>
      </c>
      <c r="AH120" s="13">
        <f>iferror(VLOOKUP($B120,covariates!$B$3:$Z$1126,6,FALSE),"")</f>
        <v>24.4557</v>
      </c>
      <c r="AI120" s="13">
        <f>iferror(VLOOKUP($B120,covariates!$B$3:$Z$1126,7,FALSE),"")</f>
        <v>8.2374</v>
      </c>
      <c r="AJ120" s="9">
        <f>iferror(VLOOKUP($B120,covariates!$B$3:$Z$1126,14,FALSE),"")</f>
        <v>12</v>
      </c>
      <c r="AK120" s="9">
        <f>iferror(VLOOKUP($B120,covariates!$B$3:$Z$1126,16,FALSE),"")</f>
        <v>3</v>
      </c>
      <c r="AL120" s="9">
        <f>iferror(VLOOKUP($B120,covariates!$B$3:$Z$1126,18,FALSE),"")</f>
        <v>12</v>
      </c>
      <c r="AM120" s="9">
        <f>iferror(VLOOKUP($B120,covariates!$B$3:$Z$1126,19,FALSE),"")</f>
        <v>1</v>
      </c>
    </row>
    <row r="121">
      <c r="A121" s="15">
        <v>93.0</v>
      </c>
      <c r="B121" s="17" t="str">
        <f t="shared" si="63"/>
        <v>Vilchez-cavazos et al., 2020</v>
      </c>
      <c r="C121" s="9" t="s">
        <v>200</v>
      </c>
      <c r="D121" s="7" t="s">
        <v>220</v>
      </c>
      <c r="E121" s="9" t="s">
        <v>222</v>
      </c>
      <c r="F121" s="9">
        <v>14.0</v>
      </c>
      <c r="G121" s="13">
        <v>88.17</v>
      </c>
      <c r="H121" s="13">
        <f t="shared" si="64"/>
        <v>2.489</v>
      </c>
      <c r="I121" s="15"/>
      <c r="J121" s="9">
        <v>83.0</v>
      </c>
      <c r="K121" s="13">
        <v>90.0</v>
      </c>
      <c r="L121" s="9">
        <v>91.5</v>
      </c>
      <c r="M121" s="15"/>
      <c r="N121" s="21">
        <v>0.8817</v>
      </c>
      <c r="O121" s="9" t="s">
        <v>101</v>
      </c>
      <c r="P121" s="9" t="s">
        <v>101</v>
      </c>
      <c r="Q121" s="9" t="s">
        <v>101</v>
      </c>
      <c r="R121" s="9" t="s">
        <v>101</v>
      </c>
      <c r="S121" s="9" t="s">
        <v>101</v>
      </c>
      <c r="T121" s="9" t="s">
        <v>101</v>
      </c>
      <c r="U121" s="9" t="s">
        <v>101</v>
      </c>
      <c r="V121" s="15">
        <v>0.665</v>
      </c>
      <c r="W121" s="15"/>
      <c r="X121" s="15"/>
      <c r="Y121" s="15">
        <v>0.442</v>
      </c>
      <c r="Z121" s="19"/>
      <c r="AA121" s="19"/>
      <c r="AB121" s="19"/>
      <c r="AC121" s="19"/>
      <c r="AD121" s="19"/>
      <c r="AE121" s="19"/>
      <c r="AF121" s="19"/>
      <c r="AG121" s="7" t="s">
        <v>109</v>
      </c>
      <c r="AH121" s="13">
        <f>iferror(VLOOKUP($B121,covariates!$B$3:$Z$1126,6,FALSE),"")</f>
        <v>24.4557</v>
      </c>
      <c r="AI121" s="13">
        <f>iferror(VLOOKUP($B121,covariates!$B$3:$Z$1126,7,FALSE),"")</f>
        <v>8.2374</v>
      </c>
      <c r="AJ121" s="9">
        <f>iferror(VLOOKUP($B121,covariates!$B$3:$Z$1126,14,FALSE),"")</f>
        <v>12</v>
      </c>
      <c r="AK121" s="9">
        <f>iferror(VLOOKUP($B121,covariates!$B$3:$Z$1126,16,FALSE),"")</f>
        <v>3</v>
      </c>
      <c r="AL121" s="9">
        <f>iferror(VLOOKUP($B121,covariates!$B$3:$Z$1126,18,FALSE),"")</f>
        <v>12</v>
      </c>
      <c r="AM121" s="9">
        <f>iferror(VLOOKUP($B121,covariates!$B$3:$Z$1126,19,FALSE),"")</f>
        <v>1</v>
      </c>
    </row>
    <row r="122">
      <c r="A122" s="15">
        <v>96.0</v>
      </c>
      <c r="B122" s="17" t="str">
        <f t="shared" ref="B122:B123" si="65">HYPERLINK("https://github.com/d-wkim/phd/blob/main/data/pdf/wipfler_2011.pdf","Wipfler et al., 2011")</f>
        <v>Wipfler et al., 2011</v>
      </c>
      <c r="C122" s="9" t="s">
        <v>42</v>
      </c>
      <c r="D122" s="7" t="s">
        <v>220</v>
      </c>
      <c r="E122" s="9" t="s">
        <v>222</v>
      </c>
      <c r="F122" s="9">
        <v>29.0</v>
      </c>
      <c r="G122" s="13">
        <v>86.72</v>
      </c>
      <c r="H122" s="13">
        <v>2.271</v>
      </c>
      <c r="I122" s="15"/>
      <c r="J122" s="15"/>
      <c r="K122" s="15"/>
      <c r="L122" s="15"/>
      <c r="M122" s="15"/>
      <c r="N122" s="21">
        <v>0.8672</v>
      </c>
      <c r="O122" s="9" t="s">
        <v>101</v>
      </c>
      <c r="P122" s="9" t="s">
        <v>101</v>
      </c>
      <c r="Q122" s="9" t="s">
        <v>101</v>
      </c>
      <c r="R122" s="9" t="s">
        <v>101</v>
      </c>
      <c r="S122" s="9" t="s">
        <v>101</v>
      </c>
      <c r="T122" s="9" t="s">
        <v>101</v>
      </c>
      <c r="U122" s="9" t="s">
        <v>101</v>
      </c>
      <c r="V122" s="15">
        <v>0.422</v>
      </c>
      <c r="W122" s="15"/>
      <c r="X122" s="15"/>
      <c r="Y122" s="15">
        <v>0.178</v>
      </c>
      <c r="Z122" s="15"/>
      <c r="AA122" s="15"/>
      <c r="AB122" s="15"/>
      <c r="AC122" s="15"/>
      <c r="AD122" s="15"/>
      <c r="AE122" s="19"/>
      <c r="AF122" s="19"/>
      <c r="AG122" s="7" t="s">
        <v>109</v>
      </c>
      <c r="AH122" s="13">
        <f>iferror(VLOOKUP($B122,covariates!$B$3:$Z$1126,6,FALSE),"")</f>
        <v>29.87</v>
      </c>
      <c r="AI122" s="13">
        <f>iferror(VLOOKUP($B122,covariates!$B$3:$Z$1126,7,FALSE),"")</f>
        <v>7.304</v>
      </c>
      <c r="AJ122" s="9">
        <f>iferror(VLOOKUP($B122,covariates!$B$3:$Z$1126,14,FALSE),"")</f>
        <v>19</v>
      </c>
      <c r="AK122" s="9">
        <f>iferror(VLOOKUP($B122,covariates!$B$3:$Z$1126,16,FALSE),"")</f>
        <v>12</v>
      </c>
      <c r="AL122" s="9">
        <f>iferror(VLOOKUP($B122,covariates!$B$3:$Z$1126,18,FALSE),"")</f>
        <v>108</v>
      </c>
      <c r="AM122" s="9">
        <f>iferror(VLOOKUP($B122,covariates!$B$3:$Z$1126,19,FALSE),"")</f>
        <v>9</v>
      </c>
    </row>
    <row r="123">
      <c r="A123" s="15">
        <v>96.0</v>
      </c>
      <c r="B123" s="17" t="str">
        <f t="shared" si="65"/>
        <v>Wipfler et al., 2011</v>
      </c>
      <c r="C123" s="9" t="s">
        <v>84</v>
      </c>
      <c r="D123" s="7" t="s">
        <v>220</v>
      </c>
      <c r="E123" s="9" t="s">
        <v>222</v>
      </c>
      <c r="F123" s="9">
        <v>25.0</v>
      </c>
      <c r="G123" s="13">
        <v>92.95</v>
      </c>
      <c r="H123" s="13">
        <v>1.992</v>
      </c>
      <c r="I123" s="15"/>
      <c r="J123" s="15"/>
      <c r="K123" s="15"/>
      <c r="L123" s="15"/>
      <c r="M123" s="15"/>
      <c r="N123" s="21">
        <v>0.9295</v>
      </c>
      <c r="O123" s="9" t="s">
        <v>101</v>
      </c>
      <c r="P123" s="9" t="s">
        <v>101</v>
      </c>
      <c r="Q123" s="9" t="s">
        <v>101</v>
      </c>
      <c r="R123" s="9" t="s">
        <v>101</v>
      </c>
      <c r="S123" s="9" t="s">
        <v>101</v>
      </c>
      <c r="T123" s="9" t="s">
        <v>101</v>
      </c>
      <c r="U123" s="9" t="s">
        <v>101</v>
      </c>
      <c r="V123" s="15">
        <v>0.398</v>
      </c>
      <c r="W123" s="15"/>
      <c r="X123" s="15"/>
      <c r="Y123" s="15">
        <v>0.158</v>
      </c>
      <c r="Z123" s="15"/>
      <c r="AA123" s="15"/>
      <c r="AB123" s="15"/>
      <c r="AC123" s="15"/>
      <c r="AD123" s="15"/>
      <c r="AE123" s="19"/>
      <c r="AF123" s="19"/>
      <c r="AG123" s="7" t="s">
        <v>109</v>
      </c>
      <c r="AH123" s="13">
        <f>iferror(VLOOKUP($B123,covariates!$B$3:$Z$1126,6,FALSE),"")</f>
        <v>29.87</v>
      </c>
      <c r="AI123" s="13">
        <f>iferror(VLOOKUP($B123,covariates!$B$3:$Z$1126,7,FALSE),"")</f>
        <v>7.304</v>
      </c>
      <c r="AJ123" s="9">
        <f>iferror(VLOOKUP($B123,covariates!$B$3:$Z$1126,14,FALSE),"")</f>
        <v>19</v>
      </c>
      <c r="AK123" s="9">
        <f>iferror(VLOOKUP($B123,covariates!$B$3:$Z$1126,16,FALSE),"")</f>
        <v>12</v>
      </c>
      <c r="AL123" s="9">
        <f>iferror(VLOOKUP($B123,covariates!$B$3:$Z$1126,18,FALSE),"")</f>
        <v>108</v>
      </c>
      <c r="AM123" s="9">
        <f>iferror(VLOOKUP($B123,covariates!$B$3:$Z$1126,19,FALSE),"")</f>
        <v>9</v>
      </c>
    </row>
    <row r="124">
      <c r="A124" s="15">
        <v>100.0</v>
      </c>
      <c r="B124" s="17" t="str">
        <f t="shared" ref="B124:B125" si="66">HYPERLINK("https://github.com/d-wkim/phd/blob/main/data/pdf/zaffagnini_2011.pdf","Zaffagnini et al., 2011")</f>
        <v>Zaffagnini et al., 2011</v>
      </c>
      <c r="C124" s="9" t="s">
        <v>42</v>
      </c>
      <c r="D124" s="7" t="s">
        <v>220</v>
      </c>
      <c r="E124" s="9" t="s">
        <v>222</v>
      </c>
      <c r="F124" s="9">
        <v>40.0</v>
      </c>
      <c r="G124" s="13">
        <v>82.0</v>
      </c>
      <c r="H124" s="13">
        <v>20.0</v>
      </c>
      <c r="I124" s="15"/>
      <c r="J124" s="15"/>
      <c r="K124" s="15"/>
      <c r="L124" s="15"/>
      <c r="M124" s="15"/>
      <c r="N124" s="21">
        <v>0.82</v>
      </c>
      <c r="O124" s="9" t="s">
        <v>101</v>
      </c>
      <c r="P124" s="9" t="s">
        <v>101</v>
      </c>
      <c r="Q124" s="9" t="s">
        <v>101</v>
      </c>
      <c r="R124" s="9" t="s">
        <v>101</v>
      </c>
      <c r="S124" s="9" t="s">
        <v>101</v>
      </c>
      <c r="T124" s="9" t="s">
        <v>101</v>
      </c>
      <c r="U124" s="9" t="s">
        <v>101</v>
      </c>
      <c r="V124" s="15">
        <v>3.162</v>
      </c>
      <c r="W124" s="15"/>
      <c r="X124" s="15"/>
      <c r="Y124" s="15">
        <v>9.998</v>
      </c>
      <c r="Z124" s="15"/>
      <c r="AA124" s="15"/>
      <c r="AB124" s="15"/>
      <c r="AC124" s="15"/>
      <c r="AD124" s="15"/>
      <c r="AE124" s="19"/>
      <c r="AF124" s="19"/>
      <c r="AG124" s="7" t="s">
        <v>109</v>
      </c>
      <c r="AH124" s="13">
        <f>iferror(VLOOKUP($B124,covariates!$B$3:$Z$1126,6,FALSE),"")</f>
        <v>26</v>
      </c>
      <c r="AI124" s="13">
        <f>iferror(VLOOKUP($B124,covariates!$B$3:$Z$1126,7,FALSE),"")</f>
        <v>9.5</v>
      </c>
      <c r="AJ124" s="9">
        <f>iferror(VLOOKUP($B124,covariates!$B$3:$Z$1126,14,FALSE),"")</f>
        <v>20</v>
      </c>
      <c r="AK124" s="9">
        <f>iferror(VLOOKUP($B124,covariates!$B$3:$Z$1126,16,FALSE),"")</f>
        <v>19</v>
      </c>
      <c r="AL124" s="9">
        <f>iferror(VLOOKUP($B124,covariates!$B$3:$Z$1126,18,FALSE),"")</f>
        <v>103.2</v>
      </c>
      <c r="AM124" s="9">
        <f>iferror(VLOOKUP($B124,covariates!$B$3:$Z$1126,19,FALSE),"")</f>
        <v>8.6</v>
      </c>
    </row>
    <row r="125">
      <c r="A125" s="15">
        <v>100.0</v>
      </c>
      <c r="B125" s="17" t="str">
        <f t="shared" si="66"/>
        <v>Zaffagnini et al., 2011</v>
      </c>
      <c r="C125" s="9" t="s">
        <v>84</v>
      </c>
      <c r="D125" s="7" t="s">
        <v>220</v>
      </c>
      <c r="E125" s="9" t="s">
        <v>222</v>
      </c>
      <c r="F125" s="9">
        <v>39.0</v>
      </c>
      <c r="G125" s="13">
        <v>88.0</v>
      </c>
      <c r="H125" s="13">
        <v>9.0</v>
      </c>
      <c r="I125" s="15"/>
      <c r="J125" s="15"/>
      <c r="K125" s="15"/>
      <c r="L125" s="15"/>
      <c r="M125" s="15"/>
      <c r="N125" s="21">
        <v>0.88</v>
      </c>
      <c r="O125" s="9" t="s">
        <v>101</v>
      </c>
      <c r="P125" s="9" t="s">
        <v>101</v>
      </c>
      <c r="Q125" s="9" t="s">
        <v>101</v>
      </c>
      <c r="R125" s="9" t="s">
        <v>101</v>
      </c>
      <c r="S125" s="9" t="s">
        <v>101</v>
      </c>
      <c r="T125" s="9" t="s">
        <v>101</v>
      </c>
      <c r="U125" s="9" t="s">
        <v>101</v>
      </c>
      <c r="V125" s="15">
        <v>1.441</v>
      </c>
      <c r="W125" s="15"/>
      <c r="X125" s="15"/>
      <c r="Y125" s="15">
        <v>2.076</v>
      </c>
      <c r="Z125" s="15"/>
      <c r="AA125" s="15"/>
      <c r="AB125" s="15"/>
      <c r="AC125" s="15"/>
      <c r="AD125" s="15"/>
      <c r="AE125" s="19"/>
      <c r="AF125" s="19"/>
      <c r="AG125" s="7" t="s">
        <v>109</v>
      </c>
      <c r="AH125" s="13">
        <f>iferror(VLOOKUP($B125,covariates!$B$3:$Z$1126,6,FALSE),"")</f>
        <v>26</v>
      </c>
      <c r="AI125" s="13">
        <f>iferror(VLOOKUP($B125,covariates!$B$3:$Z$1126,7,FALSE),"")</f>
        <v>9.5</v>
      </c>
      <c r="AJ125" s="9">
        <f>iferror(VLOOKUP($B125,covariates!$B$3:$Z$1126,14,FALSE),"")</f>
        <v>20</v>
      </c>
      <c r="AK125" s="9">
        <f>iferror(VLOOKUP($B125,covariates!$B$3:$Z$1126,16,FALSE),"")</f>
        <v>19</v>
      </c>
      <c r="AL125" s="9">
        <f>iferror(VLOOKUP($B125,covariates!$B$3:$Z$1126,18,FALSE),"")</f>
        <v>103.2</v>
      </c>
      <c r="AM125" s="9">
        <f>iferror(VLOOKUP($B125,covariates!$B$3:$Z$1126,19,FALSE),"")</f>
        <v>8.6</v>
      </c>
    </row>
    <row r="126">
      <c r="A126" s="15">
        <v>2.0</v>
      </c>
      <c r="B126" s="17" t="str">
        <f t="shared" ref="B126:B127" si="67">HYPERLINK("https://github.com/d-wkim/phd/blob/main/data/pdf/aglietti_2004.pdf","Aglietti et al., 2004")</f>
        <v>Aglietti et al., 2004</v>
      </c>
      <c r="C126" s="9" t="s">
        <v>42</v>
      </c>
      <c r="D126" s="7" t="s">
        <v>317</v>
      </c>
      <c r="E126" s="9" t="s">
        <v>222</v>
      </c>
      <c r="F126" s="9">
        <v>60.0</v>
      </c>
      <c r="G126" s="13">
        <v>2.2</v>
      </c>
      <c r="H126" s="13">
        <f t="shared" ref="H126:H127" si="68">iferror(RANGE_SD(F126,I126,M126),"")</f>
        <v>1.081</v>
      </c>
      <c r="I126" s="9">
        <v>0.0</v>
      </c>
      <c r="J126" s="15"/>
      <c r="K126" s="15"/>
      <c r="L126" s="15"/>
      <c r="M126" s="9">
        <v>5.0</v>
      </c>
      <c r="N126" s="21">
        <v>0.22000000000000003</v>
      </c>
      <c r="O126" s="9" t="s">
        <v>101</v>
      </c>
      <c r="P126" s="9" t="s">
        <v>101</v>
      </c>
      <c r="Q126" s="9" t="s">
        <v>101</v>
      </c>
      <c r="R126" s="9" t="s">
        <v>101</v>
      </c>
      <c r="S126" s="9" t="s">
        <v>101</v>
      </c>
      <c r="T126" s="9" t="s">
        <v>101</v>
      </c>
      <c r="U126" s="9" t="s">
        <v>101</v>
      </c>
      <c r="V126" s="15">
        <v>0.14</v>
      </c>
      <c r="W126" s="15"/>
      <c r="X126" s="15"/>
      <c r="Y126" s="15">
        <v>0.02</v>
      </c>
      <c r="Z126" s="15"/>
      <c r="AA126" s="15"/>
      <c r="AB126" s="15"/>
      <c r="AC126" s="15"/>
      <c r="AD126" s="15"/>
      <c r="AE126" s="19"/>
      <c r="AF126" s="19"/>
      <c r="AG126" s="7" t="s">
        <v>109</v>
      </c>
      <c r="AH126" s="13">
        <f>iferror(VLOOKUP($B126,covariates!$B$3:$Z$1126,6,FALSE),"")</f>
        <v>25</v>
      </c>
      <c r="AI126" s="13">
        <f>iferror(VLOOKUP($B126,covariates!$B$3:$Z$1126,7,FALSE),"")</f>
        <v>4.973</v>
      </c>
      <c r="AJ126" s="9">
        <f>iferror(VLOOKUP($B126,covariates!$B$3:$Z$1126,14,FALSE),"")</f>
        <v>46</v>
      </c>
      <c r="AK126" s="9">
        <f>iferror(VLOOKUP($B126,covariates!$B$3:$Z$1126,16,FALSE),"")</f>
        <v>14</v>
      </c>
      <c r="AL126" s="9">
        <f>iferror(VLOOKUP($B126,covariates!$B$3:$Z$1126,18,FALSE),"")</f>
        <v>24</v>
      </c>
      <c r="AM126" s="9">
        <f>iferror(VLOOKUP($B126,covariates!$B$3:$Z$1126,19,FALSE),"")</f>
        <v>2</v>
      </c>
    </row>
    <row r="127">
      <c r="A127" s="15">
        <v>2.0</v>
      </c>
      <c r="B127" s="17" t="str">
        <f t="shared" si="67"/>
        <v>Aglietti et al., 2004</v>
      </c>
      <c r="C127" s="9" t="s">
        <v>84</v>
      </c>
      <c r="D127" s="7" t="s">
        <v>317</v>
      </c>
      <c r="E127" s="9" t="s">
        <v>222</v>
      </c>
      <c r="F127" s="9">
        <v>60.0</v>
      </c>
      <c r="G127" s="13">
        <v>1.95</v>
      </c>
      <c r="H127" s="13">
        <f t="shared" si="68"/>
        <v>1.297</v>
      </c>
      <c r="I127" s="9">
        <v>-1.0</v>
      </c>
      <c r="J127" s="15"/>
      <c r="K127" s="15"/>
      <c r="L127" s="15"/>
      <c r="M127" s="9">
        <v>5.0</v>
      </c>
      <c r="N127" s="21">
        <v>0.195</v>
      </c>
      <c r="O127" s="9" t="s">
        <v>101</v>
      </c>
      <c r="P127" s="9" t="s">
        <v>101</v>
      </c>
      <c r="Q127" s="9" t="s">
        <v>101</v>
      </c>
      <c r="R127" s="9" t="s">
        <v>101</v>
      </c>
      <c r="S127" s="9" t="s">
        <v>101</v>
      </c>
      <c r="T127" s="9" t="s">
        <v>101</v>
      </c>
      <c r="U127" s="9" t="s">
        <v>101</v>
      </c>
      <c r="V127" s="15">
        <v>0.167</v>
      </c>
      <c r="W127" s="15"/>
      <c r="X127" s="15"/>
      <c r="Y127" s="15">
        <v>0.028</v>
      </c>
      <c r="Z127" s="15"/>
      <c r="AA127" s="15"/>
      <c r="AB127" s="15"/>
      <c r="AC127" s="15"/>
      <c r="AD127" s="15"/>
      <c r="AE127" s="19"/>
      <c r="AF127" s="19"/>
      <c r="AG127" s="7" t="s">
        <v>109</v>
      </c>
      <c r="AH127" s="13">
        <f>iferror(VLOOKUP($B127,covariates!$B$3:$Z$1126,6,FALSE),"")</f>
        <v>25</v>
      </c>
      <c r="AI127" s="13">
        <f>iferror(VLOOKUP($B127,covariates!$B$3:$Z$1126,7,FALSE),"")</f>
        <v>4.973</v>
      </c>
      <c r="AJ127" s="9">
        <f>iferror(VLOOKUP($B127,covariates!$B$3:$Z$1126,14,FALSE),"")</f>
        <v>46</v>
      </c>
      <c r="AK127" s="9">
        <f>iferror(VLOOKUP($B127,covariates!$B$3:$Z$1126,16,FALSE),"")</f>
        <v>14</v>
      </c>
      <c r="AL127" s="9">
        <f>iferror(VLOOKUP($B127,covariates!$B$3:$Z$1126,18,FALSE),"")</f>
        <v>24</v>
      </c>
      <c r="AM127" s="9">
        <f>iferror(VLOOKUP($B127,covariates!$B$3:$Z$1126,19,FALSE),"")</f>
        <v>2</v>
      </c>
    </row>
    <row r="128">
      <c r="A128" s="15">
        <v>3.0</v>
      </c>
      <c r="B128" s="17" t="str">
        <f t="shared" ref="B128:B129" si="69">HYPERLINK("https://github.com/d-wkim/phd/blob/main/data/pdf/ahldén_2009.pdf","Ahldén et al., 2009")</f>
        <v>Ahldén et al., 2009</v>
      </c>
      <c r="C128" s="9" t="s">
        <v>42</v>
      </c>
      <c r="D128" s="7" t="s">
        <v>317</v>
      </c>
      <c r="E128" s="9" t="s">
        <v>222</v>
      </c>
      <c r="F128" s="9">
        <v>25.0</v>
      </c>
      <c r="G128" s="13">
        <v>2.6</v>
      </c>
      <c r="H128" s="13">
        <v>3.3</v>
      </c>
      <c r="I128" s="15"/>
      <c r="J128" s="15"/>
      <c r="K128" s="15"/>
      <c r="L128" s="15"/>
      <c r="M128" s="15"/>
      <c r="N128" s="21">
        <v>0.26</v>
      </c>
      <c r="O128" s="9" t="s">
        <v>101</v>
      </c>
      <c r="P128" s="9" t="s">
        <v>101</v>
      </c>
      <c r="Q128" s="9" t="s">
        <v>101</v>
      </c>
      <c r="R128" s="9" t="s">
        <v>101</v>
      </c>
      <c r="S128" s="9" t="s">
        <v>101</v>
      </c>
      <c r="T128" s="9" t="s">
        <v>101</v>
      </c>
      <c r="U128" s="9" t="s">
        <v>101</v>
      </c>
      <c r="V128" s="15">
        <v>0.66</v>
      </c>
      <c r="W128" s="15"/>
      <c r="X128" s="15"/>
      <c r="Y128" s="15">
        <v>0.436</v>
      </c>
      <c r="Z128" s="15"/>
      <c r="AA128" s="15"/>
      <c r="AB128" s="15"/>
      <c r="AC128" s="15"/>
      <c r="AD128" s="15"/>
      <c r="AE128" s="19"/>
      <c r="AF128" s="19"/>
      <c r="AG128" s="7" t="s">
        <v>109</v>
      </c>
      <c r="AH128" s="13">
        <f>iferror(VLOOKUP($B128,covariates!$B$3:$Z$1126,6,FALSE),"")</f>
        <v>27.41260836</v>
      </c>
      <c r="AI128" s="13">
        <f>iferror(VLOOKUP($B128,covariates!$B$3:$Z$1126,7,FALSE),"")</f>
        <v>8.902</v>
      </c>
      <c r="AJ128" s="9">
        <f>iferror(VLOOKUP($B128,covariates!$B$3:$Z$1126,14,FALSE),"")</f>
        <v>14</v>
      </c>
      <c r="AK128" s="9">
        <f>iferror(VLOOKUP($B128,covariates!$B$3:$Z$1126,16,FALSE),"")</f>
        <v>8</v>
      </c>
      <c r="AL128" s="9">
        <f>iferror(VLOOKUP($B128,covariates!$B$3:$Z$1126,18,FALSE),"")</f>
        <v>90.27134752</v>
      </c>
      <c r="AM128" s="9">
        <f>iferror(VLOOKUP($B128,covariates!$B$3:$Z$1126,19,FALSE),"")</f>
        <v>7.5</v>
      </c>
    </row>
    <row r="129">
      <c r="A129" s="15">
        <v>3.0</v>
      </c>
      <c r="B129" s="17" t="str">
        <f t="shared" si="69"/>
        <v>Ahldén et al., 2009</v>
      </c>
      <c r="C129" s="9" t="s">
        <v>84</v>
      </c>
      <c r="D129" s="7" t="s">
        <v>317</v>
      </c>
      <c r="E129" s="9" t="s">
        <v>222</v>
      </c>
      <c r="F129" s="9">
        <v>22.0</v>
      </c>
      <c r="G129" s="13">
        <v>1.4</v>
      </c>
      <c r="H129" s="13">
        <v>2.6</v>
      </c>
      <c r="I129" s="15"/>
      <c r="J129" s="15"/>
      <c r="K129" s="15"/>
      <c r="L129" s="15"/>
      <c r="M129" s="15"/>
      <c r="N129" s="21">
        <v>0.13999999999999999</v>
      </c>
      <c r="O129" s="9" t="s">
        <v>101</v>
      </c>
      <c r="P129" s="9" t="s">
        <v>101</v>
      </c>
      <c r="Q129" s="9" t="s">
        <v>101</v>
      </c>
      <c r="R129" s="9" t="s">
        <v>101</v>
      </c>
      <c r="S129" s="9" t="s">
        <v>101</v>
      </c>
      <c r="T129" s="9" t="s">
        <v>101</v>
      </c>
      <c r="U129" s="9" t="s">
        <v>101</v>
      </c>
      <c r="V129" s="15">
        <v>0.554</v>
      </c>
      <c r="W129" s="15"/>
      <c r="X129" s="15"/>
      <c r="Y129" s="15">
        <v>0.307</v>
      </c>
      <c r="Z129" s="15"/>
      <c r="AA129" s="15"/>
      <c r="AB129" s="15"/>
      <c r="AC129" s="15"/>
      <c r="AD129" s="15"/>
      <c r="AE129" s="19"/>
      <c r="AF129" s="19"/>
      <c r="AG129" s="7" t="s">
        <v>109</v>
      </c>
      <c r="AH129" s="13">
        <f>iferror(VLOOKUP($B129,covariates!$B$3:$Z$1126,6,FALSE),"")</f>
        <v>27.41260836</v>
      </c>
      <c r="AI129" s="13">
        <f>iferror(VLOOKUP($B129,covariates!$B$3:$Z$1126,7,FALSE),"")</f>
        <v>8.902</v>
      </c>
      <c r="AJ129" s="9">
        <f>iferror(VLOOKUP($B129,covariates!$B$3:$Z$1126,14,FALSE),"")</f>
        <v>14</v>
      </c>
      <c r="AK129" s="9">
        <f>iferror(VLOOKUP($B129,covariates!$B$3:$Z$1126,16,FALSE),"")</f>
        <v>8</v>
      </c>
      <c r="AL129" s="9">
        <f>iferror(VLOOKUP($B129,covariates!$B$3:$Z$1126,18,FALSE),"")</f>
        <v>90.27134752</v>
      </c>
      <c r="AM129" s="9">
        <f>iferror(VLOOKUP($B129,covariates!$B$3:$Z$1126,19,FALSE),"")</f>
        <v>7.5</v>
      </c>
    </row>
    <row r="130">
      <c r="A130" s="15">
        <v>4.0</v>
      </c>
      <c r="B130" s="17" t="str">
        <f t="shared" ref="B130:B131" si="70">HYPERLINK("https://github.com/d-wkim/phd/blob/main/data/pdf/akelman_2016.pdf","Akelman et al., 2016")</f>
        <v>Akelman et al., 2016</v>
      </c>
      <c r="C130" s="7" t="s">
        <v>42</v>
      </c>
      <c r="D130" s="7" t="s">
        <v>317</v>
      </c>
      <c r="E130" s="9" t="s">
        <v>222</v>
      </c>
      <c r="F130" s="15"/>
      <c r="G130" s="21"/>
      <c r="H130" s="13"/>
      <c r="I130" s="15"/>
      <c r="J130" s="15"/>
      <c r="K130" s="15"/>
      <c r="L130" s="15"/>
      <c r="M130" s="15"/>
      <c r="N130" s="15"/>
      <c r="O130" s="9" t="s">
        <v>101</v>
      </c>
      <c r="P130" s="9" t="s">
        <v>101</v>
      </c>
      <c r="Q130" s="9" t="s">
        <v>101</v>
      </c>
      <c r="R130" s="9" t="s">
        <v>101</v>
      </c>
      <c r="S130" s="9" t="s">
        <v>101</v>
      </c>
      <c r="T130" s="9" t="s">
        <v>101</v>
      </c>
      <c r="U130" s="9" t="s">
        <v>101</v>
      </c>
      <c r="V130" s="15"/>
      <c r="W130" s="15"/>
      <c r="X130" s="15"/>
      <c r="Y130" s="15"/>
      <c r="Z130" s="15"/>
      <c r="AA130" s="15"/>
      <c r="AB130" s="15"/>
      <c r="AC130" s="15"/>
      <c r="AD130" s="15"/>
      <c r="AE130" s="19"/>
      <c r="AF130" s="19"/>
      <c r="AG130" s="7" t="s">
        <v>174</v>
      </c>
      <c r="AH130" s="13" t="str">
        <f>iferror(VLOOKUP($B130,covariates!$B$3:$Z$1126,6,FALSE),"")</f>
        <v/>
      </c>
      <c r="AI130" s="13" t="str">
        <f>iferror(VLOOKUP($B130,covariates!$B$3:$Z$1126,7,FALSE),"")</f>
        <v/>
      </c>
      <c r="AJ130" s="9" t="str">
        <f>iferror(VLOOKUP($B130,covariates!$B$3:$Z$1126,14,FALSE),"")</f>
        <v/>
      </c>
      <c r="AK130" s="9" t="str">
        <f>iferror(VLOOKUP($B130,covariates!$B$3:$Z$1126,16,FALSE),"")</f>
        <v/>
      </c>
      <c r="AL130" s="9" t="str">
        <f>iferror(VLOOKUP($B130,covariates!$B$3:$Z$1126,18,FALSE),"")</f>
        <v/>
      </c>
      <c r="AM130" s="9" t="str">
        <f>iferror(VLOOKUP($B130,covariates!$B$3:$Z$1126,19,FALSE),"")</f>
        <v/>
      </c>
    </row>
    <row r="131">
      <c r="A131" s="15">
        <v>4.0</v>
      </c>
      <c r="B131" s="17" t="str">
        <f t="shared" si="70"/>
        <v>Akelman et al., 2016</v>
      </c>
      <c r="C131" s="7" t="s">
        <v>84</v>
      </c>
      <c r="D131" s="7" t="s">
        <v>317</v>
      </c>
      <c r="E131" s="9" t="s">
        <v>222</v>
      </c>
      <c r="F131" s="15"/>
      <c r="G131" s="21"/>
      <c r="H131" s="13"/>
      <c r="I131" s="15"/>
      <c r="J131" s="15"/>
      <c r="K131" s="15"/>
      <c r="L131" s="15"/>
      <c r="M131" s="15"/>
      <c r="N131" s="15"/>
      <c r="O131" s="9" t="s">
        <v>101</v>
      </c>
      <c r="P131" s="9" t="s">
        <v>101</v>
      </c>
      <c r="Q131" s="9" t="s">
        <v>101</v>
      </c>
      <c r="R131" s="9" t="s">
        <v>101</v>
      </c>
      <c r="S131" s="9" t="s">
        <v>101</v>
      </c>
      <c r="T131" s="9" t="s">
        <v>101</v>
      </c>
      <c r="U131" s="9" t="s">
        <v>101</v>
      </c>
      <c r="V131" s="15"/>
      <c r="W131" s="15"/>
      <c r="X131" s="15"/>
      <c r="Y131" s="15"/>
      <c r="Z131" s="15"/>
      <c r="AA131" s="15"/>
      <c r="AB131" s="15"/>
      <c r="AC131" s="15"/>
      <c r="AD131" s="15"/>
      <c r="AE131" s="19"/>
      <c r="AF131" s="19"/>
      <c r="AG131" s="7" t="s">
        <v>174</v>
      </c>
      <c r="AH131" s="13" t="str">
        <f>iferror(VLOOKUP($B131,covariates!$B$3:$Z$1126,6,FALSE),"")</f>
        <v/>
      </c>
      <c r="AI131" s="13" t="str">
        <f>iferror(VLOOKUP($B131,covariates!$B$3:$Z$1126,7,FALSE),"")</f>
        <v/>
      </c>
      <c r="AJ131" s="9" t="str">
        <f>iferror(VLOOKUP($B131,covariates!$B$3:$Z$1126,14,FALSE),"")</f>
        <v/>
      </c>
      <c r="AK131" s="9" t="str">
        <f>iferror(VLOOKUP($B131,covariates!$B$3:$Z$1126,16,FALSE),"")</f>
        <v/>
      </c>
      <c r="AL131" s="9" t="str">
        <f>iferror(VLOOKUP($B131,covariates!$B$3:$Z$1126,18,FALSE),"")</f>
        <v/>
      </c>
      <c r="AM131" s="9" t="str">
        <f>iferror(VLOOKUP($B131,covariates!$B$3:$Z$1126,19,FALSE),"")</f>
        <v/>
      </c>
    </row>
    <row r="132">
      <c r="A132" s="15">
        <v>5.0</v>
      </c>
      <c r="B132" s="17" t="str">
        <f t="shared" ref="B132:B133" si="71">HYPERLINK("https://github.com/d-wkim/phd/blob/main/data/pdf/anderson_2001.pdf","Anderson et al., 2001")</f>
        <v>Anderson et al., 2001</v>
      </c>
      <c r="C132" s="9" t="s">
        <v>42</v>
      </c>
      <c r="D132" s="7" t="s">
        <v>317</v>
      </c>
      <c r="E132" s="9" t="s">
        <v>222</v>
      </c>
      <c r="F132" s="9">
        <v>35.0</v>
      </c>
      <c r="G132" s="13">
        <v>2.1</v>
      </c>
      <c r="H132" s="13">
        <v>2.0</v>
      </c>
      <c r="I132" s="15"/>
      <c r="J132" s="15"/>
      <c r="K132" s="15"/>
      <c r="L132" s="15"/>
      <c r="M132" s="15"/>
      <c r="N132" s="21">
        <v>0.21000000000000002</v>
      </c>
      <c r="O132" s="9">
        <v>23.6</v>
      </c>
      <c r="P132" s="9">
        <v>7.132</v>
      </c>
      <c r="Q132" s="9">
        <v>14.0</v>
      </c>
      <c r="R132" s="9" t="s">
        <v>101</v>
      </c>
      <c r="S132" s="9" t="s">
        <v>101</v>
      </c>
      <c r="T132" s="9" t="s">
        <v>101</v>
      </c>
      <c r="U132" s="9">
        <v>44.0</v>
      </c>
      <c r="V132" s="15">
        <v>0.338</v>
      </c>
      <c r="W132" s="15"/>
      <c r="X132" s="15"/>
      <c r="Y132" s="15">
        <v>0.114</v>
      </c>
      <c r="Z132" s="15"/>
      <c r="AA132" s="15"/>
      <c r="AB132" s="15"/>
      <c r="AC132" s="15"/>
      <c r="AD132" s="15"/>
      <c r="AE132" s="19"/>
      <c r="AF132" s="19"/>
      <c r="AG132" s="7" t="s">
        <v>109</v>
      </c>
      <c r="AH132" s="13">
        <f>iferror(VLOOKUP($B132,covariates!$B$3:$Z$1126,6,FALSE),"")</f>
        <v>23.6</v>
      </c>
      <c r="AI132" s="13">
        <f>iferror(VLOOKUP($B132,covariates!$B$3:$Z$1126,7,FALSE),"")</f>
        <v>7.132</v>
      </c>
      <c r="AJ132" s="9">
        <f>iferror(VLOOKUP($B132,covariates!$B$3:$Z$1126,14,FALSE),"")</f>
        <v>23</v>
      </c>
      <c r="AK132" s="9">
        <f>iferror(VLOOKUP($B132,covariates!$B$3:$Z$1126,16,FALSE),"")</f>
        <v>12</v>
      </c>
      <c r="AL132" s="9">
        <f>iferror(VLOOKUP($B132,covariates!$B$3:$Z$1126,18,FALSE),"")</f>
        <v>34.6</v>
      </c>
      <c r="AM132" s="9">
        <f>iferror(VLOOKUP($B132,covariates!$B$3:$Z$1126,19,FALSE),"")</f>
        <v>2.9</v>
      </c>
    </row>
    <row r="133">
      <c r="A133" s="15">
        <v>5.0</v>
      </c>
      <c r="B133" s="17" t="str">
        <f t="shared" si="71"/>
        <v>Anderson et al., 2001</v>
      </c>
      <c r="C133" s="9" t="s">
        <v>84</v>
      </c>
      <c r="D133" s="7" t="s">
        <v>317</v>
      </c>
      <c r="E133" s="9" t="s">
        <v>222</v>
      </c>
      <c r="F133" s="9">
        <v>33.0</v>
      </c>
      <c r="G133" s="13">
        <v>3.1</v>
      </c>
      <c r="H133" s="13">
        <v>2.3</v>
      </c>
      <c r="I133" s="15"/>
      <c r="J133" s="15"/>
      <c r="K133" s="15"/>
      <c r="L133" s="15"/>
      <c r="M133" s="15"/>
      <c r="N133" s="21">
        <v>0.31</v>
      </c>
      <c r="O133" s="9">
        <v>20.1</v>
      </c>
      <c r="P133" s="9">
        <v>5.771</v>
      </c>
      <c r="Q133" s="9">
        <v>14.0</v>
      </c>
      <c r="R133" s="9" t="s">
        <v>101</v>
      </c>
      <c r="S133" s="9" t="s">
        <v>101</v>
      </c>
      <c r="T133" s="9" t="s">
        <v>101</v>
      </c>
      <c r="U133" s="9">
        <v>38.0</v>
      </c>
      <c r="V133" s="15">
        <v>0.4</v>
      </c>
      <c r="W133" s="15"/>
      <c r="X133" s="15"/>
      <c r="Y133" s="15">
        <v>0.16</v>
      </c>
      <c r="Z133" s="15"/>
      <c r="AA133" s="15"/>
      <c r="AB133" s="15"/>
      <c r="AC133" s="15"/>
      <c r="AD133" s="15"/>
      <c r="AE133" s="19"/>
      <c r="AF133" s="19"/>
      <c r="AG133" s="7" t="s">
        <v>109</v>
      </c>
      <c r="AH133" s="13">
        <f>iferror(VLOOKUP($B133,covariates!$B$3:$Z$1126,6,FALSE),"")</f>
        <v>23.6</v>
      </c>
      <c r="AI133" s="13">
        <f>iferror(VLOOKUP($B133,covariates!$B$3:$Z$1126,7,FALSE),"")</f>
        <v>7.132</v>
      </c>
      <c r="AJ133" s="9">
        <f>iferror(VLOOKUP($B133,covariates!$B$3:$Z$1126,14,FALSE),"")</f>
        <v>23</v>
      </c>
      <c r="AK133" s="9">
        <f>iferror(VLOOKUP($B133,covariates!$B$3:$Z$1126,16,FALSE),"")</f>
        <v>12</v>
      </c>
      <c r="AL133" s="9">
        <f>iferror(VLOOKUP($B133,covariates!$B$3:$Z$1126,18,FALSE),"")</f>
        <v>34.6</v>
      </c>
      <c r="AM133" s="9">
        <f>iferror(VLOOKUP($B133,covariates!$B$3:$Z$1126,19,FALSE),"")</f>
        <v>2.9</v>
      </c>
    </row>
    <row r="134">
      <c r="A134" s="15">
        <v>7.0</v>
      </c>
      <c r="B134" s="17" t="str">
        <f t="shared" ref="B134:B135" si="72">HYPERLINK("https://github.com/d-wkim/phd/blob/main/data/pdf/aune_2001.pdf","Aune et al., 2001")</f>
        <v>Aune et al., 2001</v>
      </c>
      <c r="C134" s="9" t="s">
        <v>42</v>
      </c>
      <c r="D134" s="7" t="s">
        <v>317</v>
      </c>
      <c r="E134" s="9" t="s">
        <v>222</v>
      </c>
      <c r="F134" s="9">
        <v>32.0</v>
      </c>
      <c r="G134" s="13">
        <v>3.3</v>
      </c>
      <c r="H134" s="13">
        <v>2.6</v>
      </c>
      <c r="I134" s="15"/>
      <c r="J134" s="15"/>
      <c r="K134" s="15"/>
      <c r="L134" s="15"/>
      <c r="M134" s="15"/>
      <c r="N134" s="21">
        <v>0.32999999999999996</v>
      </c>
      <c r="O134" s="9" t="s">
        <v>101</v>
      </c>
      <c r="P134" s="9" t="s">
        <v>101</v>
      </c>
      <c r="Q134" s="9" t="s">
        <v>101</v>
      </c>
      <c r="R134" s="9" t="s">
        <v>101</v>
      </c>
      <c r="S134" s="9" t="s">
        <v>101</v>
      </c>
      <c r="T134" s="9" t="s">
        <v>101</v>
      </c>
      <c r="U134" s="9" t="s">
        <v>101</v>
      </c>
      <c r="V134" s="15">
        <v>0.46</v>
      </c>
      <c r="W134" s="15"/>
      <c r="X134" s="15"/>
      <c r="Y134" s="15">
        <v>0.212</v>
      </c>
      <c r="Z134" s="15"/>
      <c r="AA134" s="15"/>
      <c r="AB134" s="15"/>
      <c r="AC134" s="15"/>
      <c r="AD134" s="15"/>
      <c r="AE134" s="19"/>
      <c r="AF134" s="19"/>
      <c r="AG134" s="7" t="s">
        <v>109</v>
      </c>
      <c r="AH134" s="13">
        <f>iferror(VLOOKUP($B134,covariates!$B$3:$Z$1126,6,FALSE),"")</f>
        <v>25</v>
      </c>
      <c r="AI134" s="13">
        <f>iferror(VLOOKUP($B134,covariates!$B$3:$Z$1126,7,FALSE),"")</f>
        <v>7</v>
      </c>
      <c r="AJ134" s="9">
        <f>iferror(VLOOKUP($B134,covariates!$B$3:$Z$1126,14,FALSE),"")</f>
        <v>19</v>
      </c>
      <c r="AK134" s="9">
        <f>iferror(VLOOKUP($B134,covariates!$B$3:$Z$1126,16,FALSE),"")</f>
        <v>16</v>
      </c>
      <c r="AL134" s="9">
        <f>iferror(VLOOKUP($B134,covariates!$B$3:$Z$1126,18,FALSE),"")</f>
        <v>24</v>
      </c>
      <c r="AM134" s="9">
        <f>iferror(VLOOKUP($B134,covariates!$B$3:$Z$1126,19,FALSE),"")</f>
        <v>2</v>
      </c>
    </row>
    <row r="135">
      <c r="A135" s="15">
        <v>7.0</v>
      </c>
      <c r="B135" s="17" t="str">
        <f t="shared" si="72"/>
        <v>Aune et al., 2001</v>
      </c>
      <c r="C135" s="9" t="s">
        <v>84</v>
      </c>
      <c r="D135" s="7" t="s">
        <v>317</v>
      </c>
      <c r="E135" s="9" t="s">
        <v>222</v>
      </c>
      <c r="F135" s="9">
        <v>29.0</v>
      </c>
      <c r="G135" s="13">
        <v>2.9</v>
      </c>
      <c r="H135" s="13">
        <v>2.4</v>
      </c>
      <c r="I135" s="15"/>
      <c r="J135" s="15"/>
      <c r="K135" s="15"/>
      <c r="L135" s="15"/>
      <c r="M135" s="15"/>
      <c r="N135" s="21">
        <v>0.29</v>
      </c>
      <c r="O135" s="9" t="s">
        <v>101</v>
      </c>
      <c r="P135" s="9" t="s">
        <v>101</v>
      </c>
      <c r="Q135" s="9" t="s">
        <v>101</v>
      </c>
      <c r="R135" s="9" t="s">
        <v>101</v>
      </c>
      <c r="S135" s="9" t="s">
        <v>101</v>
      </c>
      <c r="T135" s="9" t="s">
        <v>101</v>
      </c>
      <c r="U135" s="9" t="s">
        <v>101</v>
      </c>
      <c r="V135" s="15">
        <v>0.446</v>
      </c>
      <c r="W135" s="15"/>
      <c r="X135" s="15"/>
      <c r="Y135" s="15">
        <v>0.199</v>
      </c>
      <c r="Z135" s="15"/>
      <c r="AA135" s="15"/>
      <c r="AB135" s="15"/>
      <c r="AC135" s="15"/>
      <c r="AD135" s="15"/>
      <c r="AE135" s="19"/>
      <c r="AF135" s="19"/>
      <c r="AG135" s="7" t="s">
        <v>109</v>
      </c>
      <c r="AH135" s="13">
        <f>iferror(VLOOKUP($B135,covariates!$B$3:$Z$1126,6,FALSE),"")</f>
        <v>25</v>
      </c>
      <c r="AI135" s="13">
        <f>iferror(VLOOKUP($B135,covariates!$B$3:$Z$1126,7,FALSE),"")</f>
        <v>7</v>
      </c>
      <c r="AJ135" s="9">
        <f>iferror(VLOOKUP($B135,covariates!$B$3:$Z$1126,14,FALSE),"")</f>
        <v>19</v>
      </c>
      <c r="AK135" s="9">
        <f>iferror(VLOOKUP($B135,covariates!$B$3:$Z$1126,16,FALSE),"")</f>
        <v>16</v>
      </c>
      <c r="AL135" s="9">
        <f>iferror(VLOOKUP($B135,covariates!$B$3:$Z$1126,18,FALSE),"")</f>
        <v>24</v>
      </c>
      <c r="AM135" s="9">
        <f>iferror(VLOOKUP($B135,covariates!$B$3:$Z$1126,19,FALSE),"")</f>
        <v>2</v>
      </c>
    </row>
    <row r="136">
      <c r="A136" s="15">
        <v>9.0</v>
      </c>
      <c r="B136" s="17" t="str">
        <f t="shared" ref="B136:B137" si="73">HYPERLINK("https://github.com/d-wkim/phd/blob/main/data/pdf/barenius_2010.pdf","Barenius et al., 2010")</f>
        <v>Barenius et al., 2010</v>
      </c>
      <c r="C136" s="7" t="s">
        <v>42</v>
      </c>
      <c r="D136" s="7" t="s">
        <v>317</v>
      </c>
      <c r="E136" s="9" t="s">
        <v>222</v>
      </c>
      <c r="F136" s="9"/>
      <c r="G136" s="21"/>
      <c r="H136" s="13"/>
      <c r="I136" s="15"/>
      <c r="J136" s="15"/>
      <c r="K136" s="15"/>
      <c r="L136" s="15"/>
      <c r="M136" s="15"/>
      <c r="N136" s="15"/>
      <c r="O136" s="9" t="s">
        <v>101</v>
      </c>
      <c r="P136" s="9" t="s">
        <v>101</v>
      </c>
      <c r="Q136" s="9" t="s">
        <v>101</v>
      </c>
      <c r="R136" s="9" t="s">
        <v>101</v>
      </c>
      <c r="S136" s="9" t="s">
        <v>101</v>
      </c>
      <c r="T136" s="9" t="s">
        <v>101</v>
      </c>
      <c r="U136" s="9" t="s">
        <v>101</v>
      </c>
      <c r="V136" s="15"/>
      <c r="W136" s="15"/>
      <c r="X136" s="15"/>
      <c r="Y136" s="15"/>
      <c r="Z136" s="15"/>
      <c r="AA136" s="15"/>
      <c r="AB136" s="15"/>
      <c r="AC136" s="15"/>
      <c r="AD136" s="15"/>
      <c r="AE136" s="19"/>
      <c r="AF136" s="19"/>
      <c r="AG136" s="7" t="s">
        <v>174</v>
      </c>
      <c r="AH136" s="13">
        <f>iferror(VLOOKUP($B136,covariates!$B$3:$Z$1126,6,FALSE),"")</f>
        <v>33</v>
      </c>
      <c r="AI136" s="13">
        <f>iferror(VLOOKUP($B136,covariates!$B$3:$Z$1126,7,FALSE),"")</f>
        <v>6.3</v>
      </c>
      <c r="AJ136" s="9">
        <f>iferror(VLOOKUP($B136,covariates!$B$3:$Z$1126,14,FALSE),"")</f>
        <v>38</v>
      </c>
      <c r="AK136" s="9">
        <f>iferror(VLOOKUP($B136,covariates!$B$3:$Z$1126,16,FALSE),"")</f>
        <v>40</v>
      </c>
      <c r="AL136" s="9">
        <f>iferror(VLOOKUP($B136,covariates!$B$3:$Z$1126,18,FALSE),"")</f>
        <v>96</v>
      </c>
      <c r="AM136" s="9">
        <f>iferror(VLOOKUP($B136,covariates!$B$3:$Z$1126,19,FALSE),"")</f>
        <v>8</v>
      </c>
    </row>
    <row r="137">
      <c r="A137" s="15">
        <v>9.0</v>
      </c>
      <c r="B137" s="17" t="str">
        <f t="shared" si="73"/>
        <v>Barenius et al., 2010</v>
      </c>
      <c r="C137" s="7" t="s">
        <v>84</v>
      </c>
      <c r="D137" s="7" t="s">
        <v>317</v>
      </c>
      <c r="E137" s="9" t="s">
        <v>222</v>
      </c>
      <c r="F137" s="9"/>
      <c r="G137" s="21"/>
      <c r="H137" s="13"/>
      <c r="I137" s="15"/>
      <c r="J137" s="15"/>
      <c r="K137" s="15"/>
      <c r="L137" s="15"/>
      <c r="M137" s="15"/>
      <c r="N137" s="15"/>
      <c r="O137" s="9" t="s">
        <v>101</v>
      </c>
      <c r="P137" s="9" t="s">
        <v>101</v>
      </c>
      <c r="Q137" s="9" t="s">
        <v>101</v>
      </c>
      <c r="R137" s="9" t="s">
        <v>101</v>
      </c>
      <c r="S137" s="9" t="s">
        <v>101</v>
      </c>
      <c r="T137" s="9" t="s">
        <v>101</v>
      </c>
      <c r="U137" s="9" t="s">
        <v>101</v>
      </c>
      <c r="V137" s="15"/>
      <c r="W137" s="15"/>
      <c r="X137" s="15"/>
      <c r="Y137" s="15"/>
      <c r="Z137" s="15"/>
      <c r="AA137" s="15"/>
      <c r="AB137" s="15"/>
      <c r="AC137" s="15"/>
      <c r="AD137" s="15"/>
      <c r="AE137" s="19"/>
      <c r="AF137" s="19"/>
      <c r="AG137" s="7" t="s">
        <v>174</v>
      </c>
      <c r="AH137" s="13">
        <f>iferror(VLOOKUP($B137,covariates!$B$3:$Z$1126,6,FALSE),"")</f>
        <v>33</v>
      </c>
      <c r="AI137" s="13">
        <f>iferror(VLOOKUP($B137,covariates!$B$3:$Z$1126,7,FALSE),"")</f>
        <v>6.3</v>
      </c>
      <c r="AJ137" s="9">
        <f>iferror(VLOOKUP($B137,covariates!$B$3:$Z$1126,14,FALSE),"")</f>
        <v>38</v>
      </c>
      <c r="AK137" s="9">
        <f>iferror(VLOOKUP($B137,covariates!$B$3:$Z$1126,16,FALSE),"")</f>
        <v>40</v>
      </c>
      <c r="AL137" s="9">
        <f>iferror(VLOOKUP($B137,covariates!$B$3:$Z$1126,18,FALSE),"")</f>
        <v>96</v>
      </c>
      <c r="AM137" s="9">
        <f>iferror(VLOOKUP($B137,covariates!$B$3:$Z$1126,19,FALSE),"")</f>
        <v>8</v>
      </c>
    </row>
    <row r="138">
      <c r="A138" s="15">
        <v>10.0</v>
      </c>
      <c r="B138" s="17" t="str">
        <f t="shared" ref="B138:B139" si="74">HYPERLINK("https://github.com/d-wkim/phd/blob/main/data/pdf/barié_2020.pdf","Barié et al., 2020")</f>
        <v>Barié et al., 2020</v>
      </c>
      <c r="C138" s="9" t="s">
        <v>42</v>
      </c>
      <c r="D138" s="7" t="s">
        <v>317</v>
      </c>
      <c r="E138" s="9" t="s">
        <v>222</v>
      </c>
      <c r="F138" s="9">
        <v>43.0</v>
      </c>
      <c r="G138" s="13">
        <v>1.05</v>
      </c>
      <c r="H138" s="13">
        <v>1.36</v>
      </c>
      <c r="I138" s="15"/>
      <c r="J138" s="15"/>
      <c r="K138" s="15"/>
      <c r="L138" s="15"/>
      <c r="M138" s="15"/>
      <c r="N138" s="21">
        <v>0.10500000000000001</v>
      </c>
      <c r="O138" s="9" t="s">
        <v>101</v>
      </c>
      <c r="P138" s="9" t="s">
        <v>101</v>
      </c>
      <c r="Q138" s="9" t="s">
        <v>101</v>
      </c>
      <c r="R138" s="9" t="s">
        <v>101</v>
      </c>
      <c r="S138" s="9" t="s">
        <v>101</v>
      </c>
      <c r="T138" s="9" t="s">
        <v>101</v>
      </c>
      <c r="U138" s="9" t="s">
        <v>101</v>
      </c>
      <c r="V138" s="15">
        <v>0.207</v>
      </c>
      <c r="W138" s="15"/>
      <c r="X138" s="15"/>
      <c r="Y138" s="15">
        <v>0.043</v>
      </c>
      <c r="Z138" s="15"/>
      <c r="AA138" s="15"/>
      <c r="AB138" s="15"/>
      <c r="AC138" s="15"/>
      <c r="AD138" s="15"/>
      <c r="AE138" s="19"/>
      <c r="AF138" s="19"/>
      <c r="AG138" s="7" t="s">
        <v>109</v>
      </c>
      <c r="AH138" s="13">
        <f>iferror(VLOOKUP($B138,covariates!$B$3:$Z$1126,6,FALSE),"")</f>
        <v>30.6</v>
      </c>
      <c r="AI138" s="13">
        <f>iferror(VLOOKUP($B138,covariates!$B$3:$Z$1126,7,FALSE),"")</f>
        <v>7.5</v>
      </c>
      <c r="AJ138" s="9">
        <f>iferror(VLOOKUP($B138,covariates!$B$3:$Z$1126,14,FALSE),"")</f>
        <v>17</v>
      </c>
      <c r="AK138" s="9">
        <f>iferror(VLOOKUP($B138,covariates!$B$3:$Z$1126,16,FALSE),"")</f>
        <v>13</v>
      </c>
      <c r="AL138" s="9">
        <f>iferror(VLOOKUP($B138,covariates!$B$3:$Z$1126,18,FALSE),"")</f>
        <v>122.4</v>
      </c>
      <c r="AM138" s="9">
        <f>iferror(VLOOKUP($B138,covariates!$B$3:$Z$1126,19,FALSE),"")</f>
        <v>10.2</v>
      </c>
    </row>
    <row r="139">
      <c r="A139" s="15">
        <v>10.0</v>
      </c>
      <c r="B139" s="17" t="str">
        <f t="shared" si="74"/>
        <v>Barié et al., 2020</v>
      </c>
      <c r="C139" s="9" t="s">
        <v>200</v>
      </c>
      <c r="D139" s="7" t="s">
        <v>317</v>
      </c>
      <c r="E139" s="9" t="s">
        <v>222</v>
      </c>
      <c r="F139" s="9">
        <v>43.0</v>
      </c>
      <c r="G139" s="13">
        <v>1.0</v>
      </c>
      <c r="H139" s="13">
        <v>1.095</v>
      </c>
      <c r="I139" s="15"/>
      <c r="J139" s="15"/>
      <c r="K139" s="15"/>
      <c r="L139" s="15"/>
      <c r="M139" s="15"/>
      <c r="N139" s="21">
        <v>0.1</v>
      </c>
      <c r="O139" s="9" t="s">
        <v>101</v>
      </c>
      <c r="P139" s="9" t="s">
        <v>101</v>
      </c>
      <c r="Q139" s="9" t="s">
        <v>101</v>
      </c>
      <c r="R139" s="9" t="s">
        <v>101</v>
      </c>
      <c r="S139" s="9" t="s">
        <v>101</v>
      </c>
      <c r="T139" s="9" t="s">
        <v>101</v>
      </c>
      <c r="U139" s="9" t="s">
        <v>101</v>
      </c>
      <c r="V139" s="15">
        <v>0.167</v>
      </c>
      <c r="W139" s="15"/>
      <c r="X139" s="15"/>
      <c r="Y139" s="15">
        <v>0.028</v>
      </c>
      <c r="Z139" s="19"/>
      <c r="AA139" s="19"/>
      <c r="AB139" s="19"/>
      <c r="AC139" s="19"/>
      <c r="AD139" s="19"/>
      <c r="AE139" s="19"/>
      <c r="AF139" s="19"/>
      <c r="AG139" s="7" t="s">
        <v>109</v>
      </c>
      <c r="AH139" s="13">
        <f>iferror(VLOOKUP($B139,covariates!$B$3:$Z$1126,6,FALSE),"")</f>
        <v>30.6</v>
      </c>
      <c r="AI139" s="13">
        <f>iferror(VLOOKUP($B139,covariates!$B$3:$Z$1126,7,FALSE),"")</f>
        <v>7.5</v>
      </c>
      <c r="AJ139" s="9">
        <f>iferror(VLOOKUP($B139,covariates!$B$3:$Z$1126,14,FALSE),"")</f>
        <v>17</v>
      </c>
      <c r="AK139" s="9">
        <f>iferror(VLOOKUP($B139,covariates!$B$3:$Z$1126,16,FALSE),"")</f>
        <v>13</v>
      </c>
      <c r="AL139" s="9">
        <f>iferror(VLOOKUP($B139,covariates!$B$3:$Z$1126,18,FALSE),"")</f>
        <v>122.4</v>
      </c>
      <c r="AM139" s="9">
        <f>iferror(VLOOKUP($B139,covariates!$B$3:$Z$1126,19,FALSE),"")</f>
        <v>10.2</v>
      </c>
    </row>
    <row r="140">
      <c r="A140" s="15">
        <v>11.0</v>
      </c>
      <c r="B140" s="17" t="str">
        <f t="shared" ref="B140:B141" si="75">HYPERLINK("https://github.com/d-wkim/phd/blob/main/data/pdf/beynnon_2002.pdf","Beynnon et al., 2002")</f>
        <v>Beynnon et al., 2002</v>
      </c>
      <c r="C140" s="7" t="s">
        <v>42</v>
      </c>
      <c r="D140" s="7" t="s">
        <v>317</v>
      </c>
      <c r="E140" s="9" t="s">
        <v>222</v>
      </c>
      <c r="F140" s="15"/>
      <c r="G140" s="21"/>
      <c r="H140" s="13"/>
      <c r="I140" s="15"/>
      <c r="J140" s="15"/>
      <c r="K140" s="15"/>
      <c r="L140" s="15"/>
      <c r="M140" s="15"/>
      <c r="N140" s="15"/>
      <c r="O140" s="9" t="s">
        <v>101</v>
      </c>
      <c r="P140" s="9" t="s">
        <v>101</v>
      </c>
      <c r="Q140" s="9" t="s">
        <v>101</v>
      </c>
      <c r="R140" s="9" t="s">
        <v>101</v>
      </c>
      <c r="S140" s="9" t="s">
        <v>101</v>
      </c>
      <c r="T140" s="9" t="s">
        <v>101</v>
      </c>
      <c r="U140" s="9" t="s">
        <v>101</v>
      </c>
      <c r="V140" s="15"/>
      <c r="W140" s="15"/>
      <c r="X140" s="15"/>
      <c r="Y140" s="15"/>
      <c r="Z140" s="15"/>
      <c r="AA140" s="15"/>
      <c r="AB140" s="15"/>
      <c r="AC140" s="15"/>
      <c r="AD140" s="15"/>
      <c r="AE140" s="19"/>
      <c r="AF140" s="19"/>
      <c r="AG140" s="7" t="s">
        <v>174</v>
      </c>
      <c r="AH140" s="13">
        <f>iferror(VLOOKUP($B140,covariates!$B$3:$Z$1126,6,FALSE),"")</f>
        <v>28.5</v>
      </c>
      <c r="AI140" s="13">
        <f>iferror(VLOOKUP($B140,covariates!$B$3:$Z$1126,7,FALSE),"")</f>
        <v>6.959</v>
      </c>
      <c r="AJ140" s="9">
        <f>iferror(VLOOKUP($B140,covariates!$B$3:$Z$1126,14,FALSE),"")</f>
        <v>18</v>
      </c>
      <c r="AK140" s="9">
        <f>iferror(VLOOKUP($B140,covariates!$B$3:$Z$1126,16,FALSE),"")</f>
        <v>10</v>
      </c>
      <c r="AL140" s="9">
        <f>iferror(VLOOKUP($B140,covariates!$B$3:$Z$1126,18,FALSE),"")</f>
        <v>36</v>
      </c>
      <c r="AM140" s="9">
        <f>iferror(VLOOKUP($B140,covariates!$B$3:$Z$1126,19,FALSE),"")</f>
        <v>3</v>
      </c>
    </row>
    <row r="141">
      <c r="A141" s="15">
        <v>11.0</v>
      </c>
      <c r="B141" s="17" t="str">
        <f t="shared" si="75"/>
        <v>Beynnon et al., 2002</v>
      </c>
      <c r="C141" s="7" t="s">
        <v>84</v>
      </c>
      <c r="D141" s="7" t="s">
        <v>317</v>
      </c>
      <c r="E141" s="9" t="s">
        <v>222</v>
      </c>
      <c r="F141" s="15"/>
      <c r="G141" s="21"/>
      <c r="H141" s="13"/>
      <c r="I141" s="15"/>
      <c r="J141" s="15"/>
      <c r="K141" s="15"/>
      <c r="L141" s="15"/>
      <c r="M141" s="15"/>
      <c r="N141" s="15"/>
      <c r="O141" s="9" t="s">
        <v>101</v>
      </c>
      <c r="P141" s="9" t="s">
        <v>101</v>
      </c>
      <c r="Q141" s="9" t="s">
        <v>101</v>
      </c>
      <c r="R141" s="9" t="s">
        <v>101</v>
      </c>
      <c r="S141" s="9" t="s">
        <v>101</v>
      </c>
      <c r="T141" s="9" t="s">
        <v>101</v>
      </c>
      <c r="U141" s="9" t="s">
        <v>101</v>
      </c>
      <c r="V141" s="15"/>
      <c r="W141" s="15"/>
      <c r="X141" s="15"/>
      <c r="Y141" s="15"/>
      <c r="Z141" s="15"/>
      <c r="AA141" s="15"/>
      <c r="AB141" s="15"/>
      <c r="AC141" s="15"/>
      <c r="AD141" s="15"/>
      <c r="AE141" s="19"/>
      <c r="AF141" s="19"/>
      <c r="AG141" s="7" t="s">
        <v>174</v>
      </c>
      <c r="AH141" s="13">
        <f>iferror(VLOOKUP($B141,covariates!$B$3:$Z$1126,6,FALSE),"")</f>
        <v>28.5</v>
      </c>
      <c r="AI141" s="13">
        <f>iferror(VLOOKUP($B141,covariates!$B$3:$Z$1126,7,FALSE),"")</f>
        <v>6.959</v>
      </c>
      <c r="AJ141" s="9">
        <f>iferror(VLOOKUP($B141,covariates!$B$3:$Z$1126,14,FALSE),"")</f>
        <v>18</v>
      </c>
      <c r="AK141" s="9">
        <f>iferror(VLOOKUP($B141,covariates!$B$3:$Z$1126,16,FALSE),"")</f>
        <v>10</v>
      </c>
      <c r="AL141" s="9">
        <f>iferror(VLOOKUP($B141,covariates!$B$3:$Z$1126,18,FALSE),"")</f>
        <v>36</v>
      </c>
      <c r="AM141" s="9">
        <f>iferror(VLOOKUP($B141,covariates!$B$3:$Z$1126,19,FALSE),"")</f>
        <v>3</v>
      </c>
    </row>
    <row r="142">
      <c r="A142" s="15">
        <v>12.0</v>
      </c>
      <c r="B142" s="17" t="str">
        <f t="shared" ref="B142:B143" si="76">HYPERLINK("https://github.com/d-wkim/phd/blob/main/data/pdf/bi_2018.pdf","Bi et al., 2018")</f>
        <v>Bi et al., 2018</v>
      </c>
      <c r="C142" s="9" t="s">
        <v>84</v>
      </c>
      <c r="D142" s="7" t="s">
        <v>317</v>
      </c>
      <c r="E142" s="9" t="s">
        <v>222</v>
      </c>
      <c r="F142" s="9">
        <v>62.0</v>
      </c>
      <c r="G142" s="13">
        <v>1.71</v>
      </c>
      <c r="H142" s="13">
        <v>0.57</v>
      </c>
      <c r="I142" s="15"/>
      <c r="J142" s="15"/>
      <c r="K142" s="15"/>
      <c r="L142" s="15"/>
      <c r="M142" s="15"/>
      <c r="N142" s="21">
        <v>0.17099999999999999</v>
      </c>
      <c r="O142" s="9" t="s">
        <v>101</v>
      </c>
      <c r="P142" s="9" t="s">
        <v>101</v>
      </c>
      <c r="Q142" s="9" t="s">
        <v>101</v>
      </c>
      <c r="R142" s="9" t="s">
        <v>101</v>
      </c>
      <c r="S142" s="9" t="s">
        <v>101</v>
      </c>
      <c r="T142" s="9" t="s">
        <v>101</v>
      </c>
      <c r="U142" s="9" t="s">
        <v>101</v>
      </c>
      <c r="V142" s="15">
        <v>0.072</v>
      </c>
      <c r="W142" s="15"/>
      <c r="X142" s="15"/>
      <c r="Y142" s="15">
        <v>0.005</v>
      </c>
      <c r="Z142" s="15"/>
      <c r="AA142" s="15"/>
      <c r="AB142" s="15"/>
      <c r="AC142" s="15"/>
      <c r="AD142" s="15"/>
      <c r="AE142" s="19"/>
      <c r="AF142" s="19"/>
      <c r="AG142" s="7" t="s">
        <v>109</v>
      </c>
      <c r="AH142" s="13">
        <f>iferror(VLOOKUP($B142,covariates!$B$3:$Z$1126,6,FALSE),"")</f>
        <v>27.9</v>
      </c>
      <c r="AI142" s="13">
        <f>iferror(VLOOKUP($B142,covariates!$B$3:$Z$1126,7,FALSE),"")</f>
        <v>6.7</v>
      </c>
      <c r="AJ142" s="9">
        <f>iferror(VLOOKUP($B142,covariates!$B$3:$Z$1126,14,FALSE),"")</f>
        <v>31</v>
      </c>
      <c r="AK142" s="9">
        <f>iferror(VLOOKUP($B142,covariates!$B$3:$Z$1126,16,FALSE),"")</f>
        <v>31</v>
      </c>
      <c r="AL142" s="9">
        <f>iferror(VLOOKUP($B142,covariates!$B$3:$Z$1126,18,FALSE),"")</f>
        <v>30.3</v>
      </c>
      <c r="AM142" s="9">
        <f>iferror(VLOOKUP($B142,covariates!$B$3:$Z$1126,19,FALSE),"")</f>
        <v>2.5</v>
      </c>
    </row>
    <row r="143">
      <c r="A143" s="15">
        <v>12.0</v>
      </c>
      <c r="B143" s="17" t="str">
        <f t="shared" si="76"/>
        <v>Bi et al., 2018</v>
      </c>
      <c r="C143" s="9" t="s">
        <v>186</v>
      </c>
      <c r="D143" s="7" t="s">
        <v>317</v>
      </c>
      <c r="E143" s="9" t="s">
        <v>222</v>
      </c>
      <c r="F143" s="9">
        <v>62.0</v>
      </c>
      <c r="G143" s="13">
        <v>1.85</v>
      </c>
      <c r="H143" s="13">
        <v>0.77</v>
      </c>
      <c r="I143" s="15"/>
      <c r="J143" s="15"/>
      <c r="K143" s="15"/>
      <c r="L143" s="15"/>
      <c r="M143" s="15"/>
      <c r="N143" s="21">
        <v>0.185</v>
      </c>
      <c r="O143" s="9" t="s">
        <v>101</v>
      </c>
      <c r="P143" s="9" t="s">
        <v>101</v>
      </c>
      <c r="Q143" s="9" t="s">
        <v>101</v>
      </c>
      <c r="R143" s="9" t="s">
        <v>101</v>
      </c>
      <c r="S143" s="9" t="s">
        <v>101</v>
      </c>
      <c r="T143" s="9" t="s">
        <v>101</v>
      </c>
      <c r="U143" s="9" t="s">
        <v>101</v>
      </c>
      <c r="V143" s="15">
        <v>0.098</v>
      </c>
      <c r="W143" s="15"/>
      <c r="X143" s="15"/>
      <c r="Y143" s="15">
        <v>0.01</v>
      </c>
      <c r="Z143" s="19"/>
      <c r="AA143" s="19"/>
      <c r="AB143" s="19"/>
      <c r="AC143" s="19"/>
      <c r="AD143" s="19"/>
      <c r="AE143" s="19"/>
      <c r="AF143" s="19"/>
      <c r="AG143" s="7" t="s">
        <v>109</v>
      </c>
      <c r="AH143" s="13">
        <f>iferror(VLOOKUP($B143,covariates!$B$3:$Z$1126,6,FALSE),"")</f>
        <v>27.9</v>
      </c>
      <c r="AI143" s="13">
        <f>iferror(VLOOKUP($B143,covariates!$B$3:$Z$1126,7,FALSE),"")</f>
        <v>6.7</v>
      </c>
      <c r="AJ143" s="9">
        <f>iferror(VLOOKUP($B143,covariates!$B$3:$Z$1126,14,FALSE),"")</f>
        <v>31</v>
      </c>
      <c r="AK143" s="9">
        <f>iferror(VLOOKUP($B143,covariates!$B$3:$Z$1126,16,FALSE),"")</f>
        <v>31</v>
      </c>
      <c r="AL143" s="9">
        <f>iferror(VLOOKUP($B143,covariates!$B$3:$Z$1126,18,FALSE),"")</f>
        <v>30.3</v>
      </c>
      <c r="AM143" s="9">
        <f>iferror(VLOOKUP($B143,covariates!$B$3:$Z$1126,19,FALSE),"")</f>
        <v>2.5</v>
      </c>
    </row>
    <row r="144">
      <c r="A144" s="15">
        <v>13.0</v>
      </c>
      <c r="B144" s="17" t="str">
        <f t="shared" ref="B144:B145" si="77">HYPERLINK("https://github.com/d-wkim/phd/blob/main/data/pdf/björnsson_2016.pdf","Björnsson et al., 2016")</f>
        <v>Björnsson et al., 2016</v>
      </c>
      <c r="C144" s="7" t="s">
        <v>42</v>
      </c>
      <c r="D144" s="7" t="s">
        <v>317</v>
      </c>
      <c r="E144" s="9" t="s">
        <v>222</v>
      </c>
      <c r="F144" s="9"/>
      <c r="G144" s="13"/>
      <c r="H144" s="13"/>
      <c r="I144" s="15"/>
      <c r="J144" s="15"/>
      <c r="K144" s="15"/>
      <c r="L144" s="15"/>
      <c r="M144" s="15"/>
      <c r="N144" s="15"/>
      <c r="O144" s="9" t="s">
        <v>101</v>
      </c>
      <c r="P144" s="9" t="s">
        <v>101</v>
      </c>
      <c r="Q144" s="9" t="s">
        <v>101</v>
      </c>
      <c r="R144" s="9" t="s">
        <v>101</v>
      </c>
      <c r="S144" s="9" t="s">
        <v>101</v>
      </c>
      <c r="T144" s="9" t="s">
        <v>101</v>
      </c>
      <c r="U144" s="9" t="s">
        <v>101</v>
      </c>
      <c r="V144" s="15"/>
      <c r="W144" s="15"/>
      <c r="X144" s="15"/>
      <c r="Y144" s="15"/>
      <c r="Z144" s="15"/>
      <c r="AA144" s="15"/>
      <c r="AB144" s="15"/>
      <c r="AC144" s="15"/>
      <c r="AD144" s="15"/>
      <c r="AE144" s="19"/>
      <c r="AF144" s="19"/>
      <c r="AG144" s="7" t="s">
        <v>174</v>
      </c>
      <c r="AH144" s="13">
        <f>iferror(VLOOKUP($B144,covariates!$B$3:$Z$1126,6,FALSE),"")</f>
        <v>28.2</v>
      </c>
      <c r="AI144" s="13">
        <f>iferror(VLOOKUP($B144,covariates!$B$3:$Z$1126,7,FALSE),"")</f>
        <v>9.1</v>
      </c>
      <c r="AJ144" s="9">
        <f>iferror(VLOOKUP($B144,covariates!$B$3:$Z$1126,14,FALSE),"")</f>
        <v>42</v>
      </c>
      <c r="AK144" s="9">
        <f>iferror(VLOOKUP($B144,covariates!$B$3:$Z$1126,16,FALSE),"")</f>
        <v>19</v>
      </c>
      <c r="AL144" s="9">
        <f>iferror(VLOOKUP($B144,covariates!$B$3:$Z$1126,18,FALSE),"")</f>
        <v>202.6</v>
      </c>
      <c r="AM144" s="9">
        <f>iferror(VLOOKUP($B144,covariates!$B$3:$Z$1126,19,FALSE),"")</f>
        <v>16.9</v>
      </c>
    </row>
    <row r="145">
      <c r="A145" s="15">
        <v>13.0</v>
      </c>
      <c r="B145" s="17" t="str">
        <f t="shared" si="77"/>
        <v>Björnsson et al., 2016</v>
      </c>
      <c r="C145" s="7" t="s">
        <v>84</v>
      </c>
      <c r="D145" s="7" t="s">
        <v>317</v>
      </c>
      <c r="E145" s="9" t="s">
        <v>222</v>
      </c>
      <c r="F145" s="9"/>
      <c r="G145" s="21"/>
      <c r="H145" s="13"/>
      <c r="I145" s="15"/>
      <c r="J145" s="15"/>
      <c r="K145" s="15"/>
      <c r="L145" s="15"/>
      <c r="M145" s="15"/>
      <c r="N145" s="15"/>
      <c r="O145" s="9" t="s">
        <v>101</v>
      </c>
      <c r="P145" s="9" t="s">
        <v>101</v>
      </c>
      <c r="Q145" s="9" t="s">
        <v>101</v>
      </c>
      <c r="R145" s="9" t="s">
        <v>101</v>
      </c>
      <c r="S145" s="9" t="s">
        <v>101</v>
      </c>
      <c r="T145" s="9" t="s">
        <v>101</v>
      </c>
      <c r="U145" s="9" t="s">
        <v>101</v>
      </c>
      <c r="V145" s="15"/>
      <c r="W145" s="15"/>
      <c r="X145" s="15"/>
      <c r="Y145" s="15"/>
      <c r="Z145" s="15"/>
      <c r="AA145" s="15"/>
      <c r="AB145" s="15"/>
      <c r="AC145" s="15"/>
      <c r="AD145" s="15"/>
      <c r="AE145" s="19"/>
      <c r="AF145" s="19"/>
      <c r="AG145" s="7" t="s">
        <v>174</v>
      </c>
      <c r="AH145" s="13">
        <f>iferror(VLOOKUP($B145,covariates!$B$3:$Z$1126,6,FALSE),"")</f>
        <v>28.2</v>
      </c>
      <c r="AI145" s="13">
        <f>iferror(VLOOKUP($B145,covariates!$B$3:$Z$1126,7,FALSE),"")</f>
        <v>9.1</v>
      </c>
      <c r="AJ145" s="9">
        <f>iferror(VLOOKUP($B145,covariates!$B$3:$Z$1126,14,FALSE),"")</f>
        <v>42</v>
      </c>
      <c r="AK145" s="9">
        <f>iferror(VLOOKUP($B145,covariates!$B$3:$Z$1126,16,FALSE),"")</f>
        <v>19</v>
      </c>
      <c r="AL145" s="9">
        <f>iferror(VLOOKUP($B145,covariates!$B$3:$Z$1126,18,FALSE),"")</f>
        <v>202.6</v>
      </c>
      <c r="AM145" s="9">
        <f>iferror(VLOOKUP($B145,covariates!$B$3:$Z$1126,19,FALSE),"")</f>
        <v>16.9</v>
      </c>
    </row>
    <row r="146">
      <c r="A146" s="15">
        <v>16.0</v>
      </c>
      <c r="B146" s="17" t="str">
        <f t="shared" ref="B146:B147" si="78">HYPERLINK("https://github.com/d-wkim/phd/blob/main/data/pdf/breker_2025.pdf","Breker et al., 2025")</f>
        <v>Breker et al., 2025</v>
      </c>
      <c r="C146" s="7" t="s">
        <v>42</v>
      </c>
      <c r="D146" s="7" t="s">
        <v>317</v>
      </c>
      <c r="E146" s="9" t="s">
        <v>222</v>
      </c>
      <c r="F146" s="15"/>
      <c r="G146" s="21"/>
      <c r="H146" s="13"/>
      <c r="I146" s="15"/>
      <c r="J146" s="15"/>
      <c r="K146" s="15"/>
      <c r="L146" s="15"/>
      <c r="M146" s="15"/>
      <c r="N146" s="15"/>
      <c r="O146" s="9" t="s">
        <v>101</v>
      </c>
      <c r="P146" s="9" t="s">
        <v>101</v>
      </c>
      <c r="Q146" s="9" t="s">
        <v>101</v>
      </c>
      <c r="R146" s="9" t="s">
        <v>101</v>
      </c>
      <c r="S146" s="9" t="s">
        <v>101</v>
      </c>
      <c r="T146" s="9" t="s">
        <v>101</v>
      </c>
      <c r="U146" s="9" t="s">
        <v>101</v>
      </c>
      <c r="V146" s="15"/>
      <c r="W146" s="15"/>
      <c r="X146" s="15"/>
      <c r="Y146" s="15"/>
      <c r="Z146" s="15"/>
      <c r="AA146" s="15"/>
      <c r="AB146" s="15"/>
      <c r="AC146" s="15"/>
      <c r="AD146" s="15"/>
      <c r="AE146" s="19"/>
      <c r="AF146" s="19"/>
      <c r="AG146" s="7" t="s">
        <v>174</v>
      </c>
      <c r="AH146" s="13" t="str">
        <f>iferror(VLOOKUP($B146,covariates!$B$3:$Z$1126,6,FALSE),"")</f>
        <v/>
      </c>
      <c r="AI146" s="13" t="str">
        <f>iferror(VLOOKUP($B146,covariates!$B$3:$Z$1126,7,FALSE),"")</f>
        <v/>
      </c>
      <c r="AJ146" s="9" t="str">
        <f>iferror(VLOOKUP($B146,covariates!$B$3:$Z$1126,14,FALSE),"")</f>
        <v/>
      </c>
      <c r="AK146" s="9" t="str">
        <f>iferror(VLOOKUP($B146,covariates!$B$3:$Z$1126,16,FALSE),"")</f>
        <v/>
      </c>
      <c r="AL146" s="9" t="str">
        <f>iferror(VLOOKUP($B146,covariates!$B$3:$Z$1126,18,FALSE),"")</f>
        <v/>
      </c>
      <c r="AM146" s="9" t="str">
        <f>iferror(VLOOKUP($B146,covariates!$B$3:$Z$1126,19,FALSE),"")</f>
        <v/>
      </c>
    </row>
    <row r="147">
      <c r="A147" s="15">
        <v>16.0</v>
      </c>
      <c r="B147" s="17" t="str">
        <f t="shared" si="78"/>
        <v>Breker et al., 2025</v>
      </c>
      <c r="C147" s="7" t="s">
        <v>84</v>
      </c>
      <c r="D147" s="7" t="s">
        <v>317</v>
      </c>
      <c r="E147" s="9" t="s">
        <v>222</v>
      </c>
      <c r="F147" s="15"/>
      <c r="G147" s="21"/>
      <c r="H147" s="13"/>
      <c r="I147" s="15"/>
      <c r="J147" s="15"/>
      <c r="K147" s="15"/>
      <c r="L147" s="15"/>
      <c r="M147" s="15"/>
      <c r="N147" s="15"/>
      <c r="O147" s="9" t="s">
        <v>101</v>
      </c>
      <c r="P147" s="9" t="s">
        <v>101</v>
      </c>
      <c r="Q147" s="9" t="s">
        <v>101</v>
      </c>
      <c r="R147" s="9" t="s">
        <v>101</v>
      </c>
      <c r="S147" s="9" t="s">
        <v>101</v>
      </c>
      <c r="T147" s="9" t="s">
        <v>101</v>
      </c>
      <c r="U147" s="9" t="s">
        <v>101</v>
      </c>
      <c r="V147" s="15"/>
      <c r="W147" s="15"/>
      <c r="X147" s="15"/>
      <c r="Y147" s="15"/>
      <c r="Z147" s="15"/>
      <c r="AA147" s="15"/>
      <c r="AB147" s="15"/>
      <c r="AC147" s="15"/>
      <c r="AD147" s="15"/>
      <c r="AE147" s="19"/>
      <c r="AF147" s="19"/>
      <c r="AG147" s="7" t="s">
        <v>174</v>
      </c>
      <c r="AH147" s="13" t="str">
        <f>iferror(VLOOKUP($B147,covariates!$B$3:$Z$1126,6,FALSE),"")</f>
        <v/>
      </c>
      <c r="AI147" s="13" t="str">
        <f>iferror(VLOOKUP($B147,covariates!$B$3:$Z$1126,7,FALSE),"")</f>
        <v/>
      </c>
      <c r="AJ147" s="9" t="str">
        <f>iferror(VLOOKUP($B147,covariates!$B$3:$Z$1126,14,FALSE),"")</f>
        <v/>
      </c>
      <c r="AK147" s="9" t="str">
        <f>iferror(VLOOKUP($B147,covariates!$B$3:$Z$1126,16,FALSE),"")</f>
        <v/>
      </c>
      <c r="AL147" s="9" t="str">
        <f>iferror(VLOOKUP($B147,covariates!$B$3:$Z$1126,18,FALSE),"")</f>
        <v/>
      </c>
      <c r="AM147" s="9" t="str">
        <f>iferror(VLOOKUP($B147,covariates!$B$3:$Z$1126,19,FALSE),"")</f>
        <v/>
      </c>
    </row>
    <row r="148">
      <c r="A148" s="15">
        <v>23.0</v>
      </c>
      <c r="B148" s="17" t="str">
        <f t="shared" ref="B148:B149" si="79">HYPERLINK("https://github.com/d-wkim/phd/blob/main/data/pdf/ejerhed_2003.pdf","Ejerhed et al., 2003")</f>
        <v>Ejerhed et al., 2003</v>
      </c>
      <c r="C148" s="9" t="s">
        <v>42</v>
      </c>
      <c r="D148" s="7" t="s">
        <v>317</v>
      </c>
      <c r="E148" s="9" t="s">
        <v>222</v>
      </c>
      <c r="F148" s="9">
        <v>32.0</v>
      </c>
      <c r="G148" s="13">
        <f t="shared" ref="G148:G149" si="80">iferror(MEDIAN_MEAN(F148,I148,K148,M148),"")</f>
        <v>2.286461662</v>
      </c>
      <c r="H148" s="13">
        <f t="shared" ref="H148:H149" si="81">iferror(RANGE_SD(F148,I148,M148),"")</f>
        <v>3.992</v>
      </c>
      <c r="I148" s="9">
        <v>-5.0</v>
      </c>
      <c r="J148" s="15"/>
      <c r="K148" s="9">
        <v>2.0</v>
      </c>
      <c r="L148" s="15"/>
      <c r="M148" s="9">
        <v>11.5</v>
      </c>
      <c r="N148" s="21">
        <v>0.22864616618318623</v>
      </c>
      <c r="O148" s="9" t="s">
        <v>101</v>
      </c>
      <c r="P148" s="9" t="s">
        <v>101</v>
      </c>
      <c r="Q148" s="9" t="s">
        <v>101</v>
      </c>
      <c r="R148" s="9" t="s">
        <v>101</v>
      </c>
      <c r="S148" s="9" t="s">
        <v>101</v>
      </c>
      <c r="T148" s="9" t="s">
        <v>101</v>
      </c>
      <c r="U148" s="9" t="s">
        <v>101</v>
      </c>
      <c r="V148" s="15">
        <v>0.706</v>
      </c>
      <c r="W148" s="15"/>
      <c r="X148" s="15"/>
      <c r="Y148" s="15">
        <v>0.498</v>
      </c>
      <c r="Z148" s="15"/>
      <c r="AA148" s="15"/>
      <c r="AB148" s="15"/>
      <c r="AC148" s="15"/>
      <c r="AD148" s="15"/>
      <c r="AE148" s="19"/>
      <c r="AF148" s="19"/>
      <c r="AG148" s="7" t="s">
        <v>109</v>
      </c>
      <c r="AH148" s="13">
        <f>iferror(VLOOKUP($B148,covariates!$B$3:$Z$1126,6,FALSE),"")</f>
        <v>27.26043131</v>
      </c>
      <c r="AI148" s="13">
        <f>iferror(VLOOKUP($B148,covariates!$B$3:$Z$1126,7,FALSE),"")</f>
        <v>8.467</v>
      </c>
      <c r="AJ148" s="9">
        <f>iferror(VLOOKUP($B148,covariates!$B$3:$Z$1126,14,FALSE),"")</f>
        <v>21</v>
      </c>
      <c r="AK148" s="9">
        <f>iferror(VLOOKUP($B148,covariates!$B$3:$Z$1126,16,FALSE),"")</f>
        <v>11</v>
      </c>
      <c r="AL148" s="9">
        <f>iferror(VLOOKUP($B148,covariates!$B$3:$Z$1126,18,FALSE),"")</f>
        <v>24</v>
      </c>
      <c r="AM148" s="9">
        <f>iferror(VLOOKUP($B148,covariates!$B$3:$Z$1126,19,FALSE),"")</f>
        <v>2</v>
      </c>
    </row>
    <row r="149">
      <c r="A149" s="15">
        <v>23.0</v>
      </c>
      <c r="B149" s="17" t="str">
        <f t="shared" si="79"/>
        <v>Ejerhed et al., 2003</v>
      </c>
      <c r="C149" s="9" t="s">
        <v>84</v>
      </c>
      <c r="D149" s="7" t="s">
        <v>317</v>
      </c>
      <c r="E149" s="9" t="s">
        <v>222</v>
      </c>
      <c r="F149" s="9">
        <v>34.0</v>
      </c>
      <c r="G149" s="13">
        <f t="shared" si="80"/>
        <v>2.471236346</v>
      </c>
      <c r="H149" s="13">
        <f t="shared" si="81"/>
        <v>3.467</v>
      </c>
      <c r="I149" s="9">
        <v>-4.0</v>
      </c>
      <c r="J149" s="15"/>
      <c r="K149" s="9">
        <v>2.25</v>
      </c>
      <c r="L149" s="15"/>
      <c r="M149" s="9">
        <v>10.5</v>
      </c>
      <c r="N149" s="21">
        <v>0.2471236346317478</v>
      </c>
      <c r="O149" s="9" t="s">
        <v>101</v>
      </c>
      <c r="P149" s="9" t="s">
        <v>101</v>
      </c>
      <c r="Q149" s="9" t="s">
        <v>101</v>
      </c>
      <c r="R149" s="9" t="s">
        <v>101</v>
      </c>
      <c r="S149" s="9" t="s">
        <v>101</v>
      </c>
      <c r="T149" s="9" t="s">
        <v>101</v>
      </c>
      <c r="U149" s="9" t="s">
        <v>101</v>
      </c>
      <c r="V149" s="15">
        <v>0.595</v>
      </c>
      <c r="W149" s="15"/>
      <c r="X149" s="15"/>
      <c r="Y149" s="15">
        <v>0.354</v>
      </c>
      <c r="Z149" s="15"/>
      <c r="AA149" s="15"/>
      <c r="AB149" s="15"/>
      <c r="AC149" s="15"/>
      <c r="AD149" s="15"/>
      <c r="AE149" s="19"/>
      <c r="AF149" s="19"/>
      <c r="AG149" s="7" t="s">
        <v>109</v>
      </c>
      <c r="AH149" s="13">
        <f>iferror(VLOOKUP($B149,covariates!$B$3:$Z$1126,6,FALSE),"")</f>
        <v>27.26043131</v>
      </c>
      <c r="AI149" s="13">
        <f>iferror(VLOOKUP($B149,covariates!$B$3:$Z$1126,7,FALSE),"")</f>
        <v>8.467</v>
      </c>
      <c r="AJ149" s="9">
        <f>iferror(VLOOKUP($B149,covariates!$B$3:$Z$1126,14,FALSE),"")</f>
        <v>21</v>
      </c>
      <c r="AK149" s="9">
        <f>iferror(VLOOKUP($B149,covariates!$B$3:$Z$1126,16,FALSE),"")</f>
        <v>11</v>
      </c>
      <c r="AL149" s="9">
        <f>iferror(VLOOKUP($B149,covariates!$B$3:$Z$1126,18,FALSE),"")</f>
        <v>24</v>
      </c>
      <c r="AM149" s="9">
        <f>iferror(VLOOKUP($B149,covariates!$B$3:$Z$1126,19,FALSE),"")</f>
        <v>2</v>
      </c>
    </row>
    <row r="150">
      <c r="A150" s="15">
        <v>25.0</v>
      </c>
      <c r="B150" s="17" t="str">
        <f t="shared" ref="B150:B151" si="82">HYPERLINK("https://github.com/d-wkim/phd/blob/main/data/pdf/eriksson_2006.pdf","Eriksson et al., 2001")</f>
        <v>Eriksson et al., 2001</v>
      </c>
      <c r="C150" s="9" t="s">
        <v>42</v>
      </c>
      <c r="D150" s="7" t="s">
        <v>317</v>
      </c>
      <c r="E150" s="9" t="s">
        <v>222</v>
      </c>
      <c r="F150" s="9">
        <v>42.0</v>
      </c>
      <c r="G150" s="13">
        <v>0.95</v>
      </c>
      <c r="H150" s="13">
        <v>0.91</v>
      </c>
      <c r="I150" s="15"/>
      <c r="J150" s="15"/>
      <c r="K150" s="15"/>
      <c r="L150" s="15"/>
      <c r="M150" s="15"/>
      <c r="N150" s="21">
        <v>0.095</v>
      </c>
      <c r="O150" s="9" t="s">
        <v>101</v>
      </c>
      <c r="P150" s="9" t="s">
        <v>101</v>
      </c>
      <c r="Q150" s="9" t="s">
        <v>101</v>
      </c>
      <c r="R150" s="9" t="s">
        <v>101</v>
      </c>
      <c r="S150" s="9" t="s">
        <v>101</v>
      </c>
      <c r="T150" s="9" t="s">
        <v>101</v>
      </c>
      <c r="U150" s="9" t="s">
        <v>101</v>
      </c>
      <c r="V150" s="15">
        <v>0.14</v>
      </c>
      <c r="W150" s="15"/>
      <c r="X150" s="15"/>
      <c r="Y150" s="15">
        <v>0.02</v>
      </c>
      <c r="Z150" s="15"/>
      <c r="AA150" s="15"/>
      <c r="AB150" s="15"/>
      <c r="AC150" s="15"/>
      <c r="AD150" s="15"/>
      <c r="AE150" s="19"/>
      <c r="AF150" s="19"/>
      <c r="AG150" s="7" t="s">
        <v>109</v>
      </c>
      <c r="AH150" s="13">
        <f>iferror(VLOOKUP($B150,covariates!$B$3:$Z$1126,6,FALSE),"")</f>
        <v>27</v>
      </c>
      <c r="AI150" s="13">
        <f>iferror(VLOOKUP($B150,covariates!$B$3:$Z$1126,7,FALSE),"")</f>
        <v>6</v>
      </c>
      <c r="AJ150" s="9" t="str">
        <f>iferror(VLOOKUP($B150,covariates!$B$3:$Z$1126,14,FALSE),"")</f>
        <v/>
      </c>
      <c r="AK150" s="9" t="str">
        <f>iferror(VLOOKUP($B150,covariates!$B$3:$Z$1126,16,FALSE),"")</f>
        <v/>
      </c>
      <c r="AL150" s="9">
        <f>iferror(VLOOKUP($B150,covariates!$B$3:$Z$1126,18,FALSE),"")</f>
        <v>6.7</v>
      </c>
      <c r="AM150" s="9">
        <f>iferror(VLOOKUP($B150,covariates!$B$3:$Z$1126,19,FALSE),"")</f>
        <v>0.6</v>
      </c>
    </row>
    <row r="151">
      <c r="A151" s="15">
        <v>25.0</v>
      </c>
      <c r="B151" s="17" t="str">
        <f t="shared" si="82"/>
        <v>Eriksson et al., 2001</v>
      </c>
      <c r="C151" s="9" t="s">
        <v>84</v>
      </c>
      <c r="D151" s="7" t="s">
        <v>317</v>
      </c>
      <c r="E151" s="9" t="s">
        <v>222</v>
      </c>
      <c r="F151" s="9">
        <v>47.0</v>
      </c>
      <c r="G151" s="13">
        <v>1.1</v>
      </c>
      <c r="H151" s="13">
        <v>0.95</v>
      </c>
      <c r="I151" s="15"/>
      <c r="J151" s="15"/>
      <c r="K151" s="15"/>
      <c r="L151" s="15"/>
      <c r="M151" s="15"/>
      <c r="N151" s="21">
        <v>0.11000000000000001</v>
      </c>
      <c r="O151" s="9" t="s">
        <v>101</v>
      </c>
      <c r="P151" s="9" t="s">
        <v>101</v>
      </c>
      <c r="Q151" s="9" t="s">
        <v>101</v>
      </c>
      <c r="R151" s="9" t="s">
        <v>101</v>
      </c>
      <c r="S151" s="9" t="s">
        <v>101</v>
      </c>
      <c r="T151" s="9" t="s">
        <v>101</v>
      </c>
      <c r="U151" s="9" t="s">
        <v>101</v>
      </c>
      <c r="V151" s="15">
        <v>0.139</v>
      </c>
      <c r="W151" s="15"/>
      <c r="X151" s="15"/>
      <c r="Y151" s="15">
        <v>0.019</v>
      </c>
      <c r="Z151" s="15"/>
      <c r="AA151" s="15"/>
      <c r="AB151" s="15"/>
      <c r="AC151" s="15"/>
      <c r="AD151" s="15"/>
      <c r="AE151" s="19"/>
      <c r="AF151" s="19"/>
      <c r="AG151" s="7" t="s">
        <v>109</v>
      </c>
      <c r="AH151" s="13">
        <f>iferror(VLOOKUP($B151,covariates!$B$3:$Z$1126,6,FALSE),"")</f>
        <v>27</v>
      </c>
      <c r="AI151" s="13">
        <f>iferror(VLOOKUP($B151,covariates!$B$3:$Z$1126,7,FALSE),"")</f>
        <v>6</v>
      </c>
      <c r="AJ151" s="9" t="str">
        <f>iferror(VLOOKUP($B151,covariates!$B$3:$Z$1126,14,FALSE),"")</f>
        <v/>
      </c>
      <c r="AK151" s="9" t="str">
        <f>iferror(VLOOKUP($B151,covariates!$B$3:$Z$1126,16,FALSE),"")</f>
        <v/>
      </c>
      <c r="AL151" s="9">
        <f>iferror(VLOOKUP($B151,covariates!$B$3:$Z$1126,18,FALSE),"")</f>
        <v>6.7</v>
      </c>
      <c r="AM151" s="9">
        <f>iferror(VLOOKUP($B151,covariates!$B$3:$Z$1126,19,FALSE),"")</f>
        <v>0.6</v>
      </c>
    </row>
    <row r="152">
      <c r="A152" s="15">
        <v>26.0</v>
      </c>
      <c r="B152" s="17" t="str">
        <f t="shared" ref="B152:B153" si="83">HYPERLINK("https://github.com/d-wkim/phd/blob/main/data/pdf/feller_webster_2003.pdf","Feller &amp; Webster, 2003")</f>
        <v>Feller &amp; Webster, 2003</v>
      </c>
      <c r="C152" s="9" t="s">
        <v>42</v>
      </c>
      <c r="D152" s="7" t="s">
        <v>317</v>
      </c>
      <c r="E152" s="9" t="s">
        <v>222</v>
      </c>
      <c r="F152" s="9">
        <v>27.0</v>
      </c>
      <c r="G152" s="13">
        <v>0.5</v>
      </c>
      <c r="H152" s="13">
        <v>1.0</v>
      </c>
      <c r="I152" s="15"/>
      <c r="J152" s="15"/>
      <c r="K152" s="15"/>
      <c r="L152" s="15"/>
      <c r="M152" s="15"/>
      <c r="N152" s="21">
        <v>0.05</v>
      </c>
      <c r="O152" s="9" t="s">
        <v>101</v>
      </c>
      <c r="P152" s="9" t="s">
        <v>101</v>
      </c>
      <c r="Q152" s="9" t="s">
        <v>101</v>
      </c>
      <c r="R152" s="9" t="s">
        <v>101</v>
      </c>
      <c r="S152" s="9" t="s">
        <v>101</v>
      </c>
      <c r="T152" s="9" t="s">
        <v>101</v>
      </c>
      <c r="U152" s="9" t="s">
        <v>101</v>
      </c>
      <c r="V152" s="15">
        <v>0.192</v>
      </c>
      <c r="W152" s="15"/>
      <c r="X152" s="15"/>
      <c r="Y152" s="15">
        <v>0.037</v>
      </c>
      <c r="Z152" s="15"/>
      <c r="AA152" s="15"/>
      <c r="AB152" s="15"/>
      <c r="AC152" s="15"/>
      <c r="AD152" s="15"/>
      <c r="AE152" s="19"/>
      <c r="AF152" s="19"/>
      <c r="AG152" s="7" t="s">
        <v>109</v>
      </c>
      <c r="AH152" s="13">
        <f>iferror(VLOOKUP($B152,covariates!$B$3:$Z$1126,6,FALSE),"")</f>
        <v>25.8</v>
      </c>
      <c r="AI152" s="13">
        <f>iferror(VLOOKUP($B152,covariates!$B$3:$Z$1126,7,FALSE),"")</f>
        <v>6</v>
      </c>
      <c r="AJ152" s="9">
        <f>iferror(VLOOKUP($B152,covariates!$B$3:$Z$1126,14,FALSE),"")</f>
        <v>23</v>
      </c>
      <c r="AK152" s="9">
        <f>iferror(VLOOKUP($B152,covariates!$B$3:$Z$1126,16,FALSE),"")</f>
        <v>8</v>
      </c>
      <c r="AL152" s="9">
        <f>iferror(VLOOKUP($B152,covariates!$B$3:$Z$1126,18,FALSE),"")</f>
        <v>36</v>
      </c>
      <c r="AM152" s="9">
        <f>iferror(VLOOKUP($B152,covariates!$B$3:$Z$1126,19,FALSE),"")</f>
        <v>3</v>
      </c>
    </row>
    <row r="153">
      <c r="A153" s="15">
        <v>26.0</v>
      </c>
      <c r="B153" s="17" t="str">
        <f t="shared" si="83"/>
        <v>Feller &amp; Webster, 2003</v>
      </c>
      <c r="C153" s="9" t="s">
        <v>84</v>
      </c>
      <c r="D153" s="7" t="s">
        <v>317</v>
      </c>
      <c r="E153" s="9" t="s">
        <v>222</v>
      </c>
      <c r="F153" s="9">
        <v>21.0</v>
      </c>
      <c r="G153" s="13">
        <v>1.1</v>
      </c>
      <c r="H153" s="13">
        <v>1.2</v>
      </c>
      <c r="I153" s="15"/>
      <c r="J153" s="15"/>
      <c r="K153" s="15"/>
      <c r="L153" s="15"/>
      <c r="M153" s="15"/>
      <c r="N153" s="21">
        <v>0.11000000000000001</v>
      </c>
      <c r="O153" s="9" t="s">
        <v>101</v>
      </c>
      <c r="P153" s="9" t="s">
        <v>101</v>
      </c>
      <c r="Q153" s="9" t="s">
        <v>101</v>
      </c>
      <c r="R153" s="9" t="s">
        <v>101</v>
      </c>
      <c r="S153" s="9" t="s">
        <v>101</v>
      </c>
      <c r="T153" s="9" t="s">
        <v>101</v>
      </c>
      <c r="U153" s="9" t="s">
        <v>101</v>
      </c>
      <c r="V153" s="15">
        <v>0.262</v>
      </c>
      <c r="W153" s="15"/>
      <c r="X153" s="15"/>
      <c r="Y153" s="15">
        <v>0.069</v>
      </c>
      <c r="Z153" s="15"/>
      <c r="AA153" s="15"/>
      <c r="AB153" s="15"/>
      <c r="AC153" s="15"/>
      <c r="AD153" s="15"/>
      <c r="AE153" s="19"/>
      <c r="AF153" s="19"/>
      <c r="AG153" s="7" t="s">
        <v>109</v>
      </c>
      <c r="AH153" s="13">
        <f>iferror(VLOOKUP($B153,covariates!$B$3:$Z$1126,6,FALSE),"")</f>
        <v>25.8</v>
      </c>
      <c r="AI153" s="13">
        <f>iferror(VLOOKUP($B153,covariates!$B$3:$Z$1126,7,FALSE),"")</f>
        <v>6</v>
      </c>
      <c r="AJ153" s="9">
        <f>iferror(VLOOKUP($B153,covariates!$B$3:$Z$1126,14,FALSE),"")</f>
        <v>23</v>
      </c>
      <c r="AK153" s="9">
        <f>iferror(VLOOKUP($B153,covariates!$B$3:$Z$1126,16,FALSE),"")</f>
        <v>8</v>
      </c>
      <c r="AL153" s="9">
        <f>iferror(VLOOKUP($B153,covariates!$B$3:$Z$1126,18,FALSE),"")</f>
        <v>36</v>
      </c>
      <c r="AM153" s="9">
        <f>iferror(VLOOKUP($B153,covariates!$B$3:$Z$1126,19,FALSE),"")</f>
        <v>3</v>
      </c>
    </row>
    <row r="154">
      <c r="A154" s="15">
        <v>28.0</v>
      </c>
      <c r="B154" s="17" t="str">
        <f t="shared" ref="B154:B155" si="84">HYPERLINK("https://github.com/d-wkim/phd/blob/main/data/pdf/gerber_2007.pdf","Gerber et al., 2007")</f>
        <v>Gerber et al., 2007</v>
      </c>
      <c r="C154" s="7" t="s">
        <v>42</v>
      </c>
      <c r="D154" s="7" t="s">
        <v>317</v>
      </c>
      <c r="E154" s="9" t="s">
        <v>222</v>
      </c>
      <c r="F154" s="15"/>
      <c r="G154" s="21"/>
      <c r="H154" s="13"/>
      <c r="I154" s="15"/>
      <c r="J154" s="15"/>
      <c r="K154" s="15"/>
      <c r="L154" s="15"/>
      <c r="M154" s="15"/>
      <c r="N154" s="15"/>
      <c r="O154" s="9" t="s">
        <v>101</v>
      </c>
      <c r="P154" s="9" t="s">
        <v>101</v>
      </c>
      <c r="Q154" s="9" t="s">
        <v>101</v>
      </c>
      <c r="R154" s="9" t="s">
        <v>101</v>
      </c>
      <c r="S154" s="9" t="s">
        <v>101</v>
      </c>
      <c r="T154" s="9" t="s">
        <v>101</v>
      </c>
      <c r="U154" s="9" t="s">
        <v>101</v>
      </c>
      <c r="V154" s="15"/>
      <c r="W154" s="15"/>
      <c r="X154" s="15"/>
      <c r="Y154" s="15"/>
      <c r="Z154" s="15"/>
      <c r="AA154" s="15"/>
      <c r="AB154" s="15"/>
      <c r="AC154" s="15"/>
      <c r="AD154" s="15"/>
      <c r="AE154" s="19"/>
      <c r="AF154" s="19"/>
      <c r="AG154" s="7" t="s">
        <v>174</v>
      </c>
      <c r="AH154" s="13" t="str">
        <f>iferror(VLOOKUP($B154,covariates!$B$3:$Z$1126,6,FALSE),"")</f>
        <v/>
      </c>
      <c r="AI154" s="13" t="str">
        <f>iferror(VLOOKUP($B154,covariates!$B$3:$Z$1126,7,FALSE),"")</f>
        <v/>
      </c>
      <c r="AJ154" s="9" t="str">
        <f>iferror(VLOOKUP($B154,covariates!$B$3:$Z$1126,14,FALSE),"")</f>
        <v/>
      </c>
      <c r="AK154" s="9" t="str">
        <f>iferror(VLOOKUP($B154,covariates!$B$3:$Z$1126,16,FALSE),"")</f>
        <v/>
      </c>
      <c r="AL154" s="9" t="str">
        <f>iferror(VLOOKUP($B154,covariates!$B$3:$Z$1126,18,FALSE),"")</f>
        <v/>
      </c>
      <c r="AM154" s="9" t="str">
        <f>iferror(VLOOKUP($B154,covariates!$B$3:$Z$1126,19,FALSE),"")</f>
        <v/>
      </c>
    </row>
    <row r="155">
      <c r="A155" s="15">
        <v>28.0</v>
      </c>
      <c r="B155" s="17" t="str">
        <f t="shared" si="84"/>
        <v>Gerber et al., 2007</v>
      </c>
      <c r="C155" s="7" t="s">
        <v>84</v>
      </c>
      <c r="D155" s="7" t="s">
        <v>317</v>
      </c>
      <c r="E155" s="9" t="s">
        <v>222</v>
      </c>
      <c r="F155" s="15"/>
      <c r="G155" s="21"/>
      <c r="H155" s="13"/>
      <c r="I155" s="15"/>
      <c r="J155" s="15"/>
      <c r="K155" s="15"/>
      <c r="L155" s="15"/>
      <c r="M155" s="15"/>
      <c r="N155" s="15"/>
      <c r="O155" s="9" t="s">
        <v>101</v>
      </c>
      <c r="P155" s="9" t="s">
        <v>101</v>
      </c>
      <c r="Q155" s="9" t="s">
        <v>101</v>
      </c>
      <c r="R155" s="9" t="s">
        <v>101</v>
      </c>
      <c r="S155" s="9" t="s">
        <v>101</v>
      </c>
      <c r="T155" s="9" t="s">
        <v>101</v>
      </c>
      <c r="U155" s="9" t="s">
        <v>101</v>
      </c>
      <c r="V155" s="15"/>
      <c r="W155" s="15"/>
      <c r="X155" s="15"/>
      <c r="Y155" s="15"/>
      <c r="Z155" s="15"/>
      <c r="AA155" s="15"/>
      <c r="AB155" s="15"/>
      <c r="AC155" s="15"/>
      <c r="AD155" s="15"/>
      <c r="AE155" s="19"/>
      <c r="AF155" s="19"/>
      <c r="AG155" s="7" t="s">
        <v>174</v>
      </c>
      <c r="AH155" s="13" t="str">
        <f>iferror(VLOOKUP($B155,covariates!$B$3:$Z$1126,6,FALSE),"")</f>
        <v/>
      </c>
      <c r="AI155" s="13" t="str">
        <f>iferror(VLOOKUP($B155,covariates!$B$3:$Z$1126,7,FALSE),"")</f>
        <v/>
      </c>
      <c r="AJ155" s="9" t="str">
        <f>iferror(VLOOKUP($B155,covariates!$B$3:$Z$1126,14,FALSE),"")</f>
        <v/>
      </c>
      <c r="AK155" s="9" t="str">
        <f>iferror(VLOOKUP($B155,covariates!$B$3:$Z$1126,16,FALSE),"")</f>
        <v/>
      </c>
      <c r="AL155" s="9" t="str">
        <f>iferror(VLOOKUP($B155,covariates!$B$3:$Z$1126,18,FALSE),"")</f>
        <v/>
      </c>
      <c r="AM155" s="9" t="str">
        <f>iferror(VLOOKUP($B155,covariates!$B$3:$Z$1126,19,FALSE),"")</f>
        <v/>
      </c>
    </row>
    <row r="156">
      <c r="A156" s="15">
        <v>30.0</v>
      </c>
      <c r="B156" s="17" t="str">
        <f t="shared" ref="B156:B157" si="85">HYPERLINK("https://github.com/d-wkim/phd/blob/main/data/pdf/gifstad_2013.pdf","Gifstad et al., 2013")</f>
        <v>Gifstad et al., 2013</v>
      </c>
      <c r="C156" s="9" t="s">
        <v>42</v>
      </c>
      <c r="D156" s="7" t="s">
        <v>317</v>
      </c>
      <c r="E156" s="9" t="s">
        <v>222</v>
      </c>
      <c r="F156" s="9">
        <v>41.0</v>
      </c>
      <c r="G156" s="13">
        <v>1.4</v>
      </c>
      <c r="H156" s="13">
        <v>1.8</v>
      </c>
      <c r="I156" s="15"/>
      <c r="J156" s="15"/>
      <c r="K156" s="15"/>
      <c r="L156" s="15"/>
      <c r="M156" s="15"/>
      <c r="N156" s="21">
        <v>0.13999999999999999</v>
      </c>
      <c r="O156" s="9" t="s">
        <v>101</v>
      </c>
      <c r="P156" s="9" t="s">
        <v>101</v>
      </c>
      <c r="Q156" s="9" t="s">
        <v>101</v>
      </c>
      <c r="R156" s="9" t="s">
        <v>101</v>
      </c>
      <c r="S156" s="9" t="s">
        <v>101</v>
      </c>
      <c r="T156" s="9" t="s">
        <v>101</v>
      </c>
      <c r="U156" s="9" t="s">
        <v>101</v>
      </c>
      <c r="V156" s="15">
        <v>0.281</v>
      </c>
      <c r="W156" s="15"/>
      <c r="X156" s="15"/>
      <c r="Y156" s="15">
        <v>0.079</v>
      </c>
      <c r="Z156" s="15"/>
      <c r="AA156" s="15"/>
      <c r="AB156" s="15"/>
      <c r="AC156" s="15"/>
      <c r="AD156" s="15"/>
      <c r="AE156" s="19"/>
      <c r="AF156" s="19"/>
      <c r="AG156" s="7" t="s">
        <v>109</v>
      </c>
      <c r="AH156" s="13">
        <f>iferror(VLOOKUP($B156,covariates!$B$3:$Z$1126,6,FALSE),"")</f>
        <v>27</v>
      </c>
      <c r="AI156" s="13">
        <f>iferror(VLOOKUP($B156,covariates!$B$3:$Z$1126,7,FALSE),"")</f>
        <v>6.74</v>
      </c>
      <c r="AJ156" s="9" t="str">
        <f>iferror(VLOOKUP($B156,covariates!$B$3:$Z$1126,14,FALSE),"")</f>
        <v/>
      </c>
      <c r="AK156" s="9" t="str">
        <f>iferror(VLOOKUP($B156,covariates!$B$3:$Z$1126,16,FALSE),"")</f>
        <v/>
      </c>
      <c r="AL156" s="9">
        <f>iferror(VLOOKUP($B156,covariates!$B$3:$Z$1126,18,FALSE),"")</f>
        <v>84</v>
      </c>
      <c r="AM156" s="9">
        <f>iferror(VLOOKUP($B156,covariates!$B$3:$Z$1126,19,FALSE),"")</f>
        <v>7</v>
      </c>
    </row>
    <row r="157">
      <c r="A157" s="15">
        <v>30.0</v>
      </c>
      <c r="B157" s="17" t="str">
        <f t="shared" si="85"/>
        <v>Gifstad et al., 2013</v>
      </c>
      <c r="C157" s="9" t="s">
        <v>84</v>
      </c>
      <c r="D157" s="7" t="s">
        <v>317</v>
      </c>
      <c r="E157" s="9" t="s">
        <v>222</v>
      </c>
      <c r="F157" s="9">
        <v>36.0</v>
      </c>
      <c r="G157" s="13">
        <v>1.4</v>
      </c>
      <c r="H157" s="13">
        <v>1.4</v>
      </c>
      <c r="I157" s="15"/>
      <c r="J157" s="15"/>
      <c r="K157" s="15"/>
      <c r="L157" s="15"/>
      <c r="M157" s="15"/>
      <c r="N157" s="21">
        <v>0.13999999999999999</v>
      </c>
      <c r="O157" s="9" t="s">
        <v>101</v>
      </c>
      <c r="P157" s="9" t="s">
        <v>101</v>
      </c>
      <c r="Q157" s="9" t="s">
        <v>101</v>
      </c>
      <c r="R157" s="9" t="s">
        <v>101</v>
      </c>
      <c r="S157" s="9" t="s">
        <v>101</v>
      </c>
      <c r="T157" s="9" t="s">
        <v>101</v>
      </c>
      <c r="U157" s="9" t="s">
        <v>101</v>
      </c>
      <c r="V157" s="15">
        <v>0.233</v>
      </c>
      <c r="W157" s="15"/>
      <c r="X157" s="15"/>
      <c r="Y157" s="15">
        <v>0.054</v>
      </c>
      <c r="Z157" s="15"/>
      <c r="AA157" s="15"/>
      <c r="AB157" s="15"/>
      <c r="AC157" s="15"/>
      <c r="AD157" s="15"/>
      <c r="AE157" s="19"/>
      <c r="AF157" s="19"/>
      <c r="AG157" s="7" t="s">
        <v>109</v>
      </c>
      <c r="AH157" s="13">
        <f>iferror(VLOOKUP($B157,covariates!$B$3:$Z$1126,6,FALSE),"")</f>
        <v>27</v>
      </c>
      <c r="AI157" s="13">
        <f>iferror(VLOOKUP($B157,covariates!$B$3:$Z$1126,7,FALSE),"")</f>
        <v>6.74</v>
      </c>
      <c r="AJ157" s="9" t="str">
        <f>iferror(VLOOKUP($B157,covariates!$B$3:$Z$1126,14,FALSE),"")</f>
        <v/>
      </c>
      <c r="AK157" s="9" t="str">
        <f>iferror(VLOOKUP($B157,covariates!$B$3:$Z$1126,16,FALSE),"")</f>
        <v/>
      </c>
      <c r="AL157" s="9">
        <f>iferror(VLOOKUP($B157,covariates!$B$3:$Z$1126,18,FALSE),"")</f>
        <v>84</v>
      </c>
      <c r="AM157" s="9">
        <f>iferror(VLOOKUP($B157,covariates!$B$3:$Z$1126,19,FALSE),"")</f>
        <v>7</v>
      </c>
    </row>
    <row r="158">
      <c r="A158" s="15">
        <v>31.0</v>
      </c>
      <c r="B158" s="17" t="str">
        <f t="shared" ref="B158:B159" si="86">HYPERLINK("https://github.com/d-wkim/phd/blob/main/data/pdf/gobbi_francisco_2006.pdf","Gobbi &amp; Francisco, 2006")</f>
        <v>Gobbi &amp; Francisco, 2006</v>
      </c>
      <c r="C158" s="7" t="s">
        <v>42</v>
      </c>
      <c r="D158" s="7" t="s">
        <v>317</v>
      </c>
      <c r="E158" s="9" t="s">
        <v>222</v>
      </c>
      <c r="F158" s="15"/>
      <c r="G158" s="21"/>
      <c r="H158" s="13"/>
      <c r="I158" s="15"/>
      <c r="J158" s="15"/>
      <c r="K158" s="15"/>
      <c r="L158" s="15"/>
      <c r="M158" s="15"/>
      <c r="N158" s="15"/>
      <c r="O158" s="9" t="s">
        <v>101</v>
      </c>
      <c r="P158" s="9" t="s">
        <v>101</v>
      </c>
      <c r="Q158" s="9" t="s">
        <v>101</v>
      </c>
      <c r="R158" s="9" t="s">
        <v>101</v>
      </c>
      <c r="S158" s="9" t="s">
        <v>101</v>
      </c>
      <c r="T158" s="9" t="s">
        <v>101</v>
      </c>
      <c r="U158" s="9" t="s">
        <v>101</v>
      </c>
      <c r="V158" s="15"/>
      <c r="W158" s="15"/>
      <c r="X158" s="15"/>
      <c r="Y158" s="15"/>
      <c r="Z158" s="15"/>
      <c r="AA158" s="15"/>
      <c r="AB158" s="15"/>
      <c r="AC158" s="15"/>
      <c r="AD158" s="15"/>
      <c r="AE158" s="19"/>
      <c r="AF158" s="19"/>
      <c r="AG158" s="7" t="s">
        <v>174</v>
      </c>
      <c r="AH158" s="13" t="str">
        <f>iferror(VLOOKUP($B158,covariates!$B$3:$Z$1126,6,FALSE),"")</f>
        <v/>
      </c>
      <c r="AI158" s="13" t="str">
        <f>iferror(VLOOKUP($B158,covariates!$B$3:$Z$1126,7,FALSE),"")</f>
        <v/>
      </c>
      <c r="AJ158" s="9" t="str">
        <f>iferror(VLOOKUP($B158,covariates!$B$3:$Z$1126,14,FALSE),"")</f>
        <v/>
      </c>
      <c r="AK158" s="9" t="str">
        <f>iferror(VLOOKUP($B158,covariates!$B$3:$Z$1126,16,FALSE),"")</f>
        <v/>
      </c>
      <c r="AL158" s="9" t="str">
        <f>iferror(VLOOKUP($B158,covariates!$B$3:$Z$1126,18,FALSE),"")</f>
        <v/>
      </c>
      <c r="AM158" s="9" t="str">
        <f>iferror(VLOOKUP($B158,covariates!$B$3:$Z$1126,19,FALSE),"")</f>
        <v/>
      </c>
    </row>
    <row r="159">
      <c r="A159" s="15">
        <v>31.0</v>
      </c>
      <c r="B159" s="17" t="str">
        <f t="shared" si="86"/>
        <v>Gobbi &amp; Francisco, 2006</v>
      </c>
      <c r="C159" s="7" t="s">
        <v>84</v>
      </c>
      <c r="D159" s="7" t="s">
        <v>317</v>
      </c>
      <c r="E159" s="9" t="s">
        <v>222</v>
      </c>
      <c r="F159" s="15"/>
      <c r="G159" s="21"/>
      <c r="H159" s="13"/>
      <c r="I159" s="15"/>
      <c r="J159" s="15"/>
      <c r="K159" s="15"/>
      <c r="L159" s="15"/>
      <c r="M159" s="15"/>
      <c r="N159" s="15"/>
      <c r="O159" s="9" t="s">
        <v>101</v>
      </c>
      <c r="P159" s="9" t="s">
        <v>101</v>
      </c>
      <c r="Q159" s="9" t="s">
        <v>101</v>
      </c>
      <c r="R159" s="9" t="s">
        <v>101</v>
      </c>
      <c r="S159" s="9" t="s">
        <v>101</v>
      </c>
      <c r="T159" s="9" t="s">
        <v>101</v>
      </c>
      <c r="U159" s="9" t="s">
        <v>101</v>
      </c>
      <c r="V159" s="15"/>
      <c r="W159" s="15"/>
      <c r="X159" s="15"/>
      <c r="Y159" s="15"/>
      <c r="Z159" s="15"/>
      <c r="AA159" s="15"/>
      <c r="AB159" s="15"/>
      <c r="AC159" s="15"/>
      <c r="AD159" s="15"/>
      <c r="AE159" s="19"/>
      <c r="AF159" s="19"/>
      <c r="AG159" s="7" t="s">
        <v>174</v>
      </c>
      <c r="AH159" s="13" t="str">
        <f>iferror(VLOOKUP($B159,covariates!$B$3:$Z$1126,6,FALSE),"")</f>
        <v/>
      </c>
      <c r="AI159" s="13" t="str">
        <f>iferror(VLOOKUP($B159,covariates!$B$3:$Z$1126,7,FALSE),"")</f>
        <v/>
      </c>
      <c r="AJ159" s="9" t="str">
        <f>iferror(VLOOKUP($B159,covariates!$B$3:$Z$1126,14,FALSE),"")</f>
        <v/>
      </c>
      <c r="AK159" s="9" t="str">
        <f>iferror(VLOOKUP($B159,covariates!$B$3:$Z$1126,16,FALSE),"")</f>
        <v/>
      </c>
      <c r="AL159" s="9" t="str">
        <f>iferror(VLOOKUP($B159,covariates!$B$3:$Z$1126,18,FALSE),"")</f>
        <v/>
      </c>
      <c r="AM159" s="9" t="str">
        <f>iferror(VLOOKUP($B159,covariates!$B$3:$Z$1126,19,FALSE),"")</f>
        <v/>
      </c>
    </row>
    <row r="160">
      <c r="A160" s="15">
        <v>33.0</v>
      </c>
      <c r="B160" s="17" t="str">
        <f t="shared" ref="B160:B161" si="87">HYPERLINK("https://github.com/d-wkim/phd/blob/main/data/pdf/harilainen_2006.pdf","Harilainen et al., 2006")</f>
        <v>Harilainen et al., 2006</v>
      </c>
      <c r="C160" s="9" t="s">
        <v>42</v>
      </c>
      <c r="D160" s="7" t="s">
        <v>317</v>
      </c>
      <c r="E160" s="9" t="s">
        <v>222</v>
      </c>
      <c r="F160" s="9">
        <v>37.0</v>
      </c>
      <c r="G160" s="13">
        <v>1.5</v>
      </c>
      <c r="H160" s="13">
        <v>3.0</v>
      </c>
      <c r="I160" s="15"/>
      <c r="J160" s="15"/>
      <c r="K160" s="15"/>
      <c r="L160" s="15"/>
      <c r="M160" s="15"/>
      <c r="N160" s="21">
        <v>0.15</v>
      </c>
      <c r="O160" s="9" t="s">
        <v>101</v>
      </c>
      <c r="P160" s="9" t="s">
        <v>101</v>
      </c>
      <c r="Q160" s="9" t="s">
        <v>101</v>
      </c>
      <c r="R160" s="9" t="s">
        <v>101</v>
      </c>
      <c r="S160" s="9" t="s">
        <v>101</v>
      </c>
      <c r="T160" s="9" t="s">
        <v>101</v>
      </c>
      <c r="U160" s="9" t="s">
        <v>101</v>
      </c>
      <c r="V160" s="15">
        <v>0.493</v>
      </c>
      <c r="W160" s="15"/>
      <c r="X160" s="15"/>
      <c r="Y160" s="15">
        <v>0.243</v>
      </c>
      <c r="Z160" s="15"/>
      <c r="AA160" s="15"/>
      <c r="AB160" s="15"/>
      <c r="AC160" s="15"/>
      <c r="AD160" s="15"/>
      <c r="AE160" s="19"/>
      <c r="AF160" s="19"/>
      <c r="AG160" s="7" t="s">
        <v>109</v>
      </c>
      <c r="AH160" s="13" t="str">
        <f>iferror(VLOOKUP($B160,covariates!$B$3:$Z$1126,6,FALSE),"")</f>
        <v/>
      </c>
      <c r="AI160" s="13" t="str">
        <f>iferror(VLOOKUP($B160,covariates!$B$3:$Z$1126,7,FALSE),"")</f>
        <v/>
      </c>
      <c r="AJ160" s="9" t="str">
        <f>iferror(VLOOKUP($B160,covariates!$B$3:$Z$1126,14,FALSE),"")</f>
        <v/>
      </c>
      <c r="AK160" s="9" t="str">
        <f>iferror(VLOOKUP($B160,covariates!$B$3:$Z$1126,16,FALSE),"")</f>
        <v/>
      </c>
      <c r="AL160" s="9">
        <f>iferror(VLOOKUP($B160,covariates!$B$3:$Z$1126,18,FALSE),"")</f>
        <v>60.6</v>
      </c>
      <c r="AM160" s="9">
        <f>iferror(VLOOKUP($B160,covariates!$B$3:$Z$1126,19,FALSE),"")</f>
        <v>5.1</v>
      </c>
    </row>
    <row r="161">
      <c r="A161" s="15">
        <v>33.0</v>
      </c>
      <c r="B161" s="17" t="str">
        <f t="shared" si="87"/>
        <v>Harilainen et al., 2006</v>
      </c>
      <c r="C161" s="9" t="s">
        <v>84</v>
      </c>
      <c r="D161" s="7" t="s">
        <v>317</v>
      </c>
      <c r="E161" s="9" t="s">
        <v>222</v>
      </c>
      <c r="F161" s="9">
        <v>37.0</v>
      </c>
      <c r="G161" s="13">
        <v>1.2</v>
      </c>
      <c r="H161" s="13">
        <v>3.9</v>
      </c>
      <c r="I161" s="15"/>
      <c r="J161" s="15"/>
      <c r="K161" s="15"/>
      <c r="L161" s="15"/>
      <c r="M161" s="15"/>
      <c r="N161" s="21">
        <v>0.12</v>
      </c>
      <c r="O161" s="9" t="s">
        <v>101</v>
      </c>
      <c r="P161" s="9" t="s">
        <v>101</v>
      </c>
      <c r="Q161" s="9" t="s">
        <v>101</v>
      </c>
      <c r="R161" s="9" t="s">
        <v>101</v>
      </c>
      <c r="S161" s="9" t="s">
        <v>101</v>
      </c>
      <c r="T161" s="9" t="s">
        <v>101</v>
      </c>
      <c r="U161" s="9" t="s">
        <v>101</v>
      </c>
      <c r="V161" s="15">
        <v>0.641</v>
      </c>
      <c r="W161" s="15"/>
      <c r="X161" s="15"/>
      <c r="Y161" s="15">
        <v>0.411</v>
      </c>
      <c r="Z161" s="15"/>
      <c r="AA161" s="15"/>
      <c r="AB161" s="15"/>
      <c r="AC161" s="15"/>
      <c r="AD161" s="15"/>
      <c r="AE161" s="19"/>
      <c r="AF161" s="19"/>
      <c r="AG161" s="7" t="s">
        <v>109</v>
      </c>
      <c r="AH161" s="13" t="str">
        <f>iferror(VLOOKUP($B161,covariates!$B$3:$Z$1126,6,FALSE),"")</f>
        <v/>
      </c>
      <c r="AI161" s="13" t="str">
        <f>iferror(VLOOKUP($B161,covariates!$B$3:$Z$1126,7,FALSE),"")</f>
        <v/>
      </c>
      <c r="AJ161" s="9" t="str">
        <f>iferror(VLOOKUP($B161,covariates!$B$3:$Z$1126,14,FALSE),"")</f>
        <v/>
      </c>
      <c r="AK161" s="9" t="str">
        <f>iferror(VLOOKUP($B161,covariates!$B$3:$Z$1126,16,FALSE),"")</f>
        <v/>
      </c>
      <c r="AL161" s="9">
        <f>iferror(VLOOKUP($B161,covariates!$B$3:$Z$1126,18,FALSE),"")</f>
        <v>60.6</v>
      </c>
      <c r="AM161" s="9">
        <f>iferror(VLOOKUP($B161,covariates!$B$3:$Z$1126,19,FALSE),"")</f>
        <v>5.1</v>
      </c>
    </row>
    <row r="162">
      <c r="A162" s="15">
        <v>34.0</v>
      </c>
      <c r="B162" s="17" t="str">
        <f t="shared" ref="B162:B163" si="88">HYPERLINK("https://github.com/d-wkim/phd/blob/main/data/pdf/heijne_werner_2010.pdf","Heijne &amp; Werner, 2010")</f>
        <v>Heijne &amp; Werner, 2010</v>
      </c>
      <c r="C162" s="7" t="s">
        <v>42</v>
      </c>
      <c r="D162" s="7" t="s">
        <v>317</v>
      </c>
      <c r="E162" s="9" t="s">
        <v>222</v>
      </c>
      <c r="F162" s="9"/>
      <c r="G162" s="21"/>
      <c r="H162" s="13"/>
      <c r="I162" s="15"/>
      <c r="J162" s="15"/>
      <c r="K162" s="15"/>
      <c r="L162" s="15"/>
      <c r="M162" s="15"/>
      <c r="N162" s="15"/>
      <c r="O162" s="9" t="s">
        <v>101</v>
      </c>
      <c r="P162" s="9" t="s">
        <v>101</v>
      </c>
      <c r="Q162" s="9" t="s">
        <v>101</v>
      </c>
      <c r="R162" s="9" t="s">
        <v>101</v>
      </c>
      <c r="S162" s="9" t="s">
        <v>101</v>
      </c>
      <c r="T162" s="9" t="s">
        <v>101</v>
      </c>
      <c r="U162" s="9" t="s">
        <v>101</v>
      </c>
      <c r="V162" s="15"/>
      <c r="W162" s="15"/>
      <c r="X162" s="15"/>
      <c r="Y162" s="15"/>
      <c r="Z162" s="15"/>
      <c r="AA162" s="15"/>
      <c r="AB162" s="15"/>
      <c r="AC162" s="15"/>
      <c r="AD162" s="15"/>
      <c r="AE162" s="19"/>
      <c r="AF162" s="19"/>
      <c r="AG162" s="7" t="s">
        <v>174</v>
      </c>
      <c r="AH162" s="13">
        <f>iferror(VLOOKUP($B162,covariates!$B$3:$Z$1126,6,FALSE),"")</f>
        <v>29</v>
      </c>
      <c r="AI162" s="13">
        <f>iferror(VLOOKUP($B162,covariates!$B$3:$Z$1126,7,FALSE),"")</f>
        <v>7</v>
      </c>
      <c r="AJ162" s="9">
        <f>iferror(VLOOKUP($B162,covariates!$B$3:$Z$1126,14,FALSE),"")</f>
        <v>22</v>
      </c>
      <c r="AK162" s="9">
        <f>iferror(VLOOKUP($B162,covariates!$B$3:$Z$1126,16,FALSE),"")</f>
        <v>12</v>
      </c>
      <c r="AL162" s="9">
        <f>iferror(VLOOKUP($B162,covariates!$B$3:$Z$1126,18,FALSE),"")</f>
        <v>24.7</v>
      </c>
      <c r="AM162" s="9">
        <f>iferror(VLOOKUP($B162,covariates!$B$3:$Z$1126,19,FALSE),"")</f>
        <v>2.1</v>
      </c>
    </row>
    <row r="163">
      <c r="A163" s="15">
        <v>34.0</v>
      </c>
      <c r="B163" s="17" t="str">
        <f t="shared" si="88"/>
        <v>Heijne &amp; Werner, 2010</v>
      </c>
      <c r="C163" s="7" t="s">
        <v>84</v>
      </c>
      <c r="D163" s="7" t="s">
        <v>317</v>
      </c>
      <c r="E163" s="9" t="s">
        <v>222</v>
      </c>
      <c r="F163" s="9"/>
      <c r="G163" s="21"/>
      <c r="H163" s="13"/>
      <c r="I163" s="15"/>
      <c r="J163" s="15"/>
      <c r="K163" s="15"/>
      <c r="L163" s="15"/>
      <c r="M163" s="15"/>
      <c r="N163" s="15"/>
      <c r="O163" s="9" t="s">
        <v>101</v>
      </c>
      <c r="P163" s="9" t="s">
        <v>101</v>
      </c>
      <c r="Q163" s="9" t="s">
        <v>101</v>
      </c>
      <c r="R163" s="9" t="s">
        <v>101</v>
      </c>
      <c r="S163" s="9" t="s">
        <v>101</v>
      </c>
      <c r="T163" s="9" t="s">
        <v>101</v>
      </c>
      <c r="U163" s="9" t="s">
        <v>101</v>
      </c>
      <c r="V163" s="15"/>
      <c r="W163" s="15"/>
      <c r="X163" s="15"/>
      <c r="Y163" s="15"/>
      <c r="Z163" s="15"/>
      <c r="AA163" s="15"/>
      <c r="AB163" s="15"/>
      <c r="AC163" s="15"/>
      <c r="AD163" s="15"/>
      <c r="AE163" s="19"/>
      <c r="AF163" s="19"/>
      <c r="AG163" s="7" t="s">
        <v>174</v>
      </c>
      <c r="AH163" s="13">
        <f>iferror(VLOOKUP($B163,covariates!$B$3:$Z$1126,6,FALSE),"")</f>
        <v>29</v>
      </c>
      <c r="AI163" s="13">
        <f>iferror(VLOOKUP($B163,covariates!$B$3:$Z$1126,7,FALSE),"")</f>
        <v>7</v>
      </c>
      <c r="AJ163" s="9">
        <f>iferror(VLOOKUP($B163,covariates!$B$3:$Z$1126,14,FALSE),"")</f>
        <v>22</v>
      </c>
      <c r="AK163" s="9">
        <f>iferror(VLOOKUP($B163,covariates!$B$3:$Z$1126,16,FALSE),"")</f>
        <v>12</v>
      </c>
      <c r="AL163" s="9">
        <f>iferror(VLOOKUP($B163,covariates!$B$3:$Z$1126,18,FALSE),"")</f>
        <v>24.7</v>
      </c>
      <c r="AM163" s="9">
        <f>iferror(VLOOKUP($B163,covariates!$B$3:$Z$1126,19,FALSE),"")</f>
        <v>2.1</v>
      </c>
    </row>
    <row r="164">
      <c r="A164" s="15">
        <v>35.0</v>
      </c>
      <c r="B164" s="17" t="str">
        <f t="shared" ref="B164:B165" si="89">HYPERLINK("https://github.com/d-wkim/phd/blob/main/data/pdf/holm_2010.pdf","Holm et al., 2010")</f>
        <v>Holm et al., 2010</v>
      </c>
      <c r="C164" s="9" t="s">
        <v>42</v>
      </c>
      <c r="D164" s="7" t="s">
        <v>317</v>
      </c>
      <c r="E164" s="9" t="s">
        <v>222</v>
      </c>
      <c r="F164" s="9">
        <v>28.0</v>
      </c>
      <c r="G164" s="13">
        <v>3.0</v>
      </c>
      <c r="H164" s="13">
        <v>3.2</v>
      </c>
      <c r="I164" s="15"/>
      <c r="J164" s="15"/>
      <c r="K164" s="15"/>
      <c r="L164" s="15"/>
      <c r="M164" s="15"/>
      <c r="N164" s="21">
        <v>0.3</v>
      </c>
      <c r="O164" s="9" t="s">
        <v>101</v>
      </c>
      <c r="P164" s="9" t="s">
        <v>101</v>
      </c>
      <c r="Q164" s="9" t="s">
        <v>101</v>
      </c>
      <c r="R164" s="9" t="s">
        <v>101</v>
      </c>
      <c r="S164" s="9" t="s">
        <v>101</v>
      </c>
      <c r="T164" s="9" t="s">
        <v>101</v>
      </c>
      <c r="U164" s="9" t="s">
        <v>101</v>
      </c>
      <c r="V164" s="15">
        <v>0.605</v>
      </c>
      <c r="W164" s="15"/>
      <c r="X164" s="15"/>
      <c r="Y164" s="15">
        <v>0.366</v>
      </c>
      <c r="Z164" s="15"/>
      <c r="AA164" s="15"/>
      <c r="AB164" s="15"/>
      <c r="AC164" s="15"/>
      <c r="AD164" s="15"/>
      <c r="AE164" s="19"/>
      <c r="AF164" s="19"/>
      <c r="AG164" s="7" t="s">
        <v>109</v>
      </c>
      <c r="AH164" s="13">
        <f>iferror(VLOOKUP($B164,covariates!$B$3:$Z$1126,6,FALSE),"")</f>
        <v>33.9</v>
      </c>
      <c r="AI164" s="13">
        <f>iferror(VLOOKUP($B164,covariates!$B$3:$Z$1126,7,FALSE),"")</f>
        <v>6.2</v>
      </c>
      <c r="AJ164" s="9">
        <f>iferror(VLOOKUP($B164,covariates!$B$3:$Z$1126,14,FALSE),"")</f>
        <v>18</v>
      </c>
      <c r="AK164" s="9">
        <f>iferror(VLOOKUP($B164,covariates!$B$3:$Z$1126,16,FALSE),"")</f>
        <v>10</v>
      </c>
      <c r="AL164" s="9">
        <f>iferror(VLOOKUP($B164,covariates!$B$3:$Z$1126,18,FALSE),"")</f>
        <v>10.2</v>
      </c>
      <c r="AM164" s="9">
        <f>iferror(VLOOKUP($B164,covariates!$B$3:$Z$1126,19,FALSE),"")</f>
        <v>0.9</v>
      </c>
    </row>
    <row r="165">
      <c r="A165" s="15">
        <v>35.0</v>
      </c>
      <c r="B165" s="17" t="str">
        <f t="shared" si="89"/>
        <v>Holm et al., 2010</v>
      </c>
      <c r="C165" s="9" t="s">
        <v>84</v>
      </c>
      <c r="D165" s="7" t="s">
        <v>317</v>
      </c>
      <c r="E165" s="9" t="s">
        <v>222</v>
      </c>
      <c r="F165" s="9">
        <v>29.0</v>
      </c>
      <c r="G165" s="13">
        <v>2.0</v>
      </c>
      <c r="H165" s="13">
        <v>3.5</v>
      </c>
      <c r="I165" s="15"/>
      <c r="J165" s="15"/>
      <c r="K165" s="15"/>
      <c r="L165" s="15"/>
      <c r="M165" s="15"/>
      <c r="N165" s="21">
        <v>0.2</v>
      </c>
      <c r="O165" s="9" t="s">
        <v>101</v>
      </c>
      <c r="P165" s="9" t="s">
        <v>101</v>
      </c>
      <c r="Q165" s="9" t="s">
        <v>101</v>
      </c>
      <c r="R165" s="9" t="s">
        <v>101</v>
      </c>
      <c r="S165" s="9" t="s">
        <v>101</v>
      </c>
      <c r="T165" s="9" t="s">
        <v>101</v>
      </c>
      <c r="U165" s="9" t="s">
        <v>101</v>
      </c>
      <c r="V165" s="15">
        <v>0.65</v>
      </c>
      <c r="W165" s="15"/>
      <c r="X165" s="15"/>
      <c r="Y165" s="15">
        <v>0.423</v>
      </c>
      <c r="Z165" s="15"/>
      <c r="AA165" s="15"/>
      <c r="AB165" s="15"/>
      <c r="AC165" s="15"/>
      <c r="AD165" s="15"/>
      <c r="AE165" s="19"/>
      <c r="AF165" s="19"/>
      <c r="AG165" s="7" t="s">
        <v>109</v>
      </c>
      <c r="AH165" s="13">
        <f>iferror(VLOOKUP($B165,covariates!$B$3:$Z$1126,6,FALSE),"")</f>
        <v>33.9</v>
      </c>
      <c r="AI165" s="13">
        <f>iferror(VLOOKUP($B165,covariates!$B$3:$Z$1126,7,FALSE),"")</f>
        <v>6.2</v>
      </c>
      <c r="AJ165" s="9">
        <f>iferror(VLOOKUP($B165,covariates!$B$3:$Z$1126,14,FALSE),"")</f>
        <v>18</v>
      </c>
      <c r="AK165" s="9">
        <f>iferror(VLOOKUP($B165,covariates!$B$3:$Z$1126,16,FALSE),"")</f>
        <v>10</v>
      </c>
      <c r="AL165" s="9">
        <f>iferror(VLOOKUP($B165,covariates!$B$3:$Z$1126,18,FALSE),"")</f>
        <v>10.2</v>
      </c>
      <c r="AM165" s="9">
        <f>iferror(VLOOKUP($B165,covariates!$B$3:$Z$1126,19,FALSE),"")</f>
        <v>0.9</v>
      </c>
    </row>
    <row r="166">
      <c r="A166" s="15">
        <v>36.0</v>
      </c>
      <c r="B166" s="17" t="str">
        <f t="shared" ref="B166:B167" si="90">HYPERLINK("https://github.com/d-wkim/phd/blob/main/data/pdf/horstmann_2022.pdf","Horstmann et al., 2022")</f>
        <v>Horstmann et al., 2022</v>
      </c>
      <c r="C166" s="9" t="s">
        <v>84</v>
      </c>
      <c r="D166" s="7" t="s">
        <v>317</v>
      </c>
      <c r="E166" s="9" t="s">
        <v>222</v>
      </c>
      <c r="F166" s="68">
        <v>26.0</v>
      </c>
      <c r="G166" s="13">
        <v>0.2</v>
      </c>
      <c r="H166" s="13">
        <v>2.2</v>
      </c>
      <c r="I166" s="15"/>
      <c r="J166" s="15"/>
      <c r="K166" s="15"/>
      <c r="L166" s="15"/>
      <c r="M166" s="15"/>
      <c r="N166" s="21">
        <v>0.02</v>
      </c>
      <c r="O166" s="9" t="s">
        <v>101</v>
      </c>
      <c r="P166" s="9" t="s">
        <v>101</v>
      </c>
      <c r="Q166" s="9" t="s">
        <v>101</v>
      </c>
      <c r="R166" s="9" t="s">
        <v>101</v>
      </c>
      <c r="S166" s="9" t="s">
        <v>101</v>
      </c>
      <c r="T166" s="9" t="s">
        <v>101</v>
      </c>
      <c r="U166" s="9" t="s">
        <v>101</v>
      </c>
      <c r="V166" s="15">
        <v>0.431</v>
      </c>
      <c r="W166" s="15"/>
      <c r="X166" s="15"/>
      <c r="Y166" s="15">
        <v>0.186</v>
      </c>
      <c r="Z166" s="15"/>
      <c r="AA166" s="15"/>
      <c r="AB166" s="15"/>
      <c r="AC166" s="15"/>
      <c r="AD166" s="15"/>
      <c r="AE166" s="19"/>
      <c r="AF166" s="19"/>
      <c r="AG166" s="7" t="s">
        <v>109</v>
      </c>
      <c r="AH166" s="13">
        <f>iferror(VLOOKUP($B166,covariates!$B$3:$Z$1126,6,FALSE),"")</f>
        <v>32.7</v>
      </c>
      <c r="AI166" s="13">
        <f>iferror(VLOOKUP($B166,covariates!$B$3:$Z$1126,7,FALSE),"")</f>
        <v>11.4</v>
      </c>
      <c r="AJ166" s="9">
        <f>iferror(VLOOKUP($B166,covariates!$B$3:$Z$1126,14,FALSE),"")</f>
        <v>12</v>
      </c>
      <c r="AK166" s="9">
        <f>iferror(VLOOKUP($B166,covariates!$B$3:$Z$1126,16,FALSE),"")</f>
        <v>15</v>
      </c>
      <c r="AL166" s="9">
        <f>iferror(VLOOKUP($B166,covariates!$B$3:$Z$1126,18,FALSE),"")</f>
        <v>24</v>
      </c>
      <c r="AM166" s="9">
        <f>iferror(VLOOKUP($B166,covariates!$B$3:$Z$1126,19,FALSE),"")</f>
        <v>2</v>
      </c>
    </row>
    <row r="167">
      <c r="A167" s="15">
        <v>36.0</v>
      </c>
      <c r="B167" s="17" t="str">
        <f t="shared" si="90"/>
        <v>Horstmann et al., 2022</v>
      </c>
      <c r="C167" s="9" t="s">
        <v>200</v>
      </c>
      <c r="D167" s="7" t="s">
        <v>317</v>
      </c>
      <c r="E167" s="9" t="s">
        <v>222</v>
      </c>
      <c r="F167" s="9">
        <v>23.0</v>
      </c>
      <c r="G167" s="13">
        <v>0.7</v>
      </c>
      <c r="H167" s="13">
        <v>1.1</v>
      </c>
      <c r="I167" s="15"/>
      <c r="J167" s="15"/>
      <c r="K167" s="15"/>
      <c r="L167" s="15"/>
      <c r="M167" s="15"/>
      <c r="N167" s="21">
        <v>0.06999999999999999</v>
      </c>
      <c r="O167" s="9" t="s">
        <v>101</v>
      </c>
      <c r="P167" s="9" t="s">
        <v>101</v>
      </c>
      <c r="Q167" s="9" t="s">
        <v>101</v>
      </c>
      <c r="R167" s="9" t="s">
        <v>101</v>
      </c>
      <c r="S167" s="9" t="s">
        <v>101</v>
      </c>
      <c r="T167" s="9" t="s">
        <v>101</v>
      </c>
      <c r="U167" s="9" t="s">
        <v>101</v>
      </c>
      <c r="V167" s="15">
        <v>0.229</v>
      </c>
      <c r="W167" s="15"/>
      <c r="X167" s="15"/>
      <c r="Y167" s="15">
        <v>0.052</v>
      </c>
      <c r="Z167" s="19"/>
      <c r="AA167" s="19"/>
      <c r="AB167" s="19"/>
      <c r="AC167" s="19"/>
      <c r="AD167" s="19"/>
      <c r="AE167" s="19"/>
      <c r="AF167" s="19"/>
      <c r="AG167" s="7" t="s">
        <v>109</v>
      </c>
      <c r="AH167" s="13">
        <f>iferror(VLOOKUP($B167,covariates!$B$3:$Z$1126,6,FALSE),"")</f>
        <v>32.7</v>
      </c>
      <c r="AI167" s="13">
        <f>iferror(VLOOKUP($B167,covariates!$B$3:$Z$1126,7,FALSE),"")</f>
        <v>11.4</v>
      </c>
      <c r="AJ167" s="9">
        <f>iferror(VLOOKUP($B167,covariates!$B$3:$Z$1126,14,FALSE),"")</f>
        <v>12</v>
      </c>
      <c r="AK167" s="9">
        <f>iferror(VLOOKUP($B167,covariates!$B$3:$Z$1126,16,FALSE),"")</f>
        <v>15</v>
      </c>
      <c r="AL167" s="9">
        <f>iferror(VLOOKUP($B167,covariates!$B$3:$Z$1126,18,FALSE),"")</f>
        <v>24</v>
      </c>
      <c r="AM167" s="9">
        <f>iferror(VLOOKUP($B167,covariates!$B$3:$Z$1126,19,FALSE),"")</f>
        <v>2</v>
      </c>
    </row>
    <row r="168">
      <c r="A168" s="15">
        <v>37.0</v>
      </c>
      <c r="B168" s="17" t="str">
        <f t="shared" ref="B168:B169" si="91">HYPERLINK("https://github.com/d-wkim/phd/blob/main/data/pdf/ibrahim_2005.pdf","Ibrahim et al., 2005")</f>
        <v>Ibrahim et al., 2005</v>
      </c>
      <c r="C168" s="7" t="s">
        <v>42</v>
      </c>
      <c r="D168" s="7" t="s">
        <v>317</v>
      </c>
      <c r="E168" s="9" t="s">
        <v>222</v>
      </c>
      <c r="F168" s="15"/>
      <c r="G168" s="21"/>
      <c r="H168" s="13"/>
      <c r="I168" s="15"/>
      <c r="J168" s="15"/>
      <c r="K168" s="15"/>
      <c r="L168" s="15"/>
      <c r="M168" s="15"/>
      <c r="N168" s="15"/>
      <c r="O168" s="9" t="s">
        <v>101</v>
      </c>
      <c r="P168" s="9" t="s">
        <v>101</v>
      </c>
      <c r="Q168" s="9" t="s">
        <v>101</v>
      </c>
      <c r="R168" s="9" t="s">
        <v>101</v>
      </c>
      <c r="S168" s="9" t="s">
        <v>101</v>
      </c>
      <c r="T168" s="9" t="s">
        <v>101</v>
      </c>
      <c r="U168" s="9" t="s">
        <v>101</v>
      </c>
      <c r="V168" s="15"/>
      <c r="W168" s="15"/>
      <c r="X168" s="15"/>
      <c r="Y168" s="15"/>
      <c r="Z168" s="15"/>
      <c r="AA168" s="15"/>
      <c r="AB168" s="15"/>
      <c r="AC168" s="15"/>
      <c r="AD168" s="15"/>
      <c r="AE168" s="19"/>
      <c r="AF168" s="19"/>
      <c r="AG168" s="7" t="s">
        <v>174</v>
      </c>
      <c r="AH168" s="13">
        <f>iferror(VLOOKUP($B168,covariates!$B$3:$Z$1126,6,FALSE),"")</f>
        <v>22.3</v>
      </c>
      <c r="AI168" s="13">
        <f>iferror(VLOOKUP($B168,covariates!$B$3:$Z$1126,7,FALSE),"")</f>
        <v>3.942</v>
      </c>
      <c r="AJ168" s="9">
        <f>iferror(VLOOKUP($B168,covariates!$B$3:$Z$1126,14,FALSE),"")</f>
        <v>40</v>
      </c>
      <c r="AK168" s="9">
        <f>iferror(VLOOKUP($B168,covariates!$B$3:$Z$1126,16,FALSE),"")</f>
        <v>0</v>
      </c>
      <c r="AL168" s="9">
        <f>iferror(VLOOKUP($B168,covariates!$B$3:$Z$1126,18,FALSE),"")</f>
        <v>81</v>
      </c>
      <c r="AM168" s="9">
        <f>iferror(VLOOKUP($B168,covariates!$B$3:$Z$1126,19,FALSE),"")</f>
        <v>6.8</v>
      </c>
    </row>
    <row r="169">
      <c r="A169" s="15">
        <v>37.0</v>
      </c>
      <c r="B169" s="17" t="str">
        <f t="shared" si="91"/>
        <v>Ibrahim et al., 2005</v>
      </c>
      <c r="C169" s="7" t="s">
        <v>84</v>
      </c>
      <c r="D169" s="7" t="s">
        <v>317</v>
      </c>
      <c r="E169" s="9" t="s">
        <v>222</v>
      </c>
      <c r="F169" s="15"/>
      <c r="G169" s="21"/>
      <c r="H169" s="13"/>
      <c r="I169" s="15"/>
      <c r="J169" s="15"/>
      <c r="K169" s="15"/>
      <c r="L169" s="15"/>
      <c r="M169" s="15"/>
      <c r="N169" s="15"/>
      <c r="O169" s="9" t="s">
        <v>101</v>
      </c>
      <c r="P169" s="9" t="s">
        <v>101</v>
      </c>
      <c r="Q169" s="9" t="s">
        <v>101</v>
      </c>
      <c r="R169" s="9" t="s">
        <v>101</v>
      </c>
      <c r="S169" s="9" t="s">
        <v>101</v>
      </c>
      <c r="T169" s="9" t="s">
        <v>101</v>
      </c>
      <c r="U169" s="9" t="s">
        <v>101</v>
      </c>
      <c r="V169" s="15"/>
      <c r="W169" s="15"/>
      <c r="X169" s="15"/>
      <c r="Y169" s="15"/>
      <c r="Z169" s="15"/>
      <c r="AA169" s="15"/>
      <c r="AB169" s="15"/>
      <c r="AC169" s="15"/>
      <c r="AD169" s="15"/>
      <c r="AE169" s="19"/>
      <c r="AF169" s="19"/>
      <c r="AG169" s="7" t="s">
        <v>174</v>
      </c>
      <c r="AH169" s="13">
        <f>iferror(VLOOKUP($B169,covariates!$B$3:$Z$1126,6,FALSE),"")</f>
        <v>22.3</v>
      </c>
      <c r="AI169" s="13">
        <f>iferror(VLOOKUP($B169,covariates!$B$3:$Z$1126,7,FALSE),"")</f>
        <v>3.942</v>
      </c>
      <c r="AJ169" s="9">
        <f>iferror(VLOOKUP($B169,covariates!$B$3:$Z$1126,14,FALSE),"")</f>
        <v>40</v>
      </c>
      <c r="AK169" s="9">
        <f>iferror(VLOOKUP($B169,covariates!$B$3:$Z$1126,16,FALSE),"")</f>
        <v>0</v>
      </c>
      <c r="AL169" s="9">
        <f>iferror(VLOOKUP($B169,covariates!$B$3:$Z$1126,18,FALSE),"")</f>
        <v>81</v>
      </c>
      <c r="AM169" s="9">
        <f>iferror(VLOOKUP($B169,covariates!$B$3:$Z$1126,19,FALSE),"")</f>
        <v>6.8</v>
      </c>
    </row>
    <row r="170">
      <c r="A170" s="15">
        <v>41.0</v>
      </c>
      <c r="B170" s="17" t="str">
        <f t="shared" ref="B170:B171" si="92">HYPERLINK("https://github.com/d-wkim/phd/blob/main/data/pdf/jansson_2003.pdf","Jansson et al., 2003")</f>
        <v>Jansson et al., 2003</v>
      </c>
      <c r="C170" s="9" t="s">
        <v>42</v>
      </c>
      <c r="D170" s="7" t="s">
        <v>317</v>
      </c>
      <c r="E170" s="9" t="s">
        <v>222</v>
      </c>
      <c r="F170" s="9">
        <v>43.0</v>
      </c>
      <c r="G170" s="13">
        <v>1.7</v>
      </c>
      <c r="H170" s="13">
        <f t="shared" ref="H170:H177" si="93">iferror(RANGE_SD(F170,I170,M170),"")</f>
        <v>2.632</v>
      </c>
      <c r="I170" s="9">
        <v>-3.7</v>
      </c>
      <c r="J170" s="15"/>
      <c r="K170" s="15"/>
      <c r="L170" s="15"/>
      <c r="M170" s="9">
        <v>7.8</v>
      </c>
      <c r="N170" s="21">
        <v>0.16999999999999998</v>
      </c>
      <c r="O170" s="9" t="s">
        <v>101</v>
      </c>
      <c r="P170" s="9" t="s">
        <v>101</v>
      </c>
      <c r="Q170" s="9" t="s">
        <v>101</v>
      </c>
      <c r="R170" s="9" t="s">
        <v>101</v>
      </c>
      <c r="S170" s="9" t="s">
        <v>101</v>
      </c>
      <c r="T170" s="9" t="s">
        <v>101</v>
      </c>
      <c r="U170" s="9" t="s">
        <v>101</v>
      </c>
      <c r="V170" s="15">
        <v>0.401</v>
      </c>
      <c r="W170" s="15"/>
      <c r="X170" s="15"/>
      <c r="Y170" s="15">
        <v>0.161</v>
      </c>
      <c r="Z170" s="15"/>
      <c r="AA170" s="15"/>
      <c r="AB170" s="15"/>
      <c r="AC170" s="15"/>
      <c r="AD170" s="15"/>
      <c r="AE170" s="19"/>
      <c r="AF170" s="19"/>
      <c r="AG170" s="7" t="s">
        <v>109</v>
      </c>
      <c r="AH170" s="13" t="str">
        <f>iferror(VLOOKUP($B170,covariates!$B$3:$Z$1126,6,FALSE),"")</f>
        <v/>
      </c>
      <c r="AI170" s="13" t="str">
        <f>iferror(VLOOKUP($B170,covariates!$B$3:$Z$1126,7,FALSE),"")</f>
        <v/>
      </c>
      <c r="AJ170" s="9" t="str">
        <f>iferror(VLOOKUP($B170,covariates!$B$3:$Z$1126,14,FALSE),"")</f>
        <v/>
      </c>
      <c r="AK170" s="9" t="str">
        <f>iferror(VLOOKUP($B170,covariates!$B$3:$Z$1126,16,FALSE),"")</f>
        <v/>
      </c>
      <c r="AL170" s="9">
        <f>iferror(VLOOKUP($B170,covariates!$B$3:$Z$1126,18,FALSE),"")</f>
        <v>24</v>
      </c>
      <c r="AM170" s="9">
        <f>iferror(VLOOKUP($B170,covariates!$B$3:$Z$1126,19,FALSE),"")</f>
        <v>2</v>
      </c>
    </row>
    <row r="171">
      <c r="A171" s="15">
        <v>41.0</v>
      </c>
      <c r="B171" s="17" t="str">
        <f t="shared" si="92"/>
        <v>Jansson et al., 2003</v>
      </c>
      <c r="C171" s="9" t="s">
        <v>84</v>
      </c>
      <c r="D171" s="7" t="s">
        <v>317</v>
      </c>
      <c r="E171" s="9" t="s">
        <v>222</v>
      </c>
      <c r="F171" s="9">
        <v>46.0</v>
      </c>
      <c r="G171" s="13">
        <v>1.2</v>
      </c>
      <c r="H171" s="13">
        <f t="shared" si="93"/>
        <v>2.646</v>
      </c>
      <c r="I171" s="9">
        <v>-4.3</v>
      </c>
      <c r="J171" s="15"/>
      <c r="K171" s="15"/>
      <c r="L171" s="15"/>
      <c r="M171" s="9">
        <v>7.4</v>
      </c>
      <c r="N171" s="21">
        <v>0.12</v>
      </c>
      <c r="O171" s="9" t="s">
        <v>101</v>
      </c>
      <c r="P171" s="9" t="s">
        <v>101</v>
      </c>
      <c r="Q171" s="9" t="s">
        <v>101</v>
      </c>
      <c r="R171" s="9" t="s">
        <v>101</v>
      </c>
      <c r="S171" s="9" t="s">
        <v>101</v>
      </c>
      <c r="T171" s="9" t="s">
        <v>101</v>
      </c>
      <c r="U171" s="9" t="s">
        <v>101</v>
      </c>
      <c r="V171" s="15">
        <v>0.39</v>
      </c>
      <c r="W171" s="15"/>
      <c r="X171" s="15"/>
      <c r="Y171" s="15">
        <v>0.152</v>
      </c>
      <c r="Z171" s="15"/>
      <c r="AA171" s="15"/>
      <c r="AB171" s="15"/>
      <c r="AC171" s="15"/>
      <c r="AD171" s="15"/>
      <c r="AE171" s="19"/>
      <c r="AF171" s="19"/>
      <c r="AG171" s="7" t="s">
        <v>109</v>
      </c>
      <c r="AH171" s="13" t="str">
        <f>iferror(VLOOKUP($B171,covariates!$B$3:$Z$1126,6,FALSE),"")</f>
        <v/>
      </c>
      <c r="AI171" s="13" t="str">
        <f>iferror(VLOOKUP($B171,covariates!$B$3:$Z$1126,7,FALSE),"")</f>
        <v/>
      </c>
      <c r="AJ171" s="9" t="str">
        <f>iferror(VLOOKUP($B171,covariates!$B$3:$Z$1126,14,FALSE),"")</f>
        <v/>
      </c>
      <c r="AK171" s="9" t="str">
        <f>iferror(VLOOKUP($B171,covariates!$B$3:$Z$1126,16,FALSE),"")</f>
        <v/>
      </c>
      <c r="AL171" s="9">
        <f>iferror(VLOOKUP($B171,covariates!$B$3:$Z$1126,18,FALSE),"")</f>
        <v>24</v>
      </c>
      <c r="AM171" s="9">
        <f>iferror(VLOOKUP($B171,covariates!$B$3:$Z$1126,19,FALSE),"")</f>
        <v>2</v>
      </c>
    </row>
    <row r="172">
      <c r="A172" s="15">
        <v>43.0</v>
      </c>
      <c r="B172" s="17" t="str">
        <f t="shared" ref="B172:B173" si="94">HYPERLINK("https://github.com/d-wkim/phd/blob/main/data/pdf/kautzner_2015.pdf","Kautzner et al., 2015")</f>
        <v>Kautzner et al., 2015</v>
      </c>
      <c r="C172" s="9" t="s">
        <v>42</v>
      </c>
      <c r="D172" s="7" t="s">
        <v>317</v>
      </c>
      <c r="E172" s="9" t="s">
        <v>222</v>
      </c>
      <c r="F172" s="9">
        <v>74.0</v>
      </c>
      <c r="G172" s="13">
        <v>0.6</v>
      </c>
      <c r="H172" s="13">
        <f t="shared" si="93"/>
        <v>0.209</v>
      </c>
      <c r="I172" s="9">
        <v>0.0</v>
      </c>
      <c r="J172" s="15"/>
      <c r="K172" s="15"/>
      <c r="L172" s="15"/>
      <c r="M172" s="9">
        <v>1.0</v>
      </c>
      <c r="N172" s="21">
        <v>0.06</v>
      </c>
      <c r="O172" s="9" t="s">
        <v>101</v>
      </c>
      <c r="P172" s="9" t="s">
        <v>101</v>
      </c>
      <c r="Q172" s="9" t="s">
        <v>101</v>
      </c>
      <c r="R172" s="9" t="s">
        <v>101</v>
      </c>
      <c r="S172" s="9" t="s">
        <v>101</v>
      </c>
      <c r="T172" s="9" t="s">
        <v>101</v>
      </c>
      <c r="U172" s="9" t="s">
        <v>101</v>
      </c>
      <c r="V172" s="15">
        <v>0.024</v>
      </c>
      <c r="W172" s="15"/>
      <c r="X172" s="15"/>
      <c r="Y172" s="15">
        <v>0.001</v>
      </c>
      <c r="Z172" s="15"/>
      <c r="AA172" s="15"/>
      <c r="AB172" s="15"/>
      <c r="AC172" s="15"/>
      <c r="AD172" s="15"/>
      <c r="AE172" s="19"/>
      <c r="AF172" s="19"/>
      <c r="AG172" s="7" t="s">
        <v>109</v>
      </c>
      <c r="AH172" s="13">
        <f>iferror(VLOOKUP($B172,covariates!$B$3:$Z$1126,6,FALSE),"")</f>
        <v>26</v>
      </c>
      <c r="AI172" s="13">
        <f>iferror(VLOOKUP($B172,covariates!$B$3:$Z$1126,7,FALSE),"")</f>
        <v>6.275</v>
      </c>
      <c r="AJ172" s="9">
        <f>iferror(VLOOKUP($B172,covariates!$B$3:$Z$1126,14,FALSE),"")</f>
        <v>0</v>
      </c>
      <c r="AK172" s="9">
        <f>iferror(VLOOKUP($B172,covariates!$B$3:$Z$1126,16,FALSE),"")</f>
        <v>74</v>
      </c>
      <c r="AL172" s="9">
        <f>iferror(VLOOKUP($B172,covariates!$B$3:$Z$1126,18,FALSE),"")</f>
        <v>24</v>
      </c>
      <c r="AM172" s="9">
        <f>iferror(VLOOKUP($B172,covariates!$B$3:$Z$1126,19,FALSE),"")</f>
        <v>2</v>
      </c>
    </row>
    <row r="173">
      <c r="A173" s="15">
        <v>43.0</v>
      </c>
      <c r="B173" s="17" t="str">
        <f t="shared" si="94"/>
        <v>Kautzner et al., 2015</v>
      </c>
      <c r="C173" s="9" t="s">
        <v>84</v>
      </c>
      <c r="D173" s="7" t="s">
        <v>317</v>
      </c>
      <c r="E173" s="9" t="s">
        <v>222</v>
      </c>
      <c r="F173" s="9">
        <v>73.0</v>
      </c>
      <c r="G173" s="13">
        <v>0.5</v>
      </c>
      <c r="H173" s="13">
        <f t="shared" si="93"/>
        <v>0.419</v>
      </c>
      <c r="I173" s="9">
        <v>0.0</v>
      </c>
      <c r="J173" s="15"/>
      <c r="K173" s="15"/>
      <c r="L173" s="15"/>
      <c r="M173" s="9">
        <v>2.0</v>
      </c>
      <c r="N173" s="21">
        <v>0.05</v>
      </c>
      <c r="O173" s="9" t="s">
        <v>101</v>
      </c>
      <c r="P173" s="9" t="s">
        <v>101</v>
      </c>
      <c r="Q173" s="9" t="s">
        <v>101</v>
      </c>
      <c r="R173" s="9" t="s">
        <v>101</v>
      </c>
      <c r="S173" s="9" t="s">
        <v>101</v>
      </c>
      <c r="T173" s="9" t="s">
        <v>101</v>
      </c>
      <c r="U173" s="9" t="s">
        <v>101</v>
      </c>
      <c r="V173" s="15">
        <v>0.049</v>
      </c>
      <c r="W173" s="15"/>
      <c r="X173" s="15"/>
      <c r="Y173" s="15">
        <v>0.002</v>
      </c>
      <c r="Z173" s="15"/>
      <c r="AA173" s="15"/>
      <c r="AB173" s="15"/>
      <c r="AC173" s="15"/>
      <c r="AD173" s="15"/>
      <c r="AE173" s="19"/>
      <c r="AF173" s="19"/>
      <c r="AG173" s="7" t="s">
        <v>109</v>
      </c>
      <c r="AH173" s="13">
        <f>iferror(VLOOKUP($B173,covariates!$B$3:$Z$1126,6,FALSE),"")</f>
        <v>26</v>
      </c>
      <c r="AI173" s="13">
        <f>iferror(VLOOKUP($B173,covariates!$B$3:$Z$1126,7,FALSE),"")</f>
        <v>6.275</v>
      </c>
      <c r="AJ173" s="9">
        <f>iferror(VLOOKUP($B173,covariates!$B$3:$Z$1126,14,FALSE),"")</f>
        <v>0</v>
      </c>
      <c r="AK173" s="9">
        <f>iferror(VLOOKUP($B173,covariates!$B$3:$Z$1126,16,FALSE),"")</f>
        <v>74</v>
      </c>
      <c r="AL173" s="9">
        <f>iferror(VLOOKUP($B173,covariates!$B$3:$Z$1126,18,FALSE),"")</f>
        <v>24</v>
      </c>
      <c r="AM173" s="9">
        <f>iferror(VLOOKUP($B173,covariates!$B$3:$Z$1126,19,FALSE),"")</f>
        <v>2</v>
      </c>
    </row>
    <row r="174">
      <c r="A174" s="15">
        <v>45.0</v>
      </c>
      <c r="B174" s="17" t="str">
        <f t="shared" ref="B174:B175" si="95">HYPERLINK("https://github.com/d-wkim/phd/blob/main/data/pdf/konrads_2016.pdf","Konrads et al., 2016")</f>
        <v>Konrads et al., 2016</v>
      </c>
      <c r="C174" s="9" t="s">
        <v>42</v>
      </c>
      <c r="D174" s="7" t="s">
        <v>317</v>
      </c>
      <c r="E174" s="9" t="s">
        <v>222</v>
      </c>
      <c r="F174" s="9">
        <v>24.0</v>
      </c>
      <c r="G174" s="13">
        <v>1.8</v>
      </c>
      <c r="H174" s="13">
        <f t="shared" si="93"/>
        <v>0.514</v>
      </c>
      <c r="I174" s="9">
        <v>1.0</v>
      </c>
      <c r="J174" s="15"/>
      <c r="K174" s="15"/>
      <c r="L174" s="15"/>
      <c r="M174" s="9">
        <v>3.0</v>
      </c>
      <c r="N174" s="21">
        <v>0.18</v>
      </c>
      <c r="O174" s="9" t="s">
        <v>101</v>
      </c>
      <c r="P174" s="9" t="s">
        <v>101</v>
      </c>
      <c r="Q174" s="9" t="s">
        <v>101</v>
      </c>
      <c r="R174" s="9" t="s">
        <v>101</v>
      </c>
      <c r="S174" s="9" t="s">
        <v>101</v>
      </c>
      <c r="T174" s="9" t="s">
        <v>101</v>
      </c>
      <c r="U174" s="9" t="s">
        <v>101</v>
      </c>
      <c r="V174" s="15">
        <v>0.105</v>
      </c>
      <c r="W174" s="15"/>
      <c r="X174" s="15"/>
      <c r="Y174" s="15">
        <v>0.011</v>
      </c>
      <c r="Z174" s="15"/>
      <c r="AA174" s="15"/>
      <c r="AB174" s="15"/>
      <c r="AC174" s="15"/>
      <c r="AD174" s="15"/>
      <c r="AE174" s="19"/>
      <c r="AF174" s="19"/>
      <c r="AG174" s="7" t="s">
        <v>109</v>
      </c>
      <c r="AH174" s="13">
        <f>iferror(VLOOKUP($B174,covariates!$B$3:$Z$1126,6,FALSE),"")</f>
        <v>29.8</v>
      </c>
      <c r="AI174" s="13">
        <f>iferror(VLOOKUP($B174,covariates!$B$3:$Z$1126,7,FALSE),"")</f>
        <v>6.33</v>
      </c>
      <c r="AJ174" s="9">
        <f>iferror(VLOOKUP($B174,covariates!$B$3:$Z$1126,14,FALSE),"")</f>
        <v>22</v>
      </c>
      <c r="AK174" s="9">
        <f>iferror(VLOOKUP($B174,covariates!$B$3:$Z$1126,16,FALSE),"")</f>
        <v>9</v>
      </c>
      <c r="AL174" s="9">
        <f>iferror(VLOOKUP($B174,covariates!$B$3:$Z$1126,18,FALSE),"")</f>
        <v>120</v>
      </c>
      <c r="AM174" s="9">
        <f>iferror(VLOOKUP($B174,covariates!$B$3:$Z$1126,19,FALSE),"")</f>
        <v>10</v>
      </c>
    </row>
    <row r="175">
      <c r="A175" s="15">
        <v>45.0</v>
      </c>
      <c r="B175" s="17" t="str">
        <f t="shared" si="95"/>
        <v>Konrads et al., 2016</v>
      </c>
      <c r="C175" s="9" t="s">
        <v>84</v>
      </c>
      <c r="D175" s="7" t="s">
        <v>317</v>
      </c>
      <c r="E175" s="9" t="s">
        <v>222</v>
      </c>
      <c r="F175" s="9">
        <v>23.0</v>
      </c>
      <c r="G175" s="13">
        <v>2.2</v>
      </c>
      <c r="H175" s="13">
        <f t="shared" si="93"/>
        <v>0.778</v>
      </c>
      <c r="I175" s="9">
        <v>1.0</v>
      </c>
      <c r="J175" s="15"/>
      <c r="K175" s="15"/>
      <c r="L175" s="15"/>
      <c r="M175" s="9">
        <v>4.0</v>
      </c>
      <c r="N175" s="21">
        <v>0.22000000000000003</v>
      </c>
      <c r="O175" s="9" t="s">
        <v>101</v>
      </c>
      <c r="P175" s="9" t="s">
        <v>101</v>
      </c>
      <c r="Q175" s="9" t="s">
        <v>101</v>
      </c>
      <c r="R175" s="9" t="s">
        <v>101</v>
      </c>
      <c r="S175" s="9" t="s">
        <v>101</v>
      </c>
      <c r="T175" s="9" t="s">
        <v>101</v>
      </c>
      <c r="U175" s="9" t="s">
        <v>101</v>
      </c>
      <c r="V175" s="15">
        <v>0.162</v>
      </c>
      <c r="W175" s="15"/>
      <c r="X175" s="15"/>
      <c r="Y175" s="15">
        <v>0.026</v>
      </c>
      <c r="Z175" s="15"/>
      <c r="AA175" s="15"/>
      <c r="AB175" s="15"/>
      <c r="AC175" s="15"/>
      <c r="AD175" s="15"/>
      <c r="AE175" s="19"/>
      <c r="AF175" s="19"/>
      <c r="AG175" s="7" t="s">
        <v>109</v>
      </c>
      <c r="AH175" s="13">
        <f>iferror(VLOOKUP($B175,covariates!$B$3:$Z$1126,6,FALSE),"")</f>
        <v>29.8</v>
      </c>
      <c r="AI175" s="13">
        <f>iferror(VLOOKUP($B175,covariates!$B$3:$Z$1126,7,FALSE),"")</f>
        <v>6.33</v>
      </c>
      <c r="AJ175" s="9">
        <f>iferror(VLOOKUP($B175,covariates!$B$3:$Z$1126,14,FALSE),"")</f>
        <v>22</v>
      </c>
      <c r="AK175" s="9">
        <f>iferror(VLOOKUP($B175,covariates!$B$3:$Z$1126,16,FALSE),"")</f>
        <v>9</v>
      </c>
      <c r="AL175" s="9">
        <f>iferror(VLOOKUP($B175,covariates!$B$3:$Z$1126,18,FALSE),"")</f>
        <v>120</v>
      </c>
      <c r="AM175" s="9">
        <f>iferror(VLOOKUP($B175,covariates!$B$3:$Z$1126,19,FALSE),"")</f>
        <v>10</v>
      </c>
    </row>
    <row r="176">
      <c r="A176" s="15">
        <v>46.0</v>
      </c>
      <c r="B176" s="17" t="str">
        <f t="shared" ref="B176:B177" si="96">HYPERLINK("https://github.com/d-wkim/phd/blob/main/data/pdf/laoruengthana_2009.pdf","Laoruengthana et al., 2009")</f>
        <v>Laoruengthana et al., 2009</v>
      </c>
      <c r="C176" s="9" t="s">
        <v>42</v>
      </c>
      <c r="D176" s="7" t="s">
        <v>317</v>
      </c>
      <c r="E176" s="9" t="s">
        <v>222</v>
      </c>
      <c r="F176" s="9">
        <v>15.0</v>
      </c>
      <c r="G176" s="13">
        <v>1.22</v>
      </c>
      <c r="H176" s="13">
        <f t="shared" si="93"/>
        <v>0.69</v>
      </c>
      <c r="I176" s="9">
        <v>0.3</v>
      </c>
      <c r="J176" s="15"/>
      <c r="K176" s="15"/>
      <c r="L176" s="15"/>
      <c r="M176" s="9">
        <v>2.7</v>
      </c>
      <c r="N176" s="21">
        <v>0.122</v>
      </c>
      <c r="O176" s="9" t="s">
        <v>101</v>
      </c>
      <c r="P176" s="9" t="s">
        <v>101</v>
      </c>
      <c r="Q176" s="9" t="s">
        <v>101</v>
      </c>
      <c r="R176" s="9" t="s">
        <v>101</v>
      </c>
      <c r="S176" s="9" t="s">
        <v>101</v>
      </c>
      <c r="T176" s="9" t="s">
        <v>101</v>
      </c>
      <c r="U176" s="9" t="s">
        <v>101</v>
      </c>
      <c r="V176" s="15">
        <v>0.178</v>
      </c>
      <c r="W176" s="15"/>
      <c r="X176" s="15"/>
      <c r="Y176" s="15">
        <v>0.032</v>
      </c>
      <c r="Z176" s="15"/>
      <c r="AA176" s="15"/>
      <c r="AB176" s="15"/>
      <c r="AC176" s="15"/>
      <c r="AD176" s="15"/>
      <c r="AE176" s="19"/>
      <c r="AF176" s="19"/>
      <c r="AG176" s="7" t="s">
        <v>109</v>
      </c>
      <c r="AH176" s="13">
        <f>iferror(VLOOKUP($B176,covariates!$B$3:$Z$1126,6,FALSE),"")</f>
        <v>29.93</v>
      </c>
      <c r="AI176" s="13">
        <f>iferror(VLOOKUP($B176,covariates!$B$3:$Z$1126,7,FALSE),"")</f>
        <v>8.911</v>
      </c>
      <c r="AJ176" s="9" t="str">
        <f>iferror(VLOOKUP($B176,covariates!$B$3:$Z$1126,14,FALSE),"")</f>
        <v/>
      </c>
      <c r="AK176" s="9" t="str">
        <f>iferror(VLOOKUP($B176,covariates!$B$3:$Z$1126,16,FALSE),"")</f>
        <v/>
      </c>
      <c r="AL176" s="9">
        <f>iferror(VLOOKUP($B176,covariates!$B$3:$Z$1126,18,FALSE),"")</f>
        <v>19</v>
      </c>
      <c r="AM176" s="9">
        <f>iferror(VLOOKUP($B176,covariates!$B$3:$Z$1126,19,FALSE),"")</f>
        <v>1.6</v>
      </c>
    </row>
    <row r="177">
      <c r="A177" s="15">
        <v>46.0</v>
      </c>
      <c r="B177" s="17" t="str">
        <f t="shared" si="96"/>
        <v>Laoruengthana et al., 2009</v>
      </c>
      <c r="C177" s="9" t="s">
        <v>84</v>
      </c>
      <c r="D177" s="7" t="s">
        <v>317</v>
      </c>
      <c r="E177" s="9" t="s">
        <v>222</v>
      </c>
      <c r="F177" s="9">
        <v>13.0</v>
      </c>
      <c r="G177" s="13">
        <v>0.96</v>
      </c>
      <c r="H177" s="13">
        <f t="shared" si="93"/>
        <v>0.418</v>
      </c>
      <c r="I177" s="9">
        <v>0.2</v>
      </c>
      <c r="J177" s="15"/>
      <c r="K177" s="15"/>
      <c r="L177" s="15"/>
      <c r="M177" s="9">
        <v>1.6</v>
      </c>
      <c r="N177" s="21">
        <v>0.096</v>
      </c>
      <c r="O177" s="9" t="s">
        <v>101</v>
      </c>
      <c r="P177" s="9" t="s">
        <v>101</v>
      </c>
      <c r="Q177" s="9" t="s">
        <v>101</v>
      </c>
      <c r="R177" s="9" t="s">
        <v>101</v>
      </c>
      <c r="S177" s="9" t="s">
        <v>101</v>
      </c>
      <c r="T177" s="9" t="s">
        <v>101</v>
      </c>
      <c r="U177" s="9" t="s">
        <v>101</v>
      </c>
      <c r="V177" s="15">
        <v>0.116</v>
      </c>
      <c r="W177" s="15"/>
      <c r="X177" s="15"/>
      <c r="Y177" s="15">
        <v>0.013</v>
      </c>
      <c r="Z177" s="15"/>
      <c r="AA177" s="15"/>
      <c r="AB177" s="15"/>
      <c r="AC177" s="15"/>
      <c r="AD177" s="15"/>
      <c r="AE177" s="19"/>
      <c r="AF177" s="19"/>
      <c r="AG177" s="7" t="s">
        <v>109</v>
      </c>
      <c r="AH177" s="13">
        <f>iferror(VLOOKUP($B177,covariates!$B$3:$Z$1126,6,FALSE),"")</f>
        <v>29.93</v>
      </c>
      <c r="AI177" s="13">
        <f>iferror(VLOOKUP($B177,covariates!$B$3:$Z$1126,7,FALSE),"")</f>
        <v>8.911</v>
      </c>
      <c r="AJ177" s="9" t="str">
        <f>iferror(VLOOKUP($B177,covariates!$B$3:$Z$1126,14,FALSE),"")</f>
        <v/>
      </c>
      <c r="AK177" s="9" t="str">
        <f>iferror(VLOOKUP($B177,covariates!$B$3:$Z$1126,16,FALSE),"")</f>
        <v/>
      </c>
      <c r="AL177" s="9">
        <f>iferror(VLOOKUP($B177,covariates!$B$3:$Z$1126,18,FALSE),"")</f>
        <v>19</v>
      </c>
      <c r="AM177" s="9">
        <f>iferror(VLOOKUP($B177,covariates!$B$3:$Z$1126,19,FALSE),"")</f>
        <v>1.6</v>
      </c>
    </row>
    <row r="178">
      <c r="A178" s="15">
        <v>47.0</v>
      </c>
      <c r="B178" s="17" t="str">
        <f t="shared" ref="B178:B179" si="97">HYPERLINK("https://github.com/d-wkim/phd/blob/main/data/pdf/lawhorn_2012.pdf","Lawhorn et al., 2012")</f>
        <v>Lawhorn et al., 2012</v>
      </c>
      <c r="C178" s="7" t="s">
        <v>84</v>
      </c>
      <c r="D178" s="7" t="s">
        <v>317</v>
      </c>
      <c r="E178" s="9" t="s">
        <v>222</v>
      </c>
      <c r="F178" s="15"/>
      <c r="G178" s="21"/>
      <c r="H178" s="13"/>
      <c r="I178" s="15"/>
      <c r="J178" s="15"/>
      <c r="K178" s="15"/>
      <c r="L178" s="15"/>
      <c r="M178" s="15"/>
      <c r="N178" s="15"/>
      <c r="O178" s="9" t="s">
        <v>101</v>
      </c>
      <c r="P178" s="9" t="s">
        <v>101</v>
      </c>
      <c r="Q178" s="9" t="s">
        <v>101</v>
      </c>
      <c r="R178" s="9" t="s">
        <v>101</v>
      </c>
      <c r="S178" s="9" t="s">
        <v>101</v>
      </c>
      <c r="T178" s="9" t="s">
        <v>101</v>
      </c>
      <c r="U178" s="9" t="s">
        <v>101</v>
      </c>
      <c r="V178" s="15"/>
      <c r="W178" s="15"/>
      <c r="X178" s="15"/>
      <c r="Y178" s="15"/>
      <c r="Z178" s="15"/>
      <c r="AA178" s="15"/>
      <c r="AB178" s="15"/>
      <c r="AC178" s="15"/>
      <c r="AD178" s="15"/>
      <c r="AE178" s="19"/>
      <c r="AF178" s="19"/>
      <c r="AG178" s="7" t="s">
        <v>174</v>
      </c>
      <c r="AH178" s="13">
        <f>iferror(VLOOKUP($B178,covariates!$B$3:$Z$1126,6,FALSE),"")</f>
        <v>32</v>
      </c>
      <c r="AI178" s="13">
        <f>iferror(VLOOKUP($B178,covariates!$B$3:$Z$1126,7,FALSE),"")</f>
        <v>8.433</v>
      </c>
      <c r="AJ178" s="9">
        <f>iferror(VLOOKUP($B178,covariates!$B$3:$Z$1126,14,FALSE),"")</f>
        <v>32</v>
      </c>
      <c r="AK178" s="9">
        <f>iferror(VLOOKUP($B178,covariates!$B$3:$Z$1126,16,FALSE),"")</f>
        <v>22</v>
      </c>
      <c r="AL178" s="9">
        <f>iferror(VLOOKUP($B178,covariates!$B$3:$Z$1126,18,FALSE),"")</f>
        <v>24</v>
      </c>
      <c r="AM178" s="9">
        <f>iferror(VLOOKUP($B178,covariates!$B$3:$Z$1126,19,FALSE),"")</f>
        <v>2</v>
      </c>
    </row>
    <row r="179">
      <c r="A179" s="15">
        <v>47.0</v>
      </c>
      <c r="B179" s="17" t="str">
        <f t="shared" si="97"/>
        <v>Lawhorn et al., 2012</v>
      </c>
      <c r="C179" s="7" t="s">
        <v>205</v>
      </c>
      <c r="D179" s="7" t="s">
        <v>317</v>
      </c>
      <c r="E179" s="9" t="s">
        <v>222</v>
      </c>
      <c r="F179" s="15"/>
      <c r="G179" s="21"/>
      <c r="H179" s="13"/>
      <c r="I179" s="15"/>
      <c r="J179" s="15"/>
      <c r="K179" s="15"/>
      <c r="L179" s="15"/>
      <c r="M179" s="15"/>
      <c r="N179" s="15"/>
      <c r="O179" s="9" t="s">
        <v>101</v>
      </c>
      <c r="P179" s="9" t="s">
        <v>101</v>
      </c>
      <c r="Q179" s="9" t="s">
        <v>101</v>
      </c>
      <c r="R179" s="9" t="s">
        <v>101</v>
      </c>
      <c r="S179" s="9" t="s">
        <v>101</v>
      </c>
      <c r="T179" s="9" t="s">
        <v>101</v>
      </c>
      <c r="U179" s="9" t="s">
        <v>101</v>
      </c>
      <c r="V179" s="19"/>
      <c r="W179" s="19"/>
      <c r="X179" s="19"/>
      <c r="Y179" s="19"/>
      <c r="Z179" s="19"/>
      <c r="AA179" s="19"/>
      <c r="AB179" s="19"/>
      <c r="AC179" s="19"/>
      <c r="AD179" s="19"/>
      <c r="AE179" s="19"/>
      <c r="AF179" s="19"/>
      <c r="AG179" s="7" t="s">
        <v>174</v>
      </c>
      <c r="AH179" s="13">
        <f>iferror(VLOOKUP($B179,covariates!$B$3:$Z$1126,6,FALSE),"")</f>
        <v>32</v>
      </c>
      <c r="AI179" s="13">
        <f>iferror(VLOOKUP($B179,covariates!$B$3:$Z$1126,7,FALSE),"")</f>
        <v>8.433</v>
      </c>
      <c r="AJ179" s="9">
        <f>iferror(VLOOKUP($B179,covariates!$B$3:$Z$1126,14,FALSE),"")</f>
        <v>32</v>
      </c>
      <c r="AK179" s="9">
        <f>iferror(VLOOKUP($B179,covariates!$B$3:$Z$1126,16,FALSE),"")</f>
        <v>22</v>
      </c>
      <c r="AL179" s="9">
        <f>iferror(VLOOKUP($B179,covariates!$B$3:$Z$1126,18,FALSE),"")</f>
        <v>24</v>
      </c>
      <c r="AM179" s="9">
        <f>iferror(VLOOKUP($B179,covariates!$B$3:$Z$1126,19,FALSE),"")</f>
        <v>2</v>
      </c>
    </row>
    <row r="180">
      <c r="A180" s="15">
        <v>49.0</v>
      </c>
      <c r="B180" s="17" t="str">
        <f t="shared" ref="B180:B181" si="98">HYPERLINK("https://github.com/d-wkim/phd/blob/main/data/pdf/laxdal_2005.pdf","Laxdal et al., 2005")</f>
        <v>Laxdal et al., 2005</v>
      </c>
      <c r="C180" s="9" t="s">
        <v>42</v>
      </c>
      <c r="D180" s="7" t="s">
        <v>317</v>
      </c>
      <c r="E180" s="9" t="s">
        <v>222</v>
      </c>
      <c r="F180" s="9">
        <v>40.0</v>
      </c>
      <c r="G180" s="13">
        <v>1.0</v>
      </c>
      <c r="H180" s="13">
        <f>iferror(RANGE_SD(F180,I180,M180),"")</f>
        <v>3.014</v>
      </c>
      <c r="I180" s="9">
        <v>-5.0</v>
      </c>
      <c r="J180" s="15"/>
      <c r="K180" s="15"/>
      <c r="L180" s="15"/>
      <c r="M180" s="9">
        <v>8.0</v>
      </c>
      <c r="N180" s="21">
        <v>0.1</v>
      </c>
      <c r="O180" s="9" t="s">
        <v>101</v>
      </c>
      <c r="P180" s="9" t="s">
        <v>101</v>
      </c>
      <c r="Q180" s="9" t="s">
        <v>101</v>
      </c>
      <c r="R180" s="9" t="s">
        <v>101</v>
      </c>
      <c r="S180" s="9" t="s">
        <v>101</v>
      </c>
      <c r="T180" s="9" t="s">
        <v>101</v>
      </c>
      <c r="U180" s="9" t="s">
        <v>101</v>
      </c>
      <c r="V180" s="15">
        <v>0.477</v>
      </c>
      <c r="W180" s="15"/>
      <c r="X180" s="15"/>
      <c r="Y180" s="15">
        <v>0.228</v>
      </c>
      <c r="Z180" s="15"/>
      <c r="AA180" s="15"/>
      <c r="AB180" s="15"/>
      <c r="AC180" s="15"/>
      <c r="AD180" s="15"/>
      <c r="AE180" s="19"/>
      <c r="AF180" s="19"/>
      <c r="AG180" s="7" t="s">
        <v>109</v>
      </c>
      <c r="AH180" s="13">
        <f>iferror(VLOOKUP($B180,covariates!$B$3:$Z$1126,6,FALSE),"")</f>
        <v>28</v>
      </c>
      <c r="AI180" s="13">
        <f>iferror(VLOOKUP($B180,covariates!$B$3:$Z$1126,7,FALSE),"")</f>
        <v>8.347</v>
      </c>
      <c r="AJ180" s="9" t="str">
        <f>iferror(VLOOKUP($B180,covariates!$B$3:$Z$1126,14,FALSE),"")</f>
        <v/>
      </c>
      <c r="AK180" s="9" t="str">
        <f>iferror(VLOOKUP($B180,covariates!$B$3:$Z$1126,16,FALSE),"")</f>
        <v/>
      </c>
      <c r="AL180" s="9">
        <f>iferror(VLOOKUP($B180,covariates!$B$3:$Z$1126,18,FALSE),"")</f>
        <v>26</v>
      </c>
      <c r="AM180" s="9">
        <f>iferror(VLOOKUP($B180,covariates!$B$3:$Z$1126,19,FALSE),"")</f>
        <v>2.2</v>
      </c>
    </row>
    <row r="181">
      <c r="A181" s="9">
        <v>49.0</v>
      </c>
      <c r="B181" s="17" t="str">
        <f t="shared" si="98"/>
        <v>Laxdal et al., 2005</v>
      </c>
      <c r="C181" s="9" t="s">
        <v>84</v>
      </c>
      <c r="D181" s="7" t="s">
        <v>317</v>
      </c>
      <c r="E181" s="9" t="s">
        <v>222</v>
      </c>
      <c r="F181" s="9">
        <v>78.0</v>
      </c>
      <c r="G181" s="13">
        <v>1.5</v>
      </c>
      <c r="H181" s="13">
        <v>3.117862011891075</v>
      </c>
      <c r="I181" s="9"/>
      <c r="J181" s="15"/>
      <c r="K181" s="15"/>
      <c r="L181" s="15"/>
      <c r="M181" s="9"/>
      <c r="N181" s="21">
        <v>0.15</v>
      </c>
      <c r="O181" s="9" t="s">
        <v>101</v>
      </c>
      <c r="P181" s="9" t="s">
        <v>101</v>
      </c>
      <c r="Q181" s="9" t="s">
        <v>101</v>
      </c>
      <c r="R181" s="9" t="s">
        <v>101</v>
      </c>
      <c r="S181" s="9" t="s">
        <v>101</v>
      </c>
      <c r="T181" s="9" t="s">
        <v>101</v>
      </c>
      <c r="U181" s="9" t="s">
        <v>101</v>
      </c>
      <c r="V181" s="15">
        <v>0.353</v>
      </c>
      <c r="W181" s="15"/>
      <c r="X181" s="15"/>
      <c r="Y181" s="15">
        <v>0.125</v>
      </c>
      <c r="Z181" s="15"/>
      <c r="AA181" s="15"/>
      <c r="AB181" s="15"/>
      <c r="AC181" s="15"/>
      <c r="AD181" s="15"/>
      <c r="AE181" s="19"/>
      <c r="AF181" s="19"/>
      <c r="AG181" s="7" t="s">
        <v>109</v>
      </c>
      <c r="AH181" s="13">
        <f>iferror(VLOOKUP($B181,covariates!$B$3:$Z$1126,6,FALSE),"")</f>
        <v>28</v>
      </c>
      <c r="AI181" s="13">
        <f>iferror(VLOOKUP($B181,covariates!$B$3:$Z$1126,7,FALSE),"")</f>
        <v>8.347</v>
      </c>
      <c r="AJ181" s="9" t="str">
        <f>iferror(VLOOKUP($B181,covariates!$B$3:$Z$1126,14,FALSE),"")</f>
        <v/>
      </c>
      <c r="AK181" s="9" t="str">
        <f>iferror(VLOOKUP($B181,covariates!$B$3:$Z$1126,16,FALSE),"")</f>
        <v/>
      </c>
      <c r="AL181" s="9">
        <f>iferror(VLOOKUP($B181,covariates!$B$3:$Z$1126,18,FALSE),"")</f>
        <v>26</v>
      </c>
      <c r="AM181" s="9">
        <f>iferror(VLOOKUP($B181,covariates!$B$3:$Z$1126,19,FALSE),"")</f>
        <v>2.2</v>
      </c>
    </row>
    <row r="182">
      <c r="A182" s="15">
        <v>50.0</v>
      </c>
      <c r="B182" s="17" t="str">
        <f t="shared" ref="B182:B183" si="99">HYPERLINK("https://github.com/d-wkim/phd/blob/main/data/pdf/leitgeb_2014.pdf","Leitgeb et al., 2014")</f>
        <v>Leitgeb et al., 2014</v>
      </c>
      <c r="C182" s="7" t="s">
        <v>42</v>
      </c>
      <c r="D182" s="7" t="s">
        <v>317</v>
      </c>
      <c r="E182" s="9" t="s">
        <v>222</v>
      </c>
      <c r="F182" s="66"/>
      <c r="G182" s="21"/>
      <c r="H182" s="13"/>
      <c r="I182" s="15"/>
      <c r="J182" s="15"/>
      <c r="K182" s="15"/>
      <c r="L182" s="15"/>
      <c r="M182" s="15"/>
      <c r="N182" s="15"/>
      <c r="O182" s="9" t="s">
        <v>101</v>
      </c>
      <c r="P182" s="9" t="s">
        <v>101</v>
      </c>
      <c r="Q182" s="9" t="s">
        <v>101</v>
      </c>
      <c r="R182" s="9" t="s">
        <v>101</v>
      </c>
      <c r="S182" s="9" t="s">
        <v>101</v>
      </c>
      <c r="T182" s="9" t="s">
        <v>101</v>
      </c>
      <c r="U182" s="9" t="s">
        <v>101</v>
      </c>
      <c r="V182" s="15"/>
      <c r="W182" s="15"/>
      <c r="X182" s="15"/>
      <c r="Y182" s="15"/>
      <c r="Z182" s="15"/>
      <c r="AA182" s="15"/>
      <c r="AB182" s="15"/>
      <c r="AC182" s="15"/>
      <c r="AD182" s="15"/>
      <c r="AE182" s="19"/>
      <c r="AF182" s="19"/>
      <c r="AG182" s="7" t="s">
        <v>174</v>
      </c>
      <c r="AH182" s="13" t="str">
        <f>iferror(VLOOKUP($B182,covariates!$B$3:$Z$1126,6,FALSE),"")</f>
        <v/>
      </c>
      <c r="AI182" s="13" t="str">
        <f>iferror(VLOOKUP($B182,covariates!$B$3:$Z$1126,7,FALSE),"")</f>
        <v/>
      </c>
      <c r="AJ182" s="9" t="str">
        <f>iferror(VLOOKUP($B182,covariates!$B$3:$Z$1126,14,FALSE),"")</f>
        <v/>
      </c>
      <c r="AK182" s="9" t="str">
        <f>iferror(VLOOKUP($B182,covariates!$B$3:$Z$1126,16,FALSE),"")</f>
        <v/>
      </c>
      <c r="AL182" s="9" t="str">
        <f>iferror(VLOOKUP($B182,covariates!$B$3:$Z$1126,18,FALSE),"")</f>
        <v/>
      </c>
      <c r="AM182" s="9" t="str">
        <f>iferror(VLOOKUP($B182,covariates!$B$3:$Z$1126,19,FALSE),"")</f>
        <v/>
      </c>
    </row>
    <row r="183">
      <c r="A183" s="15">
        <v>50.0</v>
      </c>
      <c r="B183" s="17" t="str">
        <f t="shared" si="99"/>
        <v>Leitgeb et al., 2014</v>
      </c>
      <c r="C183" s="7" t="s">
        <v>84</v>
      </c>
      <c r="D183" s="7" t="s">
        <v>317</v>
      </c>
      <c r="E183" s="9" t="s">
        <v>222</v>
      </c>
      <c r="F183" s="15"/>
      <c r="G183" s="21"/>
      <c r="H183" s="13"/>
      <c r="I183" s="15"/>
      <c r="J183" s="15"/>
      <c r="K183" s="15"/>
      <c r="L183" s="15"/>
      <c r="M183" s="15"/>
      <c r="N183" s="15"/>
      <c r="O183" s="9" t="s">
        <v>101</v>
      </c>
      <c r="P183" s="9" t="s">
        <v>101</v>
      </c>
      <c r="Q183" s="9" t="s">
        <v>101</v>
      </c>
      <c r="R183" s="9" t="s">
        <v>101</v>
      </c>
      <c r="S183" s="9" t="s">
        <v>101</v>
      </c>
      <c r="T183" s="9" t="s">
        <v>101</v>
      </c>
      <c r="U183" s="9" t="s">
        <v>101</v>
      </c>
      <c r="V183" s="15"/>
      <c r="W183" s="15"/>
      <c r="X183" s="15"/>
      <c r="Y183" s="15"/>
      <c r="Z183" s="15"/>
      <c r="AA183" s="15"/>
      <c r="AB183" s="15"/>
      <c r="AC183" s="15"/>
      <c r="AD183" s="15"/>
      <c r="AE183" s="19"/>
      <c r="AF183" s="19"/>
      <c r="AG183" s="7" t="s">
        <v>174</v>
      </c>
      <c r="AH183" s="13" t="str">
        <f>iferror(VLOOKUP($B183,covariates!$B$3:$Z$1126,6,FALSE),"")</f>
        <v/>
      </c>
      <c r="AI183" s="13" t="str">
        <f>iferror(VLOOKUP($B183,covariates!$B$3:$Z$1126,7,FALSE),"")</f>
        <v/>
      </c>
      <c r="AJ183" s="9" t="str">
        <f>iferror(VLOOKUP($B183,covariates!$B$3:$Z$1126,14,FALSE),"")</f>
        <v/>
      </c>
      <c r="AK183" s="9" t="str">
        <f>iferror(VLOOKUP($B183,covariates!$B$3:$Z$1126,16,FALSE),"")</f>
        <v/>
      </c>
      <c r="AL183" s="9" t="str">
        <f>iferror(VLOOKUP($B183,covariates!$B$3:$Z$1126,18,FALSE),"")</f>
        <v/>
      </c>
      <c r="AM183" s="9" t="str">
        <f>iferror(VLOOKUP($B183,covariates!$B$3:$Z$1126,19,FALSE),"")</f>
        <v/>
      </c>
    </row>
    <row r="184">
      <c r="A184" s="15">
        <v>51.0</v>
      </c>
      <c r="B184" s="17" t="str">
        <f t="shared" ref="B184:B185" si="100">HYPERLINK("https://github.com/d-wkim/phd/blob/main/data/pdf/li_2015.pdf","Li et al., 2015")</f>
        <v>Li et al., 2015</v>
      </c>
      <c r="C184" s="9" t="s">
        <v>84</v>
      </c>
      <c r="D184" s="7" t="s">
        <v>317</v>
      </c>
      <c r="E184" s="9" t="s">
        <v>222</v>
      </c>
      <c r="F184" s="9">
        <v>32.0</v>
      </c>
      <c r="G184" s="13">
        <v>2.1</v>
      </c>
      <c r="H184" s="13">
        <v>1.6</v>
      </c>
      <c r="I184" s="15"/>
      <c r="J184" s="15"/>
      <c r="K184" s="15"/>
      <c r="L184" s="15"/>
      <c r="M184" s="15"/>
      <c r="N184" s="21">
        <v>0.21000000000000002</v>
      </c>
      <c r="O184" s="9" t="s">
        <v>101</v>
      </c>
      <c r="P184" s="9" t="s">
        <v>101</v>
      </c>
      <c r="Q184" s="9" t="s">
        <v>101</v>
      </c>
      <c r="R184" s="9" t="s">
        <v>101</v>
      </c>
      <c r="S184" s="9" t="s">
        <v>101</v>
      </c>
      <c r="T184" s="9" t="s">
        <v>101</v>
      </c>
      <c r="U184" s="9" t="s">
        <v>101</v>
      </c>
      <c r="V184" s="15">
        <v>0.283</v>
      </c>
      <c r="W184" s="15"/>
      <c r="X184" s="15"/>
      <c r="Y184" s="15">
        <v>0.08</v>
      </c>
      <c r="Z184" s="15"/>
      <c r="AA184" s="15"/>
      <c r="AB184" s="15"/>
      <c r="AC184" s="15"/>
      <c r="AD184" s="15"/>
      <c r="AE184" s="19"/>
      <c r="AF184" s="19"/>
      <c r="AG184" s="7" t="s">
        <v>109</v>
      </c>
      <c r="AH184" s="13">
        <f>iferror(VLOOKUP($B184,covariates!$B$3:$Z$1126,6,FALSE),"")</f>
        <v>29.8</v>
      </c>
      <c r="AI184" s="13">
        <f>iferror(VLOOKUP($B184,covariates!$B$3:$Z$1126,7,FALSE),"")</f>
        <v>7.9</v>
      </c>
      <c r="AJ184" s="9">
        <f>iferror(VLOOKUP($B184,covariates!$B$3:$Z$1126,14,FALSE),"")</f>
        <v>17</v>
      </c>
      <c r="AK184" s="9">
        <f>iferror(VLOOKUP($B184,covariates!$B$3:$Z$1126,16,FALSE),"")</f>
        <v>15</v>
      </c>
      <c r="AL184" s="9">
        <f>iferror(VLOOKUP($B184,covariates!$B$3:$Z$1126,18,FALSE),"")</f>
        <v>69.6</v>
      </c>
      <c r="AM184" s="9">
        <f>iferror(VLOOKUP($B184,covariates!$B$3:$Z$1126,19,FALSE),"")</f>
        <v>5.8</v>
      </c>
    </row>
    <row r="185">
      <c r="A185" s="15">
        <v>51.0</v>
      </c>
      <c r="B185" s="17" t="str">
        <f t="shared" si="100"/>
        <v>Li et al., 2015</v>
      </c>
      <c r="C185" s="9" t="s">
        <v>205</v>
      </c>
      <c r="D185" s="7" t="s">
        <v>317</v>
      </c>
      <c r="E185" s="9" t="s">
        <v>222</v>
      </c>
      <c r="F185" s="9">
        <v>32.0</v>
      </c>
      <c r="G185" s="13">
        <v>3.5</v>
      </c>
      <c r="H185" s="13">
        <v>1.2</v>
      </c>
      <c r="I185" s="15"/>
      <c r="J185" s="15"/>
      <c r="K185" s="15"/>
      <c r="L185" s="15"/>
      <c r="M185" s="15"/>
      <c r="N185" s="21">
        <v>0.35</v>
      </c>
      <c r="O185" s="9" t="s">
        <v>101</v>
      </c>
      <c r="P185" s="9" t="s">
        <v>101</v>
      </c>
      <c r="Q185" s="9" t="s">
        <v>101</v>
      </c>
      <c r="R185" s="9" t="s">
        <v>101</v>
      </c>
      <c r="S185" s="9" t="s">
        <v>101</v>
      </c>
      <c r="T185" s="9" t="s">
        <v>101</v>
      </c>
      <c r="U185" s="9" t="s">
        <v>101</v>
      </c>
      <c r="V185" s="15">
        <v>0.212</v>
      </c>
      <c r="W185" s="15"/>
      <c r="X185" s="15"/>
      <c r="Y185" s="15">
        <v>0.045</v>
      </c>
      <c r="Z185" s="19"/>
      <c r="AA185" s="19"/>
      <c r="AB185" s="19"/>
      <c r="AC185" s="19"/>
      <c r="AD185" s="19"/>
      <c r="AE185" s="19"/>
      <c r="AF185" s="19"/>
      <c r="AG185" s="7" t="s">
        <v>109</v>
      </c>
      <c r="AH185" s="13">
        <f>iferror(VLOOKUP($B185,covariates!$B$3:$Z$1126,6,FALSE),"")</f>
        <v>29.8</v>
      </c>
      <c r="AI185" s="13">
        <f>iferror(VLOOKUP($B185,covariates!$B$3:$Z$1126,7,FALSE),"")</f>
        <v>7.9</v>
      </c>
      <c r="AJ185" s="9">
        <f>iferror(VLOOKUP($B185,covariates!$B$3:$Z$1126,14,FALSE),"")</f>
        <v>17</v>
      </c>
      <c r="AK185" s="9">
        <f>iferror(VLOOKUP($B185,covariates!$B$3:$Z$1126,16,FALSE),"")</f>
        <v>15</v>
      </c>
      <c r="AL185" s="9">
        <f>iferror(VLOOKUP($B185,covariates!$B$3:$Z$1126,18,FALSE),"")</f>
        <v>69.6</v>
      </c>
      <c r="AM185" s="9">
        <f>iferror(VLOOKUP($B185,covariates!$B$3:$Z$1126,19,FALSE),"")</f>
        <v>5.8</v>
      </c>
    </row>
    <row r="186">
      <c r="A186" s="15">
        <v>52.0</v>
      </c>
      <c r="B186" s="17" t="str">
        <f t="shared" ref="B186:B187" si="101">HYPERLINK("https://github.com/d-wkim/phd/blob/main/data/pdf/lidén_2007.pdf","Lidén et al., 2007")</f>
        <v>Lidén et al., 2007</v>
      </c>
      <c r="C186" s="9" t="s">
        <v>42</v>
      </c>
      <c r="D186" s="7" t="s">
        <v>317</v>
      </c>
      <c r="E186" s="9" t="s">
        <v>222</v>
      </c>
      <c r="F186" s="9">
        <v>30.0</v>
      </c>
      <c r="G186" s="13">
        <v>2.3</v>
      </c>
      <c r="H186" s="13">
        <f t="shared" ref="H186:H187" si="102">iferror(RANGE_SD(F186,I186,M186),"")</f>
        <v>3.063</v>
      </c>
      <c r="I186" s="9">
        <v>-3.5</v>
      </c>
      <c r="J186" s="15"/>
      <c r="K186" s="15"/>
      <c r="L186" s="15"/>
      <c r="M186" s="9">
        <v>9.0</v>
      </c>
      <c r="N186" s="21">
        <v>0.22999999999999998</v>
      </c>
      <c r="O186" s="9" t="s">
        <v>101</v>
      </c>
      <c r="P186" s="9" t="s">
        <v>101</v>
      </c>
      <c r="Q186" s="9" t="s">
        <v>101</v>
      </c>
      <c r="R186" s="9" t="s">
        <v>101</v>
      </c>
      <c r="S186" s="9" t="s">
        <v>101</v>
      </c>
      <c r="T186" s="9" t="s">
        <v>101</v>
      </c>
      <c r="U186" s="9" t="s">
        <v>101</v>
      </c>
      <c r="V186" s="15">
        <v>0.559</v>
      </c>
      <c r="W186" s="15"/>
      <c r="X186" s="15"/>
      <c r="Y186" s="15">
        <v>0.312</v>
      </c>
      <c r="Z186" s="15"/>
      <c r="AA186" s="15"/>
      <c r="AB186" s="15"/>
      <c r="AC186" s="15"/>
      <c r="AD186" s="15"/>
      <c r="AE186" s="19"/>
      <c r="AF186" s="19"/>
      <c r="AG186" s="7" t="s">
        <v>109</v>
      </c>
      <c r="AH186" s="13">
        <f>iferror(VLOOKUP($B186,covariates!$B$3:$Z$1126,6,FALSE),"")</f>
        <v>28</v>
      </c>
      <c r="AI186" s="13">
        <f>iferror(VLOOKUP($B186,covariates!$B$3:$Z$1126,7,FALSE),"")</f>
        <v>8.368</v>
      </c>
      <c r="AJ186" s="9">
        <f>iferror(VLOOKUP($B186,covariates!$B$3:$Z$1126,14,FALSE),"")</f>
        <v>23</v>
      </c>
      <c r="AK186" s="9">
        <f>iferror(VLOOKUP($B186,covariates!$B$3:$Z$1126,16,FALSE),"")</f>
        <v>11</v>
      </c>
      <c r="AL186" s="9">
        <f>iferror(VLOOKUP($B186,covariates!$B$3:$Z$1126,18,FALSE),"")</f>
        <v>87.10618173</v>
      </c>
      <c r="AM186" s="9">
        <f>iferror(VLOOKUP($B186,covariates!$B$3:$Z$1126,19,FALSE),"")</f>
        <v>7.3</v>
      </c>
    </row>
    <row r="187">
      <c r="A187" s="15">
        <v>52.0</v>
      </c>
      <c r="B187" s="17" t="str">
        <f t="shared" si="101"/>
        <v>Lidén et al., 2007</v>
      </c>
      <c r="C187" s="9" t="s">
        <v>84</v>
      </c>
      <c r="D187" s="7" t="s">
        <v>317</v>
      </c>
      <c r="E187" s="9" t="s">
        <v>222</v>
      </c>
      <c r="F187" s="9">
        <v>32.0</v>
      </c>
      <c r="G187" s="13">
        <v>2.7</v>
      </c>
      <c r="H187" s="13">
        <f t="shared" si="102"/>
        <v>3.387</v>
      </c>
      <c r="I187" s="9">
        <v>-4.5</v>
      </c>
      <c r="J187" s="15"/>
      <c r="K187" s="15"/>
      <c r="L187" s="15"/>
      <c r="M187" s="9">
        <v>9.5</v>
      </c>
      <c r="N187" s="21">
        <v>0.27</v>
      </c>
      <c r="O187" s="9" t="s">
        <v>101</v>
      </c>
      <c r="P187" s="9" t="s">
        <v>101</v>
      </c>
      <c r="Q187" s="9" t="s">
        <v>101</v>
      </c>
      <c r="R187" s="9" t="s">
        <v>101</v>
      </c>
      <c r="S187" s="9" t="s">
        <v>101</v>
      </c>
      <c r="T187" s="9" t="s">
        <v>101</v>
      </c>
      <c r="U187" s="9" t="s">
        <v>101</v>
      </c>
      <c r="V187" s="15">
        <v>0.599</v>
      </c>
      <c r="W187" s="15"/>
      <c r="X187" s="15"/>
      <c r="Y187" s="15">
        <v>0.359</v>
      </c>
      <c r="Z187" s="15"/>
      <c r="AA187" s="15"/>
      <c r="AB187" s="15"/>
      <c r="AC187" s="15"/>
      <c r="AD187" s="15"/>
      <c r="AE187" s="19"/>
      <c r="AF187" s="19"/>
      <c r="AG187" s="7" t="s">
        <v>109</v>
      </c>
      <c r="AH187" s="13">
        <f>iferror(VLOOKUP($B187,covariates!$B$3:$Z$1126,6,FALSE),"")</f>
        <v>28</v>
      </c>
      <c r="AI187" s="13">
        <f>iferror(VLOOKUP($B187,covariates!$B$3:$Z$1126,7,FALSE),"")</f>
        <v>8.368</v>
      </c>
      <c r="AJ187" s="9">
        <f>iferror(VLOOKUP($B187,covariates!$B$3:$Z$1126,14,FALSE),"")</f>
        <v>23</v>
      </c>
      <c r="AK187" s="9">
        <f>iferror(VLOOKUP($B187,covariates!$B$3:$Z$1126,16,FALSE),"")</f>
        <v>11</v>
      </c>
      <c r="AL187" s="9">
        <f>iferror(VLOOKUP($B187,covariates!$B$3:$Z$1126,18,FALSE),"")</f>
        <v>87.10618173</v>
      </c>
      <c r="AM187" s="9">
        <f>iferror(VLOOKUP($B187,covariates!$B$3:$Z$1126,19,FALSE),"")</f>
        <v>7.3</v>
      </c>
    </row>
    <row r="188">
      <c r="A188" s="15">
        <v>53.0</v>
      </c>
      <c r="B188" s="17" t="str">
        <f t="shared" ref="B188:B189" si="103">HYPERLINK("https://github.com/d-wkim/phd/blob/main/data/pdf/lind_2020.pdf","Lind et al., 2020")</f>
        <v>Lind et al., 2020</v>
      </c>
      <c r="C188" s="9" t="s">
        <v>84</v>
      </c>
      <c r="D188" s="7" t="s">
        <v>317</v>
      </c>
      <c r="E188" s="9" t="s">
        <v>222</v>
      </c>
      <c r="F188" s="9">
        <v>49.0</v>
      </c>
      <c r="G188" s="13">
        <v>1.9</v>
      </c>
      <c r="H188" s="13">
        <v>1.7</v>
      </c>
      <c r="I188" s="15"/>
      <c r="J188" s="15"/>
      <c r="K188" s="15"/>
      <c r="L188" s="15"/>
      <c r="M188" s="15"/>
      <c r="N188" s="21">
        <v>0.19</v>
      </c>
      <c r="O188" s="9" t="s">
        <v>101</v>
      </c>
      <c r="P188" s="9" t="s">
        <v>101</v>
      </c>
      <c r="Q188" s="9" t="s">
        <v>101</v>
      </c>
      <c r="R188" s="9" t="s">
        <v>101</v>
      </c>
      <c r="S188" s="9" t="s">
        <v>101</v>
      </c>
      <c r="T188" s="9" t="s">
        <v>101</v>
      </c>
      <c r="U188" s="9" t="s">
        <v>101</v>
      </c>
      <c r="V188" s="15">
        <v>0.243</v>
      </c>
      <c r="W188" s="15"/>
      <c r="X188" s="15"/>
      <c r="Y188" s="15">
        <v>0.059</v>
      </c>
      <c r="Z188" s="15"/>
      <c r="AA188" s="15"/>
      <c r="AB188" s="15"/>
      <c r="AC188" s="15"/>
      <c r="AD188" s="15"/>
      <c r="AE188" s="19"/>
      <c r="AF188" s="19"/>
      <c r="AG188" s="7" t="s">
        <v>109</v>
      </c>
      <c r="AH188" s="13">
        <f>iferror(VLOOKUP($B188,covariates!$B$3:$Z$1126,6,FALSE),"")</f>
        <v>27.1</v>
      </c>
      <c r="AI188" s="13">
        <f>iferror(VLOOKUP($B188,covariates!$B$3:$Z$1126,7,FALSE),"")</f>
        <v>6.1</v>
      </c>
      <c r="AJ188" s="9">
        <f>iferror(VLOOKUP($B188,covariates!$B$3:$Z$1126,14,FALSE),"")</f>
        <v>25</v>
      </c>
      <c r="AK188" s="9">
        <f>iferror(VLOOKUP($B188,covariates!$B$3:$Z$1126,16,FALSE),"")</f>
        <v>24</v>
      </c>
      <c r="AL188" s="9">
        <f>iferror(VLOOKUP($B188,covariates!$B$3:$Z$1126,18,FALSE),"")</f>
        <v>24</v>
      </c>
      <c r="AM188" s="9">
        <f>iferror(VLOOKUP($B188,covariates!$B$3:$Z$1126,19,FALSE),"")</f>
        <v>2</v>
      </c>
    </row>
    <row r="189">
      <c r="A189" s="15">
        <v>53.0</v>
      </c>
      <c r="B189" s="17" t="str">
        <f t="shared" si="103"/>
        <v>Lind et al., 2020</v>
      </c>
      <c r="C189" s="9" t="s">
        <v>200</v>
      </c>
      <c r="D189" s="7" t="s">
        <v>317</v>
      </c>
      <c r="E189" s="9" t="s">
        <v>222</v>
      </c>
      <c r="F189" s="9">
        <v>47.0</v>
      </c>
      <c r="G189" s="13">
        <v>1.8</v>
      </c>
      <c r="H189" s="13">
        <v>1.0</v>
      </c>
      <c r="I189" s="15"/>
      <c r="J189" s="15"/>
      <c r="K189" s="15"/>
      <c r="L189" s="15"/>
      <c r="M189" s="15"/>
      <c r="N189" s="21">
        <v>0.18</v>
      </c>
      <c r="O189" s="9" t="s">
        <v>101</v>
      </c>
      <c r="P189" s="9" t="s">
        <v>101</v>
      </c>
      <c r="Q189" s="9" t="s">
        <v>101</v>
      </c>
      <c r="R189" s="9" t="s">
        <v>101</v>
      </c>
      <c r="S189" s="9" t="s">
        <v>101</v>
      </c>
      <c r="T189" s="9" t="s">
        <v>101</v>
      </c>
      <c r="U189" s="9" t="s">
        <v>101</v>
      </c>
      <c r="V189" s="15">
        <v>0.146</v>
      </c>
      <c r="W189" s="15"/>
      <c r="X189" s="15"/>
      <c r="Y189" s="15">
        <v>0.021</v>
      </c>
      <c r="Z189" s="19"/>
      <c r="AA189" s="19"/>
      <c r="AB189" s="19"/>
      <c r="AC189" s="19"/>
      <c r="AD189" s="19"/>
      <c r="AE189" s="19"/>
      <c r="AF189" s="19"/>
      <c r="AG189" s="7" t="s">
        <v>109</v>
      </c>
      <c r="AH189" s="13">
        <f>iferror(VLOOKUP($B189,covariates!$B$3:$Z$1126,6,FALSE),"")</f>
        <v>27.1</v>
      </c>
      <c r="AI189" s="13">
        <f>iferror(VLOOKUP($B189,covariates!$B$3:$Z$1126,7,FALSE),"")</f>
        <v>6.1</v>
      </c>
      <c r="AJ189" s="9">
        <f>iferror(VLOOKUP($B189,covariates!$B$3:$Z$1126,14,FALSE),"")</f>
        <v>25</v>
      </c>
      <c r="AK189" s="9">
        <f>iferror(VLOOKUP($B189,covariates!$B$3:$Z$1126,16,FALSE),"")</f>
        <v>24</v>
      </c>
      <c r="AL189" s="9">
        <f>iferror(VLOOKUP($B189,covariates!$B$3:$Z$1126,18,FALSE),"")</f>
        <v>24</v>
      </c>
      <c r="AM189" s="9">
        <f>iferror(VLOOKUP($B189,covariates!$B$3:$Z$1126,19,FALSE),"")</f>
        <v>2</v>
      </c>
    </row>
    <row r="190">
      <c r="A190" s="15">
        <v>54.0</v>
      </c>
      <c r="B190" s="17" t="str">
        <f t="shared" ref="B190:B191" si="104">HYPERLINK("https://github.com/d-wkim/phd/blob/main/data/pdf/lucidi_2025.pdf","Lucidi et al., 2025")</f>
        <v>Lucidi et al., 2025</v>
      </c>
      <c r="C190" s="9" t="s">
        <v>42</v>
      </c>
      <c r="D190" s="7" t="s">
        <v>317</v>
      </c>
      <c r="E190" s="9" t="s">
        <v>222</v>
      </c>
      <c r="F190" s="9">
        <v>19.0</v>
      </c>
      <c r="G190" s="13">
        <v>-0.1</v>
      </c>
      <c r="H190" s="13">
        <v>1.6</v>
      </c>
      <c r="I190" s="15"/>
      <c r="J190" s="15"/>
      <c r="K190" s="15"/>
      <c r="L190" s="15"/>
      <c r="M190" s="15"/>
      <c r="N190" s="21">
        <v>-0.01</v>
      </c>
      <c r="O190" s="9" t="s">
        <v>101</v>
      </c>
      <c r="P190" s="9" t="s">
        <v>101</v>
      </c>
      <c r="Q190" s="9" t="s">
        <v>101</v>
      </c>
      <c r="R190" s="9" t="s">
        <v>101</v>
      </c>
      <c r="S190" s="9" t="s">
        <v>101</v>
      </c>
      <c r="T190" s="9" t="s">
        <v>101</v>
      </c>
      <c r="U190" s="9" t="s">
        <v>101</v>
      </c>
      <c r="V190" s="15">
        <v>0.367</v>
      </c>
      <c r="W190" s="15"/>
      <c r="X190" s="15"/>
      <c r="Y190" s="15">
        <v>0.135</v>
      </c>
      <c r="Z190" s="15"/>
      <c r="AA190" s="15"/>
      <c r="AB190" s="15"/>
      <c r="AC190" s="15"/>
      <c r="AD190" s="15"/>
      <c r="AE190" s="19"/>
      <c r="AF190" s="19"/>
      <c r="AG190" s="7" t="s">
        <v>109</v>
      </c>
      <c r="AH190" s="13">
        <f>iferror(VLOOKUP($B190,covariates!$B$3:$Z$1126,6,FALSE),"")</f>
        <v>52.8</v>
      </c>
      <c r="AI190" s="13">
        <f>iferror(VLOOKUP($B190,covariates!$B$3:$Z$1126,7,FALSE),"")</f>
        <v>7.3</v>
      </c>
      <c r="AJ190" s="9" t="str">
        <f>iferror(VLOOKUP($B190,covariates!$B$3:$Z$1126,14,FALSE),"")</f>
        <v/>
      </c>
      <c r="AK190" s="9" t="str">
        <f>iferror(VLOOKUP($B190,covariates!$B$3:$Z$1126,16,FALSE),"")</f>
        <v/>
      </c>
      <c r="AL190" s="9">
        <f>iferror(VLOOKUP($B190,covariates!$B$3:$Z$1126,18,FALSE),"")</f>
        <v>240</v>
      </c>
      <c r="AM190" s="9">
        <f>iferror(VLOOKUP($B190,covariates!$B$3:$Z$1126,19,FALSE),"")</f>
        <v>20</v>
      </c>
    </row>
    <row r="191">
      <c r="A191" s="15">
        <v>54.0</v>
      </c>
      <c r="B191" s="17" t="str">
        <f t="shared" si="104"/>
        <v>Lucidi et al., 2025</v>
      </c>
      <c r="C191" s="9" t="s">
        <v>84</v>
      </c>
      <c r="D191" s="7" t="s">
        <v>317</v>
      </c>
      <c r="E191" s="9" t="s">
        <v>222</v>
      </c>
      <c r="F191" s="9">
        <v>20.0</v>
      </c>
      <c r="G191" s="13">
        <v>1.5</v>
      </c>
      <c r="H191" s="13">
        <v>1.2</v>
      </c>
      <c r="I191" s="15"/>
      <c r="J191" s="15"/>
      <c r="K191" s="15"/>
      <c r="L191" s="15"/>
      <c r="M191" s="15"/>
      <c r="N191" s="21">
        <v>0.15</v>
      </c>
      <c r="O191" s="9" t="s">
        <v>101</v>
      </c>
      <c r="P191" s="9" t="s">
        <v>101</v>
      </c>
      <c r="Q191" s="9" t="s">
        <v>101</v>
      </c>
      <c r="R191" s="9" t="s">
        <v>101</v>
      </c>
      <c r="S191" s="9" t="s">
        <v>101</v>
      </c>
      <c r="T191" s="9" t="s">
        <v>101</v>
      </c>
      <c r="U191" s="9" t="s">
        <v>101</v>
      </c>
      <c r="V191" s="15">
        <v>0.268</v>
      </c>
      <c r="W191" s="15"/>
      <c r="X191" s="15"/>
      <c r="Y191" s="15">
        <v>0.072</v>
      </c>
      <c r="Z191" s="15"/>
      <c r="AA191" s="15"/>
      <c r="AB191" s="15"/>
      <c r="AC191" s="15"/>
      <c r="AD191" s="15"/>
      <c r="AE191" s="19"/>
      <c r="AF191" s="19"/>
      <c r="AG191" s="7" t="s">
        <v>109</v>
      </c>
      <c r="AH191" s="13">
        <f>iferror(VLOOKUP($B191,covariates!$B$3:$Z$1126,6,FALSE),"")</f>
        <v>52.8</v>
      </c>
      <c r="AI191" s="13">
        <f>iferror(VLOOKUP($B191,covariates!$B$3:$Z$1126,7,FALSE),"")</f>
        <v>7.3</v>
      </c>
      <c r="AJ191" s="9" t="str">
        <f>iferror(VLOOKUP($B191,covariates!$B$3:$Z$1126,14,FALSE),"")</f>
        <v/>
      </c>
      <c r="AK191" s="9" t="str">
        <f>iferror(VLOOKUP($B191,covariates!$B$3:$Z$1126,16,FALSE),"")</f>
        <v/>
      </c>
      <c r="AL191" s="9">
        <f>iferror(VLOOKUP($B191,covariates!$B$3:$Z$1126,18,FALSE),"")</f>
        <v>240</v>
      </c>
      <c r="AM191" s="9">
        <f>iferror(VLOOKUP($B191,covariates!$B$3:$Z$1126,19,FALSE),"")</f>
        <v>20</v>
      </c>
    </row>
    <row r="192">
      <c r="A192" s="15">
        <v>55.0</v>
      </c>
      <c r="B192" s="17" t="str">
        <f t="shared" ref="B192:B193" si="105">HYPERLINK("https://github.com/d-wkim/phd/blob/main/data/pdf/lui_2012.pdf","Lui et al., 2012")</f>
        <v>Lui et al., 2012</v>
      </c>
      <c r="C192" s="9" t="s">
        <v>42</v>
      </c>
      <c r="D192" s="7" t="s">
        <v>317</v>
      </c>
      <c r="E192" s="9" t="s">
        <v>222</v>
      </c>
      <c r="F192" s="9">
        <v>14.0</v>
      </c>
      <c r="G192" s="13">
        <v>3.7</v>
      </c>
      <c r="H192" s="13">
        <v>1.4</v>
      </c>
      <c r="I192" s="15"/>
      <c r="J192" s="15"/>
      <c r="K192" s="15"/>
      <c r="L192" s="15"/>
      <c r="M192" s="15"/>
      <c r="N192" s="21">
        <v>0.37</v>
      </c>
      <c r="O192" s="9" t="s">
        <v>101</v>
      </c>
      <c r="P192" s="9" t="s">
        <v>101</v>
      </c>
      <c r="Q192" s="9" t="s">
        <v>101</v>
      </c>
      <c r="R192" s="9" t="s">
        <v>101</v>
      </c>
      <c r="S192" s="9" t="s">
        <v>101</v>
      </c>
      <c r="T192" s="9" t="s">
        <v>101</v>
      </c>
      <c r="U192" s="9" t="s">
        <v>101</v>
      </c>
      <c r="V192" s="15">
        <v>0.374</v>
      </c>
      <c r="W192" s="15"/>
      <c r="X192" s="15"/>
      <c r="Y192" s="15">
        <v>0.14</v>
      </c>
      <c r="Z192" s="15"/>
      <c r="AA192" s="15"/>
      <c r="AB192" s="15"/>
      <c r="AC192" s="15"/>
      <c r="AD192" s="15"/>
      <c r="AE192" s="19"/>
      <c r="AF192" s="19"/>
      <c r="AG192" s="7" t="s">
        <v>109</v>
      </c>
      <c r="AH192" s="13">
        <f>iferror(VLOOKUP($B192,covariates!$B$3:$Z$1126,6,FALSE),"")</f>
        <v>26.5</v>
      </c>
      <c r="AI192" s="13">
        <f>iferror(VLOOKUP($B192,covariates!$B$3:$Z$1126,7,FALSE),"")</f>
        <v>5</v>
      </c>
      <c r="AJ192" s="9">
        <f>iferror(VLOOKUP($B192,covariates!$B$3:$Z$1126,14,FALSE),"")</f>
        <v>14</v>
      </c>
      <c r="AK192" s="9">
        <f>iferror(VLOOKUP($B192,covariates!$B$3:$Z$1126,16,FALSE),"")</f>
        <v>0</v>
      </c>
      <c r="AL192" s="9">
        <f>iferror(VLOOKUP($B192,covariates!$B$3:$Z$1126,18,FALSE),"")</f>
        <v>12</v>
      </c>
      <c r="AM192" s="9">
        <f>iferror(VLOOKUP($B192,covariates!$B$3:$Z$1126,19,FALSE),"")</f>
        <v>1</v>
      </c>
    </row>
    <row r="193">
      <c r="A193" s="15">
        <v>55.0</v>
      </c>
      <c r="B193" s="17" t="str">
        <f t="shared" si="105"/>
        <v>Lui et al., 2012</v>
      </c>
      <c r="C193" s="9" t="s">
        <v>84</v>
      </c>
      <c r="D193" s="7" t="s">
        <v>317</v>
      </c>
      <c r="E193" s="9" t="s">
        <v>222</v>
      </c>
      <c r="F193" s="9">
        <v>17.0</v>
      </c>
      <c r="G193" s="13">
        <v>3.1</v>
      </c>
      <c r="H193" s="13">
        <v>1.6</v>
      </c>
      <c r="I193" s="15"/>
      <c r="J193" s="15"/>
      <c r="K193" s="15"/>
      <c r="L193" s="15"/>
      <c r="M193" s="15"/>
      <c r="N193" s="21">
        <v>0.31</v>
      </c>
      <c r="O193" s="9" t="s">
        <v>101</v>
      </c>
      <c r="P193" s="9" t="s">
        <v>101</v>
      </c>
      <c r="Q193" s="9" t="s">
        <v>101</v>
      </c>
      <c r="R193" s="9" t="s">
        <v>101</v>
      </c>
      <c r="S193" s="9" t="s">
        <v>101</v>
      </c>
      <c r="T193" s="9" t="s">
        <v>101</v>
      </c>
      <c r="U193" s="9" t="s">
        <v>101</v>
      </c>
      <c r="V193" s="15">
        <v>0.388</v>
      </c>
      <c r="W193" s="15"/>
      <c r="X193" s="15"/>
      <c r="Y193" s="15">
        <v>0.151</v>
      </c>
      <c r="Z193" s="15"/>
      <c r="AA193" s="15"/>
      <c r="AB193" s="15"/>
      <c r="AC193" s="15"/>
      <c r="AD193" s="15"/>
      <c r="AE193" s="19"/>
      <c r="AF193" s="19"/>
      <c r="AG193" s="7" t="s">
        <v>109</v>
      </c>
      <c r="AH193" s="13">
        <f>iferror(VLOOKUP($B193,covariates!$B$3:$Z$1126,6,FALSE),"")</f>
        <v>26.5</v>
      </c>
      <c r="AI193" s="13">
        <f>iferror(VLOOKUP($B193,covariates!$B$3:$Z$1126,7,FALSE),"")</f>
        <v>5</v>
      </c>
      <c r="AJ193" s="9">
        <f>iferror(VLOOKUP($B193,covariates!$B$3:$Z$1126,14,FALSE),"")</f>
        <v>14</v>
      </c>
      <c r="AK193" s="9">
        <f>iferror(VLOOKUP($B193,covariates!$B$3:$Z$1126,16,FALSE),"")</f>
        <v>0</v>
      </c>
      <c r="AL193" s="9">
        <f>iferror(VLOOKUP($B193,covariates!$B$3:$Z$1126,18,FALSE),"")</f>
        <v>12</v>
      </c>
      <c r="AM193" s="9">
        <f>iferror(VLOOKUP($B193,covariates!$B$3:$Z$1126,19,FALSE),"")</f>
        <v>1</v>
      </c>
    </row>
    <row r="194">
      <c r="A194" s="15">
        <v>56.0</v>
      </c>
      <c r="B194" s="17" t="str">
        <f t="shared" ref="B194:B195" si="106">HYPERLINK("https://github.com/d-wkim/phd/blob/main/data/pdf/lund_2014.pdf","Lund et al., 2014")</f>
        <v>Lund et al., 2014</v>
      </c>
      <c r="C194" s="9" t="s">
        <v>42</v>
      </c>
      <c r="D194" s="7" t="s">
        <v>317</v>
      </c>
      <c r="E194" s="9" t="s">
        <v>222</v>
      </c>
      <c r="F194" s="9">
        <v>18.0</v>
      </c>
      <c r="G194" s="13">
        <v>1.1</v>
      </c>
      <c r="H194" s="13">
        <v>1.4</v>
      </c>
      <c r="I194" s="15"/>
      <c r="J194" s="15"/>
      <c r="K194" s="15"/>
      <c r="L194" s="15"/>
      <c r="M194" s="15"/>
      <c r="N194" s="21">
        <v>0.11000000000000001</v>
      </c>
      <c r="O194" s="9" t="s">
        <v>101</v>
      </c>
      <c r="P194" s="9" t="s">
        <v>101</v>
      </c>
      <c r="Q194" s="9" t="s">
        <v>101</v>
      </c>
      <c r="R194" s="9" t="s">
        <v>101</v>
      </c>
      <c r="S194" s="9" t="s">
        <v>101</v>
      </c>
      <c r="T194" s="9" t="s">
        <v>101</v>
      </c>
      <c r="U194" s="9" t="s">
        <v>101</v>
      </c>
      <c r="V194" s="15">
        <v>0.33</v>
      </c>
      <c r="W194" s="15"/>
      <c r="X194" s="15"/>
      <c r="Y194" s="15">
        <v>0.109</v>
      </c>
      <c r="Z194" s="15"/>
      <c r="AA194" s="15"/>
      <c r="AB194" s="15"/>
      <c r="AC194" s="15"/>
      <c r="AD194" s="15"/>
      <c r="AE194" s="19"/>
      <c r="AF194" s="19"/>
      <c r="AG194" s="7" t="s">
        <v>109</v>
      </c>
      <c r="AH194" s="13">
        <f>iferror(VLOOKUP($B194,covariates!$B$3:$Z$1126,6,FALSE),"")</f>
        <v>31</v>
      </c>
      <c r="AI194" s="13">
        <f>iferror(VLOOKUP($B194,covariates!$B$3:$Z$1126,7,FALSE),"")</f>
        <v>8</v>
      </c>
      <c r="AJ194" s="9">
        <f>iferror(VLOOKUP($B194,covariates!$B$3:$Z$1126,14,FALSE),"")</f>
        <v>15</v>
      </c>
      <c r="AK194" s="9">
        <f>iferror(VLOOKUP($B194,covariates!$B$3:$Z$1126,16,FALSE),"")</f>
        <v>3</v>
      </c>
      <c r="AL194" s="9">
        <f>iferror(VLOOKUP($B194,covariates!$B$3:$Z$1126,18,FALSE),"")</f>
        <v>24</v>
      </c>
      <c r="AM194" s="9">
        <f>iferror(VLOOKUP($B194,covariates!$B$3:$Z$1126,19,FALSE),"")</f>
        <v>2</v>
      </c>
    </row>
    <row r="195">
      <c r="A195" s="15">
        <v>56.0</v>
      </c>
      <c r="B195" s="17" t="str">
        <f t="shared" si="106"/>
        <v>Lund et al., 2014</v>
      </c>
      <c r="C195" s="9" t="s">
        <v>200</v>
      </c>
      <c r="D195" s="7" t="s">
        <v>317</v>
      </c>
      <c r="E195" s="9" t="s">
        <v>222</v>
      </c>
      <c r="F195" s="9">
        <v>21.0</v>
      </c>
      <c r="G195" s="13">
        <v>0.8</v>
      </c>
      <c r="H195" s="13">
        <v>1.7</v>
      </c>
      <c r="I195" s="15"/>
      <c r="J195" s="15"/>
      <c r="K195" s="15"/>
      <c r="L195" s="15"/>
      <c r="M195" s="15"/>
      <c r="N195" s="21">
        <v>0.08</v>
      </c>
      <c r="O195" s="9" t="s">
        <v>101</v>
      </c>
      <c r="P195" s="9" t="s">
        <v>101</v>
      </c>
      <c r="Q195" s="9" t="s">
        <v>101</v>
      </c>
      <c r="R195" s="9" t="s">
        <v>101</v>
      </c>
      <c r="S195" s="9" t="s">
        <v>101</v>
      </c>
      <c r="T195" s="9" t="s">
        <v>101</v>
      </c>
      <c r="U195" s="9" t="s">
        <v>101</v>
      </c>
      <c r="V195" s="15">
        <v>0.371</v>
      </c>
      <c r="W195" s="15"/>
      <c r="X195" s="15"/>
      <c r="Y195" s="15">
        <v>0.138</v>
      </c>
      <c r="Z195" s="19"/>
      <c r="AA195" s="19"/>
      <c r="AB195" s="19"/>
      <c r="AC195" s="19"/>
      <c r="AD195" s="19"/>
      <c r="AE195" s="19"/>
      <c r="AF195" s="19"/>
      <c r="AG195" s="7" t="s">
        <v>109</v>
      </c>
      <c r="AH195" s="13">
        <f>iferror(VLOOKUP($B195,covariates!$B$3:$Z$1126,6,FALSE),"")</f>
        <v>31</v>
      </c>
      <c r="AI195" s="13">
        <f>iferror(VLOOKUP($B195,covariates!$B$3:$Z$1126,7,FALSE),"")</f>
        <v>8</v>
      </c>
      <c r="AJ195" s="9">
        <f>iferror(VLOOKUP($B195,covariates!$B$3:$Z$1126,14,FALSE),"")</f>
        <v>15</v>
      </c>
      <c r="AK195" s="9">
        <f>iferror(VLOOKUP($B195,covariates!$B$3:$Z$1126,16,FALSE),"")</f>
        <v>3</v>
      </c>
      <c r="AL195" s="9">
        <f>iferror(VLOOKUP($B195,covariates!$B$3:$Z$1126,18,FALSE),"")</f>
        <v>24</v>
      </c>
      <c r="AM195" s="9">
        <f>iferror(VLOOKUP($B195,covariates!$B$3:$Z$1126,19,FALSE),"")</f>
        <v>2</v>
      </c>
    </row>
    <row r="196">
      <c r="A196" s="15">
        <v>57.0</v>
      </c>
      <c r="B196" s="17" t="str">
        <f t="shared" ref="B196:B197" si="107">HYPERLINK("https://github.com/d-wkim/phd/blob/main/data/pdf/maletis_2007.pdf","Maletis et al., 2007")</f>
        <v>Maletis et al., 2007</v>
      </c>
      <c r="C196" s="7" t="s">
        <v>42</v>
      </c>
      <c r="D196" s="7" t="s">
        <v>317</v>
      </c>
      <c r="E196" s="9" t="s">
        <v>222</v>
      </c>
      <c r="F196" s="9"/>
      <c r="G196" s="21"/>
      <c r="H196" s="13"/>
      <c r="I196" s="15"/>
      <c r="J196" s="15"/>
      <c r="K196" s="15"/>
      <c r="L196" s="15"/>
      <c r="M196" s="15"/>
      <c r="N196" s="15"/>
      <c r="O196" s="9" t="s">
        <v>101</v>
      </c>
      <c r="P196" s="9" t="s">
        <v>101</v>
      </c>
      <c r="Q196" s="9" t="s">
        <v>101</v>
      </c>
      <c r="R196" s="9" t="s">
        <v>101</v>
      </c>
      <c r="S196" s="9" t="s">
        <v>101</v>
      </c>
      <c r="T196" s="9" t="s">
        <v>101</v>
      </c>
      <c r="U196" s="9" t="s">
        <v>101</v>
      </c>
      <c r="V196" s="15"/>
      <c r="W196" s="15"/>
      <c r="X196" s="15"/>
      <c r="Y196" s="15"/>
      <c r="Z196" s="15"/>
      <c r="AA196" s="15"/>
      <c r="AB196" s="15"/>
      <c r="AC196" s="15"/>
      <c r="AD196" s="15"/>
      <c r="AE196" s="19"/>
      <c r="AF196" s="19"/>
      <c r="AG196" s="7" t="s">
        <v>174</v>
      </c>
      <c r="AH196" s="13" t="str">
        <f>iferror(VLOOKUP($B196,covariates!$B$3:$Z$1126,6,FALSE),"")</f>
        <v/>
      </c>
      <c r="AI196" s="13" t="str">
        <f>iferror(VLOOKUP($B196,covariates!$B$3:$Z$1126,7,FALSE),"")</f>
        <v/>
      </c>
      <c r="AJ196" s="9" t="str">
        <f>iferror(VLOOKUP($B196,covariates!$B$3:$Z$1126,14,FALSE),"")</f>
        <v/>
      </c>
      <c r="AK196" s="9" t="str">
        <f>iferror(VLOOKUP($B196,covariates!$B$3:$Z$1126,16,FALSE),"")</f>
        <v/>
      </c>
      <c r="AL196" s="9" t="str">
        <f>iferror(VLOOKUP($B196,covariates!$B$3:$Z$1126,18,FALSE),"")</f>
        <v/>
      </c>
      <c r="AM196" s="9" t="str">
        <f>iferror(VLOOKUP($B196,covariates!$B$3:$Z$1126,19,FALSE),"")</f>
        <v/>
      </c>
    </row>
    <row r="197">
      <c r="A197" s="15">
        <v>57.0</v>
      </c>
      <c r="B197" s="17" t="str">
        <f t="shared" si="107"/>
        <v>Maletis et al., 2007</v>
      </c>
      <c r="C197" s="7" t="s">
        <v>84</v>
      </c>
      <c r="D197" s="7" t="s">
        <v>317</v>
      </c>
      <c r="E197" s="9" t="s">
        <v>222</v>
      </c>
      <c r="F197" s="9"/>
      <c r="G197" s="21"/>
      <c r="H197" s="13"/>
      <c r="I197" s="15"/>
      <c r="J197" s="15"/>
      <c r="K197" s="15"/>
      <c r="L197" s="15"/>
      <c r="M197" s="15"/>
      <c r="N197" s="15"/>
      <c r="O197" s="9" t="s">
        <v>101</v>
      </c>
      <c r="P197" s="9" t="s">
        <v>101</v>
      </c>
      <c r="Q197" s="9" t="s">
        <v>101</v>
      </c>
      <c r="R197" s="9" t="s">
        <v>101</v>
      </c>
      <c r="S197" s="9" t="s">
        <v>101</v>
      </c>
      <c r="T197" s="9" t="s">
        <v>101</v>
      </c>
      <c r="U197" s="9" t="s">
        <v>101</v>
      </c>
      <c r="V197" s="15"/>
      <c r="W197" s="15"/>
      <c r="X197" s="15"/>
      <c r="Y197" s="15"/>
      <c r="Z197" s="15"/>
      <c r="AA197" s="15"/>
      <c r="AB197" s="15"/>
      <c r="AC197" s="15"/>
      <c r="AD197" s="15"/>
      <c r="AE197" s="19"/>
      <c r="AF197" s="19"/>
      <c r="AG197" s="7" t="s">
        <v>174</v>
      </c>
      <c r="AH197" s="13" t="str">
        <f>iferror(VLOOKUP($B197,covariates!$B$3:$Z$1126,6,FALSE),"")</f>
        <v/>
      </c>
      <c r="AI197" s="13" t="str">
        <f>iferror(VLOOKUP($B197,covariates!$B$3:$Z$1126,7,FALSE),"")</f>
        <v/>
      </c>
      <c r="AJ197" s="9" t="str">
        <f>iferror(VLOOKUP($B197,covariates!$B$3:$Z$1126,14,FALSE),"")</f>
        <v/>
      </c>
      <c r="AK197" s="9" t="str">
        <f>iferror(VLOOKUP($B197,covariates!$B$3:$Z$1126,16,FALSE),"")</f>
        <v/>
      </c>
      <c r="AL197" s="9" t="str">
        <f>iferror(VLOOKUP($B197,covariates!$B$3:$Z$1126,18,FALSE),"")</f>
        <v/>
      </c>
      <c r="AM197" s="9" t="str">
        <f>iferror(VLOOKUP($B197,covariates!$B$3:$Z$1126,19,FALSE),"")</f>
        <v/>
      </c>
    </row>
    <row r="198">
      <c r="A198" s="15">
        <v>58.0</v>
      </c>
      <c r="B198" s="17" t="str">
        <f t="shared" ref="B198:B199" si="108">HYPERLINK("https://github.com/d-wkim/phd/blob/main/data/pdf/malik_2026.pdf","Malik et al., 2026")</f>
        <v>Malik et al., 2026</v>
      </c>
      <c r="C198" s="9" t="s">
        <v>84</v>
      </c>
      <c r="D198" s="7" t="s">
        <v>317</v>
      </c>
      <c r="E198" s="9" t="s">
        <v>222</v>
      </c>
      <c r="F198" s="9">
        <v>25.0</v>
      </c>
      <c r="G198" s="13">
        <v>2.1</v>
      </c>
      <c r="H198" s="13">
        <v>1.0</v>
      </c>
      <c r="I198" s="15"/>
      <c r="J198" s="15"/>
      <c r="K198" s="15"/>
      <c r="L198" s="15"/>
      <c r="M198" s="15"/>
      <c r="N198" s="21">
        <v>0.21000000000000002</v>
      </c>
      <c r="O198" s="9" t="s">
        <v>101</v>
      </c>
      <c r="P198" s="9" t="s">
        <v>101</v>
      </c>
      <c r="Q198" s="9" t="s">
        <v>101</v>
      </c>
      <c r="R198" s="9" t="s">
        <v>101</v>
      </c>
      <c r="S198" s="9" t="s">
        <v>101</v>
      </c>
      <c r="T198" s="9" t="s">
        <v>101</v>
      </c>
      <c r="U198" s="9" t="s">
        <v>101</v>
      </c>
      <c r="V198" s="15">
        <v>0.2</v>
      </c>
      <c r="W198" s="15"/>
      <c r="X198" s="15"/>
      <c r="Y198" s="15">
        <v>0.04</v>
      </c>
      <c r="Z198" s="15"/>
      <c r="AA198" s="15"/>
      <c r="AB198" s="15"/>
      <c r="AC198" s="15"/>
      <c r="AD198" s="15"/>
      <c r="AE198" s="19"/>
      <c r="AF198" s="19"/>
      <c r="AG198" s="7" t="s">
        <v>109</v>
      </c>
      <c r="AH198" s="13">
        <f>iferror(VLOOKUP($B198,covariates!$B$3:$Z$1126,6,FALSE),"")</f>
        <v>28.12</v>
      </c>
      <c r="AI198" s="13">
        <f>iferror(VLOOKUP($B198,covariates!$B$3:$Z$1126,7,FALSE),"")</f>
        <v>5.21</v>
      </c>
      <c r="AJ198" s="9">
        <f>iferror(VLOOKUP($B198,covariates!$B$3:$Z$1126,14,FALSE),"")</f>
        <v>18</v>
      </c>
      <c r="AK198" s="9">
        <f>iferror(VLOOKUP($B198,covariates!$B$3:$Z$1126,16,FALSE),"")</f>
        <v>7</v>
      </c>
      <c r="AL198" s="9">
        <f>iferror(VLOOKUP($B198,covariates!$B$3:$Z$1126,18,FALSE),"")</f>
        <v>6</v>
      </c>
      <c r="AM198" s="9">
        <f>iferror(VLOOKUP($B198,covariates!$B$3:$Z$1126,19,FALSE),"")</f>
        <v>0.5</v>
      </c>
    </row>
    <row r="199">
      <c r="A199" s="15">
        <v>58.0</v>
      </c>
      <c r="B199" s="17" t="str">
        <f t="shared" si="108"/>
        <v>Malik et al., 2026</v>
      </c>
      <c r="C199" s="9" t="s">
        <v>186</v>
      </c>
      <c r="D199" s="7" t="s">
        <v>317</v>
      </c>
      <c r="E199" s="9" t="s">
        <v>222</v>
      </c>
      <c r="F199" s="9">
        <v>25.0</v>
      </c>
      <c r="G199" s="13">
        <v>1.8</v>
      </c>
      <c r="H199" s="13">
        <v>0.9</v>
      </c>
      <c r="I199" s="15"/>
      <c r="J199" s="15"/>
      <c r="K199" s="15"/>
      <c r="L199" s="15"/>
      <c r="M199" s="15"/>
      <c r="N199" s="21">
        <v>0.18</v>
      </c>
      <c r="O199" s="9" t="s">
        <v>101</v>
      </c>
      <c r="P199" s="9" t="s">
        <v>101</v>
      </c>
      <c r="Q199" s="9" t="s">
        <v>101</v>
      </c>
      <c r="R199" s="9" t="s">
        <v>101</v>
      </c>
      <c r="S199" s="9" t="s">
        <v>101</v>
      </c>
      <c r="T199" s="9" t="s">
        <v>101</v>
      </c>
      <c r="U199" s="9" t="s">
        <v>101</v>
      </c>
      <c r="V199" s="15">
        <v>0.18</v>
      </c>
      <c r="W199" s="15"/>
      <c r="X199" s="15"/>
      <c r="Y199" s="15">
        <v>0.032</v>
      </c>
      <c r="Z199" s="19"/>
      <c r="AA199" s="19"/>
      <c r="AB199" s="19"/>
      <c r="AC199" s="19"/>
      <c r="AD199" s="19"/>
      <c r="AE199" s="19"/>
      <c r="AF199" s="19"/>
      <c r="AG199" s="7" t="s">
        <v>109</v>
      </c>
      <c r="AH199" s="13">
        <f>iferror(VLOOKUP($B199,covariates!$B$3:$Z$1126,6,FALSE),"")</f>
        <v>28.12</v>
      </c>
      <c r="AI199" s="13">
        <f>iferror(VLOOKUP($B199,covariates!$B$3:$Z$1126,7,FALSE),"")</f>
        <v>5.21</v>
      </c>
      <c r="AJ199" s="9">
        <f>iferror(VLOOKUP($B199,covariates!$B$3:$Z$1126,14,FALSE),"")</f>
        <v>18</v>
      </c>
      <c r="AK199" s="9">
        <f>iferror(VLOOKUP($B199,covariates!$B$3:$Z$1126,16,FALSE),"")</f>
        <v>7</v>
      </c>
      <c r="AL199" s="9">
        <f>iferror(VLOOKUP($B199,covariates!$B$3:$Z$1126,18,FALSE),"")</f>
        <v>6</v>
      </c>
      <c r="AM199" s="9">
        <f>iferror(VLOOKUP($B199,covariates!$B$3:$Z$1126,19,FALSE),"")</f>
        <v>0.5</v>
      </c>
    </row>
    <row r="200">
      <c r="A200" s="15">
        <v>62.0</v>
      </c>
      <c r="B200" s="17" t="str">
        <f t="shared" ref="B200:B201" si="109">HYPERLINK("https://github.com/d-wkim/phd/blob/main/data/pdf/matsumoto_2006.pdf","Matsumoto et al., 2006")</f>
        <v>Matsumoto et al., 2006</v>
      </c>
      <c r="C200" s="9" t="s">
        <v>42</v>
      </c>
      <c r="D200" s="7" t="s">
        <v>317</v>
      </c>
      <c r="E200" s="9" t="s">
        <v>222</v>
      </c>
      <c r="F200" s="9">
        <v>37.0</v>
      </c>
      <c r="G200" s="13">
        <v>1.2</v>
      </c>
      <c r="H200" s="13">
        <v>2.1</v>
      </c>
      <c r="I200" s="15"/>
      <c r="J200" s="15"/>
      <c r="K200" s="15"/>
      <c r="L200" s="15"/>
      <c r="M200" s="15"/>
      <c r="N200" s="21">
        <v>0.12</v>
      </c>
      <c r="O200" s="9" t="s">
        <v>101</v>
      </c>
      <c r="P200" s="9" t="s">
        <v>101</v>
      </c>
      <c r="Q200" s="9" t="s">
        <v>101</v>
      </c>
      <c r="R200" s="9" t="s">
        <v>101</v>
      </c>
      <c r="S200" s="9" t="s">
        <v>101</v>
      </c>
      <c r="T200" s="9" t="s">
        <v>101</v>
      </c>
      <c r="U200" s="9" t="s">
        <v>101</v>
      </c>
      <c r="V200" s="15">
        <v>0.345</v>
      </c>
      <c r="W200" s="15"/>
      <c r="X200" s="15"/>
      <c r="Y200" s="15">
        <v>0.119</v>
      </c>
      <c r="Z200" s="15"/>
      <c r="AA200" s="15"/>
      <c r="AB200" s="15"/>
      <c r="AC200" s="15"/>
      <c r="AD200" s="15"/>
      <c r="AE200" s="19"/>
      <c r="AF200" s="19"/>
      <c r="AG200" s="7" t="s">
        <v>109</v>
      </c>
      <c r="AH200" s="13">
        <f>iferror(VLOOKUP($B200,covariates!$B$3:$Z$1126,6,FALSE),"")</f>
        <v>23.7</v>
      </c>
      <c r="AI200" s="13">
        <f>iferror(VLOOKUP($B200,covariates!$B$3:$Z$1126,7,FALSE),"")</f>
        <v>7.7</v>
      </c>
      <c r="AJ200" s="9">
        <f>iferror(VLOOKUP($B200,covariates!$B$3:$Z$1126,14,FALSE),"")</f>
        <v>21</v>
      </c>
      <c r="AK200" s="9">
        <f>iferror(VLOOKUP($B200,covariates!$B$3:$Z$1126,16,FALSE),"")</f>
        <v>16</v>
      </c>
      <c r="AL200" s="9">
        <f>iferror(VLOOKUP($B200,covariates!$B$3:$Z$1126,18,FALSE),"")</f>
        <v>87</v>
      </c>
      <c r="AM200" s="9">
        <f>iferror(VLOOKUP($B200,covariates!$B$3:$Z$1126,19,FALSE),"")</f>
        <v>7.3</v>
      </c>
    </row>
    <row r="201">
      <c r="A201" s="15">
        <v>62.0</v>
      </c>
      <c r="B201" s="17" t="str">
        <f t="shared" si="109"/>
        <v>Matsumoto et al., 2006</v>
      </c>
      <c r="C201" s="9" t="s">
        <v>84</v>
      </c>
      <c r="D201" s="7" t="s">
        <v>317</v>
      </c>
      <c r="E201" s="9" t="s">
        <v>222</v>
      </c>
      <c r="F201" s="9">
        <v>35.0</v>
      </c>
      <c r="G201" s="13">
        <v>1.7</v>
      </c>
      <c r="H201" s="13">
        <v>1.4</v>
      </c>
      <c r="I201" s="15"/>
      <c r="J201" s="15"/>
      <c r="K201" s="15"/>
      <c r="L201" s="15"/>
      <c r="M201" s="15"/>
      <c r="N201" s="21">
        <v>0.16999999999999998</v>
      </c>
      <c r="O201" s="9" t="s">
        <v>101</v>
      </c>
      <c r="P201" s="9" t="s">
        <v>101</v>
      </c>
      <c r="Q201" s="9" t="s">
        <v>101</v>
      </c>
      <c r="R201" s="9" t="s">
        <v>101</v>
      </c>
      <c r="S201" s="9" t="s">
        <v>101</v>
      </c>
      <c r="T201" s="9" t="s">
        <v>101</v>
      </c>
      <c r="U201" s="9" t="s">
        <v>101</v>
      </c>
      <c r="V201" s="15">
        <v>0.237</v>
      </c>
      <c r="W201" s="15"/>
      <c r="X201" s="15"/>
      <c r="Y201" s="15">
        <v>0.056</v>
      </c>
      <c r="Z201" s="15"/>
      <c r="AA201" s="15"/>
      <c r="AB201" s="15"/>
      <c r="AC201" s="15"/>
      <c r="AD201" s="15"/>
      <c r="AE201" s="19"/>
      <c r="AF201" s="19"/>
      <c r="AG201" s="7" t="s">
        <v>109</v>
      </c>
      <c r="AH201" s="13">
        <f>iferror(VLOOKUP($B201,covariates!$B$3:$Z$1126,6,FALSE),"")</f>
        <v>23.7</v>
      </c>
      <c r="AI201" s="13">
        <f>iferror(VLOOKUP($B201,covariates!$B$3:$Z$1126,7,FALSE),"")</f>
        <v>7.7</v>
      </c>
      <c r="AJ201" s="9">
        <f>iferror(VLOOKUP($B201,covariates!$B$3:$Z$1126,14,FALSE),"")</f>
        <v>21</v>
      </c>
      <c r="AK201" s="9">
        <f>iferror(VLOOKUP($B201,covariates!$B$3:$Z$1126,16,FALSE),"")</f>
        <v>16</v>
      </c>
      <c r="AL201" s="9">
        <f>iferror(VLOOKUP($B201,covariates!$B$3:$Z$1126,18,FALSE),"")</f>
        <v>87</v>
      </c>
      <c r="AM201" s="9">
        <f>iferror(VLOOKUP($B201,covariates!$B$3:$Z$1126,19,FALSE),"")</f>
        <v>7.3</v>
      </c>
    </row>
    <row r="202">
      <c r="A202" s="15">
        <v>66.0</v>
      </c>
      <c r="B202" s="17" t="str">
        <f t="shared" ref="B202:B203" si="110">HYPERLINK("https://github.com/d-wkim/phd/blob/main/data/pdf/mohtadi_2016a.pdf","Mohtadi et al., 2016")</f>
        <v>Mohtadi et al., 2016</v>
      </c>
      <c r="C202" s="7" t="s">
        <v>42</v>
      </c>
      <c r="D202" s="7" t="s">
        <v>317</v>
      </c>
      <c r="E202" s="9" t="s">
        <v>222</v>
      </c>
      <c r="F202" s="9"/>
      <c r="G202" s="21"/>
      <c r="H202" s="13"/>
      <c r="I202" s="15"/>
      <c r="J202" s="15"/>
      <c r="K202" s="15"/>
      <c r="L202" s="15"/>
      <c r="M202" s="15"/>
      <c r="N202" s="15"/>
      <c r="O202" s="9" t="s">
        <v>101</v>
      </c>
      <c r="P202" s="9" t="s">
        <v>101</v>
      </c>
      <c r="Q202" s="9" t="s">
        <v>101</v>
      </c>
      <c r="R202" s="9" t="s">
        <v>101</v>
      </c>
      <c r="S202" s="9" t="s">
        <v>101</v>
      </c>
      <c r="T202" s="9" t="s">
        <v>101</v>
      </c>
      <c r="U202" s="9" t="s">
        <v>101</v>
      </c>
      <c r="V202" s="15"/>
      <c r="W202" s="15"/>
      <c r="X202" s="15"/>
      <c r="Y202" s="15"/>
      <c r="Z202" s="15"/>
      <c r="AA202" s="15"/>
      <c r="AB202" s="15"/>
      <c r="AC202" s="15"/>
      <c r="AD202" s="15"/>
      <c r="AE202" s="19"/>
      <c r="AF202" s="19"/>
      <c r="AG202" s="7" t="s">
        <v>174</v>
      </c>
      <c r="AH202" s="13">
        <f>iferror(VLOOKUP($B202,covariates!$B$3:$Z$1126,6,FALSE),"")</f>
        <v>28.7</v>
      </c>
      <c r="AI202" s="13">
        <f>iferror(VLOOKUP($B202,covariates!$B$3:$Z$1126,7,FALSE),"")</f>
        <v>9.9</v>
      </c>
      <c r="AJ202" s="9">
        <f>iferror(VLOOKUP($B202,covariates!$B$3:$Z$1126,14,FALSE),"")</f>
        <v>63</v>
      </c>
      <c r="AK202" s="9">
        <f>iferror(VLOOKUP($B202,covariates!$B$3:$Z$1126,16,FALSE),"")</f>
        <v>47</v>
      </c>
      <c r="AL202" s="9">
        <f>iferror(VLOOKUP($B202,covariates!$B$3:$Z$1126,18,FALSE),"")</f>
        <v>24</v>
      </c>
      <c r="AM202" s="9">
        <f>iferror(VLOOKUP($B202,covariates!$B$3:$Z$1126,19,FALSE),"")</f>
        <v>2</v>
      </c>
    </row>
    <row r="203">
      <c r="A203" s="15">
        <v>66.0</v>
      </c>
      <c r="B203" s="17" t="str">
        <f t="shared" si="110"/>
        <v>Mohtadi et al., 2016</v>
      </c>
      <c r="C203" s="7" t="s">
        <v>84</v>
      </c>
      <c r="D203" s="7" t="s">
        <v>317</v>
      </c>
      <c r="E203" s="9" t="s">
        <v>222</v>
      </c>
      <c r="F203" s="9"/>
      <c r="G203" s="21"/>
      <c r="H203" s="13"/>
      <c r="I203" s="15"/>
      <c r="J203" s="15"/>
      <c r="K203" s="15"/>
      <c r="L203" s="15"/>
      <c r="M203" s="15"/>
      <c r="N203" s="15"/>
      <c r="O203" s="9" t="s">
        <v>101</v>
      </c>
      <c r="P203" s="9" t="s">
        <v>101</v>
      </c>
      <c r="Q203" s="9" t="s">
        <v>101</v>
      </c>
      <c r="R203" s="9" t="s">
        <v>101</v>
      </c>
      <c r="S203" s="9" t="s">
        <v>101</v>
      </c>
      <c r="T203" s="9" t="s">
        <v>101</v>
      </c>
      <c r="U203" s="9" t="s">
        <v>101</v>
      </c>
      <c r="V203" s="15"/>
      <c r="W203" s="15"/>
      <c r="X203" s="15"/>
      <c r="Y203" s="15"/>
      <c r="Z203" s="15"/>
      <c r="AA203" s="15"/>
      <c r="AB203" s="15"/>
      <c r="AC203" s="15"/>
      <c r="AD203" s="15"/>
      <c r="AE203" s="19"/>
      <c r="AF203" s="19"/>
      <c r="AG203" s="7" t="s">
        <v>174</v>
      </c>
      <c r="AH203" s="13">
        <f>iferror(VLOOKUP($B203,covariates!$B$3:$Z$1126,6,FALSE),"")</f>
        <v>28.7</v>
      </c>
      <c r="AI203" s="13">
        <f>iferror(VLOOKUP($B203,covariates!$B$3:$Z$1126,7,FALSE),"")</f>
        <v>9.9</v>
      </c>
      <c r="AJ203" s="9">
        <f>iferror(VLOOKUP($B203,covariates!$B$3:$Z$1126,14,FALSE),"")</f>
        <v>63</v>
      </c>
      <c r="AK203" s="9">
        <f>iferror(VLOOKUP($B203,covariates!$B$3:$Z$1126,16,FALSE),"")</f>
        <v>47</v>
      </c>
      <c r="AL203" s="9">
        <f>iferror(VLOOKUP($B203,covariates!$B$3:$Z$1126,18,FALSE),"")</f>
        <v>24</v>
      </c>
      <c r="AM203" s="9">
        <f>iferror(VLOOKUP($B203,covariates!$B$3:$Z$1126,19,FALSE),"")</f>
        <v>2</v>
      </c>
    </row>
    <row r="204">
      <c r="A204" s="15">
        <v>67.0</v>
      </c>
      <c r="B204" s="17" t="str">
        <f t="shared" ref="B204:B205" si="111">HYPERLINK("https://github.com/d-wkim/phd/blob/main/data/pdf/mohtadi_chan_2019.pdf","Mohtadi &amp; Chan, 2019")</f>
        <v>Mohtadi &amp; Chan, 2019</v>
      </c>
      <c r="C204" s="7" t="s">
        <v>42</v>
      </c>
      <c r="D204" s="7" t="s">
        <v>317</v>
      </c>
      <c r="E204" s="9" t="s">
        <v>222</v>
      </c>
      <c r="F204" s="15"/>
      <c r="G204" s="21"/>
      <c r="H204" s="13"/>
      <c r="I204" s="15"/>
      <c r="J204" s="15"/>
      <c r="K204" s="15"/>
      <c r="L204" s="15"/>
      <c r="M204" s="15"/>
      <c r="N204" s="15"/>
      <c r="O204" s="9" t="s">
        <v>101</v>
      </c>
      <c r="P204" s="9" t="s">
        <v>101</v>
      </c>
      <c r="Q204" s="9" t="s">
        <v>101</v>
      </c>
      <c r="R204" s="9" t="s">
        <v>101</v>
      </c>
      <c r="S204" s="9" t="s">
        <v>101</v>
      </c>
      <c r="T204" s="9" t="s">
        <v>101</v>
      </c>
      <c r="U204" s="9" t="s">
        <v>101</v>
      </c>
      <c r="V204" s="15"/>
      <c r="W204" s="15"/>
      <c r="X204" s="15"/>
      <c r="Y204" s="15"/>
      <c r="Z204" s="15"/>
      <c r="AA204" s="15"/>
      <c r="AB204" s="15"/>
      <c r="AC204" s="15"/>
      <c r="AD204" s="15"/>
      <c r="AE204" s="19"/>
      <c r="AF204" s="19"/>
      <c r="AG204" s="7" t="s">
        <v>174</v>
      </c>
      <c r="AH204" s="13" t="str">
        <f>iferror(VLOOKUP($B204,covariates!$B$3:$Z$1126,6,FALSE),"")</f>
        <v/>
      </c>
      <c r="AI204" s="13" t="str">
        <f>iferror(VLOOKUP($B204,covariates!$B$3:$Z$1126,7,FALSE),"")</f>
        <v/>
      </c>
      <c r="AJ204" s="9" t="str">
        <f>iferror(VLOOKUP($B204,covariates!$B$3:$Z$1126,14,FALSE),"")</f>
        <v/>
      </c>
      <c r="AK204" s="9" t="str">
        <f>iferror(VLOOKUP($B204,covariates!$B$3:$Z$1126,16,FALSE),"")</f>
        <v/>
      </c>
      <c r="AL204" s="9" t="str">
        <f>iferror(VLOOKUP($B204,covariates!$B$3:$Z$1126,18,FALSE),"")</f>
        <v/>
      </c>
      <c r="AM204" s="9" t="str">
        <f>iferror(VLOOKUP($B204,covariates!$B$3:$Z$1126,19,FALSE),"")</f>
        <v/>
      </c>
    </row>
    <row r="205">
      <c r="A205" s="15">
        <v>67.0</v>
      </c>
      <c r="B205" s="17" t="str">
        <f t="shared" si="111"/>
        <v>Mohtadi &amp; Chan, 2019</v>
      </c>
      <c r="C205" s="7" t="s">
        <v>84</v>
      </c>
      <c r="D205" s="7" t="s">
        <v>317</v>
      </c>
      <c r="E205" s="9" t="s">
        <v>222</v>
      </c>
      <c r="F205" s="15"/>
      <c r="G205" s="21"/>
      <c r="H205" s="13"/>
      <c r="I205" s="15"/>
      <c r="J205" s="15"/>
      <c r="K205" s="15"/>
      <c r="L205" s="15"/>
      <c r="M205" s="15"/>
      <c r="N205" s="15"/>
      <c r="O205" s="9" t="s">
        <v>101</v>
      </c>
      <c r="P205" s="9" t="s">
        <v>101</v>
      </c>
      <c r="Q205" s="9" t="s">
        <v>101</v>
      </c>
      <c r="R205" s="9" t="s">
        <v>101</v>
      </c>
      <c r="S205" s="9" t="s">
        <v>101</v>
      </c>
      <c r="T205" s="9" t="s">
        <v>101</v>
      </c>
      <c r="U205" s="9" t="s">
        <v>101</v>
      </c>
      <c r="V205" s="15"/>
      <c r="W205" s="15"/>
      <c r="X205" s="15"/>
      <c r="Y205" s="15"/>
      <c r="Z205" s="15"/>
      <c r="AA205" s="15"/>
      <c r="AB205" s="15"/>
      <c r="AC205" s="15"/>
      <c r="AD205" s="15"/>
      <c r="AE205" s="19"/>
      <c r="AF205" s="19"/>
      <c r="AG205" s="7" t="s">
        <v>174</v>
      </c>
      <c r="AH205" s="13" t="str">
        <f>iferror(VLOOKUP($B205,covariates!$B$3:$Z$1126,6,FALSE),"")</f>
        <v/>
      </c>
      <c r="AI205" s="13" t="str">
        <f>iferror(VLOOKUP($B205,covariates!$B$3:$Z$1126,7,FALSE),"")</f>
        <v/>
      </c>
      <c r="AJ205" s="9" t="str">
        <f>iferror(VLOOKUP($B205,covariates!$B$3:$Z$1126,14,FALSE),"")</f>
        <v/>
      </c>
      <c r="AK205" s="9" t="str">
        <f>iferror(VLOOKUP($B205,covariates!$B$3:$Z$1126,16,FALSE),"")</f>
        <v/>
      </c>
      <c r="AL205" s="9" t="str">
        <f>iferror(VLOOKUP($B205,covariates!$B$3:$Z$1126,18,FALSE),"")</f>
        <v/>
      </c>
      <c r="AM205" s="9" t="str">
        <f>iferror(VLOOKUP($B205,covariates!$B$3:$Z$1126,19,FALSE),"")</f>
        <v/>
      </c>
    </row>
    <row r="206">
      <c r="A206" s="15">
        <v>68.0</v>
      </c>
      <c r="B206" s="17" t="str">
        <f t="shared" ref="B206:B207" si="112">HYPERLINK("https://github.com/d-wkim/phd/blob/main/data/pdf/moraiti_2010.pdf","Moraiti et al., 2010")</f>
        <v>Moraiti et al., 2010</v>
      </c>
      <c r="C206" s="7" t="s">
        <v>42</v>
      </c>
      <c r="D206" s="7" t="s">
        <v>317</v>
      </c>
      <c r="E206" s="9" t="s">
        <v>222</v>
      </c>
      <c r="F206" s="15"/>
      <c r="G206" s="21"/>
      <c r="H206" s="13"/>
      <c r="I206" s="15"/>
      <c r="J206" s="15"/>
      <c r="K206" s="15"/>
      <c r="L206" s="15"/>
      <c r="M206" s="15"/>
      <c r="N206" s="15"/>
      <c r="O206" s="9" t="s">
        <v>101</v>
      </c>
      <c r="P206" s="9" t="s">
        <v>101</v>
      </c>
      <c r="Q206" s="9" t="s">
        <v>101</v>
      </c>
      <c r="R206" s="9" t="s">
        <v>101</v>
      </c>
      <c r="S206" s="9" t="s">
        <v>101</v>
      </c>
      <c r="T206" s="9" t="s">
        <v>101</v>
      </c>
      <c r="U206" s="9" t="s">
        <v>101</v>
      </c>
      <c r="V206" s="15"/>
      <c r="W206" s="15"/>
      <c r="X206" s="15"/>
      <c r="Y206" s="15"/>
      <c r="Z206" s="15"/>
      <c r="AA206" s="15"/>
      <c r="AB206" s="15"/>
      <c r="AC206" s="15"/>
      <c r="AD206" s="15"/>
      <c r="AE206" s="19"/>
      <c r="AF206" s="19"/>
      <c r="AG206" s="7" t="s">
        <v>174</v>
      </c>
      <c r="AH206" s="13">
        <f>iferror(VLOOKUP($B206,covariates!$B$3:$Z$1126,6,FALSE),"")</f>
        <v>23</v>
      </c>
      <c r="AI206" s="13">
        <f>iferror(VLOOKUP($B206,covariates!$B$3:$Z$1126,7,FALSE),"")</f>
        <v>2</v>
      </c>
      <c r="AJ206" s="9">
        <f>iferror(VLOOKUP($B206,covariates!$B$3:$Z$1126,14,FALSE),"")</f>
        <v>6</v>
      </c>
      <c r="AK206" s="9">
        <f>iferror(VLOOKUP($B206,covariates!$B$3:$Z$1126,16,FALSE),"")</f>
        <v>0</v>
      </c>
      <c r="AL206" s="9">
        <f>iferror(VLOOKUP($B206,covariates!$B$3:$Z$1126,18,FALSE),"")</f>
        <v>21</v>
      </c>
      <c r="AM206" s="9">
        <f>iferror(VLOOKUP($B206,covariates!$B$3:$Z$1126,19,FALSE),"")</f>
        <v>1.8</v>
      </c>
    </row>
    <row r="207">
      <c r="A207" s="15">
        <v>68.0</v>
      </c>
      <c r="B207" s="17" t="str">
        <f t="shared" si="112"/>
        <v>Moraiti et al., 2010</v>
      </c>
      <c r="C207" s="7" t="s">
        <v>84</v>
      </c>
      <c r="D207" s="7" t="s">
        <v>317</v>
      </c>
      <c r="E207" s="9" t="s">
        <v>222</v>
      </c>
      <c r="F207" s="15"/>
      <c r="G207" s="21"/>
      <c r="H207" s="13"/>
      <c r="I207" s="15"/>
      <c r="J207" s="15"/>
      <c r="K207" s="15"/>
      <c r="L207" s="15"/>
      <c r="M207" s="15"/>
      <c r="N207" s="15"/>
      <c r="O207" s="9" t="s">
        <v>101</v>
      </c>
      <c r="P207" s="9" t="s">
        <v>101</v>
      </c>
      <c r="Q207" s="9" t="s">
        <v>101</v>
      </c>
      <c r="R207" s="9" t="s">
        <v>101</v>
      </c>
      <c r="S207" s="9" t="s">
        <v>101</v>
      </c>
      <c r="T207" s="9" t="s">
        <v>101</v>
      </c>
      <c r="U207" s="9" t="s">
        <v>101</v>
      </c>
      <c r="V207" s="15"/>
      <c r="W207" s="15"/>
      <c r="X207" s="15"/>
      <c r="Y207" s="15"/>
      <c r="Z207" s="15"/>
      <c r="AA207" s="15"/>
      <c r="AB207" s="15"/>
      <c r="AC207" s="15"/>
      <c r="AD207" s="15"/>
      <c r="AE207" s="19"/>
      <c r="AF207" s="19"/>
      <c r="AG207" s="7" t="s">
        <v>174</v>
      </c>
      <c r="AH207" s="13">
        <f>iferror(VLOOKUP($B207,covariates!$B$3:$Z$1126,6,FALSE),"")</f>
        <v>23</v>
      </c>
      <c r="AI207" s="13">
        <f>iferror(VLOOKUP($B207,covariates!$B$3:$Z$1126,7,FALSE),"")</f>
        <v>2</v>
      </c>
      <c r="AJ207" s="9">
        <f>iferror(VLOOKUP($B207,covariates!$B$3:$Z$1126,14,FALSE),"")</f>
        <v>6</v>
      </c>
      <c r="AK207" s="9">
        <f>iferror(VLOOKUP($B207,covariates!$B$3:$Z$1126,16,FALSE),"")</f>
        <v>0</v>
      </c>
      <c r="AL207" s="9">
        <f>iferror(VLOOKUP($B207,covariates!$B$3:$Z$1126,18,FALSE),"")</f>
        <v>21</v>
      </c>
      <c r="AM207" s="9">
        <f>iferror(VLOOKUP($B207,covariates!$B$3:$Z$1126,19,FALSE),"")</f>
        <v>1.8</v>
      </c>
    </row>
    <row r="208">
      <c r="A208" s="15">
        <v>70.0</v>
      </c>
      <c r="B208" s="17" t="str">
        <f t="shared" ref="B208:B209" si="113">HYPERLINK("https://github.com/d-wkim/phd/blob/main/data/pdf/noh_2011.pdf","Noh et al., 2011")</f>
        <v>Noh et al., 2011</v>
      </c>
      <c r="C208" s="7" t="s">
        <v>84</v>
      </c>
      <c r="D208" s="7" t="s">
        <v>317</v>
      </c>
      <c r="E208" s="9" t="s">
        <v>222</v>
      </c>
      <c r="F208" s="9"/>
      <c r="G208" s="21"/>
      <c r="H208" s="13"/>
      <c r="I208" s="15"/>
      <c r="J208" s="15"/>
      <c r="K208" s="15"/>
      <c r="L208" s="15"/>
      <c r="M208" s="15"/>
      <c r="N208" s="66"/>
      <c r="O208" s="9" t="s">
        <v>101</v>
      </c>
      <c r="P208" s="9" t="s">
        <v>101</v>
      </c>
      <c r="Q208" s="9" t="s">
        <v>101</v>
      </c>
      <c r="R208" s="9" t="s">
        <v>101</v>
      </c>
      <c r="S208" s="9" t="s">
        <v>101</v>
      </c>
      <c r="T208" s="9" t="s">
        <v>101</v>
      </c>
      <c r="U208" s="9" t="s">
        <v>101</v>
      </c>
      <c r="V208" s="66"/>
      <c r="W208" s="66"/>
      <c r="X208" s="15"/>
      <c r="Y208" s="15"/>
      <c r="Z208" s="15"/>
      <c r="AA208" s="15"/>
      <c r="AB208" s="15"/>
      <c r="AC208" s="15"/>
      <c r="AD208" s="15"/>
      <c r="AE208" s="19"/>
      <c r="AF208" s="19"/>
      <c r="AG208" s="7" t="s">
        <v>174</v>
      </c>
      <c r="AH208" s="13">
        <f>iferror(VLOOKUP($B208,covariates!$B$3:$Z$1126,6,FALSE),"")</f>
        <v>25.81397443</v>
      </c>
      <c r="AI208" s="13">
        <f>iferror(VLOOKUP($B208,covariates!$B$3:$Z$1126,7,FALSE),"")</f>
        <v>7.455</v>
      </c>
      <c r="AJ208" s="9">
        <f>iferror(VLOOKUP($B208,covariates!$B$3:$Z$1126,14,FALSE),"")</f>
        <v>30</v>
      </c>
      <c r="AK208" s="9">
        <f>iferror(VLOOKUP($B208,covariates!$B$3:$Z$1126,16,FALSE),"")</f>
        <v>3</v>
      </c>
      <c r="AL208" s="9">
        <f>iferror(VLOOKUP($B208,covariates!$B$3:$Z$1126,18,FALSE),"")</f>
        <v>28.1</v>
      </c>
      <c r="AM208" s="9">
        <f>iferror(VLOOKUP($B208,covariates!$B$3:$Z$1126,19,FALSE),"")</f>
        <v>2.3</v>
      </c>
    </row>
    <row r="209">
      <c r="A209" s="15">
        <v>70.0</v>
      </c>
      <c r="B209" s="17" t="str">
        <f t="shared" si="113"/>
        <v>Noh et al., 2011</v>
      </c>
      <c r="C209" s="7" t="s">
        <v>246</v>
      </c>
      <c r="D209" s="7" t="s">
        <v>317</v>
      </c>
      <c r="E209" s="9" t="s">
        <v>222</v>
      </c>
      <c r="F209" s="9"/>
      <c r="G209" s="21"/>
      <c r="H209" s="13"/>
      <c r="I209" s="15"/>
      <c r="J209" s="15"/>
      <c r="K209" s="15"/>
      <c r="L209" s="15"/>
      <c r="M209" s="15"/>
      <c r="N209" s="66"/>
      <c r="O209" s="9" t="s">
        <v>101</v>
      </c>
      <c r="P209" s="9" t="s">
        <v>101</v>
      </c>
      <c r="Q209" s="9" t="s">
        <v>101</v>
      </c>
      <c r="R209" s="9" t="s">
        <v>101</v>
      </c>
      <c r="S209" s="9" t="s">
        <v>101</v>
      </c>
      <c r="T209" s="9" t="s">
        <v>101</v>
      </c>
      <c r="U209" s="9" t="s">
        <v>101</v>
      </c>
      <c r="V209" s="66"/>
      <c r="W209" s="66"/>
      <c r="X209" s="15"/>
      <c r="Y209" s="15"/>
      <c r="Z209" s="15"/>
      <c r="AA209" s="15"/>
      <c r="AB209" s="15"/>
      <c r="AC209" s="15"/>
      <c r="AD209" s="15"/>
      <c r="AE209" s="19"/>
      <c r="AF209" s="19"/>
      <c r="AG209" s="7" t="s">
        <v>174</v>
      </c>
      <c r="AH209" s="13">
        <f>iferror(VLOOKUP($B209,covariates!$B$3:$Z$1126,6,FALSE),"")</f>
        <v>25.81397443</v>
      </c>
      <c r="AI209" s="13">
        <f>iferror(VLOOKUP($B209,covariates!$B$3:$Z$1126,7,FALSE),"")</f>
        <v>7.455</v>
      </c>
      <c r="AJ209" s="9">
        <f>iferror(VLOOKUP($B209,covariates!$B$3:$Z$1126,14,FALSE),"")</f>
        <v>30</v>
      </c>
      <c r="AK209" s="9">
        <f>iferror(VLOOKUP($B209,covariates!$B$3:$Z$1126,16,FALSE),"")</f>
        <v>3</v>
      </c>
      <c r="AL209" s="9">
        <f>iferror(VLOOKUP($B209,covariates!$B$3:$Z$1126,18,FALSE),"")</f>
        <v>28.1</v>
      </c>
      <c r="AM209" s="9">
        <f>iferror(VLOOKUP($B209,covariates!$B$3:$Z$1126,19,FALSE),"")</f>
        <v>2.3</v>
      </c>
    </row>
    <row r="210">
      <c r="A210" s="15">
        <v>72.0</v>
      </c>
      <c r="B210" s="17" t="str">
        <f t="shared" ref="B210:B211" si="114">HYPERLINK("https://github.com/d-wkim/phd/blob/main/data/pdf/oneill_1996.pdf","Oneill et al., 1996")</f>
        <v>Oneill et al., 1996</v>
      </c>
      <c r="C210" s="7" t="s">
        <v>42</v>
      </c>
      <c r="D210" s="7" t="s">
        <v>317</v>
      </c>
      <c r="E210" s="9" t="s">
        <v>222</v>
      </c>
      <c r="F210" s="15"/>
      <c r="G210" s="21"/>
      <c r="H210" s="13"/>
      <c r="I210" s="15"/>
      <c r="J210" s="15"/>
      <c r="K210" s="15"/>
      <c r="L210" s="15"/>
      <c r="M210" s="15"/>
      <c r="N210" s="15"/>
      <c r="O210" s="9" t="s">
        <v>101</v>
      </c>
      <c r="P210" s="9" t="s">
        <v>101</v>
      </c>
      <c r="Q210" s="9" t="s">
        <v>101</v>
      </c>
      <c r="R210" s="9" t="s">
        <v>101</v>
      </c>
      <c r="S210" s="9" t="s">
        <v>101</v>
      </c>
      <c r="T210" s="9" t="s">
        <v>101</v>
      </c>
      <c r="U210" s="9" t="s">
        <v>101</v>
      </c>
      <c r="V210" s="15"/>
      <c r="W210" s="15"/>
      <c r="X210" s="15"/>
      <c r="Y210" s="15"/>
      <c r="Z210" s="15"/>
      <c r="AA210" s="15"/>
      <c r="AB210" s="15"/>
      <c r="AC210" s="15"/>
      <c r="AD210" s="15"/>
      <c r="AE210" s="19"/>
      <c r="AF210" s="19"/>
      <c r="AG210" s="7" t="s">
        <v>174</v>
      </c>
      <c r="AH210" s="13" t="str">
        <f>iferror(VLOOKUP($B210,covariates!$B$3:$Z$1126,6,FALSE),"")</f>
        <v/>
      </c>
      <c r="AI210" s="13" t="str">
        <f>iferror(VLOOKUP($B210,covariates!$B$3:$Z$1126,7,FALSE),"")</f>
        <v/>
      </c>
      <c r="AJ210" s="9" t="str">
        <f>iferror(VLOOKUP($B210,covariates!$B$3:$Z$1126,14,FALSE),"")</f>
        <v/>
      </c>
      <c r="AK210" s="9" t="str">
        <f>iferror(VLOOKUP($B210,covariates!$B$3:$Z$1126,16,FALSE),"")</f>
        <v/>
      </c>
      <c r="AL210" s="9" t="str">
        <f>iferror(VLOOKUP($B210,covariates!$B$3:$Z$1126,18,FALSE),"")</f>
        <v/>
      </c>
      <c r="AM210" s="9" t="str">
        <f>iferror(VLOOKUP($B210,covariates!$B$3:$Z$1126,19,FALSE),"")</f>
        <v/>
      </c>
    </row>
    <row r="211">
      <c r="A211" s="15">
        <v>72.0</v>
      </c>
      <c r="B211" s="17" t="str">
        <f t="shared" si="114"/>
        <v>Oneill et al., 1996</v>
      </c>
      <c r="C211" s="7" t="s">
        <v>84</v>
      </c>
      <c r="D211" s="7" t="s">
        <v>317</v>
      </c>
      <c r="E211" s="9" t="s">
        <v>222</v>
      </c>
      <c r="F211" s="15"/>
      <c r="G211" s="21"/>
      <c r="H211" s="13"/>
      <c r="I211" s="15"/>
      <c r="J211" s="15"/>
      <c r="K211" s="15"/>
      <c r="L211" s="15"/>
      <c r="M211" s="15"/>
      <c r="N211" s="15"/>
      <c r="O211" s="9" t="s">
        <v>101</v>
      </c>
      <c r="P211" s="9" t="s">
        <v>101</v>
      </c>
      <c r="Q211" s="9" t="s">
        <v>101</v>
      </c>
      <c r="R211" s="9" t="s">
        <v>101</v>
      </c>
      <c r="S211" s="9" t="s">
        <v>101</v>
      </c>
      <c r="T211" s="9" t="s">
        <v>101</v>
      </c>
      <c r="U211" s="9" t="s">
        <v>101</v>
      </c>
      <c r="V211" s="15"/>
      <c r="W211" s="15"/>
      <c r="X211" s="15"/>
      <c r="Y211" s="15"/>
      <c r="Z211" s="15"/>
      <c r="AA211" s="15"/>
      <c r="AB211" s="15"/>
      <c r="AC211" s="15"/>
      <c r="AD211" s="15"/>
      <c r="AE211" s="19"/>
      <c r="AF211" s="19"/>
      <c r="AG211" s="7" t="s">
        <v>174</v>
      </c>
      <c r="AH211" s="13" t="str">
        <f>iferror(VLOOKUP($B211,covariates!$B$3:$Z$1126,6,FALSE),"")</f>
        <v/>
      </c>
      <c r="AI211" s="13" t="str">
        <f>iferror(VLOOKUP($B211,covariates!$B$3:$Z$1126,7,FALSE),"")</f>
        <v/>
      </c>
      <c r="AJ211" s="9" t="str">
        <f>iferror(VLOOKUP($B211,covariates!$B$3:$Z$1126,14,FALSE),"")</f>
        <v/>
      </c>
      <c r="AK211" s="9" t="str">
        <f>iferror(VLOOKUP($B211,covariates!$B$3:$Z$1126,16,FALSE),"")</f>
        <v/>
      </c>
      <c r="AL211" s="9" t="str">
        <f>iferror(VLOOKUP($B211,covariates!$B$3:$Z$1126,18,FALSE),"")</f>
        <v/>
      </c>
      <c r="AM211" s="9" t="str">
        <f>iferror(VLOOKUP($B211,covariates!$B$3:$Z$1126,19,FALSE),"")</f>
        <v/>
      </c>
    </row>
    <row r="212">
      <c r="A212" s="15">
        <v>76.0</v>
      </c>
      <c r="B212" s="17" t="str">
        <f t="shared" ref="B212:B213" si="115">HYPERLINK("https://github.com/d-wkim/phd/blob/main/data/pdf/pinczewski_2007.pdf","Pinczewski et al., 2007")</f>
        <v>Pinczewski et al., 2007</v>
      </c>
      <c r="C212" s="9" t="s">
        <v>42</v>
      </c>
      <c r="D212" s="7" t="s">
        <v>317</v>
      </c>
      <c r="E212" s="9" t="s">
        <v>222</v>
      </c>
      <c r="F212" s="9">
        <v>54.0</v>
      </c>
      <c r="G212" s="13">
        <v>1.2</v>
      </c>
      <c r="H212" s="13">
        <v>1.687</v>
      </c>
      <c r="I212" s="15"/>
      <c r="J212" s="15"/>
      <c r="K212" s="15"/>
      <c r="L212" s="15"/>
      <c r="M212" s="15"/>
      <c r="N212" s="21">
        <v>0.12</v>
      </c>
      <c r="O212" s="9" t="s">
        <v>101</v>
      </c>
      <c r="P212" s="9" t="s">
        <v>101</v>
      </c>
      <c r="Q212" s="9" t="s">
        <v>101</v>
      </c>
      <c r="R212" s="9" t="s">
        <v>101</v>
      </c>
      <c r="S212" s="9" t="s">
        <v>101</v>
      </c>
      <c r="T212" s="9" t="s">
        <v>101</v>
      </c>
      <c r="U212" s="9" t="s">
        <v>101</v>
      </c>
      <c r="V212" s="15">
        <v>0.23</v>
      </c>
      <c r="W212" s="15"/>
      <c r="X212" s="15"/>
      <c r="Y212" s="15">
        <v>0.053</v>
      </c>
      <c r="Z212" s="15"/>
      <c r="AA212" s="15"/>
      <c r="AB212" s="15"/>
      <c r="AC212" s="15"/>
      <c r="AD212" s="15"/>
      <c r="AE212" s="19"/>
      <c r="AF212" s="19"/>
      <c r="AG212" s="7" t="s">
        <v>109</v>
      </c>
      <c r="AH212" s="13">
        <f>iferror(VLOOKUP($B212,covariates!$B$3:$Z$1126,6,FALSE),"")</f>
        <v>25</v>
      </c>
      <c r="AI212" s="13">
        <f>iferror(VLOOKUP($B212,covariates!$B$3:$Z$1126,7,FALSE),"")</f>
        <v>5.485</v>
      </c>
      <c r="AJ212" s="9">
        <f>iferror(VLOOKUP($B212,covariates!$B$3:$Z$1126,14,FALSE),"")</f>
        <v>48</v>
      </c>
      <c r="AK212" s="9">
        <f>iferror(VLOOKUP($B212,covariates!$B$3:$Z$1126,16,FALSE),"")</f>
        <v>42</v>
      </c>
      <c r="AL212" s="9">
        <f>iferror(VLOOKUP($B212,covariates!$B$3:$Z$1126,18,FALSE),"")</f>
        <v>120</v>
      </c>
      <c r="AM212" s="9">
        <f>iferror(VLOOKUP($B212,covariates!$B$3:$Z$1126,19,FALSE),"")</f>
        <v>10</v>
      </c>
    </row>
    <row r="213">
      <c r="A213" s="15">
        <v>76.0</v>
      </c>
      <c r="B213" s="17" t="str">
        <f t="shared" si="115"/>
        <v>Pinczewski et al., 2007</v>
      </c>
      <c r="C213" s="9" t="s">
        <v>84</v>
      </c>
      <c r="D213" s="7" t="s">
        <v>317</v>
      </c>
      <c r="E213" s="9" t="s">
        <v>222</v>
      </c>
      <c r="F213" s="9">
        <v>58.0</v>
      </c>
      <c r="G213" s="13">
        <v>1.6</v>
      </c>
      <c r="H213" s="13">
        <v>1.554</v>
      </c>
      <c r="I213" s="15"/>
      <c r="J213" s="15"/>
      <c r="K213" s="15"/>
      <c r="L213" s="15"/>
      <c r="M213" s="15"/>
      <c r="N213" s="21">
        <v>0.16</v>
      </c>
      <c r="O213" s="9" t="s">
        <v>101</v>
      </c>
      <c r="P213" s="9" t="s">
        <v>101</v>
      </c>
      <c r="Q213" s="9" t="s">
        <v>101</v>
      </c>
      <c r="R213" s="9" t="s">
        <v>101</v>
      </c>
      <c r="S213" s="9" t="s">
        <v>101</v>
      </c>
      <c r="T213" s="9" t="s">
        <v>101</v>
      </c>
      <c r="U213" s="9" t="s">
        <v>101</v>
      </c>
      <c r="V213" s="15">
        <v>0.204</v>
      </c>
      <c r="W213" s="15"/>
      <c r="X213" s="15"/>
      <c r="Y213" s="15">
        <v>0.042</v>
      </c>
      <c r="Z213" s="15"/>
      <c r="AA213" s="15"/>
      <c r="AB213" s="15"/>
      <c r="AC213" s="15"/>
      <c r="AD213" s="15"/>
      <c r="AE213" s="19"/>
      <c r="AF213" s="19"/>
      <c r="AG213" s="7" t="s">
        <v>109</v>
      </c>
      <c r="AH213" s="13">
        <f>iferror(VLOOKUP($B213,covariates!$B$3:$Z$1126,6,FALSE),"")</f>
        <v>25</v>
      </c>
      <c r="AI213" s="13">
        <f>iferror(VLOOKUP($B213,covariates!$B$3:$Z$1126,7,FALSE),"")</f>
        <v>5.485</v>
      </c>
      <c r="AJ213" s="9">
        <f>iferror(VLOOKUP($B213,covariates!$B$3:$Z$1126,14,FALSE),"")</f>
        <v>48</v>
      </c>
      <c r="AK213" s="9">
        <f>iferror(VLOOKUP($B213,covariates!$B$3:$Z$1126,16,FALSE),"")</f>
        <v>42</v>
      </c>
      <c r="AL213" s="9">
        <f>iferror(VLOOKUP($B213,covariates!$B$3:$Z$1126,18,FALSE),"")</f>
        <v>120</v>
      </c>
      <c r="AM213" s="9">
        <f>iferror(VLOOKUP($B213,covariates!$B$3:$Z$1126,19,FALSE),"")</f>
        <v>10</v>
      </c>
    </row>
    <row r="214">
      <c r="A214" s="15">
        <v>77.0</v>
      </c>
      <c r="B214" s="17" t="str">
        <f t="shared" ref="B214:B215" si="116">HYPERLINK("https://github.com/d-wkim/phd/blob/main/data/pdf/popovic_2024.pdf","Popovic et al., 2024")</f>
        <v>Popovic et al., 2024</v>
      </c>
      <c r="C214" s="9" t="s">
        <v>42</v>
      </c>
      <c r="D214" s="7" t="s">
        <v>317</v>
      </c>
      <c r="E214" s="9" t="s">
        <v>222</v>
      </c>
      <c r="F214" s="9">
        <v>38.0</v>
      </c>
      <c r="G214" s="13">
        <v>1.3</v>
      </c>
      <c r="H214" s="13">
        <v>2.2</v>
      </c>
      <c r="I214" s="9">
        <v>-3.0</v>
      </c>
      <c r="J214" s="15"/>
      <c r="K214" s="15"/>
      <c r="L214" s="15"/>
      <c r="M214" s="9">
        <v>5.0</v>
      </c>
      <c r="N214" s="21">
        <v>0.13</v>
      </c>
      <c r="O214" s="9" t="s">
        <v>101</v>
      </c>
      <c r="P214" s="9" t="s">
        <v>101</v>
      </c>
      <c r="Q214" s="9" t="s">
        <v>101</v>
      </c>
      <c r="R214" s="9" t="s">
        <v>101</v>
      </c>
      <c r="S214" s="9" t="s">
        <v>101</v>
      </c>
      <c r="T214" s="9" t="s">
        <v>101</v>
      </c>
      <c r="U214" s="9" t="s">
        <v>101</v>
      </c>
      <c r="V214" s="15">
        <v>0.357</v>
      </c>
      <c r="W214" s="15"/>
      <c r="X214" s="15"/>
      <c r="Y214" s="15">
        <v>0.127</v>
      </c>
      <c r="Z214" s="15"/>
      <c r="AA214" s="15"/>
      <c r="AB214" s="15"/>
      <c r="AC214" s="15"/>
      <c r="AD214" s="15"/>
      <c r="AE214" s="19"/>
      <c r="AF214" s="19"/>
      <c r="AG214" s="7" t="s">
        <v>109</v>
      </c>
      <c r="AH214" s="13">
        <f>iferror(VLOOKUP($B214,covariates!$B$3:$Z$1126,6,FALSE),"")</f>
        <v>27</v>
      </c>
      <c r="AI214" s="13">
        <f>iferror(VLOOKUP($B214,covariates!$B$3:$Z$1126,7,FALSE),"")</f>
        <v>6.82</v>
      </c>
      <c r="AJ214" s="9" t="str">
        <f>iferror(VLOOKUP($B214,covariates!$B$3:$Z$1126,14,FALSE),"")</f>
        <v/>
      </c>
      <c r="AK214" s="9" t="str">
        <f>iferror(VLOOKUP($B214,covariates!$B$3:$Z$1126,16,FALSE),"")</f>
        <v/>
      </c>
      <c r="AL214" s="9">
        <f>iferror(VLOOKUP($B214,covariates!$B$3:$Z$1126,18,FALSE),"")</f>
        <v>228</v>
      </c>
      <c r="AM214" s="9">
        <f>iferror(VLOOKUP($B214,covariates!$B$3:$Z$1126,19,FALSE),"")</f>
        <v>19</v>
      </c>
    </row>
    <row r="215">
      <c r="A215" s="15">
        <v>77.0</v>
      </c>
      <c r="B215" s="17" t="str">
        <f t="shared" si="116"/>
        <v>Popovic et al., 2024</v>
      </c>
      <c r="C215" s="9" t="s">
        <v>84</v>
      </c>
      <c r="D215" s="7" t="s">
        <v>317</v>
      </c>
      <c r="E215" s="9" t="s">
        <v>222</v>
      </c>
      <c r="F215" s="9">
        <v>33.0</v>
      </c>
      <c r="G215" s="13">
        <v>1.5</v>
      </c>
      <c r="H215" s="13">
        <v>3.3</v>
      </c>
      <c r="I215" s="9">
        <v>-3.0</v>
      </c>
      <c r="J215" s="15"/>
      <c r="K215" s="15"/>
      <c r="L215" s="15"/>
      <c r="M215" s="9">
        <v>12.0</v>
      </c>
      <c r="N215" s="21">
        <v>0.15</v>
      </c>
      <c r="O215" s="9" t="s">
        <v>101</v>
      </c>
      <c r="P215" s="9" t="s">
        <v>101</v>
      </c>
      <c r="Q215" s="9" t="s">
        <v>101</v>
      </c>
      <c r="R215" s="9" t="s">
        <v>101</v>
      </c>
      <c r="S215" s="9" t="s">
        <v>101</v>
      </c>
      <c r="T215" s="9" t="s">
        <v>101</v>
      </c>
      <c r="U215" s="9" t="s">
        <v>101</v>
      </c>
      <c r="V215" s="15">
        <v>0.574</v>
      </c>
      <c r="W215" s="15"/>
      <c r="X215" s="15"/>
      <c r="Y215" s="15">
        <v>0.329</v>
      </c>
      <c r="Z215" s="15"/>
      <c r="AA215" s="15"/>
      <c r="AB215" s="15"/>
      <c r="AC215" s="15"/>
      <c r="AD215" s="15"/>
      <c r="AE215" s="19"/>
      <c r="AF215" s="19"/>
      <c r="AG215" s="7" t="s">
        <v>109</v>
      </c>
      <c r="AH215" s="13">
        <f>iferror(VLOOKUP($B215,covariates!$B$3:$Z$1126,6,FALSE),"")</f>
        <v>27</v>
      </c>
      <c r="AI215" s="13">
        <f>iferror(VLOOKUP($B215,covariates!$B$3:$Z$1126,7,FALSE),"")</f>
        <v>6.82</v>
      </c>
      <c r="AJ215" s="9" t="str">
        <f>iferror(VLOOKUP($B215,covariates!$B$3:$Z$1126,14,FALSE),"")</f>
        <v/>
      </c>
      <c r="AK215" s="9" t="str">
        <f>iferror(VLOOKUP($B215,covariates!$B$3:$Z$1126,16,FALSE),"")</f>
        <v/>
      </c>
      <c r="AL215" s="9">
        <f>iferror(VLOOKUP($B215,covariates!$B$3:$Z$1126,18,FALSE),"")</f>
        <v>228</v>
      </c>
      <c r="AM215" s="9">
        <f>iferror(VLOOKUP($B215,covariates!$B$3:$Z$1126,19,FALSE),"")</f>
        <v>19</v>
      </c>
    </row>
    <row r="216">
      <c r="A216" s="15">
        <v>85.0</v>
      </c>
      <c r="B216" s="17" t="str">
        <f t="shared" ref="B216:B217" si="117">HYPERLINK("https://github.com/d-wkim/phd/blob/main/data/pdf/smith_2020.pdf","Smith et al., 2020")</f>
        <v>Smith et al., 2020</v>
      </c>
      <c r="C216" s="9" t="s">
        <v>42</v>
      </c>
      <c r="D216" s="7" t="s">
        <v>317</v>
      </c>
      <c r="E216" s="9" t="s">
        <v>222</v>
      </c>
      <c r="F216" s="9">
        <v>32.0</v>
      </c>
      <c r="G216" s="13">
        <v>0.0</v>
      </c>
      <c r="H216" s="13">
        <v>0.8</v>
      </c>
      <c r="I216" s="15"/>
      <c r="J216" s="15"/>
      <c r="K216" s="15"/>
      <c r="L216" s="15"/>
      <c r="M216" s="15"/>
      <c r="N216" s="21">
        <v>0.0</v>
      </c>
      <c r="O216" s="9" t="s">
        <v>101</v>
      </c>
      <c r="P216" s="9" t="s">
        <v>101</v>
      </c>
      <c r="Q216" s="9" t="s">
        <v>101</v>
      </c>
      <c r="R216" s="9" t="s">
        <v>101</v>
      </c>
      <c r="S216" s="9" t="s">
        <v>101</v>
      </c>
      <c r="T216" s="9" t="s">
        <v>101</v>
      </c>
      <c r="U216" s="9" t="s">
        <v>101</v>
      </c>
      <c r="V216" s="15">
        <v>0.141</v>
      </c>
      <c r="W216" s="15"/>
      <c r="X216" s="15"/>
      <c r="Y216" s="15">
        <v>0.02</v>
      </c>
      <c r="Z216" s="15"/>
      <c r="AA216" s="15"/>
      <c r="AB216" s="15"/>
      <c r="AC216" s="15"/>
      <c r="AD216" s="15"/>
      <c r="AE216" s="19"/>
      <c r="AF216" s="19"/>
      <c r="AG216" s="7" t="s">
        <v>109</v>
      </c>
      <c r="AH216" s="13">
        <f>iferror(VLOOKUP($B216,covariates!$B$3:$Z$1126,6,FALSE),"")</f>
        <v>17.7</v>
      </c>
      <c r="AI216" s="13">
        <f>iferror(VLOOKUP($B216,covariates!$B$3:$Z$1126,7,FALSE),"")</f>
        <v>2.4</v>
      </c>
      <c r="AJ216" s="9">
        <f>iferror(VLOOKUP($B216,covariates!$B$3:$Z$1126,14,FALSE),"")</f>
        <v>15</v>
      </c>
      <c r="AK216" s="9">
        <f>iferror(VLOOKUP($B216,covariates!$B$3:$Z$1126,16,FALSE),"")</f>
        <v>17</v>
      </c>
      <c r="AL216" s="9">
        <f>iferror(VLOOKUP($B216,covariates!$B$3:$Z$1126,18,FALSE),"")</f>
        <v>24</v>
      </c>
      <c r="AM216" s="9">
        <f>iferror(VLOOKUP($B216,covariates!$B$3:$Z$1126,19,FALSE),"")</f>
        <v>2</v>
      </c>
    </row>
    <row r="217">
      <c r="A217" s="15">
        <v>85.0</v>
      </c>
      <c r="B217" s="17" t="str">
        <f t="shared" si="117"/>
        <v>Smith et al., 2020</v>
      </c>
      <c r="C217" s="9" t="s">
        <v>84</v>
      </c>
      <c r="D217" s="7" t="s">
        <v>317</v>
      </c>
      <c r="E217" s="9" t="s">
        <v>222</v>
      </c>
      <c r="F217" s="9">
        <v>32.0</v>
      </c>
      <c r="G217" s="13">
        <v>0.3</v>
      </c>
      <c r="H217" s="13">
        <v>0.7</v>
      </c>
      <c r="I217" s="15"/>
      <c r="J217" s="15"/>
      <c r="K217" s="15"/>
      <c r="L217" s="15"/>
      <c r="M217" s="15"/>
      <c r="N217" s="21">
        <v>0.03</v>
      </c>
      <c r="O217" s="9" t="s">
        <v>101</v>
      </c>
      <c r="P217" s="9" t="s">
        <v>101</v>
      </c>
      <c r="Q217" s="9" t="s">
        <v>101</v>
      </c>
      <c r="R217" s="9" t="s">
        <v>101</v>
      </c>
      <c r="S217" s="9" t="s">
        <v>101</v>
      </c>
      <c r="T217" s="9" t="s">
        <v>101</v>
      </c>
      <c r="U217" s="9" t="s">
        <v>101</v>
      </c>
      <c r="V217" s="15">
        <v>0.124</v>
      </c>
      <c r="W217" s="15"/>
      <c r="X217" s="15"/>
      <c r="Y217" s="15">
        <v>0.015</v>
      </c>
      <c r="Z217" s="15"/>
      <c r="AA217" s="15"/>
      <c r="AB217" s="15"/>
      <c r="AC217" s="15"/>
      <c r="AD217" s="15"/>
      <c r="AE217" s="19"/>
      <c r="AF217" s="19"/>
      <c r="AG217" s="7" t="s">
        <v>109</v>
      </c>
      <c r="AH217" s="13">
        <f>iferror(VLOOKUP($B217,covariates!$B$3:$Z$1126,6,FALSE),"")</f>
        <v>17.7</v>
      </c>
      <c r="AI217" s="13">
        <f>iferror(VLOOKUP($B217,covariates!$B$3:$Z$1126,7,FALSE),"")</f>
        <v>2.4</v>
      </c>
      <c r="AJ217" s="9">
        <f>iferror(VLOOKUP($B217,covariates!$B$3:$Z$1126,14,FALSE),"")</f>
        <v>15</v>
      </c>
      <c r="AK217" s="9">
        <f>iferror(VLOOKUP($B217,covariates!$B$3:$Z$1126,16,FALSE),"")</f>
        <v>17</v>
      </c>
      <c r="AL217" s="9">
        <f>iferror(VLOOKUP($B217,covariates!$B$3:$Z$1126,18,FALSE),"")</f>
        <v>24</v>
      </c>
      <c r="AM217" s="9">
        <f>iferror(VLOOKUP($B217,covariates!$B$3:$Z$1126,19,FALSE),"")</f>
        <v>2</v>
      </c>
    </row>
    <row r="218">
      <c r="A218" s="15">
        <v>87.0</v>
      </c>
      <c r="B218" s="17" t="str">
        <f t="shared" ref="B218:B219" si="118">HYPERLINK("https://github.com/d-wkim/phd/blob/main/data/pdf/sonnery-cottet_2026.pdf","Sonnery-cottet et al., 2026")</f>
        <v>Sonnery-cottet et al., 2026</v>
      </c>
      <c r="C218" s="9" t="s">
        <v>42</v>
      </c>
      <c r="D218" s="7" t="s">
        <v>317</v>
      </c>
      <c r="E218" s="9" t="s">
        <v>222</v>
      </c>
      <c r="F218" s="9">
        <v>296.0</v>
      </c>
      <c r="G218" s="13">
        <v>1.2</v>
      </c>
      <c r="H218" s="13">
        <v>1.4</v>
      </c>
      <c r="I218" s="15"/>
      <c r="J218" s="15"/>
      <c r="K218" s="15"/>
      <c r="L218" s="15"/>
      <c r="M218" s="15"/>
      <c r="N218" s="21">
        <v>0.12</v>
      </c>
      <c r="O218" s="9" t="s">
        <v>101</v>
      </c>
      <c r="P218" s="9" t="s">
        <v>101</v>
      </c>
      <c r="Q218" s="9" t="s">
        <v>101</v>
      </c>
      <c r="R218" s="9" t="s">
        <v>101</v>
      </c>
      <c r="S218" s="9" t="s">
        <v>101</v>
      </c>
      <c r="T218" s="9" t="s">
        <v>101</v>
      </c>
      <c r="U218" s="9" t="s">
        <v>101</v>
      </c>
      <c r="V218" s="15">
        <v>0.081</v>
      </c>
      <c r="W218" s="15"/>
      <c r="X218" s="15"/>
      <c r="Y218" s="15">
        <v>0.007</v>
      </c>
      <c r="Z218" s="15"/>
      <c r="AA218" s="15"/>
      <c r="AB218" s="15"/>
      <c r="AC218" s="15"/>
      <c r="AD218" s="15"/>
      <c r="AE218" s="19"/>
      <c r="AF218" s="19"/>
      <c r="AG218" s="7" t="s">
        <v>109</v>
      </c>
      <c r="AH218" s="13">
        <f>iferror(VLOOKUP($B218,covariates!$B$3:$Z$1126,6,FALSE),"")</f>
        <v>24.8</v>
      </c>
      <c r="AI218" s="13">
        <f>iferror(VLOOKUP($B218,covariates!$B$3:$Z$1126,7,FALSE),"")</f>
        <v>4.4</v>
      </c>
      <c r="AJ218" s="9">
        <f>iferror(VLOOKUP($B218,covariates!$B$3:$Z$1126,14,FALSE),"")</f>
        <v>214</v>
      </c>
      <c r="AK218" s="9">
        <f>iferror(VLOOKUP($B218,covariates!$B$3:$Z$1126,16,FALSE),"")</f>
        <v>69</v>
      </c>
      <c r="AL218" s="9">
        <f>iferror(VLOOKUP($B218,covariates!$B$3:$Z$1126,18,FALSE),"")</f>
        <v>61.5</v>
      </c>
      <c r="AM218" s="9">
        <f>iferror(VLOOKUP($B218,covariates!$B$3:$Z$1126,19,FALSE),"")</f>
        <v>5.1</v>
      </c>
    </row>
    <row r="219">
      <c r="A219" s="15">
        <v>87.0</v>
      </c>
      <c r="B219" s="17" t="str">
        <f t="shared" si="118"/>
        <v>Sonnery-cottet et al., 2026</v>
      </c>
      <c r="C219" s="9" t="s">
        <v>84</v>
      </c>
      <c r="D219" s="7" t="s">
        <v>317</v>
      </c>
      <c r="E219" s="9" t="s">
        <v>222</v>
      </c>
      <c r="F219" s="9">
        <v>297.0</v>
      </c>
      <c r="G219" s="13">
        <v>0.9</v>
      </c>
      <c r="H219" s="13">
        <v>1.0</v>
      </c>
      <c r="I219" s="15"/>
      <c r="J219" s="15"/>
      <c r="K219" s="15"/>
      <c r="L219" s="15"/>
      <c r="M219" s="15"/>
      <c r="N219" s="21">
        <v>0.09</v>
      </c>
      <c r="O219" s="9" t="s">
        <v>101</v>
      </c>
      <c r="P219" s="9" t="s">
        <v>101</v>
      </c>
      <c r="Q219" s="9" t="s">
        <v>101</v>
      </c>
      <c r="R219" s="9" t="s">
        <v>101</v>
      </c>
      <c r="S219" s="9" t="s">
        <v>101</v>
      </c>
      <c r="T219" s="9" t="s">
        <v>101</v>
      </c>
      <c r="U219" s="9" t="s">
        <v>101</v>
      </c>
      <c r="V219" s="15">
        <v>0.058</v>
      </c>
      <c r="W219" s="15"/>
      <c r="X219" s="15"/>
      <c r="Y219" s="15">
        <v>0.003</v>
      </c>
      <c r="Z219" s="15"/>
      <c r="AA219" s="15"/>
      <c r="AB219" s="15"/>
      <c r="AC219" s="15"/>
      <c r="AD219" s="15"/>
      <c r="AE219" s="19"/>
      <c r="AF219" s="19"/>
      <c r="AG219" s="7" t="s">
        <v>109</v>
      </c>
      <c r="AH219" s="13">
        <f>iferror(VLOOKUP($B219,covariates!$B$3:$Z$1126,6,FALSE),"")</f>
        <v>24.8</v>
      </c>
      <c r="AI219" s="13">
        <f>iferror(VLOOKUP($B219,covariates!$B$3:$Z$1126,7,FALSE),"")</f>
        <v>4.4</v>
      </c>
      <c r="AJ219" s="9">
        <f>iferror(VLOOKUP($B219,covariates!$B$3:$Z$1126,14,FALSE),"")</f>
        <v>214</v>
      </c>
      <c r="AK219" s="9">
        <f>iferror(VLOOKUP($B219,covariates!$B$3:$Z$1126,16,FALSE),"")</f>
        <v>69</v>
      </c>
      <c r="AL219" s="9">
        <f>iferror(VLOOKUP($B219,covariates!$B$3:$Z$1126,18,FALSE),"")</f>
        <v>61.5</v>
      </c>
      <c r="AM219" s="9">
        <f>iferror(VLOOKUP($B219,covariates!$B$3:$Z$1126,19,FALSE),"")</f>
        <v>5.1</v>
      </c>
    </row>
    <row r="220">
      <c r="A220" s="15">
        <v>89.0</v>
      </c>
      <c r="B220" s="17" t="str">
        <f t="shared" ref="B220:B221" si="119">HYPERLINK("https://github.com/d-wkim/phd/blob/main/data/pdf/tang_2023.pdf","Tang et al., 2023")</f>
        <v>Tang et al., 2023</v>
      </c>
      <c r="C220" s="7" t="s">
        <v>84</v>
      </c>
      <c r="D220" s="7" t="s">
        <v>317</v>
      </c>
      <c r="E220" s="9" t="s">
        <v>222</v>
      </c>
      <c r="F220" s="9"/>
      <c r="G220" s="13"/>
      <c r="H220" s="13"/>
      <c r="I220" s="15"/>
      <c r="J220" s="15"/>
      <c r="K220" s="9"/>
      <c r="L220" s="15"/>
      <c r="M220" s="15"/>
      <c r="N220" s="15"/>
      <c r="O220" s="9" t="s">
        <v>101</v>
      </c>
      <c r="P220" s="9" t="s">
        <v>101</v>
      </c>
      <c r="Q220" s="9" t="s">
        <v>101</v>
      </c>
      <c r="R220" s="9" t="s">
        <v>101</v>
      </c>
      <c r="S220" s="9" t="s">
        <v>101</v>
      </c>
      <c r="T220" s="9" t="s">
        <v>101</v>
      </c>
      <c r="U220" s="9" t="s">
        <v>101</v>
      </c>
      <c r="V220" s="15"/>
      <c r="W220" s="15"/>
      <c r="X220" s="15"/>
      <c r="Y220" s="15"/>
      <c r="Z220" s="15"/>
      <c r="AA220" s="15"/>
      <c r="AB220" s="15"/>
      <c r="AC220" s="15"/>
      <c r="AD220" s="15"/>
      <c r="AE220" s="19"/>
      <c r="AF220" s="19"/>
      <c r="AG220" s="7" t="s">
        <v>174</v>
      </c>
      <c r="AH220" s="13">
        <f>iferror(VLOOKUP($B220,covariates!$B$3:$Z$1126,6,FALSE),"")</f>
        <v>28.31</v>
      </c>
      <c r="AI220" s="13">
        <f>iferror(VLOOKUP($B220,covariates!$B$3:$Z$1126,7,FALSE),"")</f>
        <v>8.55</v>
      </c>
      <c r="AJ220" s="9">
        <f>iferror(VLOOKUP($B220,covariates!$B$3:$Z$1126,14,FALSE),"")</f>
        <v>13</v>
      </c>
      <c r="AK220" s="9">
        <f>iferror(VLOOKUP($B220,covariates!$B$3:$Z$1126,16,FALSE),"")</f>
        <v>3</v>
      </c>
      <c r="AL220" s="9">
        <f>iferror(VLOOKUP($B220,covariates!$B$3:$Z$1126,18,FALSE),"")</f>
        <v>24</v>
      </c>
      <c r="AM220" s="9">
        <f>iferror(VLOOKUP($B220,covariates!$B$3:$Z$1126,19,FALSE),"")</f>
        <v>2</v>
      </c>
    </row>
    <row r="221">
      <c r="A221" s="15">
        <v>89.0</v>
      </c>
      <c r="B221" s="17" t="str">
        <f t="shared" si="119"/>
        <v>Tang et al., 2023</v>
      </c>
      <c r="C221" s="7" t="s">
        <v>200</v>
      </c>
      <c r="D221" s="7" t="s">
        <v>317</v>
      </c>
      <c r="E221" s="9" t="s">
        <v>222</v>
      </c>
      <c r="F221" s="9"/>
      <c r="G221" s="13"/>
      <c r="H221" s="13"/>
      <c r="I221" s="15"/>
      <c r="J221" s="15"/>
      <c r="K221" s="15"/>
      <c r="L221" s="15"/>
      <c r="M221" s="15"/>
      <c r="N221" s="15"/>
      <c r="O221" s="9" t="s">
        <v>101</v>
      </c>
      <c r="P221" s="9" t="s">
        <v>101</v>
      </c>
      <c r="Q221" s="9" t="s">
        <v>101</v>
      </c>
      <c r="R221" s="9" t="s">
        <v>101</v>
      </c>
      <c r="S221" s="9" t="s">
        <v>101</v>
      </c>
      <c r="T221" s="9" t="s">
        <v>101</v>
      </c>
      <c r="U221" s="9" t="s">
        <v>101</v>
      </c>
      <c r="V221" s="19"/>
      <c r="W221" s="19"/>
      <c r="X221" s="19"/>
      <c r="Y221" s="19"/>
      <c r="Z221" s="19"/>
      <c r="AA221" s="19"/>
      <c r="AB221" s="19"/>
      <c r="AC221" s="19"/>
      <c r="AD221" s="19"/>
      <c r="AE221" s="19"/>
      <c r="AF221" s="19"/>
      <c r="AG221" s="7" t="s">
        <v>174</v>
      </c>
      <c r="AH221" s="13">
        <f>iferror(VLOOKUP($B221,covariates!$B$3:$Z$1126,6,FALSE),"")</f>
        <v>28.31</v>
      </c>
      <c r="AI221" s="13">
        <f>iferror(VLOOKUP($B221,covariates!$B$3:$Z$1126,7,FALSE),"")</f>
        <v>8.55</v>
      </c>
      <c r="AJ221" s="9">
        <f>iferror(VLOOKUP($B221,covariates!$B$3:$Z$1126,14,FALSE),"")</f>
        <v>13</v>
      </c>
      <c r="AK221" s="9">
        <f>iferror(VLOOKUP($B221,covariates!$B$3:$Z$1126,16,FALSE),"")</f>
        <v>3</v>
      </c>
      <c r="AL221" s="9">
        <f>iferror(VLOOKUP($B221,covariates!$B$3:$Z$1126,18,FALSE),"")</f>
        <v>24</v>
      </c>
      <c r="AM221" s="9">
        <f>iferror(VLOOKUP($B221,covariates!$B$3:$Z$1126,19,FALSE),"")</f>
        <v>2</v>
      </c>
    </row>
    <row r="222">
      <c r="A222" s="15">
        <v>90.0</v>
      </c>
      <c r="B222" s="17" t="str">
        <f t="shared" ref="B222:B223" si="120">HYPERLINK("https://github.com/d-wkim/phd/blob/main/data/pdf/taylor_2009.pdf","Taylor et al., 2009")</f>
        <v>Taylor et al., 2009</v>
      </c>
      <c r="C222" s="7" t="s">
        <v>42</v>
      </c>
      <c r="D222" s="7" t="s">
        <v>317</v>
      </c>
      <c r="E222" s="9" t="s">
        <v>222</v>
      </c>
      <c r="F222" s="15"/>
      <c r="G222" s="21"/>
      <c r="H222" s="13" t="str">
        <f t="shared" ref="H222:H223" si="121">iferror(RANGE_SD(F222,I222,M222),"")</f>
        <v/>
      </c>
      <c r="I222" s="15"/>
      <c r="J222" s="15"/>
      <c r="K222" s="15"/>
      <c r="L222" s="15"/>
      <c r="M222" s="15"/>
      <c r="N222" s="15"/>
      <c r="O222" s="9" t="s">
        <v>101</v>
      </c>
      <c r="P222" s="9" t="s">
        <v>101</v>
      </c>
      <c r="Q222" s="9" t="s">
        <v>101</v>
      </c>
      <c r="R222" s="9" t="s">
        <v>101</v>
      </c>
      <c r="S222" s="9" t="s">
        <v>101</v>
      </c>
      <c r="T222" s="9" t="s">
        <v>101</v>
      </c>
      <c r="U222" s="9" t="s">
        <v>101</v>
      </c>
      <c r="V222" s="15"/>
      <c r="W222" s="15"/>
      <c r="X222" s="15"/>
      <c r="Y222" s="15"/>
      <c r="Z222" s="15"/>
      <c r="AA222" s="15"/>
      <c r="AB222" s="15"/>
      <c r="AC222" s="15"/>
      <c r="AD222" s="15"/>
      <c r="AE222" s="19"/>
      <c r="AF222" s="19"/>
      <c r="AG222" s="7" t="s">
        <v>174</v>
      </c>
      <c r="AH222" s="13">
        <f>iferror(VLOOKUP($B222,covariates!$B$3:$Z$1126,6,FALSE),"")</f>
        <v>21.7</v>
      </c>
      <c r="AI222" s="13">
        <f>iferror(VLOOKUP($B222,covariates!$B$3:$Z$1126,7,FALSE),"")</f>
        <v>4.597</v>
      </c>
      <c r="AJ222" s="9">
        <f>iferror(VLOOKUP($B222,covariates!$B$3:$Z$1126,14,FALSE),"")</f>
        <v>25</v>
      </c>
      <c r="AK222" s="9">
        <f>iferror(VLOOKUP($B222,covariates!$B$3:$Z$1126,16,FALSE),"")</f>
        <v>7</v>
      </c>
      <c r="AL222" s="9">
        <f>iferror(VLOOKUP($B222,covariates!$B$3:$Z$1126,18,FALSE),"")</f>
        <v>32.4</v>
      </c>
      <c r="AM222" s="9">
        <f>iferror(VLOOKUP($B222,covariates!$B$3:$Z$1126,19,FALSE),"")</f>
        <v>2.7</v>
      </c>
    </row>
    <row r="223">
      <c r="A223" s="15">
        <v>90.0</v>
      </c>
      <c r="B223" s="17" t="str">
        <f t="shared" si="120"/>
        <v>Taylor et al., 2009</v>
      </c>
      <c r="C223" s="7" t="s">
        <v>84</v>
      </c>
      <c r="D223" s="7" t="s">
        <v>317</v>
      </c>
      <c r="E223" s="9" t="s">
        <v>222</v>
      </c>
      <c r="F223" s="15"/>
      <c r="G223" s="21"/>
      <c r="H223" s="13" t="str">
        <f t="shared" si="121"/>
        <v/>
      </c>
      <c r="I223" s="15"/>
      <c r="J223" s="15"/>
      <c r="K223" s="15"/>
      <c r="L223" s="15"/>
      <c r="M223" s="15"/>
      <c r="N223" s="15"/>
      <c r="O223" s="9" t="s">
        <v>101</v>
      </c>
      <c r="P223" s="9" t="s">
        <v>101</v>
      </c>
      <c r="Q223" s="9" t="s">
        <v>101</v>
      </c>
      <c r="R223" s="9" t="s">
        <v>101</v>
      </c>
      <c r="S223" s="9" t="s">
        <v>101</v>
      </c>
      <c r="T223" s="9" t="s">
        <v>101</v>
      </c>
      <c r="U223" s="9" t="s">
        <v>101</v>
      </c>
      <c r="V223" s="15"/>
      <c r="W223" s="15"/>
      <c r="X223" s="15"/>
      <c r="Y223" s="15"/>
      <c r="Z223" s="15"/>
      <c r="AA223" s="15"/>
      <c r="AB223" s="15"/>
      <c r="AC223" s="15"/>
      <c r="AD223" s="15"/>
      <c r="AE223" s="19"/>
      <c r="AF223" s="19"/>
      <c r="AG223" s="7" t="s">
        <v>174</v>
      </c>
      <c r="AH223" s="13">
        <f>iferror(VLOOKUP($B223,covariates!$B$3:$Z$1126,6,FALSE),"")</f>
        <v>21.7</v>
      </c>
      <c r="AI223" s="13">
        <f>iferror(VLOOKUP($B223,covariates!$B$3:$Z$1126,7,FALSE),"")</f>
        <v>4.597</v>
      </c>
      <c r="AJ223" s="9">
        <f>iferror(VLOOKUP($B223,covariates!$B$3:$Z$1126,14,FALSE),"")</f>
        <v>25</v>
      </c>
      <c r="AK223" s="9">
        <f>iferror(VLOOKUP($B223,covariates!$B$3:$Z$1126,16,FALSE),"")</f>
        <v>7</v>
      </c>
      <c r="AL223" s="9">
        <f>iferror(VLOOKUP($B223,covariates!$B$3:$Z$1126,18,FALSE),"")</f>
        <v>32.4</v>
      </c>
      <c r="AM223" s="9">
        <f>iferror(VLOOKUP($B223,covariates!$B$3:$Z$1126,19,FALSE),"")</f>
        <v>2.7</v>
      </c>
    </row>
    <row r="224">
      <c r="A224" s="15">
        <v>93.0</v>
      </c>
      <c r="B224" s="17" t="str">
        <f t="shared" ref="B224:B225" si="122">HYPERLINK("https://github.com/d-wkim/phd/blob/main/data/pdf/vilchez-cavazos_2020.pdf","Vilchez-cavazos et al., 2020")</f>
        <v>Vilchez-cavazos et al., 2020</v>
      </c>
      <c r="C224" s="7" t="s">
        <v>42</v>
      </c>
      <c r="D224" s="7" t="s">
        <v>317</v>
      </c>
      <c r="E224" s="9" t="s">
        <v>222</v>
      </c>
      <c r="F224" s="9"/>
      <c r="G224" s="15"/>
      <c r="H224" s="13"/>
      <c r="I224" s="15"/>
      <c r="J224" s="15"/>
      <c r="K224" s="21"/>
      <c r="L224" s="15"/>
      <c r="M224" s="15"/>
      <c r="N224" s="15"/>
      <c r="O224" s="9" t="s">
        <v>101</v>
      </c>
      <c r="P224" s="9" t="s">
        <v>101</v>
      </c>
      <c r="Q224" s="9" t="s">
        <v>101</v>
      </c>
      <c r="R224" s="9" t="s">
        <v>101</v>
      </c>
      <c r="S224" s="9" t="s">
        <v>101</v>
      </c>
      <c r="T224" s="9" t="s">
        <v>101</v>
      </c>
      <c r="U224" s="9" t="s">
        <v>101</v>
      </c>
      <c r="V224" s="15"/>
      <c r="W224" s="15"/>
      <c r="X224" s="15"/>
      <c r="Y224" s="15"/>
      <c r="Z224" s="15"/>
      <c r="AA224" s="15"/>
      <c r="AB224" s="15"/>
      <c r="AC224" s="15"/>
      <c r="AD224" s="15"/>
      <c r="AE224" s="19"/>
      <c r="AF224" s="19"/>
      <c r="AG224" s="7" t="s">
        <v>174</v>
      </c>
      <c r="AH224" s="13">
        <f>iferror(VLOOKUP($B224,covariates!$B$3:$Z$1126,6,FALSE),"")</f>
        <v>24.4557</v>
      </c>
      <c r="AI224" s="13">
        <f>iferror(VLOOKUP($B224,covariates!$B$3:$Z$1126,7,FALSE),"")</f>
        <v>8.2374</v>
      </c>
      <c r="AJ224" s="9">
        <f>iferror(VLOOKUP($B224,covariates!$B$3:$Z$1126,14,FALSE),"")</f>
        <v>12</v>
      </c>
      <c r="AK224" s="9">
        <f>iferror(VLOOKUP($B224,covariates!$B$3:$Z$1126,16,FALSE),"")</f>
        <v>3</v>
      </c>
      <c r="AL224" s="9">
        <f>iferror(VLOOKUP($B224,covariates!$B$3:$Z$1126,18,FALSE),"")</f>
        <v>12</v>
      </c>
      <c r="AM224" s="9">
        <f>iferror(VLOOKUP($B224,covariates!$B$3:$Z$1126,19,FALSE),"")</f>
        <v>1</v>
      </c>
    </row>
    <row r="225">
      <c r="A225" s="15">
        <v>93.0</v>
      </c>
      <c r="B225" s="17" t="str">
        <f t="shared" si="122"/>
        <v>Vilchez-cavazos et al., 2020</v>
      </c>
      <c r="C225" s="7" t="s">
        <v>200</v>
      </c>
      <c r="D225" s="7" t="s">
        <v>317</v>
      </c>
      <c r="E225" s="9" t="s">
        <v>222</v>
      </c>
      <c r="F225" s="9"/>
      <c r="G225" s="21"/>
      <c r="H225" s="13"/>
      <c r="I225" s="15"/>
      <c r="J225" s="15"/>
      <c r="K225" s="15"/>
      <c r="L225" s="15"/>
      <c r="M225" s="15"/>
      <c r="N225" s="15"/>
      <c r="O225" s="9" t="s">
        <v>101</v>
      </c>
      <c r="P225" s="9" t="s">
        <v>101</v>
      </c>
      <c r="Q225" s="9" t="s">
        <v>101</v>
      </c>
      <c r="R225" s="9" t="s">
        <v>101</v>
      </c>
      <c r="S225" s="9" t="s">
        <v>101</v>
      </c>
      <c r="T225" s="9" t="s">
        <v>101</v>
      </c>
      <c r="U225" s="9" t="s">
        <v>101</v>
      </c>
      <c r="V225" s="19"/>
      <c r="W225" s="19"/>
      <c r="X225" s="19"/>
      <c r="Y225" s="19"/>
      <c r="Z225" s="19"/>
      <c r="AA225" s="19"/>
      <c r="AB225" s="19"/>
      <c r="AC225" s="19"/>
      <c r="AD225" s="19"/>
      <c r="AE225" s="19"/>
      <c r="AF225" s="19"/>
      <c r="AG225" s="7" t="s">
        <v>174</v>
      </c>
      <c r="AH225" s="13">
        <f>iferror(VLOOKUP($B225,covariates!$B$3:$Z$1126,6,FALSE),"")</f>
        <v>24.4557</v>
      </c>
      <c r="AI225" s="13">
        <f>iferror(VLOOKUP($B225,covariates!$B$3:$Z$1126,7,FALSE),"")</f>
        <v>8.2374</v>
      </c>
      <c r="AJ225" s="9">
        <f>iferror(VLOOKUP($B225,covariates!$B$3:$Z$1126,14,FALSE),"")</f>
        <v>12</v>
      </c>
      <c r="AK225" s="9">
        <f>iferror(VLOOKUP($B225,covariates!$B$3:$Z$1126,16,FALSE),"")</f>
        <v>3</v>
      </c>
      <c r="AL225" s="9">
        <f>iferror(VLOOKUP($B225,covariates!$B$3:$Z$1126,18,FALSE),"")</f>
        <v>12</v>
      </c>
      <c r="AM225" s="9">
        <f>iferror(VLOOKUP($B225,covariates!$B$3:$Z$1126,19,FALSE),"")</f>
        <v>1</v>
      </c>
    </row>
    <row r="226">
      <c r="A226" s="15">
        <v>95.0</v>
      </c>
      <c r="B226" s="17" t="str">
        <f t="shared" ref="B226:B227" si="123">HYPERLINK("https://github.com/d-wkim/phd/blob/main/data/pdf/webster_2001.pdf","Webster et al., 2001")</f>
        <v>Webster et al., 2001</v>
      </c>
      <c r="C226" s="9" t="s">
        <v>42</v>
      </c>
      <c r="D226" s="7" t="s">
        <v>317</v>
      </c>
      <c r="E226" s="9" t="s">
        <v>222</v>
      </c>
      <c r="F226" s="9">
        <v>23.0</v>
      </c>
      <c r="G226" s="13">
        <v>1.1</v>
      </c>
      <c r="H226" s="13">
        <f t="shared" ref="H226:H227" si="124">iferror(RANGE_SD(F226,I226,M226),"")</f>
        <v>0.648</v>
      </c>
      <c r="I226" s="9">
        <v>1.0</v>
      </c>
      <c r="J226" s="15"/>
      <c r="K226" s="15"/>
      <c r="L226" s="15"/>
      <c r="M226" s="9">
        <v>3.5</v>
      </c>
      <c r="N226" s="21">
        <v>0.11000000000000001</v>
      </c>
      <c r="O226" s="9" t="s">
        <v>101</v>
      </c>
      <c r="P226" s="9" t="s">
        <v>101</v>
      </c>
      <c r="Q226" s="9" t="s">
        <v>101</v>
      </c>
      <c r="R226" s="9" t="s">
        <v>101</v>
      </c>
      <c r="S226" s="9" t="s">
        <v>101</v>
      </c>
      <c r="T226" s="9" t="s">
        <v>101</v>
      </c>
      <c r="U226" s="9" t="s">
        <v>101</v>
      </c>
      <c r="V226" s="15">
        <v>0.135</v>
      </c>
      <c r="W226" s="15"/>
      <c r="X226" s="15"/>
      <c r="Y226" s="15">
        <v>0.018</v>
      </c>
      <c r="Z226" s="15"/>
      <c r="AA226" s="15"/>
      <c r="AB226" s="15"/>
      <c r="AC226" s="15"/>
      <c r="AD226" s="15"/>
      <c r="AE226" s="19"/>
      <c r="AF226" s="19"/>
      <c r="AG226" s="7" t="s">
        <v>109</v>
      </c>
      <c r="AH226" s="13">
        <f>iferror(VLOOKUP($B226,covariates!$B$3:$Z$1126,6,FALSE),"")</f>
        <v>26</v>
      </c>
      <c r="AI226" s="13">
        <f>iferror(VLOOKUP($B226,covariates!$B$3:$Z$1126,7,FALSE),"")</f>
        <v>6.3</v>
      </c>
      <c r="AJ226" s="9">
        <f>iferror(VLOOKUP($B226,covariates!$B$3:$Z$1126,14,FALSE),"")</f>
        <v>20</v>
      </c>
      <c r="AK226" s="9">
        <f>iferror(VLOOKUP($B226,covariates!$B$3:$Z$1126,16,FALSE),"")</f>
        <v>8</v>
      </c>
      <c r="AL226" s="9">
        <f>iferror(VLOOKUP($B226,covariates!$B$3:$Z$1126,18,FALSE),"")</f>
        <v>24</v>
      </c>
      <c r="AM226" s="9">
        <f>iferror(VLOOKUP($B226,covariates!$B$3:$Z$1126,19,FALSE),"")</f>
        <v>2</v>
      </c>
    </row>
    <row r="227">
      <c r="A227" s="15">
        <v>95.0</v>
      </c>
      <c r="B227" s="17" t="str">
        <f t="shared" si="123"/>
        <v>Webster et al., 2001</v>
      </c>
      <c r="C227" s="9" t="s">
        <v>84</v>
      </c>
      <c r="D227" s="7" t="s">
        <v>317</v>
      </c>
      <c r="E227" s="9" t="s">
        <v>222</v>
      </c>
      <c r="F227" s="9">
        <v>31.0</v>
      </c>
      <c r="G227" s="13">
        <v>1.7</v>
      </c>
      <c r="H227" s="13">
        <f t="shared" si="124"/>
        <v>0.974</v>
      </c>
      <c r="I227" s="9">
        <v>0.0</v>
      </c>
      <c r="J227" s="15"/>
      <c r="K227" s="15"/>
      <c r="L227" s="15"/>
      <c r="M227" s="9">
        <v>4.0</v>
      </c>
      <c r="N227" s="21">
        <v>0.16999999999999998</v>
      </c>
      <c r="O227" s="9" t="s">
        <v>101</v>
      </c>
      <c r="P227" s="9" t="s">
        <v>101</v>
      </c>
      <c r="Q227" s="9" t="s">
        <v>101</v>
      </c>
      <c r="R227" s="9" t="s">
        <v>101</v>
      </c>
      <c r="S227" s="9" t="s">
        <v>101</v>
      </c>
      <c r="T227" s="9" t="s">
        <v>101</v>
      </c>
      <c r="U227" s="9" t="s">
        <v>101</v>
      </c>
      <c r="V227" s="15">
        <v>0.175</v>
      </c>
      <c r="W227" s="15"/>
      <c r="X227" s="15"/>
      <c r="Y227" s="15">
        <v>0.031</v>
      </c>
      <c r="Z227" s="15"/>
      <c r="AA227" s="15"/>
      <c r="AB227" s="15"/>
      <c r="AC227" s="15"/>
      <c r="AD227" s="15"/>
      <c r="AE227" s="19"/>
      <c r="AF227" s="19"/>
      <c r="AG227" s="7" t="s">
        <v>109</v>
      </c>
      <c r="AH227" s="13">
        <f>iferror(VLOOKUP($B227,covariates!$B$3:$Z$1126,6,FALSE),"")</f>
        <v>26</v>
      </c>
      <c r="AI227" s="13">
        <f>iferror(VLOOKUP($B227,covariates!$B$3:$Z$1126,7,FALSE),"")</f>
        <v>6.3</v>
      </c>
      <c r="AJ227" s="9">
        <f>iferror(VLOOKUP($B227,covariates!$B$3:$Z$1126,14,FALSE),"")</f>
        <v>20</v>
      </c>
      <c r="AK227" s="9">
        <f>iferror(VLOOKUP($B227,covariates!$B$3:$Z$1126,16,FALSE),"")</f>
        <v>8</v>
      </c>
      <c r="AL227" s="9">
        <f>iferror(VLOOKUP($B227,covariates!$B$3:$Z$1126,18,FALSE),"")</f>
        <v>24</v>
      </c>
      <c r="AM227" s="9">
        <f>iferror(VLOOKUP($B227,covariates!$B$3:$Z$1126,19,FALSE),"")</f>
        <v>2</v>
      </c>
    </row>
    <row r="228">
      <c r="A228" s="15">
        <v>96.0</v>
      </c>
      <c r="B228" s="17" t="str">
        <f t="shared" ref="B228:B229" si="125">HYPERLINK("https://github.com/d-wkim/phd/blob/main/data/pdf/wipfler_2011.pdf","Wipfler et al., 2011")</f>
        <v>Wipfler et al., 2011</v>
      </c>
      <c r="C228" s="9" t="s">
        <v>42</v>
      </c>
      <c r="D228" s="7" t="s">
        <v>317</v>
      </c>
      <c r="E228" s="9" t="s">
        <v>222</v>
      </c>
      <c r="F228" s="9">
        <v>29.0</v>
      </c>
      <c r="G228" s="13">
        <v>0.9</v>
      </c>
      <c r="H228" s="13">
        <v>0.271</v>
      </c>
      <c r="I228" s="15"/>
      <c r="J228" s="15"/>
      <c r="K228" s="15"/>
      <c r="L228" s="15"/>
      <c r="M228" s="15"/>
      <c r="N228" s="21">
        <v>0.09</v>
      </c>
      <c r="O228" s="9" t="s">
        <v>101</v>
      </c>
      <c r="P228" s="9" t="s">
        <v>101</v>
      </c>
      <c r="Q228" s="9" t="s">
        <v>101</v>
      </c>
      <c r="R228" s="9" t="s">
        <v>101</v>
      </c>
      <c r="S228" s="9" t="s">
        <v>101</v>
      </c>
      <c r="T228" s="9" t="s">
        <v>101</v>
      </c>
      <c r="U228" s="9" t="s">
        <v>101</v>
      </c>
      <c r="V228" s="15">
        <v>0.05</v>
      </c>
      <c r="W228" s="15"/>
      <c r="X228" s="15"/>
      <c r="Y228" s="15">
        <v>0.003</v>
      </c>
      <c r="Z228" s="15"/>
      <c r="AA228" s="15"/>
      <c r="AB228" s="15"/>
      <c r="AC228" s="15"/>
      <c r="AD228" s="15"/>
      <c r="AE228" s="19"/>
      <c r="AF228" s="19"/>
      <c r="AG228" s="7" t="s">
        <v>109</v>
      </c>
      <c r="AH228" s="13">
        <f>iferror(VLOOKUP($B228,covariates!$B$3:$Z$1126,6,FALSE),"")</f>
        <v>29.87</v>
      </c>
      <c r="AI228" s="13">
        <f>iferror(VLOOKUP($B228,covariates!$B$3:$Z$1126,7,FALSE),"")</f>
        <v>7.304</v>
      </c>
      <c r="AJ228" s="9">
        <f>iferror(VLOOKUP($B228,covariates!$B$3:$Z$1126,14,FALSE),"")</f>
        <v>19</v>
      </c>
      <c r="AK228" s="9">
        <f>iferror(VLOOKUP($B228,covariates!$B$3:$Z$1126,16,FALSE),"")</f>
        <v>12</v>
      </c>
      <c r="AL228" s="9">
        <f>iferror(VLOOKUP($B228,covariates!$B$3:$Z$1126,18,FALSE),"")</f>
        <v>108</v>
      </c>
      <c r="AM228" s="9">
        <f>iferror(VLOOKUP($B228,covariates!$B$3:$Z$1126,19,FALSE),"")</f>
        <v>9</v>
      </c>
    </row>
    <row r="229">
      <c r="A229" s="15">
        <v>96.0</v>
      </c>
      <c r="B229" s="17" t="str">
        <f t="shared" si="125"/>
        <v>Wipfler et al., 2011</v>
      </c>
      <c r="C229" s="9" t="s">
        <v>84</v>
      </c>
      <c r="D229" s="7" t="s">
        <v>317</v>
      </c>
      <c r="E229" s="9" t="s">
        <v>222</v>
      </c>
      <c r="F229" s="9">
        <v>25.0</v>
      </c>
      <c r="G229" s="13">
        <v>0.64</v>
      </c>
      <c r="H229" s="13">
        <v>0.356</v>
      </c>
      <c r="I229" s="15"/>
      <c r="J229" s="15"/>
      <c r="K229" s="15"/>
      <c r="L229" s="15"/>
      <c r="M229" s="15"/>
      <c r="N229" s="21">
        <v>0.064</v>
      </c>
      <c r="O229" s="9" t="s">
        <v>101</v>
      </c>
      <c r="P229" s="9" t="s">
        <v>101</v>
      </c>
      <c r="Q229" s="9" t="s">
        <v>101</v>
      </c>
      <c r="R229" s="9" t="s">
        <v>101</v>
      </c>
      <c r="S229" s="9" t="s">
        <v>101</v>
      </c>
      <c r="T229" s="9" t="s">
        <v>101</v>
      </c>
      <c r="U229" s="9" t="s">
        <v>101</v>
      </c>
      <c r="V229" s="15">
        <v>0.071</v>
      </c>
      <c r="W229" s="15"/>
      <c r="X229" s="15"/>
      <c r="Y229" s="15">
        <v>0.005</v>
      </c>
      <c r="Z229" s="15"/>
      <c r="AA229" s="15"/>
      <c r="AB229" s="15"/>
      <c r="AC229" s="15"/>
      <c r="AD229" s="15"/>
      <c r="AE229" s="19"/>
      <c r="AF229" s="19"/>
      <c r="AG229" s="7" t="s">
        <v>109</v>
      </c>
      <c r="AH229" s="13">
        <f>iferror(VLOOKUP($B229,covariates!$B$3:$Z$1126,6,FALSE),"")</f>
        <v>29.87</v>
      </c>
      <c r="AI229" s="13">
        <f>iferror(VLOOKUP($B229,covariates!$B$3:$Z$1126,7,FALSE),"")</f>
        <v>7.304</v>
      </c>
      <c r="AJ229" s="9">
        <f>iferror(VLOOKUP($B229,covariates!$B$3:$Z$1126,14,FALSE),"")</f>
        <v>19</v>
      </c>
      <c r="AK229" s="9">
        <f>iferror(VLOOKUP($B229,covariates!$B$3:$Z$1126,16,FALSE),"")</f>
        <v>12</v>
      </c>
      <c r="AL229" s="9">
        <f>iferror(VLOOKUP($B229,covariates!$B$3:$Z$1126,18,FALSE),"")</f>
        <v>108</v>
      </c>
      <c r="AM229" s="9">
        <f>iferror(VLOOKUP($B229,covariates!$B$3:$Z$1126,19,FALSE),"")</f>
        <v>9</v>
      </c>
    </row>
    <row r="230">
      <c r="A230" s="15">
        <v>97.0</v>
      </c>
      <c r="B230" s="17" t="str">
        <f t="shared" ref="B230:B231" si="126">HYPERLINK("https://github.com/d-wkim/phd/blob/main/data/pdf/yadav_2025.pdf","Yadav et al., 2025")</f>
        <v>Yadav et al., 2025</v>
      </c>
      <c r="C230" s="9" t="s">
        <v>84</v>
      </c>
      <c r="D230" s="7" t="s">
        <v>317</v>
      </c>
      <c r="E230" s="9" t="s">
        <v>222</v>
      </c>
      <c r="F230" s="9">
        <v>36.0</v>
      </c>
      <c r="G230" s="13">
        <v>3.77</v>
      </c>
      <c r="H230" s="13">
        <v>2.01</v>
      </c>
      <c r="I230" s="15"/>
      <c r="J230" s="15"/>
      <c r="K230" s="15"/>
      <c r="L230" s="15"/>
      <c r="M230" s="15"/>
      <c r="N230" s="21">
        <v>0.377</v>
      </c>
      <c r="O230" s="9" t="s">
        <v>101</v>
      </c>
      <c r="P230" s="9" t="s">
        <v>101</v>
      </c>
      <c r="Q230" s="9" t="s">
        <v>101</v>
      </c>
      <c r="R230" s="9" t="s">
        <v>101</v>
      </c>
      <c r="S230" s="9" t="s">
        <v>101</v>
      </c>
      <c r="T230" s="9" t="s">
        <v>101</v>
      </c>
      <c r="U230" s="9" t="s">
        <v>101</v>
      </c>
      <c r="V230" s="15">
        <v>0.335</v>
      </c>
      <c r="W230" s="15"/>
      <c r="X230" s="15"/>
      <c r="Y230" s="15">
        <v>0.112</v>
      </c>
      <c r="Z230" s="15"/>
      <c r="AA230" s="15"/>
      <c r="AB230" s="15"/>
      <c r="AC230" s="15"/>
      <c r="AD230" s="15"/>
      <c r="AE230" s="19"/>
      <c r="AF230" s="19"/>
      <c r="AG230" s="7" t="s">
        <v>109</v>
      </c>
      <c r="AH230" s="13">
        <f>iferror(VLOOKUP($B230,covariates!$B$3:$Z$1126,6,FALSE),"")</f>
        <v>30.06</v>
      </c>
      <c r="AI230" s="13">
        <f>iferror(VLOOKUP($B230,covariates!$B$3:$Z$1126,7,FALSE),"")</f>
        <v>8.87</v>
      </c>
      <c r="AJ230" s="9">
        <f>iferror(VLOOKUP($B230,covariates!$B$3:$Z$1126,14,FALSE),"")</f>
        <v>32</v>
      </c>
      <c r="AK230" s="9">
        <f>iferror(VLOOKUP($B230,covariates!$B$3:$Z$1126,16,FALSE),"")</f>
        <v>4</v>
      </c>
      <c r="AL230" s="9">
        <f>iferror(VLOOKUP($B230,covariates!$B$3:$Z$1126,18,FALSE),"")</f>
        <v>12</v>
      </c>
      <c r="AM230" s="9">
        <f>iferror(VLOOKUP($B230,covariates!$B$3:$Z$1126,19,FALSE),"")</f>
        <v>1</v>
      </c>
    </row>
    <row r="231">
      <c r="A231" s="15">
        <v>97.0</v>
      </c>
      <c r="B231" s="17" t="str">
        <f t="shared" si="126"/>
        <v>Yadav et al., 2025</v>
      </c>
      <c r="C231" s="9" t="s">
        <v>200</v>
      </c>
      <c r="D231" s="7" t="s">
        <v>317</v>
      </c>
      <c r="E231" s="9" t="s">
        <v>222</v>
      </c>
      <c r="F231" s="9">
        <v>33.0</v>
      </c>
      <c r="G231" s="13">
        <v>2.73</v>
      </c>
      <c r="H231" s="13">
        <v>1.64</v>
      </c>
      <c r="I231" s="15"/>
      <c r="J231" s="15"/>
      <c r="K231" s="15"/>
      <c r="L231" s="15"/>
      <c r="M231" s="15"/>
      <c r="N231" s="21">
        <v>0.273</v>
      </c>
      <c r="O231" s="9" t="s">
        <v>101</v>
      </c>
      <c r="P231" s="9" t="s">
        <v>101</v>
      </c>
      <c r="Q231" s="9" t="s">
        <v>101</v>
      </c>
      <c r="R231" s="9" t="s">
        <v>101</v>
      </c>
      <c r="S231" s="9" t="s">
        <v>101</v>
      </c>
      <c r="T231" s="9" t="s">
        <v>101</v>
      </c>
      <c r="U231" s="9" t="s">
        <v>101</v>
      </c>
      <c r="V231" s="15">
        <v>0.285</v>
      </c>
      <c r="W231" s="15"/>
      <c r="X231" s="15"/>
      <c r="Y231" s="15">
        <v>0.081</v>
      </c>
      <c r="Z231" s="19"/>
      <c r="AA231" s="19"/>
      <c r="AB231" s="19"/>
      <c r="AC231" s="19"/>
      <c r="AD231" s="19"/>
      <c r="AE231" s="19"/>
      <c r="AF231" s="19"/>
      <c r="AG231" s="7" t="s">
        <v>109</v>
      </c>
      <c r="AH231" s="13">
        <f>iferror(VLOOKUP($B231,covariates!$B$3:$Z$1126,6,FALSE),"")</f>
        <v>30.06</v>
      </c>
      <c r="AI231" s="13">
        <f>iferror(VLOOKUP($B231,covariates!$B$3:$Z$1126,7,FALSE),"")</f>
        <v>8.87</v>
      </c>
      <c r="AJ231" s="9">
        <f>iferror(VLOOKUP($B231,covariates!$B$3:$Z$1126,14,FALSE),"")</f>
        <v>32</v>
      </c>
      <c r="AK231" s="9">
        <f>iferror(VLOOKUP($B231,covariates!$B$3:$Z$1126,16,FALSE),"")</f>
        <v>4</v>
      </c>
      <c r="AL231" s="9">
        <f>iferror(VLOOKUP($B231,covariates!$B$3:$Z$1126,18,FALSE),"")</f>
        <v>12</v>
      </c>
      <c r="AM231" s="9">
        <f>iferror(VLOOKUP($B231,covariates!$B$3:$Z$1126,19,FALSE),"")</f>
        <v>1</v>
      </c>
    </row>
    <row r="232">
      <c r="A232" s="15">
        <v>98.0</v>
      </c>
      <c r="B232" s="17" t="str">
        <f t="shared" ref="B232:B233" si="127">HYPERLINK("https://github.com/d-wkim/phd/blob/main/data/pdf/yoo_2017.pdf","Yoo et al., 2017")</f>
        <v>Yoo et al., 2017</v>
      </c>
      <c r="C232" s="9" t="s">
        <v>84</v>
      </c>
      <c r="D232" s="7" t="s">
        <v>317</v>
      </c>
      <c r="E232" s="9" t="s">
        <v>222</v>
      </c>
      <c r="F232" s="9">
        <v>68.0</v>
      </c>
      <c r="G232" s="13">
        <v>2.2</v>
      </c>
      <c r="H232" s="13">
        <f t="shared" ref="H232:H233" si="128">iferror(RANGE_SD(F232,I232,M232),"")</f>
        <v>0</v>
      </c>
      <c r="I232" s="15"/>
      <c r="J232" s="15"/>
      <c r="K232" s="15"/>
      <c r="L232" s="15"/>
      <c r="M232" s="15"/>
      <c r="N232" s="15"/>
      <c r="O232" s="9" t="s">
        <v>101</v>
      </c>
      <c r="P232" s="9" t="s">
        <v>101</v>
      </c>
      <c r="Q232" s="9" t="s">
        <v>101</v>
      </c>
      <c r="R232" s="9" t="s">
        <v>101</v>
      </c>
      <c r="S232" s="9" t="s">
        <v>101</v>
      </c>
      <c r="T232" s="9" t="s">
        <v>101</v>
      </c>
      <c r="U232" s="9" t="s">
        <v>101</v>
      </c>
      <c r="V232" s="15"/>
      <c r="W232" s="15"/>
      <c r="X232" s="15"/>
      <c r="Y232" s="15"/>
      <c r="Z232" s="15"/>
      <c r="AA232" s="15"/>
      <c r="AB232" s="15"/>
      <c r="AC232" s="15"/>
      <c r="AD232" s="15"/>
      <c r="AE232" s="19"/>
      <c r="AF232" s="19"/>
      <c r="AG232" s="7" t="s">
        <v>174</v>
      </c>
      <c r="AH232" s="13">
        <f>iferror(VLOOKUP($B232,covariates!$B$3:$Z$1126,6,FALSE),"")</f>
        <v>30</v>
      </c>
      <c r="AI232" s="13">
        <f>iferror(VLOOKUP($B232,covariates!$B$3:$Z$1126,7,FALSE),"")</f>
        <v>9.961</v>
      </c>
      <c r="AJ232" s="9">
        <f>iferror(VLOOKUP($B232,covariates!$B$3:$Z$1126,14,FALSE),"")</f>
        <v>61</v>
      </c>
      <c r="AK232" s="9">
        <f>iferror(VLOOKUP($B232,covariates!$B$3:$Z$1126,16,FALSE),"")</f>
        <v>7</v>
      </c>
      <c r="AL232" s="9">
        <f>iferror(VLOOKUP($B232,covariates!$B$3:$Z$1126,18,FALSE),"")</f>
        <v>32.8</v>
      </c>
      <c r="AM232" s="9">
        <f>iferror(VLOOKUP($B232,covariates!$B$3:$Z$1126,19,FALSE),"")</f>
        <v>2.7</v>
      </c>
    </row>
    <row r="233">
      <c r="A233" s="15">
        <v>98.0</v>
      </c>
      <c r="B233" s="17" t="str">
        <f t="shared" si="127"/>
        <v>Yoo et al., 2017</v>
      </c>
      <c r="C233" s="9" t="s">
        <v>205</v>
      </c>
      <c r="D233" s="7" t="s">
        <v>317</v>
      </c>
      <c r="E233" s="9" t="s">
        <v>222</v>
      </c>
      <c r="F233" s="9">
        <v>64.0</v>
      </c>
      <c r="G233" s="13">
        <v>2.5</v>
      </c>
      <c r="H233" s="13">
        <f t="shared" si="128"/>
        <v>0</v>
      </c>
      <c r="I233" s="15"/>
      <c r="J233" s="15"/>
      <c r="K233" s="15"/>
      <c r="L233" s="15"/>
      <c r="M233" s="15"/>
      <c r="N233" s="66"/>
      <c r="O233" s="9" t="s">
        <v>101</v>
      </c>
      <c r="P233" s="9" t="s">
        <v>101</v>
      </c>
      <c r="Q233" s="9" t="s">
        <v>101</v>
      </c>
      <c r="R233" s="9" t="s">
        <v>101</v>
      </c>
      <c r="S233" s="9" t="s">
        <v>101</v>
      </c>
      <c r="T233" s="9" t="s">
        <v>101</v>
      </c>
      <c r="U233" s="9" t="s">
        <v>101</v>
      </c>
      <c r="V233" s="107"/>
      <c r="W233" s="107"/>
      <c r="X233" s="19"/>
      <c r="Y233" s="19"/>
      <c r="Z233" s="19"/>
      <c r="AA233" s="19"/>
      <c r="AB233" s="19"/>
      <c r="AC233" s="19"/>
      <c r="AD233" s="19"/>
      <c r="AE233" s="19"/>
      <c r="AF233" s="19"/>
      <c r="AG233" s="7" t="s">
        <v>174</v>
      </c>
      <c r="AH233" s="13">
        <f>iferror(VLOOKUP($B233,covariates!$B$3:$Z$1126,6,FALSE),"")</f>
        <v>30</v>
      </c>
      <c r="AI233" s="13">
        <f>iferror(VLOOKUP($B233,covariates!$B$3:$Z$1126,7,FALSE),"")</f>
        <v>9.961</v>
      </c>
      <c r="AJ233" s="9">
        <f>iferror(VLOOKUP($B233,covariates!$B$3:$Z$1126,14,FALSE),"")</f>
        <v>61</v>
      </c>
      <c r="AK233" s="9">
        <f>iferror(VLOOKUP($B233,covariates!$B$3:$Z$1126,16,FALSE),"")</f>
        <v>7</v>
      </c>
      <c r="AL233" s="9">
        <f>iferror(VLOOKUP($B233,covariates!$B$3:$Z$1126,18,FALSE),"")</f>
        <v>32.8</v>
      </c>
      <c r="AM233" s="9">
        <f>iferror(VLOOKUP($B233,covariates!$B$3:$Z$1126,19,FALSE),"")</f>
        <v>2.7</v>
      </c>
    </row>
    <row r="234">
      <c r="A234" s="15">
        <v>100.0</v>
      </c>
      <c r="B234" s="17" t="str">
        <f t="shared" ref="B234:B235" si="129">HYPERLINK("https://github.com/d-wkim/phd/blob/main/data/pdf/zaffagnini_2011.pdf","Zaffagnini et al., 2011")</f>
        <v>Zaffagnini et al., 2011</v>
      </c>
      <c r="C234" s="9" t="s">
        <v>42</v>
      </c>
      <c r="D234" s="7" t="s">
        <v>317</v>
      </c>
      <c r="E234" s="9" t="s">
        <v>222</v>
      </c>
      <c r="F234" s="9">
        <v>40.0</v>
      </c>
      <c r="G234" s="13">
        <v>0.4</v>
      </c>
      <c r="H234" s="13">
        <v>0.6</v>
      </c>
      <c r="I234" s="15"/>
      <c r="J234" s="15"/>
      <c r="K234" s="15"/>
      <c r="L234" s="15"/>
      <c r="M234" s="15"/>
      <c r="N234" s="21">
        <v>0.04</v>
      </c>
      <c r="O234" s="9" t="s">
        <v>101</v>
      </c>
      <c r="P234" s="9" t="s">
        <v>101</v>
      </c>
      <c r="Q234" s="9" t="s">
        <v>101</v>
      </c>
      <c r="R234" s="9" t="s">
        <v>101</v>
      </c>
      <c r="S234" s="9" t="s">
        <v>101</v>
      </c>
      <c r="T234" s="9" t="s">
        <v>101</v>
      </c>
      <c r="U234" s="9" t="s">
        <v>101</v>
      </c>
      <c r="V234" s="15">
        <v>0.095</v>
      </c>
      <c r="W234" s="15"/>
      <c r="X234" s="15"/>
      <c r="Y234" s="15">
        <v>0.009</v>
      </c>
      <c r="Z234" s="15"/>
      <c r="AA234" s="15"/>
      <c r="AB234" s="15"/>
      <c r="AC234" s="15"/>
      <c r="AD234" s="15"/>
      <c r="AE234" s="19"/>
      <c r="AF234" s="19"/>
      <c r="AG234" s="7" t="s">
        <v>109</v>
      </c>
      <c r="AH234" s="13">
        <f>iferror(VLOOKUP($B234,covariates!$B$3:$Z$1126,6,FALSE),"")</f>
        <v>26</v>
      </c>
      <c r="AI234" s="13">
        <f>iferror(VLOOKUP($B234,covariates!$B$3:$Z$1126,7,FALSE),"")</f>
        <v>9.5</v>
      </c>
      <c r="AJ234" s="9">
        <f>iferror(VLOOKUP($B234,covariates!$B$3:$Z$1126,14,FALSE),"")</f>
        <v>20</v>
      </c>
      <c r="AK234" s="9">
        <f>iferror(VLOOKUP($B234,covariates!$B$3:$Z$1126,16,FALSE),"")</f>
        <v>19</v>
      </c>
      <c r="AL234" s="9">
        <f>iferror(VLOOKUP($B234,covariates!$B$3:$Z$1126,18,FALSE),"")</f>
        <v>103.2</v>
      </c>
      <c r="AM234" s="9">
        <f>iferror(VLOOKUP($B234,covariates!$B$3:$Z$1126,19,FALSE),"")</f>
        <v>8.6</v>
      </c>
    </row>
    <row r="235">
      <c r="A235" s="15">
        <v>100.0</v>
      </c>
      <c r="B235" s="17" t="str">
        <f t="shared" si="129"/>
        <v>Zaffagnini et al., 2011</v>
      </c>
      <c r="C235" s="9" t="s">
        <v>84</v>
      </c>
      <c r="D235" s="7" t="s">
        <v>317</v>
      </c>
      <c r="E235" s="9" t="s">
        <v>222</v>
      </c>
      <c r="F235" s="9">
        <v>39.0</v>
      </c>
      <c r="G235" s="13">
        <v>1.1</v>
      </c>
      <c r="H235" s="13">
        <v>1.9</v>
      </c>
      <c r="I235" s="15"/>
      <c r="J235" s="15"/>
      <c r="K235" s="15"/>
      <c r="L235" s="15"/>
      <c r="M235" s="15"/>
      <c r="N235" s="21">
        <v>0.11000000000000001</v>
      </c>
      <c r="O235" s="9" t="s">
        <v>101</v>
      </c>
      <c r="P235" s="9" t="s">
        <v>101</v>
      </c>
      <c r="Q235" s="9" t="s">
        <v>101</v>
      </c>
      <c r="R235" s="9" t="s">
        <v>101</v>
      </c>
      <c r="S235" s="9" t="s">
        <v>101</v>
      </c>
      <c r="T235" s="9" t="s">
        <v>101</v>
      </c>
      <c r="U235" s="9" t="s">
        <v>101</v>
      </c>
      <c r="V235" s="15">
        <v>0.304</v>
      </c>
      <c r="W235" s="15"/>
      <c r="X235" s="15"/>
      <c r="Y235" s="15">
        <v>0.092</v>
      </c>
      <c r="Z235" s="15"/>
      <c r="AA235" s="15"/>
      <c r="AB235" s="15"/>
      <c r="AC235" s="15"/>
      <c r="AD235" s="15"/>
      <c r="AE235" s="19"/>
      <c r="AF235" s="19"/>
      <c r="AG235" s="7" t="s">
        <v>109</v>
      </c>
      <c r="AH235" s="13">
        <f>iferror(VLOOKUP($B235,covariates!$B$3:$Z$1126,6,FALSE),"")</f>
        <v>26</v>
      </c>
      <c r="AI235" s="13">
        <f>iferror(VLOOKUP($B235,covariates!$B$3:$Z$1126,7,FALSE),"")</f>
        <v>9.5</v>
      </c>
      <c r="AJ235" s="9">
        <f>iferror(VLOOKUP($B235,covariates!$B$3:$Z$1126,14,FALSE),"")</f>
        <v>20</v>
      </c>
      <c r="AK235" s="9">
        <f>iferror(VLOOKUP($B235,covariates!$B$3:$Z$1126,16,FALSE),"")</f>
        <v>19</v>
      </c>
      <c r="AL235" s="9">
        <f>iferror(VLOOKUP($B235,covariates!$B$3:$Z$1126,18,FALSE),"")</f>
        <v>103.2</v>
      </c>
      <c r="AM235" s="9">
        <f>iferror(VLOOKUP($B235,covariates!$B$3:$Z$1126,19,FALSE),"")</f>
        <v>8.6</v>
      </c>
    </row>
    <row r="236">
      <c r="A236" s="15">
        <v>2.0</v>
      </c>
      <c r="B236" s="17" t="str">
        <f t="shared" ref="B236:B237" si="130">HYPERLINK("https://github.com/d-wkim/phd/blob/main/data/pdf/aglietti_2004.pdf","Aglietti et al., 2004")</f>
        <v>Aglietti et al., 2004</v>
      </c>
      <c r="C236" s="9" t="s">
        <v>42</v>
      </c>
      <c r="D236" s="19" t="s">
        <v>370</v>
      </c>
      <c r="E236" s="9" t="s">
        <v>64</v>
      </c>
      <c r="F236" s="9">
        <v>60.0</v>
      </c>
      <c r="G236" s="13">
        <v>0.0</v>
      </c>
      <c r="H236" s="21">
        <f t="shared" ref="H236:H291" si="131">iferror(P_SD(F236,G236),"")</f>
        <v>0.06454972244</v>
      </c>
      <c r="I236" s="15"/>
      <c r="J236" s="15"/>
      <c r="K236" s="15"/>
      <c r="L236" s="15"/>
      <c r="M236" s="15"/>
      <c r="N236" s="15"/>
      <c r="O236" s="9">
        <v>25.0</v>
      </c>
      <c r="P236" s="15">
        <v>4.973</v>
      </c>
      <c r="Q236" s="9">
        <v>16.0</v>
      </c>
      <c r="R236" s="15"/>
      <c r="S236" s="15"/>
      <c r="T236" s="15"/>
      <c r="U236" s="9">
        <v>39.0</v>
      </c>
      <c r="V236" s="15"/>
      <c r="W236" s="15"/>
      <c r="X236" s="15"/>
      <c r="Y236" s="15"/>
      <c r="Z236" s="15"/>
      <c r="AA236" s="15"/>
      <c r="AB236" s="15"/>
      <c r="AC236" s="15"/>
      <c r="AD236" s="15"/>
      <c r="AE236" s="19"/>
      <c r="AF236" s="19"/>
      <c r="AG236" s="7" t="s">
        <v>109</v>
      </c>
      <c r="AH236" s="13">
        <f>iferror(VLOOKUP($B236,covariates!$B$3:$Z$1126,6,FALSE),"")</f>
        <v>25</v>
      </c>
      <c r="AI236" s="13">
        <f>iferror(VLOOKUP($B236,covariates!$B$3:$Z$1126,7,FALSE),"")</f>
        <v>4.973</v>
      </c>
      <c r="AJ236" s="9">
        <f>iferror(VLOOKUP($B236,covariates!$B$3:$Z$1126,14,FALSE),"")</f>
        <v>46</v>
      </c>
      <c r="AK236" s="9">
        <f>iferror(VLOOKUP($B236,covariates!$B$3:$Z$1126,16,FALSE),"")</f>
        <v>14</v>
      </c>
      <c r="AL236" s="9">
        <f>iferror(VLOOKUP($B236,covariates!$B$3:$Z$1126,18,FALSE),"")</f>
        <v>24</v>
      </c>
      <c r="AM236" s="9">
        <f>iferror(VLOOKUP($B236,covariates!$B$3:$Z$1126,19,FALSE),"")</f>
        <v>2</v>
      </c>
    </row>
    <row r="237">
      <c r="A237" s="15">
        <v>2.0</v>
      </c>
      <c r="B237" s="17" t="str">
        <f t="shared" si="130"/>
        <v>Aglietti et al., 2004</v>
      </c>
      <c r="C237" s="9" t="s">
        <v>84</v>
      </c>
      <c r="D237" s="19" t="s">
        <v>370</v>
      </c>
      <c r="E237" s="9" t="s">
        <v>64</v>
      </c>
      <c r="F237" s="9">
        <v>60.0</v>
      </c>
      <c r="G237" s="13">
        <v>0.0</v>
      </c>
      <c r="H237" s="21">
        <f t="shared" si="131"/>
        <v>0.06454972244</v>
      </c>
      <c r="I237" s="15"/>
      <c r="J237" s="15"/>
      <c r="K237" s="15"/>
      <c r="L237" s="15"/>
      <c r="M237" s="15"/>
      <c r="N237" s="15"/>
      <c r="O237" s="9">
        <v>25.0</v>
      </c>
      <c r="P237" s="15">
        <v>5.189</v>
      </c>
      <c r="Q237" s="9">
        <v>15.0</v>
      </c>
      <c r="R237" s="15"/>
      <c r="S237" s="15"/>
      <c r="T237" s="15"/>
      <c r="U237" s="9">
        <v>39.0</v>
      </c>
      <c r="V237" s="15"/>
      <c r="W237" s="15"/>
      <c r="X237" s="15"/>
      <c r="Y237" s="15"/>
      <c r="Z237" s="15"/>
      <c r="AA237" s="15"/>
      <c r="AB237" s="15"/>
      <c r="AC237" s="15"/>
      <c r="AD237" s="15"/>
      <c r="AE237" s="19"/>
      <c r="AF237" s="19"/>
      <c r="AG237" s="7" t="s">
        <v>109</v>
      </c>
      <c r="AH237" s="13">
        <f>iferror(VLOOKUP($B237,covariates!$B$3:$Z$1126,6,FALSE),"")</f>
        <v>25</v>
      </c>
      <c r="AI237" s="13">
        <f>iferror(VLOOKUP($B237,covariates!$B$3:$Z$1126,7,FALSE),"")</f>
        <v>4.973</v>
      </c>
      <c r="AJ237" s="9">
        <f>iferror(VLOOKUP($B237,covariates!$B$3:$Z$1126,14,FALSE),"")</f>
        <v>46</v>
      </c>
      <c r="AK237" s="9">
        <f>iferror(VLOOKUP($B237,covariates!$B$3:$Z$1126,16,FALSE),"")</f>
        <v>14</v>
      </c>
      <c r="AL237" s="9">
        <f>iferror(VLOOKUP($B237,covariates!$B$3:$Z$1126,18,FALSE),"")</f>
        <v>24</v>
      </c>
      <c r="AM237" s="9">
        <f>iferror(VLOOKUP($B237,covariates!$B$3:$Z$1126,19,FALSE),"")</f>
        <v>2</v>
      </c>
    </row>
    <row r="238">
      <c r="A238" s="15">
        <v>9.0</v>
      </c>
      <c r="B238" s="17" t="str">
        <f t="shared" ref="B238:B239" si="132">HYPERLINK("https://github.com/d-wkim/phd/blob/main/data/pdf/barenius_2010.pdf","Barenius et al., 2010")</f>
        <v>Barenius et al., 2010</v>
      </c>
      <c r="C238" s="7" t="s">
        <v>42</v>
      </c>
      <c r="D238" s="19" t="s">
        <v>370</v>
      </c>
      <c r="E238" s="9" t="s">
        <v>64</v>
      </c>
      <c r="F238" s="9"/>
      <c r="G238" s="20"/>
      <c r="H238" s="21" t="str">
        <f t="shared" si="131"/>
        <v/>
      </c>
      <c r="I238" s="15"/>
      <c r="J238" s="15"/>
      <c r="K238" s="15"/>
      <c r="L238" s="15"/>
      <c r="M238" s="15"/>
      <c r="N238" s="15"/>
      <c r="O238" s="9" t="s">
        <v>101</v>
      </c>
      <c r="P238" s="9" t="s">
        <v>101</v>
      </c>
      <c r="Q238" s="9" t="s">
        <v>101</v>
      </c>
      <c r="R238" s="9" t="s">
        <v>101</v>
      </c>
      <c r="S238" s="9" t="s">
        <v>101</v>
      </c>
      <c r="T238" s="9" t="s">
        <v>101</v>
      </c>
      <c r="U238" s="9" t="s">
        <v>101</v>
      </c>
      <c r="V238" s="15"/>
      <c r="W238" s="15"/>
      <c r="X238" s="15"/>
      <c r="Y238" s="15"/>
      <c r="Z238" s="15"/>
      <c r="AA238" s="15"/>
      <c r="AB238" s="15"/>
      <c r="AC238" s="15"/>
      <c r="AD238" s="15"/>
      <c r="AE238" s="19"/>
      <c r="AF238" s="19"/>
      <c r="AG238" s="7" t="s">
        <v>174</v>
      </c>
      <c r="AH238" s="13">
        <f>iferror(VLOOKUP($B238,covariates!$B$3:$Z$1126,6,FALSE),"")</f>
        <v>33</v>
      </c>
      <c r="AI238" s="13">
        <f>iferror(VLOOKUP($B238,covariates!$B$3:$Z$1126,7,FALSE),"")</f>
        <v>6.3</v>
      </c>
      <c r="AJ238" s="9">
        <f>iferror(VLOOKUP($B238,covariates!$B$3:$Z$1126,14,FALSE),"")</f>
        <v>38</v>
      </c>
      <c r="AK238" s="9">
        <f>iferror(VLOOKUP($B238,covariates!$B$3:$Z$1126,16,FALSE),"")</f>
        <v>40</v>
      </c>
      <c r="AL238" s="9">
        <f>iferror(VLOOKUP($B238,covariates!$B$3:$Z$1126,18,FALSE),"")</f>
        <v>96</v>
      </c>
      <c r="AM238" s="9">
        <f>iferror(VLOOKUP($B238,covariates!$B$3:$Z$1126,19,FALSE),"")</f>
        <v>8</v>
      </c>
    </row>
    <row r="239">
      <c r="A239" s="15">
        <v>9.0</v>
      </c>
      <c r="B239" s="17" t="str">
        <f t="shared" si="132"/>
        <v>Barenius et al., 2010</v>
      </c>
      <c r="C239" s="7" t="s">
        <v>84</v>
      </c>
      <c r="D239" s="19" t="s">
        <v>370</v>
      </c>
      <c r="E239" s="9" t="s">
        <v>64</v>
      </c>
      <c r="F239" s="9"/>
      <c r="G239" s="20"/>
      <c r="H239" s="21" t="str">
        <f t="shared" si="131"/>
        <v/>
      </c>
      <c r="I239" s="15"/>
      <c r="J239" s="15"/>
      <c r="K239" s="15"/>
      <c r="L239" s="15"/>
      <c r="M239" s="15"/>
      <c r="N239" s="15"/>
      <c r="O239" s="9" t="s">
        <v>101</v>
      </c>
      <c r="P239" s="9" t="s">
        <v>101</v>
      </c>
      <c r="Q239" s="9" t="s">
        <v>101</v>
      </c>
      <c r="R239" s="9" t="s">
        <v>101</v>
      </c>
      <c r="S239" s="9" t="s">
        <v>101</v>
      </c>
      <c r="T239" s="9" t="s">
        <v>101</v>
      </c>
      <c r="U239" s="9" t="s">
        <v>101</v>
      </c>
      <c r="V239" s="15"/>
      <c r="W239" s="15"/>
      <c r="X239" s="15"/>
      <c r="Y239" s="15"/>
      <c r="Z239" s="15"/>
      <c r="AA239" s="15"/>
      <c r="AB239" s="15"/>
      <c r="AC239" s="15"/>
      <c r="AD239" s="15"/>
      <c r="AE239" s="19"/>
      <c r="AF239" s="19"/>
      <c r="AG239" s="7" t="s">
        <v>174</v>
      </c>
      <c r="AH239" s="13">
        <f>iferror(VLOOKUP($B239,covariates!$B$3:$Z$1126,6,FALSE),"")</f>
        <v>33</v>
      </c>
      <c r="AI239" s="13">
        <f>iferror(VLOOKUP($B239,covariates!$B$3:$Z$1126,7,FALSE),"")</f>
        <v>6.3</v>
      </c>
      <c r="AJ239" s="9">
        <f>iferror(VLOOKUP($B239,covariates!$B$3:$Z$1126,14,FALSE),"")</f>
        <v>38</v>
      </c>
      <c r="AK239" s="9">
        <f>iferror(VLOOKUP($B239,covariates!$B$3:$Z$1126,16,FALSE),"")</f>
        <v>40</v>
      </c>
      <c r="AL239" s="9">
        <f>iferror(VLOOKUP($B239,covariates!$B$3:$Z$1126,18,FALSE),"")</f>
        <v>96</v>
      </c>
      <c r="AM239" s="9">
        <f>iferror(VLOOKUP($B239,covariates!$B$3:$Z$1126,19,FALSE),"")</f>
        <v>8</v>
      </c>
    </row>
    <row r="240">
      <c r="A240" s="15">
        <v>11.0</v>
      </c>
      <c r="B240" s="17" t="str">
        <f t="shared" ref="B240:B241" si="133">HYPERLINK("https://github.com/d-wkim/phd/blob/main/data/pdf/beynnon_2002.pdf","Beynnon et al., 2002")</f>
        <v>Beynnon et al., 2002</v>
      </c>
      <c r="C240" s="9" t="s">
        <v>42</v>
      </c>
      <c r="D240" s="19" t="s">
        <v>370</v>
      </c>
      <c r="E240" s="9" t="s">
        <v>64</v>
      </c>
      <c r="F240" s="9">
        <v>22.0</v>
      </c>
      <c r="G240" s="13">
        <v>2.0</v>
      </c>
      <c r="H240" s="21">
        <f t="shared" si="131"/>
        <v>0.58630197</v>
      </c>
      <c r="I240" s="15"/>
      <c r="J240" s="15"/>
      <c r="K240" s="15"/>
      <c r="L240" s="15"/>
      <c r="M240" s="15"/>
      <c r="N240" s="15"/>
      <c r="O240" s="9" t="s">
        <v>101</v>
      </c>
      <c r="P240" s="9" t="s">
        <v>101</v>
      </c>
      <c r="Q240" s="9" t="s">
        <v>101</v>
      </c>
      <c r="R240" s="9" t="s">
        <v>101</v>
      </c>
      <c r="S240" s="9" t="s">
        <v>101</v>
      </c>
      <c r="T240" s="9" t="s">
        <v>101</v>
      </c>
      <c r="U240" s="9" t="s">
        <v>101</v>
      </c>
      <c r="V240" s="15"/>
      <c r="W240" s="15"/>
      <c r="X240" s="15"/>
      <c r="Y240" s="15"/>
      <c r="Z240" s="15"/>
      <c r="AA240" s="15"/>
      <c r="AB240" s="15"/>
      <c r="AC240" s="15"/>
      <c r="AD240" s="15"/>
      <c r="AE240" s="19"/>
      <c r="AF240" s="19"/>
      <c r="AG240" s="7" t="s">
        <v>109</v>
      </c>
      <c r="AH240" s="13">
        <f>iferror(VLOOKUP($B240,covariates!$B$3:$Z$1126,6,FALSE),"")</f>
        <v>28.5</v>
      </c>
      <c r="AI240" s="13">
        <f>iferror(VLOOKUP($B240,covariates!$B$3:$Z$1126,7,FALSE),"")</f>
        <v>6.959</v>
      </c>
      <c r="AJ240" s="9">
        <f>iferror(VLOOKUP($B240,covariates!$B$3:$Z$1126,14,FALSE),"")</f>
        <v>18</v>
      </c>
      <c r="AK240" s="9">
        <f>iferror(VLOOKUP($B240,covariates!$B$3:$Z$1126,16,FALSE),"")</f>
        <v>10</v>
      </c>
      <c r="AL240" s="9">
        <f>iferror(VLOOKUP($B240,covariates!$B$3:$Z$1126,18,FALSE),"")</f>
        <v>36</v>
      </c>
      <c r="AM240" s="9">
        <f>iferror(VLOOKUP($B240,covariates!$B$3:$Z$1126,19,FALSE),"")</f>
        <v>3</v>
      </c>
    </row>
    <row r="241">
      <c r="A241" s="15">
        <v>11.0</v>
      </c>
      <c r="B241" s="17" t="str">
        <f t="shared" si="133"/>
        <v>Beynnon et al., 2002</v>
      </c>
      <c r="C241" s="9" t="s">
        <v>84</v>
      </c>
      <c r="D241" s="19" t="s">
        <v>370</v>
      </c>
      <c r="E241" s="9" t="s">
        <v>64</v>
      </c>
      <c r="F241" s="9">
        <v>22.0</v>
      </c>
      <c r="G241" s="13">
        <v>13.0</v>
      </c>
      <c r="H241" s="21">
        <f t="shared" si="131"/>
        <v>7.03562364</v>
      </c>
      <c r="I241" s="15"/>
      <c r="J241" s="15"/>
      <c r="K241" s="15"/>
      <c r="L241" s="15"/>
      <c r="M241" s="15"/>
      <c r="N241" s="15"/>
      <c r="O241" s="9" t="s">
        <v>101</v>
      </c>
      <c r="P241" s="9" t="s">
        <v>101</v>
      </c>
      <c r="Q241" s="9" t="s">
        <v>101</v>
      </c>
      <c r="R241" s="9" t="s">
        <v>101</v>
      </c>
      <c r="S241" s="9" t="s">
        <v>101</v>
      </c>
      <c r="T241" s="9" t="s">
        <v>101</v>
      </c>
      <c r="U241" s="9" t="s">
        <v>101</v>
      </c>
      <c r="V241" s="15"/>
      <c r="W241" s="15"/>
      <c r="X241" s="15"/>
      <c r="Y241" s="15"/>
      <c r="Z241" s="15"/>
      <c r="AA241" s="15"/>
      <c r="AB241" s="15"/>
      <c r="AC241" s="15"/>
      <c r="AD241" s="15"/>
      <c r="AE241" s="19"/>
      <c r="AF241" s="19"/>
      <c r="AG241" s="7" t="s">
        <v>109</v>
      </c>
      <c r="AH241" s="13">
        <f>iferror(VLOOKUP($B241,covariates!$B$3:$Z$1126,6,FALSE),"")</f>
        <v>28.5</v>
      </c>
      <c r="AI241" s="13">
        <f>iferror(VLOOKUP($B241,covariates!$B$3:$Z$1126,7,FALSE),"")</f>
        <v>6.959</v>
      </c>
      <c r="AJ241" s="9">
        <f>iferror(VLOOKUP($B241,covariates!$B$3:$Z$1126,14,FALSE),"")</f>
        <v>18</v>
      </c>
      <c r="AK241" s="9">
        <f>iferror(VLOOKUP($B241,covariates!$B$3:$Z$1126,16,FALSE),"")</f>
        <v>10</v>
      </c>
      <c r="AL241" s="9">
        <f>iferror(VLOOKUP($B241,covariates!$B$3:$Z$1126,18,FALSE),"")</f>
        <v>36</v>
      </c>
      <c r="AM241" s="9">
        <f>iferror(VLOOKUP($B241,covariates!$B$3:$Z$1126,19,FALSE),"")</f>
        <v>3</v>
      </c>
    </row>
    <row r="242">
      <c r="A242" s="9">
        <v>13.0</v>
      </c>
      <c r="B242" s="17" t="str">
        <f t="shared" ref="B242:B243" si="134">HYPERLINK("https://github.com/d-wkim/phd/blob/main/data/pdf/björnsson_2016.pdf","Björnsson et al., 2016")</f>
        <v>Björnsson et al., 2016</v>
      </c>
      <c r="C242" s="9" t="s">
        <v>42</v>
      </c>
      <c r="D242" s="7" t="s">
        <v>370</v>
      </c>
      <c r="E242" s="9" t="s">
        <v>64</v>
      </c>
      <c r="F242" s="9">
        <v>61.0</v>
      </c>
      <c r="G242" s="13">
        <v>7.0</v>
      </c>
      <c r="H242" s="21">
        <f t="shared" si="131"/>
        <v>1.084756899</v>
      </c>
      <c r="I242" s="15"/>
      <c r="J242" s="15"/>
      <c r="K242" s="15"/>
      <c r="L242" s="15"/>
      <c r="M242" s="15"/>
      <c r="N242" s="15"/>
      <c r="O242" s="9" t="s">
        <v>101</v>
      </c>
      <c r="P242" s="9" t="s">
        <v>101</v>
      </c>
      <c r="Q242" s="9" t="s">
        <v>101</v>
      </c>
      <c r="R242" s="9" t="s">
        <v>101</v>
      </c>
      <c r="S242" s="9" t="s">
        <v>101</v>
      </c>
      <c r="T242" s="9" t="s">
        <v>101</v>
      </c>
      <c r="U242" s="9" t="s">
        <v>101</v>
      </c>
      <c r="V242" s="15"/>
      <c r="W242" s="15"/>
      <c r="X242" s="15"/>
      <c r="Y242" s="15"/>
      <c r="Z242" s="15"/>
      <c r="AA242" s="15"/>
      <c r="AB242" s="15"/>
      <c r="AC242" s="15"/>
      <c r="AD242" s="15"/>
      <c r="AE242" s="19"/>
      <c r="AF242" s="19"/>
      <c r="AG242" s="7" t="s">
        <v>109</v>
      </c>
      <c r="AH242" s="13">
        <f>iferror(VLOOKUP($B242,covariates!$B$3:$Z$1126,6,FALSE),"")</f>
        <v>28.2</v>
      </c>
      <c r="AI242" s="13">
        <f>iferror(VLOOKUP($B242,covariates!$B$3:$Z$1126,7,FALSE),"")</f>
        <v>9.1</v>
      </c>
      <c r="AJ242" s="9">
        <f>iferror(VLOOKUP($B242,covariates!$B$3:$Z$1126,14,FALSE),"")</f>
        <v>42</v>
      </c>
      <c r="AK242" s="9">
        <f>iferror(VLOOKUP($B242,covariates!$B$3:$Z$1126,16,FALSE),"")</f>
        <v>19</v>
      </c>
      <c r="AL242" s="9">
        <f>iferror(VLOOKUP($B242,covariates!$B$3:$Z$1126,18,FALSE),"")</f>
        <v>202.6</v>
      </c>
      <c r="AM242" s="9">
        <f>iferror(VLOOKUP($B242,covariates!$B$3:$Z$1126,19,FALSE),"")</f>
        <v>16.9</v>
      </c>
    </row>
    <row r="243">
      <c r="A243" s="9">
        <v>13.0</v>
      </c>
      <c r="B243" s="17" t="str">
        <f t="shared" si="134"/>
        <v>Björnsson et al., 2016</v>
      </c>
      <c r="C243" s="9" t="s">
        <v>84</v>
      </c>
      <c r="D243" s="7" t="s">
        <v>370</v>
      </c>
      <c r="E243" s="9" t="s">
        <v>64</v>
      </c>
      <c r="F243" s="9">
        <v>86.0</v>
      </c>
      <c r="G243" s="13">
        <v>20.0</v>
      </c>
      <c r="H243" s="21">
        <f t="shared" si="131"/>
        <v>2.880442108</v>
      </c>
      <c r="I243" s="15"/>
      <c r="J243" s="15"/>
      <c r="K243" s="15"/>
      <c r="L243" s="15"/>
      <c r="M243" s="15"/>
      <c r="N243" s="15"/>
      <c r="O243" s="9" t="s">
        <v>101</v>
      </c>
      <c r="P243" s="9" t="s">
        <v>101</v>
      </c>
      <c r="Q243" s="9" t="s">
        <v>101</v>
      </c>
      <c r="R243" s="9" t="s">
        <v>101</v>
      </c>
      <c r="S243" s="9" t="s">
        <v>101</v>
      </c>
      <c r="T243" s="9" t="s">
        <v>101</v>
      </c>
      <c r="U243" s="9" t="s">
        <v>101</v>
      </c>
      <c r="V243" s="15"/>
      <c r="W243" s="15"/>
      <c r="X243" s="15"/>
      <c r="Y243" s="15"/>
      <c r="Z243" s="15"/>
      <c r="AA243" s="15"/>
      <c r="AB243" s="15"/>
      <c r="AC243" s="15"/>
      <c r="AD243" s="15"/>
      <c r="AE243" s="19"/>
      <c r="AF243" s="19"/>
      <c r="AG243" s="7" t="s">
        <v>109</v>
      </c>
      <c r="AH243" s="13">
        <f>iferror(VLOOKUP($B243,covariates!$B$3:$Z$1126,6,FALSE),"")</f>
        <v>28.2</v>
      </c>
      <c r="AI243" s="13">
        <f>iferror(VLOOKUP($B243,covariates!$B$3:$Z$1126,7,FALSE),"")</f>
        <v>9.1</v>
      </c>
      <c r="AJ243" s="9">
        <f>iferror(VLOOKUP($B243,covariates!$B$3:$Z$1126,14,FALSE),"")</f>
        <v>42</v>
      </c>
      <c r="AK243" s="9">
        <f>iferror(VLOOKUP($B243,covariates!$B$3:$Z$1126,16,FALSE),"")</f>
        <v>19</v>
      </c>
      <c r="AL243" s="9">
        <f>iferror(VLOOKUP($B243,covariates!$B$3:$Z$1126,18,FALSE),"")</f>
        <v>202.6</v>
      </c>
      <c r="AM243" s="9">
        <f>iferror(VLOOKUP($B243,covariates!$B$3:$Z$1126,19,FALSE),"")</f>
        <v>16.9</v>
      </c>
    </row>
    <row r="244">
      <c r="A244" s="15">
        <v>18.0</v>
      </c>
      <c r="B244" s="17" t="str">
        <f t="shared" ref="B244:B245" si="135">HYPERLINK("https://github.com/d-wkim/phd/blob/main/data/pdf/butt_2024.pdf","Butt et al., 2024")</f>
        <v>Butt et al., 2024</v>
      </c>
      <c r="C244" s="7" t="s">
        <v>84</v>
      </c>
      <c r="D244" s="19" t="s">
        <v>370</v>
      </c>
      <c r="E244" s="9" t="s">
        <v>64</v>
      </c>
      <c r="F244" s="9"/>
      <c r="G244" s="27"/>
      <c r="H244" s="21" t="str">
        <f t="shared" si="131"/>
        <v/>
      </c>
      <c r="I244" s="15"/>
      <c r="J244" s="15"/>
      <c r="K244" s="15"/>
      <c r="L244" s="15"/>
      <c r="M244" s="15"/>
      <c r="N244" s="15"/>
      <c r="O244" s="9" t="s">
        <v>101</v>
      </c>
      <c r="P244" s="9" t="s">
        <v>101</v>
      </c>
      <c r="Q244" s="9" t="s">
        <v>101</v>
      </c>
      <c r="R244" s="9" t="s">
        <v>101</v>
      </c>
      <c r="S244" s="9" t="s">
        <v>101</v>
      </c>
      <c r="T244" s="9" t="s">
        <v>101</v>
      </c>
      <c r="U244" s="9" t="s">
        <v>101</v>
      </c>
      <c r="V244" s="15"/>
      <c r="W244" s="15"/>
      <c r="X244" s="15"/>
      <c r="Y244" s="15"/>
      <c r="Z244" s="15"/>
      <c r="AA244" s="15"/>
      <c r="AB244" s="15"/>
      <c r="AC244" s="15"/>
      <c r="AD244" s="15"/>
      <c r="AE244" s="19"/>
      <c r="AF244" s="19"/>
      <c r="AG244" s="7" t="s">
        <v>174</v>
      </c>
      <c r="AH244" s="13">
        <f>iferror(VLOOKUP($B244,covariates!$B$3:$Z$1126,6,FALSE),"")</f>
        <v>29.17</v>
      </c>
      <c r="AI244" s="13">
        <f>iferror(VLOOKUP($B244,covariates!$B$3:$Z$1126,7,FALSE),"")</f>
        <v>5.03</v>
      </c>
      <c r="AJ244" s="9">
        <f>iferror(VLOOKUP($B244,covariates!$B$3:$Z$1126,14,FALSE),"")</f>
        <v>29</v>
      </c>
      <c r="AK244" s="9">
        <f>iferror(VLOOKUP($B244,covariates!$B$3:$Z$1126,16,FALSE),"")</f>
        <v>1</v>
      </c>
      <c r="AL244" s="9">
        <f>iferror(VLOOKUP($B244,covariates!$B$3:$Z$1126,18,FALSE),"")</f>
        <v>60</v>
      </c>
      <c r="AM244" s="9">
        <f>iferror(VLOOKUP($B244,covariates!$B$3:$Z$1126,19,FALSE),"")</f>
        <v>5</v>
      </c>
    </row>
    <row r="245">
      <c r="A245" s="15">
        <v>18.0</v>
      </c>
      <c r="B245" s="17" t="str">
        <f t="shared" si="135"/>
        <v>Butt et al., 2024</v>
      </c>
      <c r="C245" s="7" t="s">
        <v>186</v>
      </c>
      <c r="D245" s="19" t="s">
        <v>370</v>
      </c>
      <c r="E245" s="9" t="s">
        <v>64</v>
      </c>
      <c r="F245" s="9"/>
      <c r="G245" s="27"/>
      <c r="H245" s="21" t="str">
        <f t="shared" si="131"/>
        <v/>
      </c>
      <c r="I245" s="15"/>
      <c r="J245" s="15"/>
      <c r="K245" s="15"/>
      <c r="L245" s="15"/>
      <c r="M245" s="15"/>
      <c r="N245" s="15"/>
      <c r="O245" s="9" t="s">
        <v>101</v>
      </c>
      <c r="P245" s="9" t="s">
        <v>101</v>
      </c>
      <c r="Q245" s="9" t="s">
        <v>101</v>
      </c>
      <c r="R245" s="9" t="s">
        <v>101</v>
      </c>
      <c r="S245" s="9" t="s">
        <v>101</v>
      </c>
      <c r="T245" s="9" t="s">
        <v>101</v>
      </c>
      <c r="U245" s="9" t="s">
        <v>101</v>
      </c>
      <c r="V245" s="19"/>
      <c r="W245" s="19"/>
      <c r="X245" s="19"/>
      <c r="Y245" s="19"/>
      <c r="Z245" s="19"/>
      <c r="AA245" s="19"/>
      <c r="AB245" s="19"/>
      <c r="AC245" s="19"/>
      <c r="AD245" s="19"/>
      <c r="AE245" s="19"/>
      <c r="AF245" s="19"/>
      <c r="AG245" s="7" t="s">
        <v>174</v>
      </c>
      <c r="AH245" s="13">
        <f>iferror(VLOOKUP($B245,covariates!$B$3:$Z$1126,6,FALSE),"")</f>
        <v>29.17</v>
      </c>
      <c r="AI245" s="13">
        <f>iferror(VLOOKUP($B245,covariates!$B$3:$Z$1126,7,FALSE),"")</f>
        <v>5.03</v>
      </c>
      <c r="AJ245" s="9">
        <f>iferror(VLOOKUP($B245,covariates!$B$3:$Z$1126,14,FALSE),"")</f>
        <v>29</v>
      </c>
      <c r="AK245" s="9">
        <f>iferror(VLOOKUP($B245,covariates!$B$3:$Z$1126,16,FALSE),"")</f>
        <v>1</v>
      </c>
      <c r="AL245" s="9">
        <f>iferror(VLOOKUP($B245,covariates!$B$3:$Z$1126,18,FALSE),"")</f>
        <v>60</v>
      </c>
      <c r="AM245" s="9">
        <f>iferror(VLOOKUP($B245,covariates!$B$3:$Z$1126,19,FALSE),"")</f>
        <v>5</v>
      </c>
    </row>
    <row r="246">
      <c r="A246" s="15">
        <v>23.0</v>
      </c>
      <c r="B246" s="17" t="str">
        <f t="shared" ref="B246:B247" si="136">HYPERLINK("https://github.com/d-wkim/phd/blob/main/data/pdf/ejerhed_2003.pdf","Ejerhed et al., 2003")</f>
        <v>Ejerhed et al., 2003</v>
      </c>
      <c r="C246" s="9" t="s">
        <v>42</v>
      </c>
      <c r="D246" s="19" t="s">
        <v>370</v>
      </c>
      <c r="E246" s="9" t="s">
        <v>64</v>
      </c>
      <c r="F246" s="9">
        <v>32.0</v>
      </c>
      <c r="G246" s="13">
        <v>15.0</v>
      </c>
      <c r="H246" s="21">
        <f t="shared" si="131"/>
        <v>5.157720051</v>
      </c>
      <c r="I246" s="15"/>
      <c r="J246" s="15"/>
      <c r="K246" s="15"/>
      <c r="L246" s="15"/>
      <c r="M246" s="15"/>
      <c r="N246" s="15"/>
      <c r="O246" s="9" t="s">
        <v>101</v>
      </c>
      <c r="P246" s="9" t="s">
        <v>101</v>
      </c>
      <c r="Q246" s="9" t="s">
        <v>101</v>
      </c>
      <c r="R246" s="9" t="s">
        <v>101</v>
      </c>
      <c r="S246" s="9" t="s">
        <v>101</v>
      </c>
      <c r="T246" s="9" t="s">
        <v>101</v>
      </c>
      <c r="U246" s="9" t="s">
        <v>101</v>
      </c>
      <c r="V246" s="15"/>
      <c r="W246" s="15"/>
      <c r="X246" s="15"/>
      <c r="Y246" s="15"/>
      <c r="Z246" s="15"/>
      <c r="AA246" s="15"/>
      <c r="AB246" s="15"/>
      <c r="AC246" s="15"/>
      <c r="AD246" s="15"/>
      <c r="AE246" s="19"/>
      <c r="AF246" s="19"/>
      <c r="AG246" s="7" t="s">
        <v>109</v>
      </c>
      <c r="AH246" s="13">
        <f>iferror(VLOOKUP($B246,covariates!$B$3:$Z$1126,6,FALSE),"")</f>
        <v>27.26043131</v>
      </c>
      <c r="AI246" s="13">
        <f>iferror(VLOOKUP($B246,covariates!$B$3:$Z$1126,7,FALSE),"")</f>
        <v>8.467</v>
      </c>
      <c r="AJ246" s="9">
        <f>iferror(VLOOKUP($B246,covariates!$B$3:$Z$1126,14,FALSE),"")</f>
        <v>21</v>
      </c>
      <c r="AK246" s="9">
        <f>iferror(VLOOKUP($B246,covariates!$B$3:$Z$1126,16,FALSE),"")</f>
        <v>11</v>
      </c>
      <c r="AL246" s="9">
        <f>iferror(VLOOKUP($B246,covariates!$B$3:$Z$1126,18,FALSE),"")</f>
        <v>24</v>
      </c>
      <c r="AM246" s="9">
        <f>iferror(VLOOKUP($B246,covariates!$B$3:$Z$1126,19,FALSE),"")</f>
        <v>2</v>
      </c>
    </row>
    <row r="247">
      <c r="A247" s="15">
        <v>23.0</v>
      </c>
      <c r="B247" s="17" t="str">
        <f t="shared" si="136"/>
        <v>Ejerhed et al., 2003</v>
      </c>
      <c r="C247" s="9" t="s">
        <v>84</v>
      </c>
      <c r="D247" s="19" t="s">
        <v>370</v>
      </c>
      <c r="E247" s="9" t="s">
        <v>64</v>
      </c>
      <c r="F247" s="9">
        <v>34.0</v>
      </c>
      <c r="G247" s="13">
        <v>14.0</v>
      </c>
      <c r="H247" s="21">
        <f t="shared" si="131"/>
        <v>4.227440124</v>
      </c>
      <c r="I247" s="15"/>
      <c r="J247" s="15"/>
      <c r="K247" s="15"/>
      <c r="L247" s="15"/>
      <c r="M247" s="15"/>
      <c r="N247" s="15"/>
      <c r="O247" s="9" t="s">
        <v>101</v>
      </c>
      <c r="P247" s="9" t="s">
        <v>101</v>
      </c>
      <c r="Q247" s="9" t="s">
        <v>101</v>
      </c>
      <c r="R247" s="9" t="s">
        <v>101</v>
      </c>
      <c r="S247" s="9" t="s">
        <v>101</v>
      </c>
      <c r="T247" s="9" t="s">
        <v>101</v>
      </c>
      <c r="U247" s="9" t="s">
        <v>101</v>
      </c>
      <c r="V247" s="15"/>
      <c r="W247" s="15"/>
      <c r="X247" s="15"/>
      <c r="Y247" s="15"/>
      <c r="Z247" s="15"/>
      <c r="AA247" s="15"/>
      <c r="AB247" s="15"/>
      <c r="AC247" s="15"/>
      <c r="AD247" s="15"/>
      <c r="AE247" s="19"/>
      <c r="AF247" s="19"/>
      <c r="AG247" s="7" t="s">
        <v>109</v>
      </c>
      <c r="AH247" s="13">
        <f>iferror(VLOOKUP($B247,covariates!$B$3:$Z$1126,6,FALSE),"")</f>
        <v>27.26043131</v>
      </c>
      <c r="AI247" s="13">
        <f>iferror(VLOOKUP($B247,covariates!$B$3:$Z$1126,7,FALSE),"")</f>
        <v>8.467</v>
      </c>
      <c r="AJ247" s="9">
        <f>iferror(VLOOKUP($B247,covariates!$B$3:$Z$1126,14,FALSE),"")</f>
        <v>21</v>
      </c>
      <c r="AK247" s="9">
        <f>iferror(VLOOKUP($B247,covariates!$B$3:$Z$1126,16,FALSE),"")</f>
        <v>11</v>
      </c>
      <c r="AL247" s="9">
        <f>iferror(VLOOKUP($B247,covariates!$B$3:$Z$1126,18,FALSE),"")</f>
        <v>24</v>
      </c>
      <c r="AM247" s="9">
        <f>iferror(VLOOKUP($B247,covariates!$B$3:$Z$1126,19,FALSE),"")</f>
        <v>2</v>
      </c>
    </row>
    <row r="248">
      <c r="A248" s="15">
        <v>26.0</v>
      </c>
      <c r="B248" s="17" t="str">
        <f t="shared" ref="B248:B249" si="137">HYPERLINK("https://github.com/d-wkim/phd/blob/main/data/pdf/feller_webster_2003.pdf","Feller &amp; Webster, 2003")</f>
        <v>Feller &amp; Webster, 2003</v>
      </c>
      <c r="C248" s="9" t="s">
        <v>42</v>
      </c>
      <c r="D248" s="19" t="s">
        <v>370</v>
      </c>
      <c r="E248" s="9" t="s">
        <v>64</v>
      </c>
      <c r="F248" s="9">
        <v>27.0</v>
      </c>
      <c r="G248" s="13">
        <v>1.0</v>
      </c>
      <c r="H248" s="21">
        <f t="shared" si="131"/>
        <v>0.2997780244</v>
      </c>
      <c r="I248" s="15"/>
      <c r="J248" s="15"/>
      <c r="K248" s="15"/>
      <c r="L248" s="15"/>
      <c r="M248" s="15"/>
      <c r="N248" s="15"/>
      <c r="O248" s="9" t="s">
        <v>101</v>
      </c>
      <c r="P248" s="9" t="s">
        <v>101</v>
      </c>
      <c r="Q248" s="9" t="s">
        <v>101</v>
      </c>
      <c r="R248" s="9" t="s">
        <v>101</v>
      </c>
      <c r="S248" s="9" t="s">
        <v>101</v>
      </c>
      <c r="T248" s="9" t="s">
        <v>101</v>
      </c>
      <c r="U248" s="9" t="s">
        <v>101</v>
      </c>
      <c r="V248" s="15"/>
      <c r="W248" s="15"/>
      <c r="X248" s="15"/>
      <c r="Y248" s="15"/>
      <c r="Z248" s="15"/>
      <c r="AA248" s="15"/>
      <c r="AB248" s="15"/>
      <c r="AC248" s="15"/>
      <c r="AD248" s="15"/>
      <c r="AE248" s="19"/>
      <c r="AF248" s="19"/>
      <c r="AG248" s="7" t="s">
        <v>109</v>
      </c>
      <c r="AH248" s="13">
        <f>iferror(VLOOKUP($B248,covariates!$B$3:$Z$1126,6,FALSE),"")</f>
        <v>25.8</v>
      </c>
      <c r="AI248" s="13">
        <f>iferror(VLOOKUP($B248,covariates!$B$3:$Z$1126,7,FALSE),"")</f>
        <v>6</v>
      </c>
      <c r="AJ248" s="9">
        <f>iferror(VLOOKUP($B248,covariates!$B$3:$Z$1126,14,FALSE),"")</f>
        <v>23</v>
      </c>
      <c r="AK248" s="9">
        <f>iferror(VLOOKUP($B248,covariates!$B$3:$Z$1126,16,FALSE),"")</f>
        <v>8</v>
      </c>
      <c r="AL248" s="9">
        <f>iferror(VLOOKUP($B248,covariates!$B$3:$Z$1126,18,FALSE),"")</f>
        <v>36</v>
      </c>
      <c r="AM248" s="9">
        <f>iferror(VLOOKUP($B248,covariates!$B$3:$Z$1126,19,FALSE),"")</f>
        <v>3</v>
      </c>
    </row>
    <row r="249">
      <c r="A249" s="15">
        <v>26.0</v>
      </c>
      <c r="B249" s="17" t="str">
        <f t="shared" si="137"/>
        <v>Feller &amp; Webster, 2003</v>
      </c>
      <c r="C249" s="9" t="s">
        <v>84</v>
      </c>
      <c r="D249" s="19" t="s">
        <v>370</v>
      </c>
      <c r="E249" s="9" t="s">
        <v>64</v>
      </c>
      <c r="F249" s="9">
        <v>21.0</v>
      </c>
      <c r="G249" s="13">
        <v>0.0</v>
      </c>
      <c r="H249" s="21">
        <f t="shared" si="131"/>
        <v>0.1091089451</v>
      </c>
      <c r="I249" s="15"/>
      <c r="J249" s="15"/>
      <c r="K249" s="15"/>
      <c r="L249" s="15"/>
      <c r="M249" s="15"/>
      <c r="N249" s="15"/>
      <c r="O249" s="9" t="s">
        <v>101</v>
      </c>
      <c r="P249" s="9" t="s">
        <v>101</v>
      </c>
      <c r="Q249" s="9" t="s">
        <v>101</v>
      </c>
      <c r="R249" s="9" t="s">
        <v>101</v>
      </c>
      <c r="S249" s="9" t="s">
        <v>101</v>
      </c>
      <c r="T249" s="9" t="s">
        <v>101</v>
      </c>
      <c r="U249" s="9" t="s">
        <v>101</v>
      </c>
      <c r="V249" s="15"/>
      <c r="W249" s="15"/>
      <c r="X249" s="15"/>
      <c r="Y249" s="15"/>
      <c r="Z249" s="15"/>
      <c r="AA249" s="15"/>
      <c r="AB249" s="15"/>
      <c r="AC249" s="15"/>
      <c r="AD249" s="15"/>
      <c r="AE249" s="19"/>
      <c r="AF249" s="19"/>
      <c r="AG249" s="7" t="s">
        <v>109</v>
      </c>
      <c r="AH249" s="13">
        <f>iferror(VLOOKUP($B249,covariates!$B$3:$Z$1126,6,FALSE),"")</f>
        <v>25.8</v>
      </c>
      <c r="AI249" s="13">
        <f>iferror(VLOOKUP($B249,covariates!$B$3:$Z$1126,7,FALSE),"")</f>
        <v>6</v>
      </c>
      <c r="AJ249" s="9">
        <f>iferror(VLOOKUP($B249,covariates!$B$3:$Z$1126,14,FALSE),"")</f>
        <v>23</v>
      </c>
      <c r="AK249" s="9">
        <f>iferror(VLOOKUP($B249,covariates!$B$3:$Z$1126,16,FALSE),"")</f>
        <v>8</v>
      </c>
      <c r="AL249" s="9">
        <f>iferror(VLOOKUP($B249,covariates!$B$3:$Z$1126,18,FALSE),"")</f>
        <v>36</v>
      </c>
      <c r="AM249" s="9">
        <f>iferror(VLOOKUP($B249,covariates!$B$3:$Z$1126,19,FALSE),"")</f>
        <v>3</v>
      </c>
    </row>
    <row r="250">
      <c r="A250" s="15">
        <v>30.0</v>
      </c>
      <c r="B250" s="17" t="str">
        <f t="shared" ref="B250:B251" si="138">HYPERLINK("https://github.com/d-wkim/phd/blob/main/data/pdf/gifstad_2013.pdf","Gifstad et al., 2013")</f>
        <v>Gifstad et al., 2013</v>
      </c>
      <c r="C250" s="9" t="s">
        <v>42</v>
      </c>
      <c r="D250" s="19" t="s">
        <v>370</v>
      </c>
      <c r="E250" s="9" t="s">
        <v>64</v>
      </c>
      <c r="F250" s="9">
        <v>41.0</v>
      </c>
      <c r="G250" s="13">
        <v>1.0</v>
      </c>
      <c r="H250" s="21">
        <f t="shared" si="131"/>
        <v>0.2401171589</v>
      </c>
      <c r="I250" s="15"/>
      <c r="J250" s="15"/>
      <c r="K250" s="15"/>
      <c r="L250" s="15"/>
      <c r="M250" s="15"/>
      <c r="N250" s="15"/>
      <c r="O250" s="9" t="s">
        <v>101</v>
      </c>
      <c r="P250" s="9" t="s">
        <v>101</v>
      </c>
      <c r="Q250" s="9" t="s">
        <v>101</v>
      </c>
      <c r="R250" s="9" t="s">
        <v>101</v>
      </c>
      <c r="S250" s="9" t="s">
        <v>101</v>
      </c>
      <c r="T250" s="9" t="s">
        <v>101</v>
      </c>
      <c r="U250" s="9" t="s">
        <v>101</v>
      </c>
      <c r="V250" s="15"/>
      <c r="W250" s="15"/>
      <c r="X250" s="15"/>
      <c r="Y250" s="15"/>
      <c r="Z250" s="15"/>
      <c r="AA250" s="15"/>
      <c r="AB250" s="15"/>
      <c r="AC250" s="15"/>
      <c r="AD250" s="15"/>
      <c r="AE250" s="19"/>
      <c r="AF250" s="19"/>
      <c r="AG250" s="7" t="s">
        <v>109</v>
      </c>
      <c r="AH250" s="13">
        <f>iferror(VLOOKUP($B250,covariates!$B$3:$Z$1126,6,FALSE),"")</f>
        <v>27</v>
      </c>
      <c r="AI250" s="13">
        <f>iferror(VLOOKUP($B250,covariates!$B$3:$Z$1126,7,FALSE),"")</f>
        <v>6.74</v>
      </c>
      <c r="AJ250" s="9" t="str">
        <f>iferror(VLOOKUP($B250,covariates!$B$3:$Z$1126,14,FALSE),"")</f>
        <v/>
      </c>
      <c r="AK250" s="9" t="str">
        <f>iferror(VLOOKUP($B250,covariates!$B$3:$Z$1126,16,FALSE),"")</f>
        <v/>
      </c>
      <c r="AL250" s="9">
        <f>iferror(VLOOKUP($B250,covariates!$B$3:$Z$1126,18,FALSE),"")</f>
        <v>84</v>
      </c>
      <c r="AM250" s="9">
        <f>iferror(VLOOKUP($B250,covariates!$B$3:$Z$1126,19,FALSE),"")</f>
        <v>7</v>
      </c>
    </row>
    <row r="251">
      <c r="A251" s="15">
        <v>30.0</v>
      </c>
      <c r="B251" s="17" t="str">
        <f t="shared" si="138"/>
        <v>Gifstad et al., 2013</v>
      </c>
      <c r="C251" s="9" t="s">
        <v>84</v>
      </c>
      <c r="D251" s="19" t="s">
        <v>370</v>
      </c>
      <c r="E251" s="9" t="s">
        <v>64</v>
      </c>
      <c r="F251" s="9">
        <v>36.0</v>
      </c>
      <c r="G251" s="13">
        <v>1.0</v>
      </c>
      <c r="H251" s="21">
        <f t="shared" si="131"/>
        <v>0.2571428571</v>
      </c>
      <c r="I251" s="15"/>
      <c r="J251" s="15"/>
      <c r="K251" s="15"/>
      <c r="L251" s="15"/>
      <c r="M251" s="15"/>
      <c r="N251" s="15"/>
      <c r="O251" s="9" t="s">
        <v>101</v>
      </c>
      <c r="P251" s="9" t="s">
        <v>101</v>
      </c>
      <c r="Q251" s="9" t="s">
        <v>101</v>
      </c>
      <c r="R251" s="9" t="s">
        <v>101</v>
      </c>
      <c r="S251" s="9" t="s">
        <v>101</v>
      </c>
      <c r="T251" s="9" t="s">
        <v>101</v>
      </c>
      <c r="U251" s="9" t="s">
        <v>101</v>
      </c>
      <c r="V251" s="15"/>
      <c r="W251" s="15"/>
      <c r="X251" s="15"/>
      <c r="Y251" s="15"/>
      <c r="Z251" s="15"/>
      <c r="AA251" s="15"/>
      <c r="AB251" s="15"/>
      <c r="AC251" s="15"/>
      <c r="AD251" s="15"/>
      <c r="AE251" s="19"/>
      <c r="AF251" s="19"/>
      <c r="AG251" s="7" t="s">
        <v>109</v>
      </c>
      <c r="AH251" s="13">
        <f>iferror(VLOOKUP($B251,covariates!$B$3:$Z$1126,6,FALSE),"")</f>
        <v>27</v>
      </c>
      <c r="AI251" s="13">
        <f>iferror(VLOOKUP($B251,covariates!$B$3:$Z$1126,7,FALSE),"")</f>
        <v>6.74</v>
      </c>
      <c r="AJ251" s="9" t="str">
        <f>iferror(VLOOKUP($B251,covariates!$B$3:$Z$1126,14,FALSE),"")</f>
        <v/>
      </c>
      <c r="AK251" s="9" t="str">
        <f>iferror(VLOOKUP($B251,covariates!$B$3:$Z$1126,16,FALSE),"")</f>
        <v/>
      </c>
      <c r="AL251" s="9">
        <f>iferror(VLOOKUP($B251,covariates!$B$3:$Z$1126,18,FALSE),"")</f>
        <v>84</v>
      </c>
      <c r="AM251" s="9">
        <f>iferror(VLOOKUP($B251,covariates!$B$3:$Z$1126,19,FALSE),"")</f>
        <v>7</v>
      </c>
    </row>
    <row r="252">
      <c r="A252" s="15">
        <v>32.0</v>
      </c>
      <c r="B252" s="17" t="str">
        <f t="shared" ref="B252:B253" si="139">HYPERLINK("https://github.com/d-wkim/phd/blob/main/data/pdf/guglielmetti_2021.pdf","Guglielmetti et al., 2021")</f>
        <v>Guglielmetti et al., 2021</v>
      </c>
      <c r="C252" s="9" t="s">
        <v>42</v>
      </c>
      <c r="D252" s="19" t="s">
        <v>370</v>
      </c>
      <c r="E252" s="9" t="s">
        <v>64</v>
      </c>
      <c r="F252" s="9">
        <v>31.0</v>
      </c>
      <c r="G252" s="13">
        <v>2.0</v>
      </c>
      <c r="H252" s="21">
        <f t="shared" si="131"/>
        <v>0.4799796865</v>
      </c>
      <c r="I252" s="15"/>
      <c r="J252" s="15"/>
      <c r="K252" s="15"/>
      <c r="L252" s="15"/>
      <c r="M252" s="15"/>
      <c r="N252" s="15"/>
      <c r="O252" s="9" t="s">
        <v>101</v>
      </c>
      <c r="P252" s="9" t="s">
        <v>101</v>
      </c>
      <c r="Q252" s="9" t="s">
        <v>101</v>
      </c>
      <c r="R252" s="9" t="s">
        <v>101</v>
      </c>
      <c r="S252" s="9" t="s">
        <v>101</v>
      </c>
      <c r="T252" s="9" t="s">
        <v>101</v>
      </c>
      <c r="U252" s="9" t="s">
        <v>101</v>
      </c>
      <c r="V252" s="15"/>
      <c r="W252" s="15"/>
      <c r="X252" s="15"/>
      <c r="Y252" s="15"/>
      <c r="Z252" s="15"/>
      <c r="AA252" s="15"/>
      <c r="AB252" s="15"/>
      <c r="AC252" s="15"/>
      <c r="AD252" s="15"/>
      <c r="AE252" s="19"/>
      <c r="AF252" s="19"/>
      <c r="AG252" s="7" t="s">
        <v>109</v>
      </c>
      <c r="AH252" s="13">
        <f>iferror(VLOOKUP($B252,covariates!$B$3:$Z$1126,6,FALSE),"")</f>
        <v>25.2</v>
      </c>
      <c r="AI252" s="13">
        <f>iferror(VLOOKUP($B252,covariates!$B$3:$Z$1126,7,FALSE),"")</f>
        <v>5.48</v>
      </c>
      <c r="AJ252" s="9">
        <f>iferror(VLOOKUP($B252,covariates!$B$3:$Z$1126,14,FALSE),"")</f>
        <v>23</v>
      </c>
      <c r="AK252" s="9">
        <f>iferror(VLOOKUP($B252,covariates!$B$3:$Z$1126,16,FALSE),"")</f>
        <v>8</v>
      </c>
      <c r="AL252" s="9">
        <f>iferror(VLOOKUP($B252,covariates!$B$3:$Z$1126,18,FALSE),"")</f>
        <v>24</v>
      </c>
      <c r="AM252" s="9">
        <f>iferror(VLOOKUP($B252,covariates!$B$3:$Z$1126,19,FALSE),"")</f>
        <v>2</v>
      </c>
    </row>
    <row r="253">
      <c r="A253" s="15">
        <v>32.0</v>
      </c>
      <c r="B253" s="17" t="str">
        <f t="shared" si="139"/>
        <v>Guglielmetti et al., 2021</v>
      </c>
      <c r="C253" s="9" t="s">
        <v>84</v>
      </c>
      <c r="D253" s="19" t="s">
        <v>370</v>
      </c>
      <c r="E253" s="9" t="s">
        <v>64</v>
      </c>
      <c r="F253" s="9">
        <v>31.0</v>
      </c>
      <c r="G253" s="13">
        <v>3.0</v>
      </c>
      <c r="H253" s="21">
        <f t="shared" si="131"/>
        <v>0.6959705454</v>
      </c>
      <c r="I253" s="15"/>
      <c r="J253" s="15"/>
      <c r="K253" s="15"/>
      <c r="L253" s="15"/>
      <c r="M253" s="15"/>
      <c r="N253" s="15"/>
      <c r="O253" s="9" t="s">
        <v>101</v>
      </c>
      <c r="P253" s="9" t="s">
        <v>101</v>
      </c>
      <c r="Q253" s="9" t="s">
        <v>101</v>
      </c>
      <c r="R253" s="9" t="s">
        <v>101</v>
      </c>
      <c r="S253" s="9" t="s">
        <v>101</v>
      </c>
      <c r="T253" s="9" t="s">
        <v>101</v>
      </c>
      <c r="U253" s="9" t="s">
        <v>101</v>
      </c>
      <c r="V253" s="15"/>
      <c r="W253" s="15"/>
      <c r="X253" s="15"/>
      <c r="Y253" s="15"/>
      <c r="Z253" s="15"/>
      <c r="AA253" s="15"/>
      <c r="AB253" s="15"/>
      <c r="AC253" s="15"/>
      <c r="AD253" s="15"/>
      <c r="AE253" s="19"/>
      <c r="AF253" s="19"/>
      <c r="AG253" s="7" t="s">
        <v>109</v>
      </c>
      <c r="AH253" s="13">
        <f>iferror(VLOOKUP($B253,covariates!$B$3:$Z$1126,6,FALSE),"")</f>
        <v>25.2</v>
      </c>
      <c r="AI253" s="13">
        <f>iferror(VLOOKUP($B253,covariates!$B$3:$Z$1126,7,FALSE),"")</f>
        <v>5.48</v>
      </c>
      <c r="AJ253" s="9">
        <f>iferror(VLOOKUP($B253,covariates!$B$3:$Z$1126,14,FALSE),"")</f>
        <v>23</v>
      </c>
      <c r="AK253" s="9">
        <f>iferror(VLOOKUP($B253,covariates!$B$3:$Z$1126,16,FALSE),"")</f>
        <v>8</v>
      </c>
      <c r="AL253" s="9">
        <f>iferror(VLOOKUP($B253,covariates!$B$3:$Z$1126,18,FALSE),"")</f>
        <v>24</v>
      </c>
      <c r="AM253" s="9">
        <f>iferror(VLOOKUP($B253,covariates!$B$3:$Z$1126,19,FALSE),"")</f>
        <v>2</v>
      </c>
    </row>
    <row r="254">
      <c r="A254" s="15">
        <v>33.0</v>
      </c>
      <c r="B254" s="17" t="str">
        <f t="shared" ref="B254:B255" si="140">HYPERLINK("https://github.com/d-wkim/phd/blob/main/data/pdf/harilainen_2006.pdf","Harilainen et al., 2006")</f>
        <v>Harilainen et al., 2006</v>
      </c>
      <c r="C254" s="9" t="s">
        <v>42</v>
      </c>
      <c r="D254" s="7" t="s">
        <v>370</v>
      </c>
      <c r="E254" s="9" t="s">
        <v>64</v>
      </c>
      <c r="F254" s="9">
        <v>37.0</v>
      </c>
      <c r="G254" s="13">
        <v>0.0</v>
      </c>
      <c r="H254" s="21">
        <f t="shared" si="131"/>
        <v>0.08219949365</v>
      </c>
      <c r="I254" s="15"/>
      <c r="J254" s="15"/>
      <c r="K254" s="15"/>
      <c r="L254" s="15"/>
      <c r="M254" s="15"/>
      <c r="N254" s="15"/>
      <c r="O254" s="9" t="s">
        <v>101</v>
      </c>
      <c r="P254" s="9" t="s">
        <v>101</v>
      </c>
      <c r="Q254" s="9" t="s">
        <v>101</v>
      </c>
      <c r="R254" s="9" t="s">
        <v>101</v>
      </c>
      <c r="S254" s="9" t="s">
        <v>101</v>
      </c>
      <c r="T254" s="9" t="s">
        <v>101</v>
      </c>
      <c r="U254" s="9" t="s">
        <v>101</v>
      </c>
      <c r="V254" s="15"/>
      <c r="W254" s="15"/>
      <c r="X254" s="15"/>
      <c r="Y254" s="15"/>
      <c r="Z254" s="15"/>
      <c r="AA254" s="15"/>
      <c r="AB254" s="15"/>
      <c r="AC254" s="15"/>
      <c r="AD254" s="15"/>
      <c r="AE254" s="19"/>
      <c r="AF254" s="19"/>
      <c r="AG254" s="7" t="s">
        <v>109</v>
      </c>
      <c r="AH254" s="13" t="str">
        <f>iferror(VLOOKUP($B254,covariates!$B$3:$Z$1126,6,FALSE),"")</f>
        <v/>
      </c>
      <c r="AI254" s="13" t="str">
        <f>iferror(VLOOKUP($B254,covariates!$B$3:$Z$1126,7,FALSE),"")</f>
        <v/>
      </c>
      <c r="AJ254" s="9" t="str">
        <f>iferror(VLOOKUP($B254,covariates!$B$3:$Z$1126,14,FALSE),"")</f>
        <v/>
      </c>
      <c r="AK254" s="9" t="str">
        <f>iferror(VLOOKUP($B254,covariates!$B$3:$Z$1126,16,FALSE),"")</f>
        <v/>
      </c>
      <c r="AL254" s="9">
        <f>iferror(VLOOKUP($B254,covariates!$B$3:$Z$1126,18,FALSE),"")</f>
        <v>60.6</v>
      </c>
      <c r="AM254" s="9">
        <f>iferror(VLOOKUP($B254,covariates!$B$3:$Z$1126,19,FALSE),"")</f>
        <v>5.1</v>
      </c>
    </row>
    <row r="255">
      <c r="A255" s="15">
        <v>33.0</v>
      </c>
      <c r="B255" s="17" t="str">
        <f t="shared" si="140"/>
        <v>Harilainen et al., 2006</v>
      </c>
      <c r="C255" s="9" t="s">
        <v>84</v>
      </c>
      <c r="D255" s="7" t="s">
        <v>370</v>
      </c>
      <c r="E255" s="9" t="s">
        <v>64</v>
      </c>
      <c r="F255" s="9">
        <v>37.0</v>
      </c>
      <c r="G255" s="13">
        <v>1.0</v>
      </c>
      <c r="H255" s="21">
        <f t="shared" si="131"/>
        <v>0.2534484388</v>
      </c>
      <c r="I255" s="15"/>
      <c r="J255" s="15"/>
      <c r="K255" s="15"/>
      <c r="L255" s="15"/>
      <c r="M255" s="15"/>
      <c r="N255" s="15"/>
      <c r="O255" s="9" t="s">
        <v>101</v>
      </c>
      <c r="P255" s="9" t="s">
        <v>101</v>
      </c>
      <c r="Q255" s="9" t="s">
        <v>101</v>
      </c>
      <c r="R255" s="9" t="s">
        <v>101</v>
      </c>
      <c r="S255" s="9" t="s">
        <v>101</v>
      </c>
      <c r="T255" s="9" t="s">
        <v>101</v>
      </c>
      <c r="U255" s="9" t="s">
        <v>101</v>
      </c>
      <c r="V255" s="15"/>
      <c r="W255" s="15"/>
      <c r="X255" s="15"/>
      <c r="Y255" s="15"/>
      <c r="Z255" s="15"/>
      <c r="AA255" s="15"/>
      <c r="AB255" s="15"/>
      <c r="AC255" s="15"/>
      <c r="AD255" s="15"/>
      <c r="AE255" s="19"/>
      <c r="AF255" s="19"/>
      <c r="AG255" s="7" t="s">
        <v>109</v>
      </c>
      <c r="AH255" s="13" t="str">
        <f>iferror(VLOOKUP($B255,covariates!$B$3:$Z$1126,6,FALSE),"")</f>
        <v/>
      </c>
      <c r="AI255" s="13" t="str">
        <f>iferror(VLOOKUP($B255,covariates!$B$3:$Z$1126,7,FALSE),"")</f>
        <v/>
      </c>
      <c r="AJ255" s="9" t="str">
        <f>iferror(VLOOKUP($B255,covariates!$B$3:$Z$1126,14,FALSE),"")</f>
        <v/>
      </c>
      <c r="AK255" s="9" t="str">
        <f>iferror(VLOOKUP($B255,covariates!$B$3:$Z$1126,16,FALSE),"")</f>
        <v/>
      </c>
      <c r="AL255" s="9">
        <f>iferror(VLOOKUP($B255,covariates!$B$3:$Z$1126,18,FALSE),"")</f>
        <v>60.6</v>
      </c>
      <c r="AM255" s="9">
        <f>iferror(VLOOKUP($B255,covariates!$B$3:$Z$1126,19,FALSE),"")</f>
        <v>5.1</v>
      </c>
    </row>
    <row r="256">
      <c r="A256" s="15">
        <v>37.0</v>
      </c>
      <c r="B256" s="17" t="str">
        <f t="shared" ref="B256:B257" si="141">HYPERLINK("https://github.com/d-wkim/phd/blob/main/data/pdf/ibrahim_2005.pdf","Ibrahim et al., 2005")</f>
        <v>Ibrahim et al., 2005</v>
      </c>
      <c r="C256" s="9" t="s">
        <v>42</v>
      </c>
      <c r="D256" s="19" t="s">
        <v>370</v>
      </c>
      <c r="E256" s="9" t="s">
        <v>64</v>
      </c>
      <c r="F256" s="9">
        <v>40.0</v>
      </c>
      <c r="G256" s="13">
        <v>5.0</v>
      </c>
      <c r="H256" s="21">
        <f t="shared" si="131"/>
        <v>0.9938586932</v>
      </c>
      <c r="I256" s="15"/>
      <c r="J256" s="15"/>
      <c r="K256" s="15"/>
      <c r="L256" s="15"/>
      <c r="M256" s="15"/>
      <c r="N256" s="66"/>
      <c r="O256" s="9" t="s">
        <v>101</v>
      </c>
      <c r="P256" s="9" t="s">
        <v>101</v>
      </c>
      <c r="Q256" s="9" t="s">
        <v>101</v>
      </c>
      <c r="R256" s="9" t="s">
        <v>101</v>
      </c>
      <c r="S256" s="9" t="s">
        <v>101</v>
      </c>
      <c r="T256" s="9" t="s">
        <v>101</v>
      </c>
      <c r="U256" s="9" t="s">
        <v>101</v>
      </c>
      <c r="V256" s="66"/>
      <c r="W256" s="66"/>
      <c r="X256" s="15"/>
      <c r="Y256" s="15"/>
      <c r="Z256" s="15"/>
      <c r="AA256" s="15"/>
      <c r="AB256" s="15"/>
      <c r="AC256" s="15"/>
      <c r="AD256" s="15"/>
      <c r="AE256" s="19"/>
      <c r="AF256" s="19"/>
      <c r="AG256" s="7" t="s">
        <v>109</v>
      </c>
      <c r="AH256" s="13">
        <f>iferror(VLOOKUP($B256,covariates!$B$3:$Z$1126,6,FALSE),"")</f>
        <v>22.3</v>
      </c>
      <c r="AI256" s="13">
        <f>iferror(VLOOKUP($B256,covariates!$B$3:$Z$1126,7,FALSE),"")</f>
        <v>3.942</v>
      </c>
      <c r="AJ256" s="9">
        <f>iferror(VLOOKUP($B256,covariates!$B$3:$Z$1126,14,FALSE),"")</f>
        <v>40</v>
      </c>
      <c r="AK256" s="9">
        <f>iferror(VLOOKUP($B256,covariates!$B$3:$Z$1126,16,FALSE),"")</f>
        <v>0</v>
      </c>
      <c r="AL256" s="9">
        <f>iferror(VLOOKUP($B256,covariates!$B$3:$Z$1126,18,FALSE),"")</f>
        <v>81</v>
      </c>
      <c r="AM256" s="9">
        <f>iferror(VLOOKUP($B256,covariates!$B$3:$Z$1126,19,FALSE),"")</f>
        <v>6.8</v>
      </c>
    </row>
    <row r="257">
      <c r="A257" s="15">
        <v>37.0</v>
      </c>
      <c r="B257" s="17" t="str">
        <f t="shared" si="141"/>
        <v>Ibrahim et al., 2005</v>
      </c>
      <c r="C257" s="9" t="s">
        <v>84</v>
      </c>
      <c r="D257" s="19" t="s">
        <v>370</v>
      </c>
      <c r="E257" s="9" t="s">
        <v>64</v>
      </c>
      <c r="F257" s="9">
        <v>46.0</v>
      </c>
      <c r="G257" s="13">
        <v>7.0</v>
      </c>
      <c r="H257" s="21">
        <f t="shared" si="131"/>
        <v>1.304294228</v>
      </c>
      <c r="I257" s="15"/>
      <c r="J257" s="15"/>
      <c r="K257" s="15"/>
      <c r="L257" s="15"/>
      <c r="M257" s="15"/>
      <c r="N257" s="66"/>
      <c r="O257" s="9" t="s">
        <v>101</v>
      </c>
      <c r="P257" s="9" t="s">
        <v>101</v>
      </c>
      <c r="Q257" s="9" t="s">
        <v>101</v>
      </c>
      <c r="R257" s="9" t="s">
        <v>101</v>
      </c>
      <c r="S257" s="9" t="s">
        <v>101</v>
      </c>
      <c r="T257" s="9" t="s">
        <v>101</v>
      </c>
      <c r="U257" s="9" t="s">
        <v>101</v>
      </c>
      <c r="V257" s="66"/>
      <c r="W257" s="66"/>
      <c r="X257" s="15"/>
      <c r="Y257" s="15"/>
      <c r="Z257" s="15"/>
      <c r="AA257" s="15"/>
      <c r="AB257" s="15"/>
      <c r="AC257" s="15"/>
      <c r="AD257" s="15"/>
      <c r="AE257" s="19"/>
      <c r="AF257" s="19"/>
      <c r="AG257" s="7" t="s">
        <v>109</v>
      </c>
      <c r="AH257" s="13">
        <f>iferror(VLOOKUP($B257,covariates!$B$3:$Z$1126,6,FALSE),"")</f>
        <v>22.3</v>
      </c>
      <c r="AI257" s="13">
        <f>iferror(VLOOKUP($B257,covariates!$B$3:$Z$1126,7,FALSE),"")</f>
        <v>3.942</v>
      </c>
      <c r="AJ257" s="9">
        <f>iferror(VLOOKUP($B257,covariates!$B$3:$Z$1126,14,FALSE),"")</f>
        <v>40</v>
      </c>
      <c r="AK257" s="9">
        <f>iferror(VLOOKUP($B257,covariates!$B$3:$Z$1126,16,FALSE),"")</f>
        <v>0</v>
      </c>
      <c r="AL257" s="9">
        <f>iferror(VLOOKUP($B257,covariates!$B$3:$Z$1126,18,FALSE),"")</f>
        <v>81</v>
      </c>
      <c r="AM257" s="9">
        <f>iferror(VLOOKUP($B257,covariates!$B$3:$Z$1126,19,FALSE),"")</f>
        <v>6.8</v>
      </c>
    </row>
    <row r="258">
      <c r="A258" s="15">
        <v>38.0</v>
      </c>
      <c r="B258" s="17" t="str">
        <f t="shared" ref="B258:B259" si="142">HYPERLINK("https://github.com/d-wkim/phd/blob/main/data/pdf/iliopoulos_2017.pdf","Iliopoulos et al., 2017")</f>
        <v>Iliopoulos et al., 2017</v>
      </c>
      <c r="C258" s="7" t="s">
        <v>42</v>
      </c>
      <c r="D258" s="19" t="s">
        <v>370</v>
      </c>
      <c r="E258" s="9" t="s">
        <v>64</v>
      </c>
      <c r="F258" s="15"/>
      <c r="G258" s="27"/>
      <c r="H258" s="21" t="str">
        <f t="shared" si="131"/>
        <v/>
      </c>
      <c r="I258" s="15"/>
      <c r="J258" s="15"/>
      <c r="K258" s="15"/>
      <c r="L258" s="15"/>
      <c r="M258" s="15"/>
      <c r="N258" s="66"/>
      <c r="O258" s="9" t="s">
        <v>101</v>
      </c>
      <c r="P258" s="9" t="s">
        <v>101</v>
      </c>
      <c r="Q258" s="9" t="s">
        <v>101</v>
      </c>
      <c r="R258" s="9" t="s">
        <v>101</v>
      </c>
      <c r="S258" s="9" t="s">
        <v>101</v>
      </c>
      <c r="T258" s="9" t="s">
        <v>101</v>
      </c>
      <c r="U258" s="9" t="s">
        <v>101</v>
      </c>
      <c r="V258" s="66"/>
      <c r="W258" s="66"/>
      <c r="X258" s="15"/>
      <c r="Y258" s="15"/>
      <c r="Z258" s="15"/>
      <c r="AA258" s="15"/>
      <c r="AB258" s="15"/>
      <c r="AC258" s="15"/>
      <c r="AD258" s="15"/>
      <c r="AE258" s="19"/>
      <c r="AF258" s="19"/>
      <c r="AG258" s="7" t="s">
        <v>174</v>
      </c>
      <c r="AH258" s="13">
        <f>iferror(VLOOKUP($B258,covariates!$B$3:$Z$1126,6,FALSE),"")</f>
        <v>24.8</v>
      </c>
      <c r="AI258" s="13">
        <f>iferror(VLOOKUP($B258,covariates!$B$3:$Z$1126,7,FALSE),"")</f>
        <v>5</v>
      </c>
      <c r="AJ258" s="9">
        <f>iferror(VLOOKUP($B258,covariates!$B$3:$Z$1126,14,FALSE),"")</f>
        <v>10</v>
      </c>
      <c r="AK258" s="9">
        <f>iferror(VLOOKUP($B258,covariates!$B$3:$Z$1126,16,FALSE),"")</f>
        <v>0</v>
      </c>
      <c r="AL258" s="9">
        <f>iferror(VLOOKUP($B258,covariates!$B$3:$Z$1126,18,FALSE),"")</f>
        <v>9</v>
      </c>
      <c r="AM258" s="9">
        <f>iferror(VLOOKUP($B258,covariates!$B$3:$Z$1126,19,FALSE),"")</f>
        <v>0.8</v>
      </c>
    </row>
    <row r="259">
      <c r="A259" s="15">
        <v>38.0</v>
      </c>
      <c r="B259" s="17" t="str">
        <f t="shared" si="142"/>
        <v>Iliopoulos et al., 2017</v>
      </c>
      <c r="C259" s="7" t="s">
        <v>84</v>
      </c>
      <c r="D259" s="19" t="s">
        <v>370</v>
      </c>
      <c r="E259" s="9" t="s">
        <v>64</v>
      </c>
      <c r="F259" s="15"/>
      <c r="G259" s="27"/>
      <c r="H259" s="21" t="str">
        <f t="shared" si="131"/>
        <v/>
      </c>
      <c r="I259" s="15"/>
      <c r="J259" s="15"/>
      <c r="K259" s="15"/>
      <c r="L259" s="15"/>
      <c r="M259" s="15"/>
      <c r="N259" s="66"/>
      <c r="O259" s="9" t="s">
        <v>101</v>
      </c>
      <c r="P259" s="9" t="s">
        <v>101</v>
      </c>
      <c r="Q259" s="9" t="s">
        <v>101</v>
      </c>
      <c r="R259" s="9" t="s">
        <v>101</v>
      </c>
      <c r="S259" s="9" t="s">
        <v>101</v>
      </c>
      <c r="T259" s="9" t="s">
        <v>101</v>
      </c>
      <c r="U259" s="9" t="s">
        <v>101</v>
      </c>
      <c r="V259" s="66"/>
      <c r="W259" s="66"/>
      <c r="X259" s="15"/>
      <c r="Y259" s="15"/>
      <c r="Z259" s="15"/>
      <c r="AA259" s="15"/>
      <c r="AB259" s="15"/>
      <c r="AC259" s="15"/>
      <c r="AD259" s="15"/>
      <c r="AE259" s="19"/>
      <c r="AF259" s="19"/>
      <c r="AG259" s="7" t="s">
        <v>174</v>
      </c>
      <c r="AH259" s="13">
        <f>iferror(VLOOKUP($B259,covariates!$B$3:$Z$1126,6,FALSE),"")</f>
        <v>24.8</v>
      </c>
      <c r="AI259" s="13">
        <f>iferror(VLOOKUP($B259,covariates!$B$3:$Z$1126,7,FALSE),"")</f>
        <v>5</v>
      </c>
      <c r="AJ259" s="9">
        <f>iferror(VLOOKUP($B259,covariates!$B$3:$Z$1126,14,FALSE),"")</f>
        <v>10</v>
      </c>
      <c r="AK259" s="9">
        <f>iferror(VLOOKUP($B259,covariates!$B$3:$Z$1126,16,FALSE),"")</f>
        <v>0</v>
      </c>
      <c r="AL259" s="9">
        <f>iferror(VLOOKUP($B259,covariates!$B$3:$Z$1126,18,FALSE),"")</f>
        <v>9</v>
      </c>
      <c r="AM259" s="9">
        <f>iferror(VLOOKUP($B259,covariates!$B$3:$Z$1126,19,FALSE),"")</f>
        <v>0.8</v>
      </c>
    </row>
    <row r="260">
      <c r="A260" s="15">
        <v>41.0</v>
      </c>
      <c r="B260" s="17" t="str">
        <f t="shared" ref="B260:B261" si="143">HYPERLINK("https://github.com/d-wkim/phd/blob/main/data/pdf/jansson_2003.pdf","Jansson et al., 2003")</f>
        <v>Jansson et al., 2003</v>
      </c>
      <c r="C260" s="9" t="s">
        <v>42</v>
      </c>
      <c r="D260" s="19" t="s">
        <v>370</v>
      </c>
      <c r="E260" s="9" t="s">
        <v>64</v>
      </c>
      <c r="F260" s="9">
        <v>43.0</v>
      </c>
      <c r="G260" s="13">
        <v>8.0</v>
      </c>
      <c r="H260" s="21">
        <f t="shared" si="131"/>
        <v>1.592520784</v>
      </c>
      <c r="I260" s="15"/>
      <c r="J260" s="15"/>
      <c r="K260" s="15"/>
      <c r="L260" s="15"/>
      <c r="M260" s="15"/>
      <c r="N260" s="66"/>
      <c r="O260" s="9" t="s">
        <v>101</v>
      </c>
      <c r="P260" s="9" t="s">
        <v>101</v>
      </c>
      <c r="Q260" s="9" t="s">
        <v>101</v>
      </c>
      <c r="R260" s="9" t="s">
        <v>101</v>
      </c>
      <c r="S260" s="9" t="s">
        <v>101</v>
      </c>
      <c r="T260" s="9" t="s">
        <v>101</v>
      </c>
      <c r="U260" s="9" t="s">
        <v>101</v>
      </c>
      <c r="V260" s="66"/>
      <c r="W260" s="66"/>
      <c r="X260" s="15"/>
      <c r="Y260" s="15"/>
      <c r="Z260" s="15"/>
      <c r="AA260" s="15"/>
      <c r="AB260" s="15"/>
      <c r="AC260" s="15"/>
      <c r="AD260" s="15"/>
      <c r="AE260" s="19"/>
      <c r="AF260" s="19"/>
      <c r="AG260" s="7" t="s">
        <v>109</v>
      </c>
      <c r="AH260" s="13" t="str">
        <f>iferror(VLOOKUP($B260,covariates!$B$3:$Z$1126,6,FALSE),"")</f>
        <v/>
      </c>
      <c r="AI260" s="13" t="str">
        <f>iferror(VLOOKUP($B260,covariates!$B$3:$Z$1126,7,FALSE),"")</f>
        <v/>
      </c>
      <c r="AJ260" s="9" t="str">
        <f>iferror(VLOOKUP($B260,covariates!$B$3:$Z$1126,14,FALSE),"")</f>
        <v/>
      </c>
      <c r="AK260" s="9" t="str">
        <f>iferror(VLOOKUP($B260,covariates!$B$3:$Z$1126,16,FALSE),"")</f>
        <v/>
      </c>
      <c r="AL260" s="9">
        <f>iferror(VLOOKUP($B260,covariates!$B$3:$Z$1126,18,FALSE),"")</f>
        <v>24</v>
      </c>
      <c r="AM260" s="9">
        <f>iferror(VLOOKUP($B260,covariates!$B$3:$Z$1126,19,FALSE),"")</f>
        <v>2</v>
      </c>
    </row>
    <row r="261">
      <c r="A261" s="15">
        <v>41.0</v>
      </c>
      <c r="B261" s="17" t="str">
        <f t="shared" si="143"/>
        <v>Jansson et al., 2003</v>
      </c>
      <c r="C261" s="9" t="s">
        <v>84</v>
      </c>
      <c r="D261" s="19" t="s">
        <v>370</v>
      </c>
      <c r="E261" s="9" t="s">
        <v>64</v>
      </c>
      <c r="F261" s="9">
        <v>46.0</v>
      </c>
      <c r="G261" s="13">
        <v>8.0</v>
      </c>
      <c r="H261" s="21">
        <f t="shared" si="131"/>
        <v>1.517100128</v>
      </c>
      <c r="I261" s="15"/>
      <c r="J261" s="15"/>
      <c r="K261" s="15"/>
      <c r="L261" s="15"/>
      <c r="M261" s="15"/>
      <c r="N261" s="66"/>
      <c r="O261" s="9" t="s">
        <v>101</v>
      </c>
      <c r="P261" s="9" t="s">
        <v>101</v>
      </c>
      <c r="Q261" s="9" t="s">
        <v>101</v>
      </c>
      <c r="R261" s="9" t="s">
        <v>101</v>
      </c>
      <c r="S261" s="9" t="s">
        <v>101</v>
      </c>
      <c r="T261" s="9" t="s">
        <v>101</v>
      </c>
      <c r="U261" s="9" t="s">
        <v>101</v>
      </c>
      <c r="V261" s="66"/>
      <c r="W261" s="66"/>
      <c r="X261" s="15"/>
      <c r="Y261" s="15"/>
      <c r="Z261" s="15"/>
      <c r="AA261" s="15"/>
      <c r="AB261" s="15"/>
      <c r="AC261" s="15"/>
      <c r="AD261" s="15"/>
      <c r="AE261" s="19"/>
      <c r="AF261" s="19"/>
      <c r="AG261" s="7" t="s">
        <v>109</v>
      </c>
      <c r="AH261" s="13" t="str">
        <f>iferror(VLOOKUP($B261,covariates!$B$3:$Z$1126,6,FALSE),"")</f>
        <v/>
      </c>
      <c r="AI261" s="13" t="str">
        <f>iferror(VLOOKUP($B261,covariates!$B$3:$Z$1126,7,FALSE),"")</f>
        <v/>
      </c>
      <c r="AJ261" s="9" t="str">
        <f>iferror(VLOOKUP($B261,covariates!$B$3:$Z$1126,14,FALSE),"")</f>
        <v/>
      </c>
      <c r="AK261" s="9" t="str">
        <f>iferror(VLOOKUP($B261,covariates!$B$3:$Z$1126,16,FALSE),"")</f>
        <v/>
      </c>
      <c r="AL261" s="9">
        <f>iferror(VLOOKUP($B261,covariates!$B$3:$Z$1126,18,FALSE),"")</f>
        <v>24</v>
      </c>
      <c r="AM261" s="9">
        <f>iferror(VLOOKUP($B261,covariates!$B$3:$Z$1126,19,FALSE),"")</f>
        <v>2</v>
      </c>
    </row>
    <row r="262">
      <c r="A262" s="15">
        <v>45.0</v>
      </c>
      <c r="B262" s="17" t="str">
        <f t="shared" ref="B262:B263" si="144">HYPERLINK("https://github.com/d-wkim/phd/blob/main/data/pdf/konrads_2016.pdf","Konrads et al., 2016")</f>
        <v>Konrads et al., 2016</v>
      </c>
      <c r="C262" s="9" t="s">
        <v>42</v>
      </c>
      <c r="D262" s="19" t="s">
        <v>370</v>
      </c>
      <c r="E262" s="9" t="s">
        <v>64</v>
      </c>
      <c r="F262" s="9">
        <v>24.0</v>
      </c>
      <c r="G262" s="13">
        <v>8.0</v>
      </c>
      <c r="H262" s="21">
        <f t="shared" si="131"/>
        <v>2.602582852</v>
      </c>
      <c r="I262" s="15"/>
      <c r="J262" s="15"/>
      <c r="K262" s="15"/>
      <c r="L262" s="15"/>
      <c r="M262" s="15"/>
      <c r="N262" s="15"/>
      <c r="O262" s="9" t="s">
        <v>101</v>
      </c>
      <c r="P262" s="9" t="s">
        <v>101</v>
      </c>
      <c r="Q262" s="9" t="s">
        <v>101</v>
      </c>
      <c r="R262" s="9" t="s">
        <v>101</v>
      </c>
      <c r="S262" s="9" t="s">
        <v>101</v>
      </c>
      <c r="T262" s="9" t="s">
        <v>101</v>
      </c>
      <c r="U262" s="9" t="s">
        <v>101</v>
      </c>
      <c r="V262" s="15"/>
      <c r="W262" s="15"/>
      <c r="X262" s="15"/>
      <c r="Y262" s="15"/>
      <c r="Z262" s="15"/>
      <c r="AA262" s="15"/>
      <c r="AB262" s="15"/>
      <c r="AC262" s="15"/>
      <c r="AD262" s="15"/>
      <c r="AE262" s="19"/>
      <c r="AF262" s="19"/>
      <c r="AG262" s="7" t="s">
        <v>109</v>
      </c>
      <c r="AH262" s="13">
        <f>iferror(VLOOKUP($B262,covariates!$B$3:$Z$1126,6,FALSE),"")</f>
        <v>29.8</v>
      </c>
      <c r="AI262" s="13">
        <f>iferror(VLOOKUP($B262,covariates!$B$3:$Z$1126,7,FALSE),"")</f>
        <v>6.33</v>
      </c>
      <c r="AJ262" s="9">
        <f>iferror(VLOOKUP($B262,covariates!$B$3:$Z$1126,14,FALSE),"")</f>
        <v>22</v>
      </c>
      <c r="AK262" s="9">
        <f>iferror(VLOOKUP($B262,covariates!$B$3:$Z$1126,16,FALSE),"")</f>
        <v>9</v>
      </c>
      <c r="AL262" s="9">
        <f>iferror(VLOOKUP($B262,covariates!$B$3:$Z$1126,18,FALSE),"")</f>
        <v>120</v>
      </c>
      <c r="AM262" s="9">
        <f>iferror(VLOOKUP($B262,covariates!$B$3:$Z$1126,19,FALSE),"")</f>
        <v>10</v>
      </c>
    </row>
    <row r="263">
      <c r="A263" s="15">
        <v>45.0</v>
      </c>
      <c r="B263" s="17" t="str">
        <f t="shared" si="144"/>
        <v>Konrads et al., 2016</v>
      </c>
      <c r="C263" s="9" t="s">
        <v>84</v>
      </c>
      <c r="D263" s="19" t="s">
        <v>370</v>
      </c>
      <c r="E263" s="9" t="s">
        <v>64</v>
      </c>
      <c r="F263" s="9">
        <v>23.0</v>
      </c>
      <c r="G263" s="13">
        <v>11.0</v>
      </c>
      <c r="H263" s="21">
        <f t="shared" si="131"/>
        <v>4.59600521</v>
      </c>
      <c r="I263" s="15"/>
      <c r="J263" s="15"/>
      <c r="K263" s="15"/>
      <c r="L263" s="15"/>
      <c r="M263" s="15"/>
      <c r="N263" s="15"/>
      <c r="O263" s="9" t="s">
        <v>101</v>
      </c>
      <c r="P263" s="9" t="s">
        <v>101</v>
      </c>
      <c r="Q263" s="9" t="s">
        <v>101</v>
      </c>
      <c r="R263" s="9" t="s">
        <v>101</v>
      </c>
      <c r="S263" s="9" t="s">
        <v>101</v>
      </c>
      <c r="T263" s="9" t="s">
        <v>101</v>
      </c>
      <c r="U263" s="9" t="s">
        <v>101</v>
      </c>
      <c r="V263" s="15"/>
      <c r="W263" s="15"/>
      <c r="X263" s="15"/>
      <c r="Y263" s="15"/>
      <c r="Z263" s="15"/>
      <c r="AA263" s="15"/>
      <c r="AB263" s="15"/>
      <c r="AC263" s="15"/>
      <c r="AD263" s="15"/>
      <c r="AE263" s="19"/>
      <c r="AF263" s="19"/>
      <c r="AG263" s="7" t="s">
        <v>109</v>
      </c>
      <c r="AH263" s="13">
        <f>iferror(VLOOKUP($B263,covariates!$B$3:$Z$1126,6,FALSE),"")</f>
        <v>29.8</v>
      </c>
      <c r="AI263" s="13">
        <f>iferror(VLOOKUP($B263,covariates!$B$3:$Z$1126,7,FALSE),"")</f>
        <v>6.33</v>
      </c>
      <c r="AJ263" s="9">
        <f>iferror(VLOOKUP($B263,covariates!$B$3:$Z$1126,14,FALSE),"")</f>
        <v>22</v>
      </c>
      <c r="AK263" s="9">
        <f>iferror(VLOOKUP($B263,covariates!$B$3:$Z$1126,16,FALSE),"")</f>
        <v>9</v>
      </c>
      <c r="AL263" s="9">
        <f>iferror(VLOOKUP($B263,covariates!$B$3:$Z$1126,18,FALSE),"")</f>
        <v>120</v>
      </c>
      <c r="AM263" s="9">
        <f>iferror(VLOOKUP($B263,covariates!$B$3:$Z$1126,19,FALSE),"")</f>
        <v>10</v>
      </c>
    </row>
    <row r="264">
      <c r="A264" s="15">
        <v>50.0</v>
      </c>
      <c r="B264" s="17" t="str">
        <f t="shared" ref="B264:B265" si="145">HYPERLINK("https://github.com/d-wkim/phd/blob/main/data/pdf/leitgeb_2014.pdf","Leitgeb et al., 2014")</f>
        <v>Leitgeb et al., 2014</v>
      </c>
      <c r="C264" s="7" t="s">
        <v>42</v>
      </c>
      <c r="D264" s="19" t="s">
        <v>370</v>
      </c>
      <c r="E264" s="9" t="s">
        <v>64</v>
      </c>
      <c r="F264" s="15"/>
      <c r="G264" s="27"/>
      <c r="H264" s="21" t="str">
        <f t="shared" si="131"/>
        <v/>
      </c>
      <c r="I264" s="15"/>
      <c r="J264" s="15"/>
      <c r="K264" s="15"/>
      <c r="L264" s="15"/>
      <c r="M264" s="15"/>
      <c r="N264" s="15"/>
      <c r="O264" s="9" t="s">
        <v>101</v>
      </c>
      <c r="P264" s="9" t="s">
        <v>101</v>
      </c>
      <c r="Q264" s="9" t="s">
        <v>101</v>
      </c>
      <c r="R264" s="9" t="s">
        <v>101</v>
      </c>
      <c r="S264" s="9" t="s">
        <v>101</v>
      </c>
      <c r="T264" s="9" t="s">
        <v>101</v>
      </c>
      <c r="U264" s="9" t="s">
        <v>101</v>
      </c>
      <c r="V264" s="15"/>
      <c r="W264" s="15"/>
      <c r="X264" s="15"/>
      <c r="Y264" s="15"/>
      <c r="Z264" s="15"/>
      <c r="AA264" s="15"/>
      <c r="AB264" s="15"/>
      <c r="AC264" s="15"/>
      <c r="AD264" s="15"/>
      <c r="AE264" s="19"/>
      <c r="AF264" s="19"/>
      <c r="AG264" s="7" t="s">
        <v>174</v>
      </c>
      <c r="AH264" s="13" t="str">
        <f>iferror(VLOOKUP($B264,covariates!$B$3:$Z$1126,6,FALSE),"")</f>
        <v/>
      </c>
      <c r="AI264" s="13" t="str">
        <f>iferror(VLOOKUP($B264,covariates!$B$3:$Z$1126,7,FALSE),"")</f>
        <v/>
      </c>
      <c r="AJ264" s="9" t="str">
        <f>iferror(VLOOKUP($B264,covariates!$B$3:$Z$1126,14,FALSE),"")</f>
        <v/>
      </c>
      <c r="AK264" s="9" t="str">
        <f>iferror(VLOOKUP($B264,covariates!$B$3:$Z$1126,16,FALSE),"")</f>
        <v/>
      </c>
      <c r="AL264" s="9" t="str">
        <f>iferror(VLOOKUP($B264,covariates!$B$3:$Z$1126,18,FALSE),"")</f>
        <v/>
      </c>
      <c r="AM264" s="9" t="str">
        <f>iferror(VLOOKUP($B264,covariates!$B$3:$Z$1126,19,FALSE),"")</f>
        <v/>
      </c>
    </row>
    <row r="265">
      <c r="A265" s="15">
        <v>50.0</v>
      </c>
      <c r="B265" s="17" t="str">
        <f t="shared" si="145"/>
        <v>Leitgeb et al., 2014</v>
      </c>
      <c r="C265" s="7" t="s">
        <v>84</v>
      </c>
      <c r="D265" s="19" t="s">
        <v>370</v>
      </c>
      <c r="E265" s="9" t="s">
        <v>64</v>
      </c>
      <c r="F265" s="15"/>
      <c r="G265" s="27"/>
      <c r="H265" s="21" t="str">
        <f t="shared" si="131"/>
        <v/>
      </c>
      <c r="I265" s="15"/>
      <c r="J265" s="15"/>
      <c r="K265" s="15"/>
      <c r="L265" s="15"/>
      <c r="M265" s="15"/>
      <c r="N265" s="15"/>
      <c r="O265" s="9" t="s">
        <v>101</v>
      </c>
      <c r="P265" s="9" t="s">
        <v>101</v>
      </c>
      <c r="Q265" s="9" t="s">
        <v>101</v>
      </c>
      <c r="R265" s="9" t="s">
        <v>101</v>
      </c>
      <c r="S265" s="9" t="s">
        <v>101</v>
      </c>
      <c r="T265" s="9" t="s">
        <v>101</v>
      </c>
      <c r="U265" s="9" t="s">
        <v>101</v>
      </c>
      <c r="V265" s="15"/>
      <c r="W265" s="15"/>
      <c r="X265" s="15"/>
      <c r="Y265" s="15"/>
      <c r="Z265" s="15"/>
      <c r="AA265" s="15"/>
      <c r="AB265" s="15"/>
      <c r="AC265" s="15"/>
      <c r="AD265" s="15"/>
      <c r="AE265" s="19"/>
      <c r="AF265" s="19"/>
      <c r="AG265" s="7" t="s">
        <v>174</v>
      </c>
      <c r="AH265" s="13" t="str">
        <f>iferror(VLOOKUP($B265,covariates!$B$3:$Z$1126,6,FALSE),"")</f>
        <v/>
      </c>
      <c r="AI265" s="13" t="str">
        <f>iferror(VLOOKUP($B265,covariates!$B$3:$Z$1126,7,FALSE),"")</f>
        <v/>
      </c>
      <c r="AJ265" s="9" t="str">
        <f>iferror(VLOOKUP($B265,covariates!$B$3:$Z$1126,14,FALSE),"")</f>
        <v/>
      </c>
      <c r="AK265" s="9" t="str">
        <f>iferror(VLOOKUP($B265,covariates!$B$3:$Z$1126,16,FALSE),"")</f>
        <v/>
      </c>
      <c r="AL265" s="9" t="str">
        <f>iferror(VLOOKUP($B265,covariates!$B$3:$Z$1126,18,FALSE),"")</f>
        <v/>
      </c>
      <c r="AM265" s="9" t="str">
        <f>iferror(VLOOKUP($B265,covariates!$B$3:$Z$1126,19,FALSE),"")</f>
        <v/>
      </c>
    </row>
    <row r="266">
      <c r="A266" s="15">
        <v>51.0</v>
      </c>
      <c r="B266" s="17" t="str">
        <f t="shared" ref="B266:B267" si="146">HYPERLINK("https://github.com/d-wkim/phd/blob/main/data/pdf/li_2015.pdf","Li et al., 2015")</f>
        <v>Li et al., 2015</v>
      </c>
      <c r="C266" s="9" t="s">
        <v>84</v>
      </c>
      <c r="D266" s="19" t="s">
        <v>370</v>
      </c>
      <c r="E266" s="9" t="s">
        <v>64</v>
      </c>
      <c r="F266" s="9">
        <v>32.0</v>
      </c>
      <c r="G266" s="13">
        <v>6.0</v>
      </c>
      <c r="H266" s="21">
        <f t="shared" si="131"/>
        <v>1.414213562</v>
      </c>
      <c r="I266" s="15"/>
      <c r="J266" s="15"/>
      <c r="K266" s="15"/>
      <c r="L266" s="15"/>
      <c r="M266" s="15"/>
      <c r="N266" s="15"/>
      <c r="O266" s="9" t="s">
        <v>101</v>
      </c>
      <c r="P266" s="9" t="s">
        <v>101</v>
      </c>
      <c r="Q266" s="9" t="s">
        <v>101</v>
      </c>
      <c r="R266" s="9" t="s">
        <v>101</v>
      </c>
      <c r="S266" s="9" t="s">
        <v>101</v>
      </c>
      <c r="T266" s="9" t="s">
        <v>101</v>
      </c>
      <c r="U266" s="9" t="s">
        <v>101</v>
      </c>
      <c r="V266" s="15"/>
      <c r="W266" s="15"/>
      <c r="X266" s="15"/>
      <c r="Y266" s="15"/>
      <c r="Z266" s="15"/>
      <c r="AA266" s="15"/>
      <c r="AB266" s="15"/>
      <c r="AC266" s="15"/>
      <c r="AD266" s="15"/>
      <c r="AE266" s="19"/>
      <c r="AF266" s="19"/>
      <c r="AG266" s="7" t="s">
        <v>109</v>
      </c>
      <c r="AH266" s="13">
        <f>iferror(VLOOKUP($B266,covariates!$B$3:$Z$1126,6,FALSE),"")</f>
        <v>29.8</v>
      </c>
      <c r="AI266" s="13">
        <f>iferror(VLOOKUP($B266,covariates!$B$3:$Z$1126,7,FALSE),"")</f>
        <v>7.9</v>
      </c>
      <c r="AJ266" s="9">
        <f>iferror(VLOOKUP($B266,covariates!$B$3:$Z$1126,14,FALSE),"")</f>
        <v>17</v>
      </c>
      <c r="AK266" s="9">
        <f>iferror(VLOOKUP($B266,covariates!$B$3:$Z$1126,16,FALSE),"")</f>
        <v>15</v>
      </c>
      <c r="AL266" s="9">
        <f>iferror(VLOOKUP($B266,covariates!$B$3:$Z$1126,18,FALSE),"")</f>
        <v>69.6</v>
      </c>
      <c r="AM266" s="9">
        <f>iferror(VLOOKUP($B266,covariates!$B$3:$Z$1126,19,FALSE),"")</f>
        <v>5.8</v>
      </c>
    </row>
    <row r="267">
      <c r="A267" s="15">
        <v>51.0</v>
      </c>
      <c r="B267" s="17" t="str">
        <f t="shared" si="146"/>
        <v>Li et al., 2015</v>
      </c>
      <c r="C267" s="9" t="s">
        <v>205</v>
      </c>
      <c r="D267" s="19" t="s">
        <v>370</v>
      </c>
      <c r="E267" s="9" t="s">
        <v>64</v>
      </c>
      <c r="F267" s="9">
        <v>32.0</v>
      </c>
      <c r="G267" s="13">
        <v>13.0</v>
      </c>
      <c r="H267" s="21">
        <f t="shared" si="131"/>
        <v>4.019343809</v>
      </c>
      <c r="I267" s="15"/>
      <c r="J267" s="15"/>
      <c r="K267" s="15"/>
      <c r="L267" s="15"/>
      <c r="M267" s="15"/>
      <c r="N267" s="15"/>
      <c r="O267" s="9" t="s">
        <v>101</v>
      </c>
      <c r="P267" s="9" t="s">
        <v>101</v>
      </c>
      <c r="Q267" s="9" t="s">
        <v>101</v>
      </c>
      <c r="R267" s="9" t="s">
        <v>101</v>
      </c>
      <c r="S267" s="9" t="s">
        <v>101</v>
      </c>
      <c r="T267" s="9" t="s">
        <v>101</v>
      </c>
      <c r="U267" s="9" t="s">
        <v>101</v>
      </c>
      <c r="V267" s="19"/>
      <c r="W267" s="19"/>
      <c r="X267" s="19"/>
      <c r="Y267" s="19"/>
      <c r="Z267" s="19"/>
      <c r="AA267" s="19"/>
      <c r="AB267" s="19"/>
      <c r="AC267" s="19"/>
      <c r="AD267" s="19"/>
      <c r="AE267" s="19"/>
      <c r="AF267" s="19"/>
      <c r="AG267" s="7" t="s">
        <v>109</v>
      </c>
      <c r="AH267" s="13">
        <f>iferror(VLOOKUP($B267,covariates!$B$3:$Z$1126,6,FALSE),"")</f>
        <v>29.8</v>
      </c>
      <c r="AI267" s="13">
        <f>iferror(VLOOKUP($B267,covariates!$B$3:$Z$1126,7,FALSE),"")</f>
        <v>7.9</v>
      </c>
      <c r="AJ267" s="9">
        <f>iferror(VLOOKUP($B267,covariates!$B$3:$Z$1126,14,FALSE),"")</f>
        <v>17</v>
      </c>
      <c r="AK267" s="9">
        <f>iferror(VLOOKUP($B267,covariates!$B$3:$Z$1126,16,FALSE),"")</f>
        <v>15</v>
      </c>
      <c r="AL267" s="9">
        <f>iferror(VLOOKUP($B267,covariates!$B$3:$Z$1126,18,FALSE),"")</f>
        <v>69.6</v>
      </c>
      <c r="AM267" s="9">
        <f>iferror(VLOOKUP($B267,covariates!$B$3:$Z$1126,19,FALSE),"")</f>
        <v>5.8</v>
      </c>
    </row>
    <row r="268">
      <c r="A268" s="15">
        <v>52.0</v>
      </c>
      <c r="B268" s="17" t="str">
        <f t="shared" ref="B268:B269" si="147">HYPERLINK("https://github.com/d-wkim/phd/blob/main/data/pdf/lidén_2007.pdf","Lidén et al., 2007")</f>
        <v>Lidén et al., 2007</v>
      </c>
      <c r="C268" s="9" t="s">
        <v>42</v>
      </c>
      <c r="D268" s="19" t="s">
        <v>370</v>
      </c>
      <c r="E268" s="9" t="s">
        <v>64</v>
      </c>
      <c r="F268" s="9">
        <v>30.0</v>
      </c>
      <c r="G268" s="13">
        <v>22.0</v>
      </c>
      <c r="H268" s="21">
        <f t="shared" si="131"/>
        <v>15.40469693</v>
      </c>
      <c r="I268" s="15"/>
      <c r="J268" s="15"/>
      <c r="K268" s="15"/>
      <c r="L268" s="15"/>
      <c r="M268" s="15"/>
      <c r="N268" s="15"/>
      <c r="O268" s="9" t="s">
        <v>101</v>
      </c>
      <c r="P268" s="9" t="s">
        <v>101</v>
      </c>
      <c r="Q268" s="9" t="s">
        <v>101</v>
      </c>
      <c r="R268" s="9" t="s">
        <v>101</v>
      </c>
      <c r="S268" s="9" t="s">
        <v>101</v>
      </c>
      <c r="T268" s="9" t="s">
        <v>101</v>
      </c>
      <c r="U268" s="9" t="s">
        <v>101</v>
      </c>
      <c r="V268" s="15"/>
      <c r="W268" s="15"/>
      <c r="X268" s="15"/>
      <c r="Y268" s="15"/>
      <c r="Z268" s="15"/>
      <c r="AA268" s="15"/>
      <c r="AB268" s="15"/>
      <c r="AC268" s="15"/>
      <c r="AD268" s="15"/>
      <c r="AE268" s="19"/>
      <c r="AF268" s="19"/>
      <c r="AG268" s="7" t="s">
        <v>109</v>
      </c>
      <c r="AH268" s="13">
        <f>iferror(VLOOKUP($B268,covariates!$B$3:$Z$1126,6,FALSE),"")</f>
        <v>28</v>
      </c>
      <c r="AI268" s="13">
        <f>iferror(VLOOKUP($B268,covariates!$B$3:$Z$1126,7,FALSE),"")</f>
        <v>8.368</v>
      </c>
      <c r="AJ268" s="9">
        <f>iferror(VLOOKUP($B268,covariates!$B$3:$Z$1126,14,FALSE),"")</f>
        <v>23</v>
      </c>
      <c r="AK268" s="9">
        <f>iferror(VLOOKUP($B268,covariates!$B$3:$Z$1126,16,FALSE),"")</f>
        <v>11</v>
      </c>
      <c r="AL268" s="9">
        <f>iferror(VLOOKUP($B268,covariates!$B$3:$Z$1126,18,FALSE),"")</f>
        <v>87.10618173</v>
      </c>
      <c r="AM268" s="9">
        <f>iferror(VLOOKUP($B268,covariates!$B$3:$Z$1126,19,FALSE),"")</f>
        <v>7.3</v>
      </c>
    </row>
    <row r="269">
      <c r="A269" s="15">
        <v>52.0</v>
      </c>
      <c r="B269" s="17" t="str">
        <f t="shared" si="147"/>
        <v>Lidén et al., 2007</v>
      </c>
      <c r="C269" s="9" t="s">
        <v>84</v>
      </c>
      <c r="D269" s="19" t="s">
        <v>370</v>
      </c>
      <c r="E269" s="9" t="s">
        <v>64</v>
      </c>
      <c r="F269" s="9">
        <v>32.0</v>
      </c>
      <c r="G269" s="13">
        <v>25.0</v>
      </c>
      <c r="H269" s="21">
        <f t="shared" si="131"/>
        <v>20.60711191</v>
      </c>
      <c r="I269" s="15"/>
      <c r="J269" s="15"/>
      <c r="K269" s="15"/>
      <c r="L269" s="15"/>
      <c r="M269" s="15"/>
      <c r="N269" s="15"/>
      <c r="O269" s="9" t="s">
        <v>101</v>
      </c>
      <c r="P269" s="9" t="s">
        <v>101</v>
      </c>
      <c r="Q269" s="9" t="s">
        <v>101</v>
      </c>
      <c r="R269" s="9" t="s">
        <v>101</v>
      </c>
      <c r="S269" s="9" t="s">
        <v>101</v>
      </c>
      <c r="T269" s="9" t="s">
        <v>101</v>
      </c>
      <c r="U269" s="9" t="s">
        <v>101</v>
      </c>
      <c r="V269" s="15"/>
      <c r="W269" s="15"/>
      <c r="X269" s="15"/>
      <c r="Y269" s="15"/>
      <c r="Z269" s="15"/>
      <c r="AA269" s="15"/>
      <c r="AB269" s="15"/>
      <c r="AC269" s="15"/>
      <c r="AD269" s="15"/>
      <c r="AE269" s="19"/>
      <c r="AF269" s="19"/>
      <c r="AG269" s="7" t="s">
        <v>109</v>
      </c>
      <c r="AH269" s="13">
        <f>iferror(VLOOKUP($B269,covariates!$B$3:$Z$1126,6,FALSE),"")</f>
        <v>28</v>
      </c>
      <c r="AI269" s="13">
        <f>iferror(VLOOKUP($B269,covariates!$B$3:$Z$1126,7,FALSE),"")</f>
        <v>8.368</v>
      </c>
      <c r="AJ269" s="9">
        <f>iferror(VLOOKUP($B269,covariates!$B$3:$Z$1126,14,FALSE),"")</f>
        <v>23</v>
      </c>
      <c r="AK269" s="9">
        <f>iferror(VLOOKUP($B269,covariates!$B$3:$Z$1126,16,FALSE),"")</f>
        <v>11</v>
      </c>
      <c r="AL269" s="9">
        <f>iferror(VLOOKUP($B269,covariates!$B$3:$Z$1126,18,FALSE),"")</f>
        <v>87.10618173</v>
      </c>
      <c r="AM269" s="9">
        <f>iferror(VLOOKUP($B269,covariates!$B$3:$Z$1126,19,FALSE),"")</f>
        <v>7.3</v>
      </c>
    </row>
    <row r="270">
      <c r="A270" s="15">
        <v>55.0</v>
      </c>
      <c r="B270" s="17" t="str">
        <f t="shared" ref="B270:B271" si="148">HYPERLINK("https://github.com/d-wkim/phd/blob/main/data/pdf/lui_2012.pdf","Lui et al., 2012")</f>
        <v>Lui et al., 2012</v>
      </c>
      <c r="C270" s="9" t="s">
        <v>42</v>
      </c>
      <c r="D270" s="19" t="s">
        <v>370</v>
      </c>
      <c r="E270" s="9" t="s">
        <v>64</v>
      </c>
      <c r="F270" s="9">
        <v>14.0</v>
      </c>
      <c r="G270" s="13">
        <v>4.0</v>
      </c>
      <c r="H270" s="21">
        <f t="shared" si="131"/>
        <v>1.683745824</v>
      </c>
      <c r="I270" s="133"/>
      <c r="J270" s="15"/>
      <c r="K270" s="15"/>
      <c r="L270" s="15"/>
      <c r="M270" s="15"/>
      <c r="N270" s="15"/>
      <c r="O270" s="9" t="s">
        <v>101</v>
      </c>
      <c r="P270" s="9" t="s">
        <v>101</v>
      </c>
      <c r="Q270" s="9" t="s">
        <v>101</v>
      </c>
      <c r="R270" s="9" t="s">
        <v>101</v>
      </c>
      <c r="S270" s="9" t="s">
        <v>101</v>
      </c>
      <c r="T270" s="9" t="s">
        <v>101</v>
      </c>
      <c r="U270" s="9" t="s">
        <v>101</v>
      </c>
      <c r="V270" s="15"/>
      <c r="W270" s="15"/>
      <c r="X270" s="15"/>
      <c r="Y270" s="15"/>
      <c r="Z270" s="15"/>
      <c r="AA270" s="15"/>
      <c r="AB270" s="15"/>
      <c r="AC270" s="15"/>
      <c r="AD270" s="15"/>
      <c r="AE270" s="19"/>
      <c r="AF270" s="19"/>
      <c r="AG270" s="7" t="s">
        <v>109</v>
      </c>
      <c r="AH270" s="13">
        <f>iferror(VLOOKUP($B270,covariates!$B$3:$Z$1126,6,FALSE),"")</f>
        <v>26.5</v>
      </c>
      <c r="AI270" s="13">
        <f>iferror(VLOOKUP($B270,covariates!$B$3:$Z$1126,7,FALSE),"")</f>
        <v>5</v>
      </c>
      <c r="AJ270" s="9">
        <f>iferror(VLOOKUP($B270,covariates!$B$3:$Z$1126,14,FALSE),"")</f>
        <v>14</v>
      </c>
      <c r="AK270" s="9">
        <f>iferror(VLOOKUP($B270,covariates!$B$3:$Z$1126,16,FALSE),"")</f>
        <v>0</v>
      </c>
      <c r="AL270" s="9">
        <f>iferror(VLOOKUP($B270,covariates!$B$3:$Z$1126,18,FALSE),"")</f>
        <v>12</v>
      </c>
      <c r="AM270" s="9">
        <f>iferror(VLOOKUP($B270,covariates!$B$3:$Z$1126,19,FALSE),"")</f>
        <v>1</v>
      </c>
    </row>
    <row r="271">
      <c r="A271" s="15">
        <v>55.0</v>
      </c>
      <c r="B271" s="17" t="str">
        <f t="shared" si="148"/>
        <v>Lui et al., 2012</v>
      </c>
      <c r="C271" s="9" t="s">
        <v>84</v>
      </c>
      <c r="D271" s="19" t="s">
        <v>370</v>
      </c>
      <c r="E271" s="9" t="s">
        <v>64</v>
      </c>
      <c r="F271" s="9">
        <v>17.0</v>
      </c>
      <c r="G271" s="13">
        <v>3.0</v>
      </c>
      <c r="H271" s="21">
        <f t="shared" si="131"/>
        <v>1.030776406</v>
      </c>
      <c r="I271" s="15"/>
      <c r="J271" s="15"/>
      <c r="K271" s="15"/>
      <c r="L271" s="15"/>
      <c r="M271" s="15"/>
      <c r="N271" s="15"/>
      <c r="O271" s="9" t="s">
        <v>101</v>
      </c>
      <c r="P271" s="9" t="s">
        <v>101</v>
      </c>
      <c r="Q271" s="9" t="s">
        <v>101</v>
      </c>
      <c r="R271" s="9" t="s">
        <v>101</v>
      </c>
      <c r="S271" s="9" t="s">
        <v>101</v>
      </c>
      <c r="T271" s="9" t="s">
        <v>101</v>
      </c>
      <c r="U271" s="9" t="s">
        <v>101</v>
      </c>
      <c r="V271" s="15"/>
      <c r="W271" s="15"/>
      <c r="X271" s="15"/>
      <c r="Y271" s="15"/>
      <c r="Z271" s="15"/>
      <c r="AA271" s="15"/>
      <c r="AB271" s="15"/>
      <c r="AC271" s="15"/>
      <c r="AD271" s="15"/>
      <c r="AE271" s="19"/>
      <c r="AF271" s="19"/>
      <c r="AG271" s="7" t="s">
        <v>109</v>
      </c>
      <c r="AH271" s="13">
        <f>iferror(VLOOKUP($B271,covariates!$B$3:$Z$1126,6,FALSE),"")</f>
        <v>26.5</v>
      </c>
      <c r="AI271" s="13">
        <f>iferror(VLOOKUP($B271,covariates!$B$3:$Z$1126,7,FALSE),"")</f>
        <v>5</v>
      </c>
      <c r="AJ271" s="9">
        <f>iferror(VLOOKUP($B271,covariates!$B$3:$Z$1126,14,FALSE),"")</f>
        <v>14</v>
      </c>
      <c r="AK271" s="9">
        <f>iferror(VLOOKUP($B271,covariates!$B$3:$Z$1126,16,FALSE),"")</f>
        <v>0</v>
      </c>
      <c r="AL271" s="9">
        <f>iferror(VLOOKUP($B271,covariates!$B$3:$Z$1126,18,FALSE),"")</f>
        <v>12</v>
      </c>
      <c r="AM271" s="9">
        <f>iferror(VLOOKUP($B271,covariates!$B$3:$Z$1126,19,FALSE),"")</f>
        <v>1</v>
      </c>
    </row>
    <row r="272">
      <c r="A272" s="15">
        <v>58.0</v>
      </c>
      <c r="B272" s="17" t="str">
        <f t="shared" ref="B272:B273" si="149">HYPERLINK("https://github.com/d-wkim/phd/blob/main/data/pdf/malik_2026.pdf","Malik et al., 2026")</f>
        <v>Malik et al., 2026</v>
      </c>
      <c r="C272" s="9" t="s">
        <v>84</v>
      </c>
      <c r="D272" s="19" t="s">
        <v>370</v>
      </c>
      <c r="E272" s="9" t="s">
        <v>64</v>
      </c>
      <c r="F272" s="9">
        <v>25.0</v>
      </c>
      <c r="G272" s="13">
        <v>3.0</v>
      </c>
      <c r="H272" s="21">
        <f t="shared" si="131"/>
        <v>0.7954545455</v>
      </c>
      <c r="I272" s="15"/>
      <c r="J272" s="15"/>
      <c r="K272" s="15"/>
      <c r="L272" s="15"/>
      <c r="M272" s="15"/>
      <c r="N272" s="15"/>
      <c r="O272" s="9" t="s">
        <v>101</v>
      </c>
      <c r="P272" s="9" t="s">
        <v>101</v>
      </c>
      <c r="Q272" s="9" t="s">
        <v>101</v>
      </c>
      <c r="R272" s="9" t="s">
        <v>101</v>
      </c>
      <c r="S272" s="9" t="s">
        <v>101</v>
      </c>
      <c r="T272" s="9" t="s">
        <v>101</v>
      </c>
      <c r="U272" s="9" t="s">
        <v>101</v>
      </c>
      <c r="V272" s="15"/>
      <c r="W272" s="15"/>
      <c r="X272" s="15"/>
      <c r="Y272" s="15"/>
      <c r="Z272" s="15"/>
      <c r="AA272" s="15"/>
      <c r="AB272" s="15"/>
      <c r="AC272" s="15"/>
      <c r="AD272" s="15"/>
      <c r="AE272" s="19"/>
      <c r="AF272" s="19"/>
      <c r="AG272" s="7" t="s">
        <v>109</v>
      </c>
      <c r="AH272" s="13">
        <f>iferror(VLOOKUP($B272,covariates!$B$3:$Z$1126,6,FALSE),"")</f>
        <v>28.12</v>
      </c>
      <c r="AI272" s="13">
        <f>iferror(VLOOKUP($B272,covariates!$B$3:$Z$1126,7,FALSE),"")</f>
        <v>5.21</v>
      </c>
      <c r="AJ272" s="9">
        <f>iferror(VLOOKUP($B272,covariates!$B$3:$Z$1126,14,FALSE),"")</f>
        <v>18</v>
      </c>
      <c r="AK272" s="9">
        <f>iferror(VLOOKUP($B272,covariates!$B$3:$Z$1126,16,FALSE),"")</f>
        <v>7</v>
      </c>
      <c r="AL272" s="9">
        <f>iferror(VLOOKUP($B272,covariates!$B$3:$Z$1126,18,FALSE),"")</f>
        <v>6</v>
      </c>
      <c r="AM272" s="9">
        <f>iferror(VLOOKUP($B272,covariates!$B$3:$Z$1126,19,FALSE),"")</f>
        <v>0.5</v>
      </c>
    </row>
    <row r="273">
      <c r="A273" s="15">
        <v>58.0</v>
      </c>
      <c r="B273" s="17" t="str">
        <f t="shared" si="149"/>
        <v>Malik et al., 2026</v>
      </c>
      <c r="C273" s="9" t="s">
        <v>186</v>
      </c>
      <c r="D273" s="19" t="s">
        <v>370</v>
      </c>
      <c r="E273" s="9" t="s">
        <v>64</v>
      </c>
      <c r="F273" s="9">
        <v>25.0</v>
      </c>
      <c r="G273" s="13">
        <v>2.0</v>
      </c>
      <c r="H273" s="21">
        <f t="shared" si="131"/>
        <v>0.5434782609</v>
      </c>
      <c r="I273" s="15"/>
      <c r="J273" s="15"/>
      <c r="K273" s="15"/>
      <c r="L273" s="15"/>
      <c r="M273" s="15"/>
      <c r="N273" s="15"/>
      <c r="O273" s="9" t="s">
        <v>101</v>
      </c>
      <c r="P273" s="9" t="s">
        <v>101</v>
      </c>
      <c r="Q273" s="9" t="s">
        <v>101</v>
      </c>
      <c r="R273" s="9" t="s">
        <v>101</v>
      </c>
      <c r="S273" s="9" t="s">
        <v>101</v>
      </c>
      <c r="T273" s="9" t="s">
        <v>101</v>
      </c>
      <c r="U273" s="9" t="s">
        <v>101</v>
      </c>
      <c r="V273" s="19"/>
      <c r="W273" s="19"/>
      <c r="X273" s="19"/>
      <c r="Y273" s="19"/>
      <c r="Z273" s="19"/>
      <c r="AA273" s="19"/>
      <c r="AB273" s="19"/>
      <c r="AC273" s="19"/>
      <c r="AD273" s="19"/>
      <c r="AE273" s="19"/>
      <c r="AF273" s="19"/>
      <c r="AG273" s="7" t="s">
        <v>109</v>
      </c>
      <c r="AH273" s="13">
        <f>iferror(VLOOKUP($B273,covariates!$B$3:$Z$1126,6,FALSE),"")</f>
        <v>28.12</v>
      </c>
      <c r="AI273" s="13">
        <f>iferror(VLOOKUP($B273,covariates!$B$3:$Z$1126,7,FALSE),"")</f>
        <v>5.21</v>
      </c>
      <c r="AJ273" s="9">
        <f>iferror(VLOOKUP($B273,covariates!$B$3:$Z$1126,14,FALSE),"")</f>
        <v>18</v>
      </c>
      <c r="AK273" s="9">
        <f>iferror(VLOOKUP($B273,covariates!$B$3:$Z$1126,16,FALSE),"")</f>
        <v>7</v>
      </c>
      <c r="AL273" s="9">
        <f>iferror(VLOOKUP($B273,covariates!$B$3:$Z$1126,18,FALSE),"")</f>
        <v>6</v>
      </c>
      <c r="AM273" s="9">
        <f>iferror(VLOOKUP($B273,covariates!$B$3:$Z$1126,19,FALSE),"")</f>
        <v>0.5</v>
      </c>
    </row>
    <row r="274">
      <c r="A274" s="15">
        <v>66.0</v>
      </c>
      <c r="B274" s="17" t="str">
        <f t="shared" ref="B274:B275" si="150">HYPERLINK("https://github.com/d-wkim/phd/blob/main/data/pdf/mohtadi_2016a.pdf","Mohtadi et al., 2016")</f>
        <v>Mohtadi et al., 2016</v>
      </c>
      <c r="C274" s="7" t="s">
        <v>42</v>
      </c>
      <c r="D274" s="19" t="s">
        <v>370</v>
      </c>
      <c r="E274" s="9" t="s">
        <v>64</v>
      </c>
      <c r="F274" s="9"/>
      <c r="G274" s="27"/>
      <c r="H274" s="21" t="str">
        <f t="shared" si="131"/>
        <v/>
      </c>
      <c r="I274" s="15"/>
      <c r="J274" s="15"/>
      <c r="K274" s="15"/>
      <c r="L274" s="15"/>
      <c r="M274" s="15"/>
      <c r="N274" s="15"/>
      <c r="O274" s="9" t="s">
        <v>101</v>
      </c>
      <c r="P274" s="9" t="s">
        <v>101</v>
      </c>
      <c r="Q274" s="9" t="s">
        <v>101</v>
      </c>
      <c r="R274" s="9" t="s">
        <v>101</v>
      </c>
      <c r="S274" s="9" t="s">
        <v>101</v>
      </c>
      <c r="T274" s="9" t="s">
        <v>101</v>
      </c>
      <c r="U274" s="9" t="s">
        <v>101</v>
      </c>
      <c r="V274" s="15"/>
      <c r="W274" s="15"/>
      <c r="X274" s="15"/>
      <c r="Y274" s="15"/>
      <c r="Z274" s="15"/>
      <c r="AA274" s="15"/>
      <c r="AB274" s="15"/>
      <c r="AC274" s="15"/>
      <c r="AD274" s="15"/>
      <c r="AE274" s="19"/>
      <c r="AF274" s="19"/>
      <c r="AG274" s="7" t="s">
        <v>174</v>
      </c>
      <c r="AH274" s="13">
        <f>iferror(VLOOKUP($B274,covariates!$B$3:$Z$1126,6,FALSE),"")</f>
        <v>28.7</v>
      </c>
      <c r="AI274" s="13">
        <f>iferror(VLOOKUP($B274,covariates!$B$3:$Z$1126,7,FALSE),"")</f>
        <v>9.9</v>
      </c>
      <c r="AJ274" s="9">
        <f>iferror(VLOOKUP($B274,covariates!$B$3:$Z$1126,14,FALSE),"")</f>
        <v>63</v>
      </c>
      <c r="AK274" s="9">
        <f>iferror(VLOOKUP($B274,covariates!$B$3:$Z$1126,16,FALSE),"")</f>
        <v>47</v>
      </c>
      <c r="AL274" s="9">
        <f>iferror(VLOOKUP($B274,covariates!$B$3:$Z$1126,18,FALSE),"")</f>
        <v>24</v>
      </c>
      <c r="AM274" s="9">
        <f>iferror(VLOOKUP($B274,covariates!$B$3:$Z$1126,19,FALSE),"")</f>
        <v>2</v>
      </c>
    </row>
    <row r="275">
      <c r="A275" s="15">
        <v>66.0</v>
      </c>
      <c r="B275" s="17" t="str">
        <f t="shared" si="150"/>
        <v>Mohtadi et al., 2016</v>
      </c>
      <c r="C275" s="7" t="s">
        <v>84</v>
      </c>
      <c r="D275" s="19" t="s">
        <v>370</v>
      </c>
      <c r="E275" s="9" t="s">
        <v>64</v>
      </c>
      <c r="F275" s="9"/>
      <c r="G275" s="27"/>
      <c r="H275" s="21" t="str">
        <f t="shared" si="131"/>
        <v/>
      </c>
      <c r="I275" s="15"/>
      <c r="J275" s="15"/>
      <c r="K275" s="15"/>
      <c r="L275" s="15"/>
      <c r="M275" s="15"/>
      <c r="N275" s="15"/>
      <c r="O275" s="9" t="s">
        <v>101</v>
      </c>
      <c r="P275" s="9" t="s">
        <v>101</v>
      </c>
      <c r="Q275" s="9" t="s">
        <v>101</v>
      </c>
      <c r="R275" s="9" t="s">
        <v>101</v>
      </c>
      <c r="S275" s="9" t="s">
        <v>101</v>
      </c>
      <c r="T275" s="9" t="s">
        <v>101</v>
      </c>
      <c r="U275" s="9" t="s">
        <v>101</v>
      </c>
      <c r="V275" s="15"/>
      <c r="W275" s="15"/>
      <c r="X275" s="15"/>
      <c r="Y275" s="15"/>
      <c r="Z275" s="15"/>
      <c r="AA275" s="15"/>
      <c r="AB275" s="15"/>
      <c r="AC275" s="15"/>
      <c r="AD275" s="15"/>
      <c r="AE275" s="19"/>
      <c r="AF275" s="19"/>
      <c r="AG275" s="7" t="s">
        <v>174</v>
      </c>
      <c r="AH275" s="13">
        <f>iferror(VLOOKUP($B275,covariates!$B$3:$Z$1126,6,FALSE),"")</f>
        <v>28.7</v>
      </c>
      <c r="AI275" s="13">
        <f>iferror(VLOOKUP($B275,covariates!$B$3:$Z$1126,7,FALSE),"")</f>
        <v>9.9</v>
      </c>
      <c r="AJ275" s="9">
        <f>iferror(VLOOKUP($B275,covariates!$B$3:$Z$1126,14,FALSE),"")</f>
        <v>63</v>
      </c>
      <c r="AK275" s="9">
        <f>iferror(VLOOKUP($B275,covariates!$B$3:$Z$1126,16,FALSE),"")</f>
        <v>47</v>
      </c>
      <c r="AL275" s="9">
        <f>iferror(VLOOKUP($B275,covariates!$B$3:$Z$1126,18,FALSE),"")</f>
        <v>24</v>
      </c>
      <c r="AM275" s="9">
        <f>iferror(VLOOKUP($B275,covariates!$B$3:$Z$1126,19,FALSE),"")</f>
        <v>2</v>
      </c>
    </row>
    <row r="276">
      <c r="A276" s="15">
        <v>67.0</v>
      </c>
      <c r="B276" s="17" t="str">
        <f t="shared" ref="B276:B277" si="151">HYPERLINK("https://github.com/d-wkim/phd/blob/main/data/pdf/mohtadi_chan_2019.pdf","Mohtadi &amp; Chan, 2019")</f>
        <v>Mohtadi &amp; Chan, 2019</v>
      </c>
      <c r="C276" s="7" t="s">
        <v>42</v>
      </c>
      <c r="D276" s="19" t="s">
        <v>370</v>
      </c>
      <c r="E276" s="9" t="s">
        <v>64</v>
      </c>
      <c r="F276" s="15"/>
      <c r="G276" s="27"/>
      <c r="H276" s="21" t="str">
        <f t="shared" si="131"/>
        <v/>
      </c>
      <c r="I276" s="15"/>
      <c r="J276" s="15"/>
      <c r="K276" s="15"/>
      <c r="L276" s="15"/>
      <c r="M276" s="15"/>
      <c r="N276" s="66"/>
      <c r="O276" s="9" t="s">
        <v>101</v>
      </c>
      <c r="P276" s="9" t="s">
        <v>101</v>
      </c>
      <c r="Q276" s="9" t="s">
        <v>101</v>
      </c>
      <c r="R276" s="9" t="s">
        <v>101</v>
      </c>
      <c r="S276" s="9" t="s">
        <v>101</v>
      </c>
      <c r="T276" s="9" t="s">
        <v>101</v>
      </c>
      <c r="U276" s="9" t="s">
        <v>101</v>
      </c>
      <c r="V276" s="66"/>
      <c r="W276" s="66"/>
      <c r="X276" s="15"/>
      <c r="Y276" s="15"/>
      <c r="Z276" s="15"/>
      <c r="AA276" s="15"/>
      <c r="AB276" s="15"/>
      <c r="AC276" s="15"/>
      <c r="AD276" s="15"/>
      <c r="AE276" s="19"/>
      <c r="AF276" s="19"/>
      <c r="AG276" s="7" t="s">
        <v>174</v>
      </c>
      <c r="AH276" s="13" t="str">
        <f>iferror(VLOOKUP($B276,covariates!$B$3:$Z$1126,6,FALSE),"")</f>
        <v/>
      </c>
      <c r="AI276" s="13" t="str">
        <f>iferror(VLOOKUP($B276,covariates!$B$3:$Z$1126,7,FALSE),"")</f>
        <v/>
      </c>
      <c r="AJ276" s="9" t="str">
        <f>iferror(VLOOKUP($B276,covariates!$B$3:$Z$1126,14,FALSE),"")</f>
        <v/>
      </c>
      <c r="AK276" s="9" t="str">
        <f>iferror(VLOOKUP($B276,covariates!$B$3:$Z$1126,16,FALSE),"")</f>
        <v/>
      </c>
      <c r="AL276" s="9" t="str">
        <f>iferror(VLOOKUP($B276,covariates!$B$3:$Z$1126,18,FALSE),"")</f>
        <v/>
      </c>
      <c r="AM276" s="9" t="str">
        <f>iferror(VLOOKUP($B276,covariates!$B$3:$Z$1126,19,FALSE),"")</f>
        <v/>
      </c>
    </row>
    <row r="277">
      <c r="A277" s="15">
        <v>67.0</v>
      </c>
      <c r="B277" s="17" t="str">
        <f t="shared" si="151"/>
        <v>Mohtadi &amp; Chan, 2019</v>
      </c>
      <c r="C277" s="7" t="s">
        <v>84</v>
      </c>
      <c r="D277" s="19" t="s">
        <v>370</v>
      </c>
      <c r="E277" s="9" t="s">
        <v>64</v>
      </c>
      <c r="F277" s="15"/>
      <c r="G277" s="27"/>
      <c r="H277" s="21" t="str">
        <f t="shared" si="131"/>
        <v/>
      </c>
      <c r="I277" s="15"/>
      <c r="J277" s="15"/>
      <c r="K277" s="15"/>
      <c r="L277" s="15"/>
      <c r="M277" s="15"/>
      <c r="N277" s="66"/>
      <c r="O277" s="9" t="s">
        <v>101</v>
      </c>
      <c r="P277" s="9" t="s">
        <v>101</v>
      </c>
      <c r="Q277" s="9" t="s">
        <v>101</v>
      </c>
      <c r="R277" s="9" t="s">
        <v>101</v>
      </c>
      <c r="S277" s="9" t="s">
        <v>101</v>
      </c>
      <c r="T277" s="9" t="s">
        <v>101</v>
      </c>
      <c r="U277" s="9" t="s">
        <v>101</v>
      </c>
      <c r="V277" s="66"/>
      <c r="W277" s="66"/>
      <c r="X277" s="15"/>
      <c r="Y277" s="15"/>
      <c r="Z277" s="15"/>
      <c r="AA277" s="15"/>
      <c r="AB277" s="15"/>
      <c r="AC277" s="15"/>
      <c r="AD277" s="15"/>
      <c r="AE277" s="19"/>
      <c r="AF277" s="19"/>
      <c r="AG277" s="7" t="s">
        <v>174</v>
      </c>
      <c r="AH277" s="13" t="str">
        <f>iferror(VLOOKUP($B277,covariates!$B$3:$Z$1126,6,FALSE),"")</f>
        <v/>
      </c>
      <c r="AI277" s="13" t="str">
        <f>iferror(VLOOKUP($B277,covariates!$B$3:$Z$1126,7,FALSE),"")</f>
        <v/>
      </c>
      <c r="AJ277" s="9" t="str">
        <f>iferror(VLOOKUP($B277,covariates!$B$3:$Z$1126,14,FALSE),"")</f>
        <v/>
      </c>
      <c r="AK277" s="9" t="str">
        <f>iferror(VLOOKUP($B277,covariates!$B$3:$Z$1126,16,FALSE),"")</f>
        <v/>
      </c>
      <c r="AL277" s="9" t="str">
        <f>iferror(VLOOKUP($B277,covariates!$B$3:$Z$1126,18,FALSE),"")</f>
        <v/>
      </c>
      <c r="AM277" s="9" t="str">
        <f>iferror(VLOOKUP($B277,covariates!$B$3:$Z$1126,19,FALSE),"")</f>
        <v/>
      </c>
    </row>
    <row r="278">
      <c r="A278" s="15">
        <v>68.0</v>
      </c>
      <c r="B278" s="17" t="str">
        <f t="shared" ref="B278:B279" si="152">HYPERLINK("https://github.com/d-wkim/phd/blob/main/data/pdf/moraiti_2010.pdf","Moraiti et al., 2010")</f>
        <v>Moraiti et al., 2010</v>
      </c>
      <c r="C278" s="7" t="s">
        <v>42</v>
      </c>
      <c r="D278" s="19" t="s">
        <v>370</v>
      </c>
      <c r="E278" s="9" t="s">
        <v>64</v>
      </c>
      <c r="F278" s="15"/>
      <c r="G278" s="27"/>
      <c r="H278" s="21" t="str">
        <f t="shared" si="131"/>
        <v/>
      </c>
      <c r="I278" s="15"/>
      <c r="J278" s="15"/>
      <c r="K278" s="15"/>
      <c r="L278" s="15"/>
      <c r="M278" s="15"/>
      <c r="N278" s="66"/>
      <c r="O278" s="9" t="s">
        <v>101</v>
      </c>
      <c r="P278" s="9" t="s">
        <v>101</v>
      </c>
      <c r="Q278" s="9" t="s">
        <v>101</v>
      </c>
      <c r="R278" s="9" t="s">
        <v>101</v>
      </c>
      <c r="S278" s="9" t="s">
        <v>101</v>
      </c>
      <c r="T278" s="9" t="s">
        <v>101</v>
      </c>
      <c r="U278" s="9" t="s">
        <v>101</v>
      </c>
      <c r="V278" s="66"/>
      <c r="W278" s="66"/>
      <c r="X278" s="15"/>
      <c r="Y278" s="15"/>
      <c r="Z278" s="15"/>
      <c r="AA278" s="15"/>
      <c r="AB278" s="15"/>
      <c r="AC278" s="15"/>
      <c r="AD278" s="15"/>
      <c r="AE278" s="19"/>
      <c r="AF278" s="19"/>
      <c r="AG278" s="7" t="s">
        <v>174</v>
      </c>
      <c r="AH278" s="13">
        <f>iferror(VLOOKUP($B278,covariates!$B$3:$Z$1126,6,FALSE),"")</f>
        <v>23</v>
      </c>
      <c r="AI278" s="13">
        <f>iferror(VLOOKUP($B278,covariates!$B$3:$Z$1126,7,FALSE),"")</f>
        <v>2</v>
      </c>
      <c r="AJ278" s="9">
        <f>iferror(VLOOKUP($B278,covariates!$B$3:$Z$1126,14,FALSE),"")</f>
        <v>6</v>
      </c>
      <c r="AK278" s="9">
        <f>iferror(VLOOKUP($B278,covariates!$B$3:$Z$1126,16,FALSE),"")</f>
        <v>0</v>
      </c>
      <c r="AL278" s="9">
        <f>iferror(VLOOKUP($B278,covariates!$B$3:$Z$1126,18,FALSE),"")</f>
        <v>21</v>
      </c>
      <c r="AM278" s="9">
        <f>iferror(VLOOKUP($B278,covariates!$B$3:$Z$1126,19,FALSE),"")</f>
        <v>1.8</v>
      </c>
    </row>
    <row r="279">
      <c r="A279" s="15">
        <v>68.0</v>
      </c>
      <c r="B279" s="17" t="str">
        <f t="shared" si="152"/>
        <v>Moraiti et al., 2010</v>
      </c>
      <c r="C279" s="7" t="s">
        <v>84</v>
      </c>
      <c r="D279" s="19" t="s">
        <v>370</v>
      </c>
      <c r="E279" s="9" t="s">
        <v>64</v>
      </c>
      <c r="F279" s="15"/>
      <c r="G279" s="27"/>
      <c r="H279" s="21" t="str">
        <f t="shared" si="131"/>
        <v/>
      </c>
      <c r="I279" s="15"/>
      <c r="J279" s="15"/>
      <c r="K279" s="15"/>
      <c r="L279" s="15"/>
      <c r="M279" s="15"/>
      <c r="N279" s="66"/>
      <c r="O279" s="9" t="s">
        <v>101</v>
      </c>
      <c r="P279" s="9" t="s">
        <v>101</v>
      </c>
      <c r="Q279" s="9" t="s">
        <v>101</v>
      </c>
      <c r="R279" s="9" t="s">
        <v>101</v>
      </c>
      <c r="S279" s="9" t="s">
        <v>101</v>
      </c>
      <c r="T279" s="9" t="s">
        <v>101</v>
      </c>
      <c r="U279" s="9" t="s">
        <v>101</v>
      </c>
      <c r="V279" s="66"/>
      <c r="W279" s="66"/>
      <c r="X279" s="15"/>
      <c r="Y279" s="15"/>
      <c r="Z279" s="15"/>
      <c r="AA279" s="15"/>
      <c r="AB279" s="15"/>
      <c r="AC279" s="15"/>
      <c r="AD279" s="15"/>
      <c r="AE279" s="19"/>
      <c r="AF279" s="19"/>
      <c r="AG279" s="7" t="s">
        <v>174</v>
      </c>
      <c r="AH279" s="13">
        <f>iferror(VLOOKUP($B279,covariates!$B$3:$Z$1126,6,FALSE),"")</f>
        <v>23</v>
      </c>
      <c r="AI279" s="13">
        <f>iferror(VLOOKUP($B279,covariates!$B$3:$Z$1126,7,FALSE),"")</f>
        <v>2</v>
      </c>
      <c r="AJ279" s="9">
        <f>iferror(VLOOKUP($B279,covariates!$B$3:$Z$1126,14,FALSE),"")</f>
        <v>6</v>
      </c>
      <c r="AK279" s="9">
        <f>iferror(VLOOKUP($B279,covariates!$B$3:$Z$1126,16,FALSE),"")</f>
        <v>0</v>
      </c>
      <c r="AL279" s="9">
        <f>iferror(VLOOKUP($B279,covariates!$B$3:$Z$1126,18,FALSE),"")</f>
        <v>21</v>
      </c>
      <c r="AM279" s="9">
        <f>iferror(VLOOKUP($B279,covariates!$B$3:$Z$1126,19,FALSE),"")</f>
        <v>1.8</v>
      </c>
    </row>
    <row r="280">
      <c r="A280" s="15">
        <v>70.0</v>
      </c>
      <c r="B280" s="17" t="str">
        <f t="shared" ref="B280:B281" si="153">HYPERLINK("https://github.com/d-wkim/phd/blob/main/data/pdf/noh_2011.pdf","Noh et al., 2011")</f>
        <v>Noh et al., 2011</v>
      </c>
      <c r="C280" s="9" t="s">
        <v>84</v>
      </c>
      <c r="D280" s="19" t="s">
        <v>370</v>
      </c>
      <c r="E280" s="9" t="s">
        <v>64</v>
      </c>
      <c r="F280" s="9">
        <v>33.0</v>
      </c>
      <c r="G280" s="13">
        <v>6.0</v>
      </c>
      <c r="H280" s="21">
        <f t="shared" si="131"/>
        <v>1.382950267</v>
      </c>
      <c r="I280" s="15"/>
      <c r="J280" s="15"/>
      <c r="K280" s="15"/>
      <c r="L280" s="15"/>
      <c r="M280" s="15"/>
      <c r="N280" s="15"/>
      <c r="O280" s="9" t="s">
        <v>101</v>
      </c>
      <c r="P280" s="9" t="s">
        <v>101</v>
      </c>
      <c r="Q280" s="9" t="s">
        <v>101</v>
      </c>
      <c r="R280" s="9" t="s">
        <v>101</v>
      </c>
      <c r="S280" s="9" t="s">
        <v>101</v>
      </c>
      <c r="T280" s="9" t="s">
        <v>101</v>
      </c>
      <c r="U280" s="9" t="s">
        <v>101</v>
      </c>
      <c r="V280" s="15"/>
      <c r="W280" s="15"/>
      <c r="X280" s="15"/>
      <c r="Y280" s="15"/>
      <c r="Z280" s="15"/>
      <c r="AA280" s="15"/>
      <c r="AB280" s="15"/>
      <c r="AC280" s="15"/>
      <c r="AD280" s="15"/>
      <c r="AE280" s="19"/>
      <c r="AF280" s="19"/>
      <c r="AG280" s="7" t="s">
        <v>109</v>
      </c>
      <c r="AH280" s="13">
        <f>iferror(VLOOKUP($B280,covariates!$B$3:$Z$1126,6,FALSE),"")</f>
        <v>25.81397443</v>
      </c>
      <c r="AI280" s="13">
        <f>iferror(VLOOKUP($B280,covariates!$B$3:$Z$1126,7,FALSE),"")</f>
        <v>7.455</v>
      </c>
      <c r="AJ280" s="9">
        <f>iferror(VLOOKUP($B280,covariates!$B$3:$Z$1126,14,FALSE),"")</f>
        <v>30</v>
      </c>
      <c r="AK280" s="9">
        <f>iferror(VLOOKUP($B280,covariates!$B$3:$Z$1126,16,FALSE),"")</f>
        <v>3</v>
      </c>
      <c r="AL280" s="9">
        <f>iferror(VLOOKUP($B280,covariates!$B$3:$Z$1126,18,FALSE),"")</f>
        <v>28.1</v>
      </c>
      <c r="AM280" s="9">
        <f>iferror(VLOOKUP($B280,covariates!$B$3:$Z$1126,19,FALSE),"")</f>
        <v>2.3</v>
      </c>
    </row>
    <row r="281">
      <c r="A281" s="15">
        <v>70.0</v>
      </c>
      <c r="B281" s="17" t="str">
        <f t="shared" si="153"/>
        <v>Noh et al., 2011</v>
      </c>
      <c r="C281" s="9" t="s">
        <v>246</v>
      </c>
      <c r="D281" s="19" t="s">
        <v>370</v>
      </c>
      <c r="E281" s="9" t="s">
        <v>64</v>
      </c>
      <c r="F281" s="9">
        <v>32.0</v>
      </c>
      <c r="G281" s="13">
        <v>11.0</v>
      </c>
      <c r="H281" s="21">
        <f t="shared" si="131"/>
        <v>3.097801137</v>
      </c>
      <c r="I281" s="15"/>
      <c r="J281" s="15"/>
      <c r="K281" s="15"/>
      <c r="L281" s="15"/>
      <c r="M281" s="15"/>
      <c r="N281" s="15"/>
      <c r="O281" s="9" t="s">
        <v>101</v>
      </c>
      <c r="P281" s="9" t="s">
        <v>101</v>
      </c>
      <c r="Q281" s="9" t="s">
        <v>101</v>
      </c>
      <c r="R281" s="9" t="s">
        <v>101</v>
      </c>
      <c r="S281" s="9" t="s">
        <v>101</v>
      </c>
      <c r="T281" s="9" t="s">
        <v>101</v>
      </c>
      <c r="U281" s="9" t="s">
        <v>101</v>
      </c>
      <c r="V281" s="15"/>
      <c r="W281" s="15"/>
      <c r="X281" s="15"/>
      <c r="Y281" s="15"/>
      <c r="Z281" s="15"/>
      <c r="AA281" s="15"/>
      <c r="AB281" s="15"/>
      <c r="AC281" s="15"/>
      <c r="AD281" s="15"/>
      <c r="AE281" s="19"/>
      <c r="AF281" s="19"/>
      <c r="AG281" s="7" t="s">
        <v>109</v>
      </c>
      <c r="AH281" s="13">
        <f>iferror(VLOOKUP($B281,covariates!$B$3:$Z$1126,6,FALSE),"")</f>
        <v>25.81397443</v>
      </c>
      <c r="AI281" s="13">
        <f>iferror(VLOOKUP($B281,covariates!$B$3:$Z$1126,7,FALSE),"")</f>
        <v>7.455</v>
      </c>
      <c r="AJ281" s="9">
        <f>iferror(VLOOKUP($B281,covariates!$B$3:$Z$1126,14,FALSE),"")</f>
        <v>30</v>
      </c>
      <c r="AK281" s="9">
        <f>iferror(VLOOKUP($B281,covariates!$B$3:$Z$1126,16,FALSE),"")</f>
        <v>3</v>
      </c>
      <c r="AL281" s="9">
        <f>iferror(VLOOKUP($B281,covariates!$B$3:$Z$1126,18,FALSE),"")</f>
        <v>28.1</v>
      </c>
      <c r="AM281" s="9">
        <f>iferror(VLOOKUP($B281,covariates!$B$3:$Z$1126,19,FALSE),"")</f>
        <v>2.3</v>
      </c>
    </row>
    <row r="282">
      <c r="A282" s="15">
        <v>76.0</v>
      </c>
      <c r="B282" s="17" t="str">
        <f t="shared" ref="B282:B283" si="154">HYPERLINK("https://github.com/d-wkim/phd/blob/main/data/pdf/pinczewski_2007.pdf","Pinczewski et al., 2007")</f>
        <v>Pinczewski et al., 2007</v>
      </c>
      <c r="C282" s="9" t="s">
        <v>42</v>
      </c>
      <c r="D282" s="19" t="s">
        <v>370</v>
      </c>
      <c r="E282" s="9" t="s">
        <v>64</v>
      </c>
      <c r="F282" s="9">
        <v>53.0</v>
      </c>
      <c r="G282" s="13">
        <v>10.0</v>
      </c>
      <c r="H282" s="21">
        <f t="shared" si="131"/>
        <v>1.777701252</v>
      </c>
      <c r="I282" s="15"/>
      <c r="J282" s="15"/>
      <c r="K282" s="15"/>
      <c r="L282" s="15"/>
      <c r="M282" s="15"/>
      <c r="N282" s="15"/>
      <c r="O282" s="9" t="s">
        <v>101</v>
      </c>
      <c r="P282" s="9" t="s">
        <v>101</v>
      </c>
      <c r="Q282" s="9" t="s">
        <v>101</v>
      </c>
      <c r="R282" s="9" t="s">
        <v>101</v>
      </c>
      <c r="S282" s="9" t="s">
        <v>101</v>
      </c>
      <c r="T282" s="9" t="s">
        <v>101</v>
      </c>
      <c r="U282" s="9" t="s">
        <v>101</v>
      </c>
      <c r="V282" s="15"/>
      <c r="W282" s="15"/>
      <c r="X282" s="15"/>
      <c r="Y282" s="15"/>
      <c r="Z282" s="15"/>
      <c r="AA282" s="15"/>
      <c r="AB282" s="15"/>
      <c r="AC282" s="15"/>
      <c r="AD282" s="15"/>
      <c r="AE282" s="19"/>
      <c r="AF282" s="19"/>
      <c r="AG282" s="7" t="s">
        <v>109</v>
      </c>
      <c r="AH282" s="13">
        <f>iferror(VLOOKUP($B282,covariates!$B$3:$Z$1126,6,FALSE),"")</f>
        <v>25</v>
      </c>
      <c r="AI282" s="13">
        <f>iferror(VLOOKUP($B282,covariates!$B$3:$Z$1126,7,FALSE),"")</f>
        <v>5.485</v>
      </c>
      <c r="AJ282" s="9">
        <f>iferror(VLOOKUP($B282,covariates!$B$3:$Z$1126,14,FALSE),"")</f>
        <v>48</v>
      </c>
      <c r="AK282" s="9">
        <f>iferror(VLOOKUP($B282,covariates!$B$3:$Z$1126,16,FALSE),"")</f>
        <v>42</v>
      </c>
      <c r="AL282" s="9">
        <f>iferror(VLOOKUP($B282,covariates!$B$3:$Z$1126,18,FALSE),"")</f>
        <v>120</v>
      </c>
      <c r="AM282" s="9">
        <f>iferror(VLOOKUP($B282,covariates!$B$3:$Z$1126,19,FALSE),"")</f>
        <v>10</v>
      </c>
    </row>
    <row r="283">
      <c r="A283" s="15">
        <v>76.0</v>
      </c>
      <c r="B283" s="17" t="str">
        <f t="shared" si="154"/>
        <v>Pinczewski et al., 2007</v>
      </c>
      <c r="C283" s="9" t="s">
        <v>84</v>
      </c>
      <c r="D283" s="19" t="s">
        <v>370</v>
      </c>
      <c r="E283" s="9" t="s">
        <v>64</v>
      </c>
      <c r="F283" s="9">
        <v>58.0</v>
      </c>
      <c r="G283" s="13">
        <f>F283-46</f>
        <v>12</v>
      </c>
      <c r="H283" s="21">
        <f t="shared" si="131"/>
        <v>2.069503561</v>
      </c>
      <c r="I283" s="15"/>
      <c r="J283" s="15"/>
      <c r="K283" s="15"/>
      <c r="L283" s="15"/>
      <c r="M283" s="15"/>
      <c r="N283" s="15"/>
      <c r="O283" s="9" t="s">
        <v>101</v>
      </c>
      <c r="P283" s="9" t="s">
        <v>101</v>
      </c>
      <c r="Q283" s="9" t="s">
        <v>101</v>
      </c>
      <c r="R283" s="9" t="s">
        <v>101</v>
      </c>
      <c r="S283" s="9" t="s">
        <v>101</v>
      </c>
      <c r="T283" s="9" t="s">
        <v>101</v>
      </c>
      <c r="U283" s="9" t="s">
        <v>101</v>
      </c>
      <c r="V283" s="15"/>
      <c r="W283" s="15"/>
      <c r="X283" s="15"/>
      <c r="Y283" s="15"/>
      <c r="Z283" s="15"/>
      <c r="AA283" s="15"/>
      <c r="AB283" s="15"/>
      <c r="AC283" s="15"/>
      <c r="AD283" s="15"/>
      <c r="AE283" s="19"/>
      <c r="AF283" s="19"/>
      <c r="AG283" s="7" t="s">
        <v>109</v>
      </c>
      <c r="AH283" s="13">
        <f>iferror(VLOOKUP($B283,covariates!$B$3:$Z$1126,6,FALSE),"")</f>
        <v>25</v>
      </c>
      <c r="AI283" s="13">
        <f>iferror(VLOOKUP($B283,covariates!$B$3:$Z$1126,7,FALSE),"")</f>
        <v>5.485</v>
      </c>
      <c r="AJ283" s="9">
        <f>iferror(VLOOKUP($B283,covariates!$B$3:$Z$1126,14,FALSE),"")</f>
        <v>48</v>
      </c>
      <c r="AK283" s="9">
        <f>iferror(VLOOKUP($B283,covariates!$B$3:$Z$1126,16,FALSE),"")</f>
        <v>42</v>
      </c>
      <c r="AL283" s="9">
        <f>iferror(VLOOKUP($B283,covariates!$B$3:$Z$1126,18,FALSE),"")</f>
        <v>120</v>
      </c>
      <c r="AM283" s="9">
        <f>iferror(VLOOKUP($B283,covariates!$B$3:$Z$1126,19,FALSE),"")</f>
        <v>10</v>
      </c>
    </row>
    <row r="284">
      <c r="A284" s="15">
        <v>77.0</v>
      </c>
      <c r="B284" s="17" t="str">
        <f t="shared" ref="B284:B285" si="155">HYPERLINK("https://github.com/d-wkim/phd/blob/main/data/pdf/popovic_2024.pdf","Popovic et al., 2024")</f>
        <v>Popovic et al., 2024</v>
      </c>
      <c r="C284" s="9" t="s">
        <v>42</v>
      </c>
      <c r="D284" s="19" t="s">
        <v>370</v>
      </c>
      <c r="E284" s="9" t="s">
        <v>64</v>
      </c>
      <c r="F284" s="9">
        <v>38.0</v>
      </c>
      <c r="G284" s="13">
        <v>0.0</v>
      </c>
      <c r="H284" s="21">
        <f t="shared" si="131"/>
        <v>0.08111071057</v>
      </c>
      <c r="I284" s="15"/>
      <c r="J284" s="15"/>
      <c r="K284" s="15"/>
      <c r="L284" s="15"/>
      <c r="M284" s="15"/>
      <c r="N284" s="15"/>
      <c r="O284" s="9" t="s">
        <v>101</v>
      </c>
      <c r="P284" s="9" t="s">
        <v>101</v>
      </c>
      <c r="Q284" s="9" t="s">
        <v>101</v>
      </c>
      <c r="R284" s="9" t="s">
        <v>101</v>
      </c>
      <c r="S284" s="9" t="s">
        <v>101</v>
      </c>
      <c r="T284" s="9" t="s">
        <v>101</v>
      </c>
      <c r="U284" s="9" t="s">
        <v>101</v>
      </c>
      <c r="V284" s="15"/>
      <c r="W284" s="15"/>
      <c r="X284" s="15"/>
      <c r="Y284" s="15"/>
      <c r="Z284" s="15"/>
      <c r="AA284" s="15"/>
      <c r="AB284" s="15"/>
      <c r="AC284" s="15"/>
      <c r="AD284" s="15"/>
      <c r="AE284" s="19"/>
      <c r="AF284" s="19"/>
      <c r="AG284" s="7" t="s">
        <v>109</v>
      </c>
      <c r="AH284" s="13">
        <f>iferror(VLOOKUP($B284,covariates!$B$3:$Z$1126,6,FALSE),"")</f>
        <v>27</v>
      </c>
      <c r="AI284" s="13">
        <f>iferror(VLOOKUP($B284,covariates!$B$3:$Z$1126,7,FALSE),"")</f>
        <v>6.82</v>
      </c>
      <c r="AJ284" s="9" t="str">
        <f>iferror(VLOOKUP($B284,covariates!$B$3:$Z$1126,14,FALSE),"")</f>
        <v/>
      </c>
      <c r="AK284" s="9" t="str">
        <f>iferror(VLOOKUP($B284,covariates!$B$3:$Z$1126,16,FALSE),"")</f>
        <v/>
      </c>
      <c r="AL284" s="9">
        <f>iferror(VLOOKUP($B284,covariates!$B$3:$Z$1126,18,FALSE),"")</f>
        <v>228</v>
      </c>
      <c r="AM284" s="9">
        <f>iferror(VLOOKUP($B284,covariates!$B$3:$Z$1126,19,FALSE),"")</f>
        <v>19</v>
      </c>
    </row>
    <row r="285">
      <c r="A285" s="15">
        <v>77.0</v>
      </c>
      <c r="B285" s="17" t="str">
        <f t="shared" si="155"/>
        <v>Popovic et al., 2024</v>
      </c>
      <c r="C285" s="9" t="s">
        <v>84</v>
      </c>
      <c r="D285" s="19" t="s">
        <v>370</v>
      </c>
      <c r="E285" s="9" t="s">
        <v>64</v>
      </c>
      <c r="F285" s="9">
        <v>33.0</v>
      </c>
      <c r="G285" s="13">
        <v>5.0</v>
      </c>
      <c r="H285" s="21">
        <f t="shared" si="131"/>
        <v>1.128396234</v>
      </c>
      <c r="I285" s="15"/>
      <c r="J285" s="15"/>
      <c r="K285" s="15"/>
      <c r="L285" s="15"/>
      <c r="M285" s="15"/>
      <c r="N285" s="15"/>
      <c r="O285" s="9" t="s">
        <v>101</v>
      </c>
      <c r="P285" s="9" t="s">
        <v>101</v>
      </c>
      <c r="Q285" s="9" t="s">
        <v>101</v>
      </c>
      <c r="R285" s="9" t="s">
        <v>101</v>
      </c>
      <c r="S285" s="9" t="s">
        <v>101</v>
      </c>
      <c r="T285" s="9" t="s">
        <v>101</v>
      </c>
      <c r="U285" s="9" t="s">
        <v>101</v>
      </c>
      <c r="V285" s="15"/>
      <c r="W285" s="15"/>
      <c r="X285" s="15"/>
      <c r="Y285" s="15"/>
      <c r="Z285" s="15"/>
      <c r="AA285" s="15"/>
      <c r="AB285" s="15"/>
      <c r="AC285" s="15"/>
      <c r="AD285" s="15"/>
      <c r="AE285" s="19"/>
      <c r="AF285" s="19"/>
      <c r="AG285" s="7" t="s">
        <v>109</v>
      </c>
      <c r="AH285" s="13">
        <f>iferror(VLOOKUP($B285,covariates!$B$3:$Z$1126,6,FALSE),"")</f>
        <v>27</v>
      </c>
      <c r="AI285" s="13">
        <f>iferror(VLOOKUP($B285,covariates!$B$3:$Z$1126,7,FALSE),"")</f>
        <v>6.82</v>
      </c>
      <c r="AJ285" s="9" t="str">
        <f>iferror(VLOOKUP($B285,covariates!$B$3:$Z$1126,14,FALSE),"")</f>
        <v/>
      </c>
      <c r="AK285" s="9" t="str">
        <f>iferror(VLOOKUP($B285,covariates!$B$3:$Z$1126,16,FALSE),"")</f>
        <v/>
      </c>
      <c r="AL285" s="9">
        <f>iferror(VLOOKUP($B285,covariates!$B$3:$Z$1126,18,FALSE),"")</f>
        <v>228</v>
      </c>
      <c r="AM285" s="9">
        <f>iferror(VLOOKUP($B285,covariates!$B$3:$Z$1126,19,FALSE),"")</f>
        <v>19</v>
      </c>
    </row>
    <row r="286">
      <c r="A286" s="15">
        <v>82.0</v>
      </c>
      <c r="B286" s="17" t="str">
        <f t="shared" ref="B286:B287" si="156">HYPERLINK("https://github.com/d-wkim/phd/blob/main/data/pdf/sajovic_2018.pdf","Sajovic et al., 2018")</f>
        <v>Sajovic et al., 2018</v>
      </c>
      <c r="C286" s="9" t="s">
        <v>42</v>
      </c>
      <c r="D286" s="7" t="s">
        <v>370</v>
      </c>
      <c r="E286" s="9" t="s">
        <v>64</v>
      </c>
      <c r="F286" s="9">
        <v>24.0</v>
      </c>
      <c r="G286" s="13">
        <v>5.0</v>
      </c>
      <c r="H286" s="21">
        <f t="shared" si="131"/>
        <v>1.418125641</v>
      </c>
      <c r="I286" s="15"/>
      <c r="J286" s="15"/>
      <c r="K286" s="15"/>
      <c r="L286" s="15"/>
      <c r="M286" s="15"/>
      <c r="N286" s="15"/>
      <c r="O286" s="9" t="s">
        <v>101</v>
      </c>
      <c r="P286" s="9" t="s">
        <v>101</v>
      </c>
      <c r="Q286" s="9" t="s">
        <v>101</v>
      </c>
      <c r="R286" s="9" t="s">
        <v>101</v>
      </c>
      <c r="S286" s="9" t="s">
        <v>101</v>
      </c>
      <c r="T286" s="9" t="s">
        <v>101</v>
      </c>
      <c r="U286" s="9" t="s">
        <v>101</v>
      </c>
      <c r="V286" s="15"/>
      <c r="W286" s="15"/>
      <c r="X286" s="15"/>
      <c r="Y286" s="15"/>
      <c r="Z286" s="15"/>
      <c r="AA286" s="15"/>
      <c r="AB286" s="15"/>
      <c r="AC286" s="15"/>
      <c r="AD286" s="15"/>
      <c r="AE286" s="19"/>
      <c r="AF286" s="19"/>
      <c r="AG286" s="7" t="s">
        <v>109</v>
      </c>
      <c r="AH286" s="13">
        <f>iferror(VLOOKUP($B286,covariates!$B$3:$Z$1126,6,FALSE),"")</f>
        <v>45.5</v>
      </c>
      <c r="AI286" s="13">
        <f>iferror(VLOOKUP($B286,covariates!$B$3:$Z$1126,7,FALSE),"")</f>
        <v>8.7</v>
      </c>
      <c r="AJ286" s="9">
        <f>iferror(VLOOKUP($B286,covariates!$B$3:$Z$1126,14,FALSE),"")</f>
        <v>15</v>
      </c>
      <c r="AK286" s="9">
        <f>iferror(VLOOKUP($B286,covariates!$B$3:$Z$1126,16,FALSE),"")</f>
        <v>9</v>
      </c>
      <c r="AL286" s="9">
        <f>iferror(VLOOKUP($B286,covariates!$B$3:$Z$1126,18,FALSE),"")</f>
        <v>204</v>
      </c>
      <c r="AM286" s="9">
        <f>iferror(VLOOKUP($B286,covariates!$B$3:$Z$1126,19,FALSE),"")</f>
        <v>17</v>
      </c>
    </row>
    <row r="287">
      <c r="A287" s="15">
        <v>82.0</v>
      </c>
      <c r="B287" s="17" t="str">
        <f t="shared" si="156"/>
        <v>Sajovic et al., 2018</v>
      </c>
      <c r="C287" s="9" t="s">
        <v>84</v>
      </c>
      <c r="D287" s="7" t="s">
        <v>370</v>
      </c>
      <c r="E287" s="9" t="s">
        <v>64</v>
      </c>
      <c r="F287" s="9">
        <v>24.0</v>
      </c>
      <c r="G287" s="13">
        <v>5.0</v>
      </c>
      <c r="H287" s="21">
        <f t="shared" si="131"/>
        <v>1.418125641</v>
      </c>
      <c r="I287" s="15"/>
      <c r="J287" s="15"/>
      <c r="K287" s="15"/>
      <c r="L287" s="15"/>
      <c r="M287" s="15"/>
      <c r="N287" s="15"/>
      <c r="O287" s="9" t="s">
        <v>101</v>
      </c>
      <c r="P287" s="9" t="s">
        <v>101</v>
      </c>
      <c r="Q287" s="9" t="s">
        <v>101</v>
      </c>
      <c r="R287" s="9" t="s">
        <v>101</v>
      </c>
      <c r="S287" s="9" t="s">
        <v>101</v>
      </c>
      <c r="T287" s="9" t="s">
        <v>101</v>
      </c>
      <c r="U287" s="9" t="s">
        <v>101</v>
      </c>
      <c r="V287" s="15"/>
      <c r="W287" s="15"/>
      <c r="X287" s="15"/>
      <c r="Y287" s="15"/>
      <c r="Z287" s="15"/>
      <c r="AA287" s="15"/>
      <c r="AB287" s="15"/>
      <c r="AC287" s="15"/>
      <c r="AD287" s="15"/>
      <c r="AE287" s="19"/>
      <c r="AF287" s="19"/>
      <c r="AG287" s="7" t="s">
        <v>109</v>
      </c>
      <c r="AH287" s="13">
        <f>iferror(VLOOKUP($B287,covariates!$B$3:$Z$1126,6,FALSE),"")</f>
        <v>45.5</v>
      </c>
      <c r="AI287" s="13">
        <f>iferror(VLOOKUP($B287,covariates!$B$3:$Z$1126,7,FALSE),"")</f>
        <v>8.7</v>
      </c>
      <c r="AJ287" s="9">
        <f>iferror(VLOOKUP($B287,covariates!$B$3:$Z$1126,14,FALSE),"")</f>
        <v>15</v>
      </c>
      <c r="AK287" s="9">
        <f>iferror(VLOOKUP($B287,covariates!$B$3:$Z$1126,16,FALSE),"")</f>
        <v>9</v>
      </c>
      <c r="AL287" s="9">
        <f>iferror(VLOOKUP($B287,covariates!$B$3:$Z$1126,18,FALSE),"")</f>
        <v>204</v>
      </c>
      <c r="AM287" s="9">
        <f>iferror(VLOOKUP($B287,covariates!$B$3:$Z$1126,19,FALSE),"")</f>
        <v>17</v>
      </c>
    </row>
    <row r="288">
      <c r="A288" s="15">
        <v>96.0</v>
      </c>
      <c r="B288" s="17" t="str">
        <f t="shared" ref="B288:B289" si="157">HYPERLINK("https://github.com/d-wkim/phd/blob/main/data/pdf/wipfler_2011.pdf","Wipfler et al., 2011")</f>
        <v>Wipfler et al., 2011</v>
      </c>
      <c r="C288" s="7" t="s">
        <v>42</v>
      </c>
      <c r="D288" s="19" t="s">
        <v>370</v>
      </c>
      <c r="E288" s="9" t="s">
        <v>64</v>
      </c>
      <c r="F288" s="9">
        <v>29.0</v>
      </c>
      <c r="G288" s="27"/>
      <c r="H288" s="21">
        <f t="shared" si="131"/>
        <v>0.09284766909</v>
      </c>
      <c r="I288" s="15"/>
      <c r="J288" s="15"/>
      <c r="K288" s="15"/>
      <c r="L288" s="15"/>
      <c r="M288" s="15"/>
      <c r="N288" s="15"/>
      <c r="O288" s="9" t="s">
        <v>101</v>
      </c>
      <c r="P288" s="9" t="s">
        <v>101</v>
      </c>
      <c r="Q288" s="9" t="s">
        <v>101</v>
      </c>
      <c r="R288" s="9" t="s">
        <v>101</v>
      </c>
      <c r="S288" s="9" t="s">
        <v>101</v>
      </c>
      <c r="T288" s="9" t="s">
        <v>101</v>
      </c>
      <c r="U288" s="9" t="s">
        <v>101</v>
      </c>
      <c r="V288" s="15"/>
      <c r="W288" s="15"/>
      <c r="X288" s="15"/>
      <c r="Y288" s="15"/>
      <c r="Z288" s="15"/>
      <c r="AA288" s="15"/>
      <c r="AB288" s="15"/>
      <c r="AC288" s="15"/>
      <c r="AD288" s="15"/>
      <c r="AE288" s="19"/>
      <c r="AF288" s="19"/>
      <c r="AG288" s="7" t="s">
        <v>174</v>
      </c>
      <c r="AH288" s="13">
        <f>iferror(VLOOKUP($B288,covariates!$B$3:$Z$1126,6,FALSE),"")</f>
        <v>29.87</v>
      </c>
      <c r="AI288" s="13">
        <f>iferror(VLOOKUP($B288,covariates!$B$3:$Z$1126,7,FALSE),"")</f>
        <v>7.304</v>
      </c>
      <c r="AJ288" s="9">
        <f>iferror(VLOOKUP($B288,covariates!$B$3:$Z$1126,14,FALSE),"")</f>
        <v>19</v>
      </c>
      <c r="AK288" s="9">
        <f>iferror(VLOOKUP($B288,covariates!$B$3:$Z$1126,16,FALSE),"")</f>
        <v>12</v>
      </c>
      <c r="AL288" s="9">
        <f>iferror(VLOOKUP($B288,covariates!$B$3:$Z$1126,18,FALSE),"")</f>
        <v>108</v>
      </c>
      <c r="AM288" s="9">
        <f>iferror(VLOOKUP($B288,covariates!$B$3:$Z$1126,19,FALSE),"")</f>
        <v>9</v>
      </c>
    </row>
    <row r="289">
      <c r="A289" s="15">
        <v>96.0</v>
      </c>
      <c r="B289" s="17" t="str">
        <f t="shared" si="157"/>
        <v>Wipfler et al., 2011</v>
      </c>
      <c r="C289" s="7" t="s">
        <v>84</v>
      </c>
      <c r="D289" s="19" t="s">
        <v>370</v>
      </c>
      <c r="E289" s="9" t="s">
        <v>64</v>
      </c>
      <c r="F289" s="9">
        <v>25.0</v>
      </c>
      <c r="G289" s="27"/>
      <c r="H289" s="21">
        <f t="shared" si="131"/>
        <v>0.1</v>
      </c>
      <c r="I289" s="15"/>
      <c r="J289" s="15"/>
      <c r="K289" s="15"/>
      <c r="L289" s="15"/>
      <c r="M289" s="15"/>
      <c r="N289" s="15"/>
      <c r="O289" s="9" t="s">
        <v>101</v>
      </c>
      <c r="P289" s="9" t="s">
        <v>101</v>
      </c>
      <c r="Q289" s="9" t="s">
        <v>101</v>
      </c>
      <c r="R289" s="9" t="s">
        <v>101</v>
      </c>
      <c r="S289" s="9" t="s">
        <v>101</v>
      </c>
      <c r="T289" s="9" t="s">
        <v>101</v>
      </c>
      <c r="U289" s="9" t="s">
        <v>101</v>
      </c>
      <c r="V289" s="15"/>
      <c r="W289" s="15"/>
      <c r="X289" s="15"/>
      <c r="Y289" s="15"/>
      <c r="Z289" s="15"/>
      <c r="AA289" s="15"/>
      <c r="AB289" s="15"/>
      <c r="AC289" s="15"/>
      <c r="AD289" s="15"/>
      <c r="AE289" s="19"/>
      <c r="AF289" s="19"/>
      <c r="AG289" s="7" t="s">
        <v>174</v>
      </c>
      <c r="AH289" s="13">
        <f>iferror(VLOOKUP($B289,covariates!$B$3:$Z$1126,6,FALSE),"")</f>
        <v>29.87</v>
      </c>
      <c r="AI289" s="13">
        <f>iferror(VLOOKUP($B289,covariates!$B$3:$Z$1126,7,FALSE),"")</f>
        <v>7.304</v>
      </c>
      <c r="AJ289" s="9">
        <f>iferror(VLOOKUP($B289,covariates!$B$3:$Z$1126,14,FALSE),"")</f>
        <v>19</v>
      </c>
      <c r="AK289" s="9">
        <f>iferror(VLOOKUP($B289,covariates!$B$3:$Z$1126,16,FALSE),"")</f>
        <v>12</v>
      </c>
      <c r="AL289" s="9">
        <f>iferror(VLOOKUP($B289,covariates!$B$3:$Z$1126,18,FALSE),"")</f>
        <v>108</v>
      </c>
      <c r="AM289" s="9">
        <f>iferror(VLOOKUP($B289,covariates!$B$3:$Z$1126,19,FALSE),"")</f>
        <v>9</v>
      </c>
    </row>
    <row r="290">
      <c r="A290" s="15">
        <v>98.0</v>
      </c>
      <c r="B290" s="17" t="str">
        <f t="shared" ref="B290:B291" si="158">HYPERLINK("https://github.com/d-wkim/phd/blob/main/data/pdf/yoo_2017.pdf","Yoo et al., 2017")</f>
        <v>Yoo et al., 2017</v>
      </c>
      <c r="C290" s="9" t="s">
        <v>84</v>
      </c>
      <c r="D290" s="19" t="s">
        <v>370</v>
      </c>
      <c r="E290" s="9" t="s">
        <v>64</v>
      </c>
      <c r="F290" s="9">
        <v>68.0</v>
      </c>
      <c r="G290" s="13">
        <v>4.0</v>
      </c>
      <c r="H290" s="21">
        <f t="shared" si="131"/>
        <v>0.5798117286</v>
      </c>
      <c r="I290" s="15"/>
      <c r="J290" s="15"/>
      <c r="K290" s="15"/>
      <c r="L290" s="15"/>
      <c r="M290" s="15"/>
      <c r="N290" s="15"/>
      <c r="O290" s="9" t="s">
        <v>101</v>
      </c>
      <c r="P290" s="9" t="s">
        <v>101</v>
      </c>
      <c r="Q290" s="9" t="s">
        <v>101</v>
      </c>
      <c r="R290" s="9" t="s">
        <v>101</v>
      </c>
      <c r="S290" s="9" t="s">
        <v>101</v>
      </c>
      <c r="T290" s="9" t="s">
        <v>101</v>
      </c>
      <c r="U290" s="9" t="s">
        <v>101</v>
      </c>
      <c r="V290" s="15"/>
      <c r="W290" s="15"/>
      <c r="X290" s="15"/>
      <c r="Y290" s="15"/>
      <c r="Z290" s="15"/>
      <c r="AA290" s="15"/>
      <c r="AB290" s="15"/>
      <c r="AC290" s="15"/>
      <c r="AD290" s="15"/>
      <c r="AE290" s="19"/>
      <c r="AF290" s="19"/>
      <c r="AG290" s="7" t="s">
        <v>109</v>
      </c>
      <c r="AH290" s="13">
        <f>iferror(VLOOKUP($B290,covariates!$B$3:$Z$1126,6,FALSE),"")</f>
        <v>30</v>
      </c>
      <c r="AI290" s="13">
        <f>iferror(VLOOKUP($B290,covariates!$B$3:$Z$1126,7,FALSE),"")</f>
        <v>9.961</v>
      </c>
      <c r="AJ290" s="9">
        <f>iferror(VLOOKUP($B290,covariates!$B$3:$Z$1126,14,FALSE),"")</f>
        <v>61</v>
      </c>
      <c r="AK290" s="9">
        <f>iferror(VLOOKUP($B290,covariates!$B$3:$Z$1126,16,FALSE),"")</f>
        <v>7</v>
      </c>
      <c r="AL290" s="9">
        <f>iferror(VLOOKUP($B290,covariates!$B$3:$Z$1126,18,FALSE),"")</f>
        <v>32.8</v>
      </c>
      <c r="AM290" s="9">
        <f>iferror(VLOOKUP($B290,covariates!$B$3:$Z$1126,19,FALSE),"")</f>
        <v>2.7</v>
      </c>
    </row>
    <row r="291">
      <c r="A291" s="15">
        <v>98.0</v>
      </c>
      <c r="B291" s="17" t="str">
        <f t="shared" si="158"/>
        <v>Yoo et al., 2017</v>
      </c>
      <c r="C291" s="9" t="s">
        <v>205</v>
      </c>
      <c r="D291" s="19" t="s">
        <v>370</v>
      </c>
      <c r="E291" s="9" t="s">
        <v>64</v>
      </c>
      <c r="F291" s="9">
        <v>64.0</v>
      </c>
      <c r="G291" s="13">
        <v>6.0</v>
      </c>
      <c r="H291" s="21">
        <f t="shared" si="131"/>
        <v>0.8965517241</v>
      </c>
      <c r="I291" s="15"/>
      <c r="J291" s="15"/>
      <c r="K291" s="15"/>
      <c r="L291" s="15"/>
      <c r="M291" s="15"/>
      <c r="N291" s="15"/>
      <c r="O291" s="9" t="s">
        <v>101</v>
      </c>
      <c r="P291" s="9" t="s">
        <v>101</v>
      </c>
      <c r="Q291" s="9" t="s">
        <v>101</v>
      </c>
      <c r="R291" s="9" t="s">
        <v>101</v>
      </c>
      <c r="S291" s="9" t="s">
        <v>101</v>
      </c>
      <c r="T291" s="9" t="s">
        <v>101</v>
      </c>
      <c r="U291" s="9" t="s">
        <v>101</v>
      </c>
      <c r="V291" s="19"/>
      <c r="W291" s="19"/>
      <c r="X291" s="19"/>
      <c r="Y291" s="19"/>
      <c r="Z291" s="19"/>
      <c r="AA291" s="19"/>
      <c r="AB291" s="19"/>
      <c r="AC291" s="19"/>
      <c r="AD291" s="19"/>
      <c r="AE291" s="19"/>
      <c r="AF291" s="19"/>
      <c r="AG291" s="7" t="s">
        <v>109</v>
      </c>
      <c r="AH291" s="13">
        <f>iferror(VLOOKUP($B291,covariates!$B$3:$Z$1126,6,FALSE),"")</f>
        <v>30</v>
      </c>
      <c r="AI291" s="13">
        <f>iferror(VLOOKUP($B291,covariates!$B$3:$Z$1126,7,FALSE),"")</f>
        <v>9.961</v>
      </c>
      <c r="AJ291" s="9">
        <f>iferror(VLOOKUP($B291,covariates!$B$3:$Z$1126,14,FALSE),"")</f>
        <v>61</v>
      </c>
      <c r="AK291" s="9">
        <f>iferror(VLOOKUP($B291,covariates!$B$3:$Z$1126,16,FALSE),"")</f>
        <v>7</v>
      </c>
      <c r="AL291" s="9">
        <f>iferror(VLOOKUP($B291,covariates!$B$3:$Z$1126,18,FALSE),"")</f>
        <v>32.8</v>
      </c>
      <c r="AM291" s="9">
        <f>iferror(VLOOKUP($B291,covariates!$B$3:$Z$1126,19,FALSE),"")</f>
        <v>2.7</v>
      </c>
    </row>
    <row r="292">
      <c r="A292" s="15">
        <v>3.0</v>
      </c>
      <c r="B292" s="17" t="str">
        <f t="shared" ref="B292:B293" si="159">HYPERLINK("https://github.com/d-wkim/phd/blob/main/data/pdf/ahldén_2009.pdf","Ahldén et al., 2009")</f>
        <v>Ahldén et al., 2009</v>
      </c>
      <c r="C292" s="9" t="s">
        <v>42</v>
      </c>
      <c r="D292" s="19" t="s">
        <v>371</v>
      </c>
      <c r="E292" s="9" t="s">
        <v>222</v>
      </c>
      <c r="F292" s="9">
        <v>25.0</v>
      </c>
      <c r="G292" s="13">
        <f t="shared" ref="G292:G295" si="160">iferror(MEDIAN_MEAN(F292,I292,K292,M292),"")</f>
        <v>80.69979059</v>
      </c>
      <c r="H292" s="13">
        <f t="shared" ref="H292:H295" si="161">iferror(RANGE_SD(F292,I292,M292),"")</f>
        <v>21.637</v>
      </c>
      <c r="I292" s="9">
        <v>15.0</v>
      </c>
      <c r="J292" s="15"/>
      <c r="K292" s="9">
        <v>89.0</v>
      </c>
      <c r="L292" s="15"/>
      <c r="M292" s="9">
        <v>100.0</v>
      </c>
      <c r="N292" s="21">
        <v>0.8069979058876268</v>
      </c>
      <c r="O292" s="9">
        <v>26.0</v>
      </c>
      <c r="P292" s="9">
        <v>8.655</v>
      </c>
      <c r="Q292" s="9">
        <v>14.0</v>
      </c>
      <c r="R292" s="9" t="s">
        <v>101</v>
      </c>
      <c r="S292" s="9" t="s">
        <v>101</v>
      </c>
      <c r="T292" s="9" t="s">
        <v>101</v>
      </c>
      <c r="U292" s="9">
        <v>48.0</v>
      </c>
      <c r="V292" s="15">
        <v>4.327</v>
      </c>
      <c r="W292" s="15"/>
      <c r="X292" s="15"/>
      <c r="Y292" s="15">
        <v>18.723</v>
      </c>
      <c r="Z292" s="15"/>
      <c r="AA292" s="15"/>
      <c r="AB292" s="15"/>
      <c r="AC292" s="15"/>
      <c r="AD292" s="15"/>
      <c r="AE292" s="19"/>
      <c r="AF292" s="19"/>
      <c r="AG292" s="7" t="s">
        <v>109</v>
      </c>
      <c r="AH292" s="13">
        <f>iferror(VLOOKUP($B292,covariates!$B$3:$Z$1126,6,FALSE),"")</f>
        <v>27.41260836</v>
      </c>
      <c r="AI292" s="13">
        <f>iferror(VLOOKUP($B292,covariates!$B$3:$Z$1126,7,FALSE),"")</f>
        <v>8.902</v>
      </c>
      <c r="AJ292" s="9">
        <f>iferror(VLOOKUP($B292,covariates!$B$3:$Z$1126,14,FALSE),"")</f>
        <v>14</v>
      </c>
      <c r="AK292" s="9">
        <f>iferror(VLOOKUP($B292,covariates!$B$3:$Z$1126,16,FALSE),"")</f>
        <v>8</v>
      </c>
      <c r="AL292" s="9">
        <f>iferror(VLOOKUP($B292,covariates!$B$3:$Z$1126,18,FALSE),"")</f>
        <v>90.27134752</v>
      </c>
      <c r="AM292" s="9">
        <f>iferror(VLOOKUP($B292,covariates!$B$3:$Z$1126,19,FALSE),"")</f>
        <v>7.5</v>
      </c>
    </row>
    <row r="293">
      <c r="A293" s="15">
        <v>3.0</v>
      </c>
      <c r="B293" s="17" t="str">
        <f t="shared" si="159"/>
        <v>Ahldén et al., 2009</v>
      </c>
      <c r="C293" s="9" t="s">
        <v>84</v>
      </c>
      <c r="D293" s="19" t="s">
        <v>371</v>
      </c>
      <c r="E293" s="9" t="s">
        <v>222</v>
      </c>
      <c r="F293" s="9">
        <v>22.0</v>
      </c>
      <c r="G293" s="13">
        <f t="shared" si="160"/>
        <v>79.16360913</v>
      </c>
      <c r="H293" s="13">
        <f t="shared" si="161"/>
        <v>13.353</v>
      </c>
      <c r="I293" s="9">
        <v>49.0</v>
      </c>
      <c r="J293" s="15"/>
      <c r="K293" s="9">
        <v>81.0</v>
      </c>
      <c r="L293" s="15"/>
      <c r="M293" s="9">
        <v>100.0</v>
      </c>
      <c r="N293" s="21">
        <v>0.7916360913106135</v>
      </c>
      <c r="O293" s="9">
        <v>26.0</v>
      </c>
      <c r="P293" s="9">
        <v>6.546</v>
      </c>
      <c r="Q293" s="9">
        <v>15.0</v>
      </c>
      <c r="R293" s="9" t="s">
        <v>101</v>
      </c>
      <c r="S293" s="9" t="s">
        <v>101</v>
      </c>
      <c r="T293" s="9" t="s">
        <v>101</v>
      </c>
      <c r="U293" s="9">
        <v>40.0</v>
      </c>
      <c r="V293" s="15">
        <v>2.847</v>
      </c>
      <c r="W293" s="15"/>
      <c r="X293" s="15"/>
      <c r="Y293" s="15">
        <v>8.105</v>
      </c>
      <c r="Z293" s="15"/>
      <c r="AA293" s="15"/>
      <c r="AB293" s="15"/>
      <c r="AC293" s="15"/>
      <c r="AD293" s="15"/>
      <c r="AE293" s="19"/>
      <c r="AF293" s="19"/>
      <c r="AG293" s="7" t="s">
        <v>109</v>
      </c>
      <c r="AH293" s="13">
        <f>iferror(VLOOKUP($B293,covariates!$B$3:$Z$1126,6,FALSE),"")</f>
        <v>27.41260836</v>
      </c>
      <c r="AI293" s="13">
        <f>iferror(VLOOKUP($B293,covariates!$B$3:$Z$1126,7,FALSE),"")</f>
        <v>8.902</v>
      </c>
      <c r="AJ293" s="9">
        <f>iferror(VLOOKUP($B293,covariates!$B$3:$Z$1126,14,FALSE),"")</f>
        <v>14</v>
      </c>
      <c r="AK293" s="9">
        <f>iferror(VLOOKUP($B293,covariates!$B$3:$Z$1126,16,FALSE),"")</f>
        <v>8</v>
      </c>
      <c r="AL293" s="9">
        <f>iferror(VLOOKUP($B293,covariates!$B$3:$Z$1126,18,FALSE),"")</f>
        <v>90.27134752</v>
      </c>
      <c r="AM293" s="9">
        <f>iferror(VLOOKUP($B293,covariates!$B$3:$Z$1126,19,FALSE),"")</f>
        <v>7.5</v>
      </c>
    </row>
    <row r="294">
      <c r="A294" s="15">
        <v>9.0</v>
      </c>
      <c r="B294" s="17" t="str">
        <f t="shared" ref="B294:B295" si="162">HYPERLINK("https://github.com/d-wkim/phd/blob/main/data/pdf/barenius_2010.pdf","Barenius et al., 2010")</f>
        <v>Barenius et al., 2010</v>
      </c>
      <c r="C294" s="9" t="s">
        <v>42</v>
      </c>
      <c r="D294" s="7" t="s">
        <v>371</v>
      </c>
      <c r="E294" s="9" t="s">
        <v>222</v>
      </c>
      <c r="F294" s="9">
        <v>78.0</v>
      </c>
      <c r="G294" s="13">
        <f t="shared" si="160"/>
        <v>85.8179274</v>
      </c>
      <c r="H294" s="13">
        <f t="shared" si="161"/>
        <v>11.828</v>
      </c>
      <c r="I294" s="9">
        <v>43.0</v>
      </c>
      <c r="J294" s="15"/>
      <c r="K294" s="9">
        <v>88.0</v>
      </c>
      <c r="L294" s="15"/>
      <c r="M294" s="9">
        <v>100.0</v>
      </c>
      <c r="N294" s="21">
        <v>0.8581792740295657</v>
      </c>
      <c r="O294" s="9" t="s">
        <v>101</v>
      </c>
      <c r="P294" s="9" t="s">
        <v>101</v>
      </c>
      <c r="Q294" s="9" t="s">
        <v>101</v>
      </c>
      <c r="R294" s="9" t="s">
        <v>101</v>
      </c>
      <c r="S294" s="9" t="s">
        <v>101</v>
      </c>
      <c r="T294" s="9" t="s">
        <v>101</v>
      </c>
      <c r="U294" s="9" t="s">
        <v>101</v>
      </c>
      <c r="V294" s="15">
        <v>1.339</v>
      </c>
      <c r="W294" s="15"/>
      <c r="X294" s="15"/>
      <c r="Y294" s="15">
        <v>1.793</v>
      </c>
      <c r="Z294" s="15"/>
      <c r="AA294" s="15"/>
      <c r="AB294" s="15"/>
      <c r="AC294" s="15"/>
      <c r="AD294" s="15"/>
      <c r="AE294" s="19"/>
      <c r="AF294" s="19"/>
      <c r="AG294" s="7" t="s">
        <v>109</v>
      </c>
      <c r="AH294" s="13">
        <f>iferror(VLOOKUP($B294,covariates!$B$3:$Z$1126,6,FALSE),"")</f>
        <v>33</v>
      </c>
      <c r="AI294" s="13">
        <f>iferror(VLOOKUP($B294,covariates!$B$3:$Z$1126,7,FALSE),"")</f>
        <v>6.3</v>
      </c>
      <c r="AJ294" s="9">
        <f>iferror(VLOOKUP($B294,covariates!$B$3:$Z$1126,14,FALSE),"")</f>
        <v>38</v>
      </c>
      <c r="AK294" s="9">
        <f>iferror(VLOOKUP($B294,covariates!$B$3:$Z$1126,16,FALSE),"")</f>
        <v>40</v>
      </c>
      <c r="AL294" s="9">
        <f>iferror(VLOOKUP($B294,covariates!$B$3:$Z$1126,18,FALSE),"")</f>
        <v>96</v>
      </c>
      <c r="AM294" s="9">
        <f>iferror(VLOOKUP($B294,covariates!$B$3:$Z$1126,19,FALSE),"")</f>
        <v>8</v>
      </c>
    </row>
    <row r="295">
      <c r="A295" s="15">
        <v>9.0</v>
      </c>
      <c r="B295" s="17" t="str">
        <f t="shared" si="162"/>
        <v>Barenius et al., 2010</v>
      </c>
      <c r="C295" s="9" t="s">
        <v>84</v>
      </c>
      <c r="D295" s="7" t="s">
        <v>371</v>
      </c>
      <c r="E295" s="9" t="s">
        <v>222</v>
      </c>
      <c r="F295" s="9">
        <v>75.0</v>
      </c>
      <c r="G295" s="13">
        <f t="shared" si="160"/>
        <v>86.4224762</v>
      </c>
      <c r="H295" s="13">
        <f t="shared" si="161"/>
        <v>12.525</v>
      </c>
      <c r="I295" s="68">
        <v>40.0</v>
      </c>
      <c r="J295" s="15"/>
      <c r="K295" s="9">
        <v>89.0</v>
      </c>
      <c r="L295" s="15"/>
      <c r="M295" s="9">
        <v>100.0</v>
      </c>
      <c r="N295" s="21">
        <v>0.8642247619576735</v>
      </c>
      <c r="O295" s="9" t="s">
        <v>101</v>
      </c>
      <c r="P295" s="9" t="s">
        <v>101</v>
      </c>
      <c r="Q295" s="9" t="s">
        <v>101</v>
      </c>
      <c r="R295" s="9" t="s">
        <v>101</v>
      </c>
      <c r="S295" s="9" t="s">
        <v>101</v>
      </c>
      <c r="T295" s="9" t="s">
        <v>101</v>
      </c>
      <c r="U295" s="9" t="s">
        <v>101</v>
      </c>
      <c r="V295" s="15">
        <v>1.446</v>
      </c>
      <c r="W295" s="15"/>
      <c r="X295" s="15"/>
      <c r="Y295" s="15">
        <v>2.091</v>
      </c>
      <c r="Z295" s="15"/>
      <c r="AA295" s="15"/>
      <c r="AB295" s="15"/>
      <c r="AC295" s="15"/>
      <c r="AD295" s="15"/>
      <c r="AE295" s="19"/>
      <c r="AF295" s="19"/>
      <c r="AG295" s="7" t="s">
        <v>109</v>
      </c>
      <c r="AH295" s="13">
        <f>iferror(VLOOKUP($B295,covariates!$B$3:$Z$1126,6,FALSE),"")</f>
        <v>33</v>
      </c>
      <c r="AI295" s="13">
        <f>iferror(VLOOKUP($B295,covariates!$B$3:$Z$1126,7,FALSE),"")</f>
        <v>6.3</v>
      </c>
      <c r="AJ295" s="9">
        <f>iferror(VLOOKUP($B295,covariates!$B$3:$Z$1126,14,FALSE),"")</f>
        <v>38</v>
      </c>
      <c r="AK295" s="9">
        <f>iferror(VLOOKUP($B295,covariates!$B$3:$Z$1126,16,FALSE),"")</f>
        <v>40</v>
      </c>
      <c r="AL295" s="9">
        <f>iferror(VLOOKUP($B295,covariates!$B$3:$Z$1126,18,FALSE),"")</f>
        <v>96</v>
      </c>
      <c r="AM295" s="9">
        <f>iferror(VLOOKUP($B295,covariates!$B$3:$Z$1126,19,FALSE),"")</f>
        <v>8</v>
      </c>
    </row>
    <row r="296">
      <c r="A296" s="15">
        <v>10.0</v>
      </c>
      <c r="B296" s="17" t="str">
        <f t="shared" ref="B296:B297" si="163">HYPERLINK("https://github.com/d-wkim/phd/blob/main/data/pdf/barié_2020.pdf","Barié et al., 2020")</f>
        <v>Barié et al., 2020</v>
      </c>
      <c r="C296" s="9" t="s">
        <v>42</v>
      </c>
      <c r="D296" s="19" t="s">
        <v>371</v>
      </c>
      <c r="E296" s="9" t="s">
        <v>222</v>
      </c>
      <c r="F296" s="9">
        <v>43.0</v>
      </c>
      <c r="G296" s="13">
        <v>95.2</v>
      </c>
      <c r="H296" s="13">
        <v>6.6</v>
      </c>
      <c r="I296" s="15"/>
      <c r="J296" s="15"/>
      <c r="K296" s="15"/>
      <c r="L296" s="15"/>
      <c r="M296" s="15"/>
      <c r="N296" s="21">
        <v>0.9520000000000001</v>
      </c>
      <c r="O296" s="9" t="s">
        <v>101</v>
      </c>
      <c r="P296" s="9" t="s">
        <v>101</v>
      </c>
      <c r="Q296" s="9" t="s">
        <v>101</v>
      </c>
      <c r="R296" s="9" t="s">
        <v>101</v>
      </c>
      <c r="S296" s="9" t="s">
        <v>101</v>
      </c>
      <c r="T296" s="9" t="s">
        <v>101</v>
      </c>
      <c r="U296" s="9" t="s">
        <v>101</v>
      </c>
      <c r="V296" s="15">
        <v>1.006</v>
      </c>
      <c r="W296" s="15"/>
      <c r="X296" s="15"/>
      <c r="Y296" s="15">
        <v>1.012</v>
      </c>
      <c r="Z296" s="15"/>
      <c r="AA296" s="15"/>
      <c r="AB296" s="15"/>
      <c r="AC296" s="15"/>
      <c r="AD296" s="15"/>
      <c r="AE296" s="19"/>
      <c r="AF296" s="19"/>
      <c r="AG296" s="7" t="s">
        <v>109</v>
      </c>
      <c r="AH296" s="13">
        <f>iferror(VLOOKUP($B296,covariates!$B$3:$Z$1126,6,FALSE),"")</f>
        <v>30.6</v>
      </c>
      <c r="AI296" s="13">
        <f>iferror(VLOOKUP($B296,covariates!$B$3:$Z$1126,7,FALSE),"")</f>
        <v>7.5</v>
      </c>
      <c r="AJ296" s="9">
        <f>iferror(VLOOKUP($B296,covariates!$B$3:$Z$1126,14,FALSE),"")</f>
        <v>17</v>
      </c>
      <c r="AK296" s="9">
        <f>iferror(VLOOKUP($B296,covariates!$B$3:$Z$1126,16,FALSE),"")</f>
        <v>13</v>
      </c>
      <c r="AL296" s="9">
        <f>iferror(VLOOKUP($B296,covariates!$B$3:$Z$1126,18,FALSE),"")</f>
        <v>122.4</v>
      </c>
      <c r="AM296" s="9">
        <f>iferror(VLOOKUP($B296,covariates!$B$3:$Z$1126,19,FALSE),"")</f>
        <v>10.2</v>
      </c>
    </row>
    <row r="297">
      <c r="A297" s="15">
        <v>10.0</v>
      </c>
      <c r="B297" s="17" t="str">
        <f t="shared" si="163"/>
        <v>Barié et al., 2020</v>
      </c>
      <c r="C297" s="9" t="s">
        <v>200</v>
      </c>
      <c r="D297" s="19" t="s">
        <v>371</v>
      </c>
      <c r="E297" s="9" t="s">
        <v>222</v>
      </c>
      <c r="F297" s="9">
        <v>43.0</v>
      </c>
      <c r="G297" s="13">
        <v>95.6</v>
      </c>
      <c r="H297" s="13">
        <v>7.8</v>
      </c>
      <c r="I297" s="15"/>
      <c r="J297" s="15"/>
      <c r="K297" s="15"/>
      <c r="L297" s="15"/>
      <c r="M297" s="15"/>
      <c r="N297" s="21">
        <v>0.956</v>
      </c>
      <c r="O297" s="9" t="s">
        <v>101</v>
      </c>
      <c r="P297" s="9" t="s">
        <v>101</v>
      </c>
      <c r="Q297" s="9" t="s">
        <v>101</v>
      </c>
      <c r="R297" s="9" t="s">
        <v>101</v>
      </c>
      <c r="S297" s="9" t="s">
        <v>101</v>
      </c>
      <c r="T297" s="9" t="s">
        <v>101</v>
      </c>
      <c r="U297" s="9" t="s">
        <v>101</v>
      </c>
      <c r="V297" s="15">
        <v>1.189</v>
      </c>
      <c r="W297" s="15"/>
      <c r="X297" s="15"/>
      <c r="Y297" s="15">
        <v>1.414</v>
      </c>
      <c r="Z297" s="19"/>
      <c r="AA297" s="19"/>
      <c r="AB297" s="19"/>
      <c r="AC297" s="19"/>
      <c r="AD297" s="19"/>
      <c r="AE297" s="19"/>
      <c r="AF297" s="19"/>
      <c r="AG297" s="7" t="s">
        <v>109</v>
      </c>
      <c r="AH297" s="13">
        <f>iferror(VLOOKUP($B297,covariates!$B$3:$Z$1126,6,FALSE),"")</f>
        <v>30.6</v>
      </c>
      <c r="AI297" s="13">
        <f>iferror(VLOOKUP($B297,covariates!$B$3:$Z$1126,7,FALSE),"")</f>
        <v>7.5</v>
      </c>
      <c r="AJ297" s="9">
        <f>iferror(VLOOKUP($B297,covariates!$B$3:$Z$1126,14,FALSE),"")</f>
        <v>17</v>
      </c>
      <c r="AK297" s="9">
        <f>iferror(VLOOKUP($B297,covariates!$B$3:$Z$1126,16,FALSE),"")</f>
        <v>13</v>
      </c>
      <c r="AL297" s="9">
        <f>iferror(VLOOKUP($B297,covariates!$B$3:$Z$1126,18,FALSE),"")</f>
        <v>122.4</v>
      </c>
      <c r="AM297" s="9">
        <f>iferror(VLOOKUP($B297,covariates!$B$3:$Z$1126,19,FALSE),"")</f>
        <v>10.2</v>
      </c>
    </row>
    <row r="298">
      <c r="A298" s="15">
        <v>13.0</v>
      </c>
      <c r="B298" s="17" t="str">
        <f t="shared" ref="B298:B299" si="164">HYPERLINK("https://github.com/d-wkim/phd/blob/main/data/pdf/björnsson_2016.pdf","Björnsson et al., 2016")</f>
        <v>Björnsson et al., 2016</v>
      </c>
      <c r="C298" s="9" t="s">
        <v>42</v>
      </c>
      <c r="D298" s="19" t="s">
        <v>371</v>
      </c>
      <c r="E298" s="9" t="s">
        <v>222</v>
      </c>
      <c r="F298" s="9">
        <v>61.0</v>
      </c>
      <c r="G298" s="13">
        <v>79.4</v>
      </c>
      <c r="H298" s="13">
        <v>16.9</v>
      </c>
      <c r="I298" s="15"/>
      <c r="J298" s="15"/>
      <c r="K298" s="15"/>
      <c r="L298" s="15"/>
      <c r="M298" s="15"/>
      <c r="N298" s="21">
        <v>0.794</v>
      </c>
      <c r="O298" s="9" t="s">
        <v>101</v>
      </c>
      <c r="P298" s="9" t="s">
        <v>101</v>
      </c>
      <c r="Q298" s="9" t="s">
        <v>101</v>
      </c>
      <c r="R298" s="9" t="s">
        <v>101</v>
      </c>
      <c r="S298" s="9" t="s">
        <v>101</v>
      </c>
      <c r="T298" s="9" t="s">
        <v>101</v>
      </c>
      <c r="U298" s="9" t="s">
        <v>101</v>
      </c>
      <c r="V298" s="15">
        <v>2.164</v>
      </c>
      <c r="W298" s="15"/>
      <c r="X298" s="15"/>
      <c r="Y298" s="15">
        <v>4.683</v>
      </c>
      <c r="Z298" s="15"/>
      <c r="AA298" s="15"/>
      <c r="AB298" s="15"/>
      <c r="AC298" s="15"/>
      <c r="AD298" s="15"/>
      <c r="AE298" s="19"/>
      <c r="AF298" s="19"/>
      <c r="AG298" s="7" t="s">
        <v>109</v>
      </c>
      <c r="AH298" s="13">
        <f>iferror(VLOOKUP($B298,covariates!$B$3:$Z$1126,6,FALSE),"")</f>
        <v>28.2</v>
      </c>
      <c r="AI298" s="13">
        <f>iferror(VLOOKUP($B298,covariates!$B$3:$Z$1126,7,FALSE),"")</f>
        <v>9.1</v>
      </c>
      <c r="AJ298" s="9">
        <f>iferror(VLOOKUP($B298,covariates!$B$3:$Z$1126,14,FALSE),"")</f>
        <v>42</v>
      </c>
      <c r="AK298" s="9">
        <f>iferror(VLOOKUP($B298,covariates!$B$3:$Z$1126,16,FALSE),"")</f>
        <v>19</v>
      </c>
      <c r="AL298" s="9">
        <f>iferror(VLOOKUP($B298,covariates!$B$3:$Z$1126,18,FALSE),"")</f>
        <v>202.6</v>
      </c>
      <c r="AM298" s="9">
        <f>iferror(VLOOKUP($B298,covariates!$B$3:$Z$1126,19,FALSE),"")</f>
        <v>16.9</v>
      </c>
    </row>
    <row r="299">
      <c r="A299" s="15">
        <v>13.0</v>
      </c>
      <c r="B299" s="17" t="str">
        <f t="shared" si="164"/>
        <v>Björnsson et al., 2016</v>
      </c>
      <c r="C299" s="9" t="s">
        <v>84</v>
      </c>
      <c r="D299" s="19" t="s">
        <v>371</v>
      </c>
      <c r="E299" s="9" t="s">
        <v>222</v>
      </c>
      <c r="F299" s="9">
        <v>86.0</v>
      </c>
      <c r="G299" s="13">
        <v>80.7</v>
      </c>
      <c r="H299" s="13">
        <v>15.3</v>
      </c>
      <c r="I299" s="15"/>
      <c r="J299" s="15"/>
      <c r="K299" s="15"/>
      <c r="L299" s="15"/>
      <c r="M299" s="15"/>
      <c r="N299" s="21">
        <v>0.807</v>
      </c>
      <c r="O299" s="9" t="s">
        <v>101</v>
      </c>
      <c r="P299" s="9" t="s">
        <v>101</v>
      </c>
      <c r="Q299" s="9" t="s">
        <v>101</v>
      </c>
      <c r="R299" s="9" t="s">
        <v>101</v>
      </c>
      <c r="S299" s="9" t="s">
        <v>101</v>
      </c>
      <c r="T299" s="9" t="s">
        <v>101</v>
      </c>
      <c r="U299" s="9" t="s">
        <v>101</v>
      </c>
      <c r="V299" s="15">
        <v>1.65</v>
      </c>
      <c r="W299" s="15"/>
      <c r="X299" s="15"/>
      <c r="Y299" s="15">
        <v>2.723</v>
      </c>
      <c r="Z299" s="15"/>
      <c r="AA299" s="15"/>
      <c r="AB299" s="15"/>
      <c r="AC299" s="15"/>
      <c r="AD299" s="15"/>
      <c r="AE299" s="19"/>
      <c r="AF299" s="19"/>
      <c r="AG299" s="7" t="s">
        <v>109</v>
      </c>
      <c r="AH299" s="13">
        <f>iferror(VLOOKUP($B299,covariates!$B$3:$Z$1126,6,FALSE),"")</f>
        <v>28.2</v>
      </c>
      <c r="AI299" s="13">
        <f>iferror(VLOOKUP($B299,covariates!$B$3:$Z$1126,7,FALSE),"")</f>
        <v>9.1</v>
      </c>
      <c r="AJ299" s="9">
        <f>iferror(VLOOKUP($B299,covariates!$B$3:$Z$1126,14,FALSE),"")</f>
        <v>42</v>
      </c>
      <c r="AK299" s="9">
        <f>iferror(VLOOKUP($B299,covariates!$B$3:$Z$1126,16,FALSE),"")</f>
        <v>19</v>
      </c>
      <c r="AL299" s="9">
        <f>iferror(VLOOKUP($B299,covariates!$B$3:$Z$1126,18,FALSE),"")</f>
        <v>202.6</v>
      </c>
      <c r="AM299" s="9">
        <f>iferror(VLOOKUP($B299,covariates!$B$3:$Z$1126,19,FALSE),"")</f>
        <v>16.9</v>
      </c>
    </row>
    <row r="300">
      <c r="A300" s="15">
        <v>18.0</v>
      </c>
      <c r="B300" s="17" t="str">
        <f t="shared" ref="B300:B301" si="165">HYPERLINK("https://github.com/d-wkim/phd/blob/main/data/pdf/butt_2024.pdf","Butt et al., 2024")</f>
        <v>Butt et al., 2024</v>
      </c>
      <c r="C300" s="9" t="s">
        <v>84</v>
      </c>
      <c r="D300" s="19" t="s">
        <v>371</v>
      </c>
      <c r="E300" s="9" t="s">
        <v>222</v>
      </c>
      <c r="F300" s="9">
        <v>30.0</v>
      </c>
      <c r="G300" s="13">
        <v>95.1</v>
      </c>
      <c r="H300" s="13">
        <v>5.2</v>
      </c>
      <c r="I300" s="15"/>
      <c r="J300" s="15"/>
      <c r="K300" s="15"/>
      <c r="L300" s="15"/>
      <c r="M300" s="15"/>
      <c r="N300" s="21">
        <v>0.951</v>
      </c>
      <c r="O300" s="9" t="s">
        <v>101</v>
      </c>
      <c r="P300" s="9" t="s">
        <v>101</v>
      </c>
      <c r="Q300" s="9" t="s">
        <v>101</v>
      </c>
      <c r="R300" s="9" t="s">
        <v>101</v>
      </c>
      <c r="S300" s="9" t="s">
        <v>101</v>
      </c>
      <c r="T300" s="9" t="s">
        <v>101</v>
      </c>
      <c r="U300" s="9" t="s">
        <v>101</v>
      </c>
      <c r="V300" s="15">
        <v>0.949</v>
      </c>
      <c r="W300" s="15"/>
      <c r="X300" s="15"/>
      <c r="Y300" s="15">
        <v>0.901</v>
      </c>
      <c r="Z300" s="15"/>
      <c r="AA300" s="15"/>
      <c r="AB300" s="15"/>
      <c r="AC300" s="15"/>
      <c r="AD300" s="15"/>
      <c r="AE300" s="19"/>
      <c r="AF300" s="19"/>
      <c r="AG300" s="7" t="s">
        <v>109</v>
      </c>
      <c r="AH300" s="13">
        <f>iferror(VLOOKUP($B300,covariates!$B$3:$Z$1126,6,FALSE),"")</f>
        <v>29.17</v>
      </c>
      <c r="AI300" s="13">
        <f>iferror(VLOOKUP($B300,covariates!$B$3:$Z$1126,7,FALSE),"")</f>
        <v>5.03</v>
      </c>
      <c r="AJ300" s="9">
        <f>iferror(VLOOKUP($B300,covariates!$B$3:$Z$1126,14,FALSE),"")</f>
        <v>29</v>
      </c>
      <c r="AK300" s="9">
        <f>iferror(VLOOKUP($B300,covariates!$B$3:$Z$1126,16,FALSE),"")</f>
        <v>1</v>
      </c>
      <c r="AL300" s="9">
        <f>iferror(VLOOKUP($B300,covariates!$B$3:$Z$1126,18,FALSE),"")</f>
        <v>60</v>
      </c>
      <c r="AM300" s="9">
        <f>iferror(VLOOKUP($B300,covariates!$B$3:$Z$1126,19,FALSE),"")</f>
        <v>5</v>
      </c>
    </row>
    <row r="301">
      <c r="A301" s="15">
        <v>18.0</v>
      </c>
      <c r="B301" s="17" t="str">
        <f t="shared" si="165"/>
        <v>Butt et al., 2024</v>
      </c>
      <c r="C301" s="9" t="s">
        <v>186</v>
      </c>
      <c r="D301" s="19" t="s">
        <v>371</v>
      </c>
      <c r="E301" s="9" t="s">
        <v>222</v>
      </c>
      <c r="F301" s="9">
        <v>30.0</v>
      </c>
      <c r="G301" s="13">
        <v>94.5</v>
      </c>
      <c r="H301" s="13">
        <v>6.4</v>
      </c>
      <c r="I301" s="15"/>
      <c r="J301" s="15"/>
      <c r="K301" s="15"/>
      <c r="L301" s="15"/>
      <c r="M301" s="15"/>
      <c r="N301" s="21">
        <v>0.945</v>
      </c>
      <c r="O301" s="9" t="s">
        <v>101</v>
      </c>
      <c r="P301" s="9" t="s">
        <v>101</v>
      </c>
      <c r="Q301" s="9" t="s">
        <v>101</v>
      </c>
      <c r="R301" s="9" t="s">
        <v>101</v>
      </c>
      <c r="S301" s="9" t="s">
        <v>101</v>
      </c>
      <c r="T301" s="9" t="s">
        <v>101</v>
      </c>
      <c r="U301" s="9" t="s">
        <v>101</v>
      </c>
      <c r="V301" s="15">
        <v>1.168</v>
      </c>
      <c r="W301" s="15"/>
      <c r="X301" s="15"/>
      <c r="Y301" s="15">
        <v>1.364</v>
      </c>
      <c r="Z301" s="19"/>
      <c r="AA301" s="19"/>
      <c r="AB301" s="19"/>
      <c r="AC301" s="19"/>
      <c r="AD301" s="19"/>
      <c r="AE301" s="19"/>
      <c r="AF301" s="19"/>
      <c r="AG301" s="7" t="s">
        <v>109</v>
      </c>
      <c r="AH301" s="13">
        <f>iferror(VLOOKUP($B301,covariates!$B$3:$Z$1126,6,FALSE),"")</f>
        <v>29.17</v>
      </c>
      <c r="AI301" s="13">
        <f>iferror(VLOOKUP($B301,covariates!$B$3:$Z$1126,7,FALSE),"")</f>
        <v>5.03</v>
      </c>
      <c r="AJ301" s="9">
        <f>iferror(VLOOKUP($B301,covariates!$B$3:$Z$1126,14,FALSE),"")</f>
        <v>29</v>
      </c>
      <c r="AK301" s="9">
        <f>iferror(VLOOKUP($B301,covariates!$B$3:$Z$1126,16,FALSE),"")</f>
        <v>1</v>
      </c>
      <c r="AL301" s="9">
        <f>iferror(VLOOKUP($B301,covariates!$B$3:$Z$1126,18,FALSE),"")</f>
        <v>60</v>
      </c>
      <c r="AM301" s="9">
        <f>iferror(VLOOKUP($B301,covariates!$B$3:$Z$1126,19,FALSE),"")</f>
        <v>5</v>
      </c>
    </row>
    <row r="302">
      <c r="A302" s="15">
        <v>19.0</v>
      </c>
      <c r="B302" s="17" t="str">
        <f t="shared" ref="B302:B303" si="166">HYPERLINK("https://github.com/d-wkim/phd/blob/main/data/pdf/calvert_2025.pdf","Calvert et al., 2025")</f>
        <v>Calvert et al., 2025</v>
      </c>
      <c r="C302" s="9" t="s">
        <v>84</v>
      </c>
      <c r="D302" s="7" t="s">
        <v>371</v>
      </c>
      <c r="E302" s="9" t="s">
        <v>222</v>
      </c>
      <c r="F302" s="9">
        <v>92.0</v>
      </c>
      <c r="G302" s="13">
        <v>94.0</v>
      </c>
      <c r="H302" s="13">
        <v>7.0</v>
      </c>
      <c r="I302" s="15"/>
      <c r="J302" s="15"/>
      <c r="K302" s="15"/>
      <c r="L302" s="15"/>
      <c r="M302" s="15"/>
      <c r="N302" s="21">
        <v>0.94</v>
      </c>
      <c r="O302" s="9" t="s">
        <v>101</v>
      </c>
      <c r="P302" s="9" t="s">
        <v>101</v>
      </c>
      <c r="Q302" s="9" t="s">
        <v>101</v>
      </c>
      <c r="R302" s="9" t="s">
        <v>101</v>
      </c>
      <c r="S302" s="9" t="s">
        <v>101</v>
      </c>
      <c r="T302" s="9" t="s">
        <v>101</v>
      </c>
      <c r="U302" s="9" t="s">
        <v>101</v>
      </c>
      <c r="V302" s="15">
        <v>0.73</v>
      </c>
      <c r="W302" s="15"/>
      <c r="X302" s="15"/>
      <c r="Y302" s="15">
        <v>0.533</v>
      </c>
      <c r="Z302" s="15"/>
      <c r="AA302" s="15"/>
      <c r="AB302" s="15"/>
      <c r="AC302" s="15"/>
      <c r="AD302" s="15"/>
      <c r="AE302" s="19"/>
      <c r="AF302" s="19"/>
      <c r="AG302" s="7" t="s">
        <v>109</v>
      </c>
      <c r="AH302" s="13">
        <f>iferror(VLOOKUP($B302,covariates!$B$3:$Z$1126,6,FALSE),"")</f>
        <v>29.4</v>
      </c>
      <c r="AI302" s="13">
        <f>iferror(VLOOKUP($B302,covariates!$B$3:$Z$1126,7,FALSE),"")</f>
        <v>7.7</v>
      </c>
      <c r="AJ302" s="9">
        <f>iferror(VLOOKUP($B302,covariates!$B$3:$Z$1126,14,FALSE),"")</f>
        <v>28</v>
      </c>
      <c r="AK302" s="9">
        <f>iferror(VLOOKUP($B302,covariates!$B$3:$Z$1126,16,FALSE),"")</f>
        <v>27</v>
      </c>
      <c r="AL302" s="9">
        <f>iferror(VLOOKUP($B302,covariates!$B$3:$Z$1126,18,FALSE),"")</f>
        <v>24</v>
      </c>
      <c r="AM302" s="9">
        <f>iferror(VLOOKUP($B302,covariates!$B$3:$Z$1126,19,FALSE),"")</f>
        <v>2</v>
      </c>
    </row>
    <row r="303">
      <c r="A303" s="15">
        <v>19.0</v>
      </c>
      <c r="B303" s="17" t="str">
        <f t="shared" si="166"/>
        <v>Calvert et al., 2025</v>
      </c>
      <c r="C303" s="9" t="s">
        <v>200</v>
      </c>
      <c r="D303" s="7" t="s">
        <v>371</v>
      </c>
      <c r="E303" s="9" t="s">
        <v>222</v>
      </c>
      <c r="F303" s="9">
        <v>89.0</v>
      </c>
      <c r="G303" s="13">
        <v>93.0</v>
      </c>
      <c r="H303" s="13">
        <v>8.0</v>
      </c>
      <c r="I303" s="15"/>
      <c r="J303" s="15"/>
      <c r="K303" s="15"/>
      <c r="L303" s="15"/>
      <c r="M303" s="15"/>
      <c r="N303" s="21">
        <v>0.93</v>
      </c>
      <c r="O303" s="9" t="s">
        <v>101</v>
      </c>
      <c r="P303" s="9" t="s">
        <v>101</v>
      </c>
      <c r="Q303" s="9" t="s">
        <v>101</v>
      </c>
      <c r="R303" s="9" t="s">
        <v>101</v>
      </c>
      <c r="S303" s="9" t="s">
        <v>101</v>
      </c>
      <c r="T303" s="9" t="s">
        <v>101</v>
      </c>
      <c r="U303" s="9" t="s">
        <v>101</v>
      </c>
      <c r="V303" s="15">
        <v>0.848</v>
      </c>
      <c r="W303" s="15"/>
      <c r="X303" s="15"/>
      <c r="Y303" s="15">
        <v>0.719</v>
      </c>
      <c r="Z303" s="19"/>
      <c r="AA303" s="19"/>
      <c r="AB303" s="19"/>
      <c r="AC303" s="19"/>
      <c r="AD303" s="19"/>
      <c r="AE303" s="19"/>
      <c r="AF303" s="19"/>
      <c r="AG303" s="7" t="s">
        <v>109</v>
      </c>
      <c r="AH303" s="13">
        <f>iferror(VLOOKUP($B303,covariates!$B$3:$Z$1126,6,FALSE),"")</f>
        <v>29.4</v>
      </c>
      <c r="AI303" s="13">
        <f>iferror(VLOOKUP($B303,covariates!$B$3:$Z$1126,7,FALSE),"")</f>
        <v>7.7</v>
      </c>
      <c r="AJ303" s="9">
        <f>iferror(VLOOKUP($B303,covariates!$B$3:$Z$1126,14,FALSE),"")</f>
        <v>28</v>
      </c>
      <c r="AK303" s="9">
        <f>iferror(VLOOKUP($B303,covariates!$B$3:$Z$1126,16,FALSE),"")</f>
        <v>27</v>
      </c>
      <c r="AL303" s="9">
        <f>iferror(VLOOKUP($B303,covariates!$B$3:$Z$1126,18,FALSE),"")</f>
        <v>24</v>
      </c>
      <c r="AM303" s="9">
        <f>iferror(VLOOKUP($B303,covariates!$B$3:$Z$1126,19,FALSE),"")</f>
        <v>2</v>
      </c>
    </row>
    <row r="304">
      <c r="A304" s="15">
        <v>23.0</v>
      </c>
      <c r="B304" s="17" t="str">
        <f t="shared" ref="B304:B305" si="167">HYPERLINK("https://github.com/d-wkim/phd/blob/main/data/pdf/ejerhed_2003.pdf","Ejerhed et al., 2003")</f>
        <v>Ejerhed et al., 2003</v>
      </c>
      <c r="C304" s="9" t="s">
        <v>42</v>
      </c>
      <c r="D304" s="19" t="s">
        <v>371</v>
      </c>
      <c r="E304" s="9" t="s">
        <v>222</v>
      </c>
      <c r="F304" s="9">
        <v>32.0</v>
      </c>
      <c r="G304" s="13">
        <f t="shared" ref="G304:G305" si="168">iferror(MEDIAN_MEAN(F304,I304,K304,M304),"")</f>
        <v>89.95827475</v>
      </c>
      <c r="H304" s="13">
        <f t="shared" ref="H304:H305" si="169">iferror(RANGE_SD(F304,I304,M304),"")</f>
        <v>13.064</v>
      </c>
      <c r="I304" s="9">
        <v>46.0</v>
      </c>
      <c r="J304" s="15"/>
      <c r="K304" s="9">
        <v>95.0</v>
      </c>
      <c r="L304" s="15"/>
      <c r="M304" s="9">
        <v>100.0</v>
      </c>
      <c r="N304" s="21">
        <v>0.8995827475175924</v>
      </c>
      <c r="O304" s="9" t="s">
        <v>101</v>
      </c>
      <c r="P304" s="9" t="s">
        <v>101</v>
      </c>
      <c r="Q304" s="9" t="s">
        <v>101</v>
      </c>
      <c r="R304" s="9" t="s">
        <v>101</v>
      </c>
      <c r="S304" s="9" t="s">
        <v>101</v>
      </c>
      <c r="T304" s="9" t="s">
        <v>101</v>
      </c>
      <c r="U304" s="9" t="s">
        <v>101</v>
      </c>
      <c r="V304" s="15">
        <v>2.309</v>
      </c>
      <c r="W304" s="15"/>
      <c r="X304" s="15"/>
      <c r="Y304" s="15">
        <v>5.331</v>
      </c>
      <c r="Z304" s="15"/>
      <c r="AA304" s="15"/>
      <c r="AB304" s="15"/>
      <c r="AC304" s="15"/>
      <c r="AD304" s="15"/>
      <c r="AE304" s="19"/>
      <c r="AF304" s="19"/>
      <c r="AG304" s="7" t="s">
        <v>109</v>
      </c>
      <c r="AH304" s="13">
        <f>iferror(VLOOKUP($B304,covariates!$B$3:$Z$1126,6,FALSE),"")</f>
        <v>27.26043131</v>
      </c>
      <c r="AI304" s="13">
        <f>iferror(VLOOKUP($B304,covariates!$B$3:$Z$1126,7,FALSE),"")</f>
        <v>8.467</v>
      </c>
      <c r="AJ304" s="9">
        <f>iferror(VLOOKUP($B304,covariates!$B$3:$Z$1126,14,FALSE),"")</f>
        <v>21</v>
      </c>
      <c r="AK304" s="9">
        <f>iferror(VLOOKUP($B304,covariates!$B$3:$Z$1126,16,FALSE),"")</f>
        <v>11</v>
      </c>
      <c r="AL304" s="9">
        <f>iferror(VLOOKUP($B304,covariates!$B$3:$Z$1126,18,FALSE),"")</f>
        <v>24</v>
      </c>
      <c r="AM304" s="9">
        <f>iferror(VLOOKUP($B304,covariates!$B$3:$Z$1126,19,FALSE),"")</f>
        <v>2</v>
      </c>
    </row>
    <row r="305">
      <c r="A305" s="15">
        <v>23.0</v>
      </c>
      <c r="B305" s="17" t="str">
        <f t="shared" si="167"/>
        <v>Ejerhed et al., 2003</v>
      </c>
      <c r="C305" s="9" t="s">
        <v>84</v>
      </c>
      <c r="D305" s="19" t="s">
        <v>371</v>
      </c>
      <c r="E305" s="9" t="s">
        <v>222</v>
      </c>
      <c r="F305" s="9">
        <v>34.0</v>
      </c>
      <c r="G305" s="13">
        <f t="shared" si="168"/>
        <v>86.79207298</v>
      </c>
      <c r="H305" s="13">
        <f t="shared" si="169"/>
        <v>11.715</v>
      </c>
      <c r="I305" s="9">
        <v>51.0</v>
      </c>
      <c r="J305" s="15"/>
      <c r="K305" s="9">
        <v>90.0</v>
      </c>
      <c r="L305" s="15"/>
      <c r="M305" s="9">
        <v>100.0</v>
      </c>
      <c r="N305" s="21">
        <v>0.8679207297839656</v>
      </c>
      <c r="O305" s="9" t="s">
        <v>101</v>
      </c>
      <c r="P305" s="9" t="s">
        <v>101</v>
      </c>
      <c r="Q305" s="9" t="s">
        <v>101</v>
      </c>
      <c r="R305" s="9" t="s">
        <v>101</v>
      </c>
      <c r="S305" s="9" t="s">
        <v>101</v>
      </c>
      <c r="T305" s="9" t="s">
        <v>101</v>
      </c>
      <c r="U305" s="9" t="s">
        <v>101</v>
      </c>
      <c r="V305" s="15">
        <v>2.009</v>
      </c>
      <c r="W305" s="15"/>
      <c r="X305" s="15"/>
      <c r="Y305" s="15">
        <v>4.036</v>
      </c>
      <c r="Z305" s="15"/>
      <c r="AA305" s="15"/>
      <c r="AB305" s="15"/>
      <c r="AC305" s="15"/>
      <c r="AD305" s="15"/>
      <c r="AE305" s="19"/>
      <c r="AF305" s="19"/>
      <c r="AG305" s="7" t="s">
        <v>109</v>
      </c>
      <c r="AH305" s="13">
        <f>iferror(VLOOKUP($B305,covariates!$B$3:$Z$1126,6,FALSE),"")</f>
        <v>27.26043131</v>
      </c>
      <c r="AI305" s="13">
        <f>iferror(VLOOKUP($B305,covariates!$B$3:$Z$1126,7,FALSE),"")</f>
        <v>8.467</v>
      </c>
      <c r="AJ305" s="9">
        <f>iferror(VLOOKUP($B305,covariates!$B$3:$Z$1126,14,FALSE),"")</f>
        <v>21</v>
      </c>
      <c r="AK305" s="9">
        <f>iferror(VLOOKUP($B305,covariates!$B$3:$Z$1126,16,FALSE),"")</f>
        <v>11</v>
      </c>
      <c r="AL305" s="9">
        <f>iferror(VLOOKUP($B305,covariates!$B$3:$Z$1126,18,FALSE),"")</f>
        <v>24</v>
      </c>
      <c r="AM305" s="9">
        <f>iferror(VLOOKUP($B305,covariates!$B$3:$Z$1126,19,FALSE),"")</f>
        <v>2</v>
      </c>
    </row>
    <row r="306">
      <c r="A306" s="15">
        <v>30.0</v>
      </c>
      <c r="B306" s="17" t="str">
        <f t="shared" ref="B306:B307" si="170">HYPERLINK("https://github.com/d-wkim/phd/blob/main/data/pdf/gifstad_2013.pdf","Gifstad et al., 2013")</f>
        <v>Gifstad et al., 2013</v>
      </c>
      <c r="C306" s="7" t="s">
        <v>42</v>
      </c>
      <c r="D306" s="19" t="s">
        <v>371</v>
      </c>
      <c r="E306" s="9" t="s">
        <v>222</v>
      </c>
      <c r="F306" s="9"/>
      <c r="G306" s="21"/>
      <c r="H306" s="13"/>
      <c r="I306" s="15"/>
      <c r="J306" s="15"/>
      <c r="K306" s="15"/>
      <c r="L306" s="15"/>
      <c r="M306" s="15"/>
      <c r="N306" s="15"/>
      <c r="O306" s="9" t="s">
        <v>101</v>
      </c>
      <c r="P306" s="9" t="s">
        <v>101</v>
      </c>
      <c r="Q306" s="9" t="s">
        <v>101</v>
      </c>
      <c r="R306" s="9" t="s">
        <v>101</v>
      </c>
      <c r="S306" s="9" t="s">
        <v>101</v>
      </c>
      <c r="T306" s="9" t="s">
        <v>101</v>
      </c>
      <c r="U306" s="9" t="s">
        <v>101</v>
      </c>
      <c r="V306" s="15"/>
      <c r="W306" s="15"/>
      <c r="X306" s="15"/>
      <c r="Y306" s="15"/>
      <c r="Z306" s="15"/>
      <c r="AA306" s="15"/>
      <c r="AB306" s="15"/>
      <c r="AC306" s="15"/>
      <c r="AD306" s="15"/>
      <c r="AE306" s="19"/>
      <c r="AF306" s="19"/>
      <c r="AG306" s="7" t="s">
        <v>174</v>
      </c>
      <c r="AH306" s="13">
        <f>iferror(VLOOKUP($B306,covariates!$B$3:$Z$1126,6,FALSE),"")</f>
        <v>27</v>
      </c>
      <c r="AI306" s="13">
        <f>iferror(VLOOKUP($B306,covariates!$B$3:$Z$1126,7,FALSE),"")</f>
        <v>6.74</v>
      </c>
      <c r="AJ306" s="9" t="str">
        <f>iferror(VLOOKUP($B306,covariates!$B$3:$Z$1126,14,FALSE),"")</f>
        <v/>
      </c>
      <c r="AK306" s="9" t="str">
        <f>iferror(VLOOKUP($B306,covariates!$B$3:$Z$1126,16,FALSE),"")</f>
        <v/>
      </c>
      <c r="AL306" s="9">
        <f>iferror(VLOOKUP($B306,covariates!$B$3:$Z$1126,18,FALSE),"")</f>
        <v>84</v>
      </c>
      <c r="AM306" s="9">
        <f>iferror(VLOOKUP($B306,covariates!$B$3:$Z$1126,19,FALSE),"")</f>
        <v>7</v>
      </c>
    </row>
    <row r="307">
      <c r="A307" s="15">
        <v>30.0</v>
      </c>
      <c r="B307" s="17" t="str">
        <f t="shared" si="170"/>
        <v>Gifstad et al., 2013</v>
      </c>
      <c r="C307" s="7" t="s">
        <v>84</v>
      </c>
      <c r="D307" s="19" t="s">
        <v>371</v>
      </c>
      <c r="E307" s="9" t="s">
        <v>222</v>
      </c>
      <c r="F307" s="9"/>
      <c r="G307" s="21"/>
      <c r="H307" s="13"/>
      <c r="I307" s="15"/>
      <c r="J307" s="15"/>
      <c r="K307" s="15"/>
      <c r="L307" s="15"/>
      <c r="M307" s="15"/>
      <c r="N307" s="15"/>
      <c r="O307" s="9" t="s">
        <v>101</v>
      </c>
      <c r="P307" s="9" t="s">
        <v>101</v>
      </c>
      <c r="Q307" s="9" t="s">
        <v>101</v>
      </c>
      <c r="R307" s="9" t="s">
        <v>101</v>
      </c>
      <c r="S307" s="9" t="s">
        <v>101</v>
      </c>
      <c r="T307" s="9" t="s">
        <v>101</v>
      </c>
      <c r="U307" s="9" t="s">
        <v>101</v>
      </c>
      <c r="V307" s="15"/>
      <c r="W307" s="15"/>
      <c r="X307" s="15"/>
      <c r="Y307" s="15"/>
      <c r="Z307" s="15"/>
      <c r="AA307" s="15"/>
      <c r="AB307" s="15"/>
      <c r="AC307" s="15"/>
      <c r="AD307" s="15"/>
      <c r="AE307" s="19"/>
      <c r="AF307" s="19"/>
      <c r="AG307" s="7" t="s">
        <v>174</v>
      </c>
      <c r="AH307" s="13">
        <f>iferror(VLOOKUP($B307,covariates!$B$3:$Z$1126,6,FALSE),"")</f>
        <v>27</v>
      </c>
      <c r="AI307" s="13">
        <f>iferror(VLOOKUP($B307,covariates!$B$3:$Z$1126,7,FALSE),"")</f>
        <v>6.74</v>
      </c>
      <c r="AJ307" s="9" t="str">
        <f>iferror(VLOOKUP($B307,covariates!$B$3:$Z$1126,14,FALSE),"")</f>
        <v/>
      </c>
      <c r="AK307" s="9" t="str">
        <f>iferror(VLOOKUP($B307,covariates!$B$3:$Z$1126,16,FALSE),"")</f>
        <v/>
      </c>
      <c r="AL307" s="9">
        <f>iferror(VLOOKUP($B307,covariates!$B$3:$Z$1126,18,FALSE),"")</f>
        <v>84</v>
      </c>
      <c r="AM307" s="9">
        <f>iferror(VLOOKUP($B307,covariates!$B$3:$Z$1126,19,FALSE),"")</f>
        <v>7</v>
      </c>
    </row>
    <row r="308">
      <c r="A308" s="15">
        <v>31.0</v>
      </c>
      <c r="B308" s="17" t="str">
        <f t="shared" ref="B308:B309" si="171">HYPERLINK("https://github.com/d-wkim/phd/blob/main/data/pdf/gobbi_francisco_2006.pdf","Gobbi &amp; Francisco, 2006")</f>
        <v>Gobbi &amp; Francisco, 2006</v>
      </c>
      <c r="C308" s="7" t="s">
        <v>42</v>
      </c>
      <c r="D308" s="19" t="s">
        <v>371</v>
      </c>
      <c r="E308" s="9" t="s">
        <v>222</v>
      </c>
      <c r="F308" s="15"/>
      <c r="G308" s="21"/>
      <c r="H308" s="13"/>
      <c r="I308" s="15"/>
      <c r="J308" s="15"/>
      <c r="K308" s="15"/>
      <c r="L308" s="15"/>
      <c r="M308" s="15"/>
      <c r="N308" s="15"/>
      <c r="O308" s="9" t="s">
        <v>101</v>
      </c>
      <c r="P308" s="9" t="s">
        <v>101</v>
      </c>
      <c r="Q308" s="9" t="s">
        <v>101</v>
      </c>
      <c r="R308" s="9" t="s">
        <v>101</v>
      </c>
      <c r="S308" s="9" t="s">
        <v>101</v>
      </c>
      <c r="T308" s="9" t="s">
        <v>101</v>
      </c>
      <c r="U308" s="9" t="s">
        <v>101</v>
      </c>
      <c r="V308" s="15"/>
      <c r="W308" s="15"/>
      <c r="X308" s="15"/>
      <c r="Y308" s="15"/>
      <c r="Z308" s="15"/>
      <c r="AA308" s="15"/>
      <c r="AB308" s="15"/>
      <c r="AC308" s="15"/>
      <c r="AD308" s="15"/>
      <c r="AE308" s="19"/>
      <c r="AF308" s="19"/>
      <c r="AG308" s="7" t="s">
        <v>174</v>
      </c>
      <c r="AH308" s="13" t="str">
        <f>iferror(VLOOKUP($B308,covariates!$B$3:$Z$1126,6,FALSE),"")</f>
        <v/>
      </c>
      <c r="AI308" s="13" t="str">
        <f>iferror(VLOOKUP($B308,covariates!$B$3:$Z$1126,7,FALSE),"")</f>
        <v/>
      </c>
      <c r="AJ308" s="9" t="str">
        <f>iferror(VLOOKUP($B308,covariates!$B$3:$Z$1126,14,FALSE),"")</f>
        <v/>
      </c>
      <c r="AK308" s="9" t="str">
        <f>iferror(VLOOKUP($B308,covariates!$B$3:$Z$1126,16,FALSE),"")</f>
        <v/>
      </c>
      <c r="AL308" s="9" t="str">
        <f>iferror(VLOOKUP($B308,covariates!$B$3:$Z$1126,18,FALSE),"")</f>
        <v/>
      </c>
      <c r="AM308" s="9" t="str">
        <f>iferror(VLOOKUP($B308,covariates!$B$3:$Z$1126,19,FALSE),"")</f>
        <v/>
      </c>
    </row>
    <row r="309">
      <c r="A309" s="15">
        <v>31.0</v>
      </c>
      <c r="B309" s="17" t="str">
        <f t="shared" si="171"/>
        <v>Gobbi &amp; Francisco, 2006</v>
      </c>
      <c r="C309" s="7" t="s">
        <v>84</v>
      </c>
      <c r="D309" s="19" t="s">
        <v>371</v>
      </c>
      <c r="E309" s="9" t="s">
        <v>222</v>
      </c>
      <c r="F309" s="15"/>
      <c r="G309" s="21"/>
      <c r="H309" s="13"/>
      <c r="I309" s="15"/>
      <c r="J309" s="15"/>
      <c r="K309" s="15"/>
      <c r="L309" s="15"/>
      <c r="M309" s="15"/>
      <c r="N309" s="15"/>
      <c r="O309" s="9" t="s">
        <v>101</v>
      </c>
      <c r="P309" s="9" t="s">
        <v>101</v>
      </c>
      <c r="Q309" s="9" t="s">
        <v>101</v>
      </c>
      <c r="R309" s="9" t="s">
        <v>101</v>
      </c>
      <c r="S309" s="9" t="s">
        <v>101</v>
      </c>
      <c r="T309" s="9" t="s">
        <v>101</v>
      </c>
      <c r="U309" s="9" t="s">
        <v>101</v>
      </c>
      <c r="V309" s="15"/>
      <c r="W309" s="15"/>
      <c r="X309" s="15"/>
      <c r="Y309" s="15"/>
      <c r="Z309" s="15"/>
      <c r="AA309" s="15"/>
      <c r="AB309" s="15"/>
      <c r="AC309" s="15"/>
      <c r="AD309" s="15"/>
      <c r="AE309" s="19"/>
      <c r="AF309" s="19"/>
      <c r="AG309" s="7" t="s">
        <v>174</v>
      </c>
      <c r="AH309" s="13" t="str">
        <f>iferror(VLOOKUP($B309,covariates!$B$3:$Z$1126,6,FALSE),"")</f>
        <v/>
      </c>
      <c r="AI309" s="13" t="str">
        <f>iferror(VLOOKUP($B309,covariates!$B$3:$Z$1126,7,FALSE),"")</f>
        <v/>
      </c>
      <c r="AJ309" s="9" t="str">
        <f>iferror(VLOOKUP($B309,covariates!$B$3:$Z$1126,14,FALSE),"")</f>
        <v/>
      </c>
      <c r="AK309" s="9" t="str">
        <f>iferror(VLOOKUP($B309,covariates!$B$3:$Z$1126,16,FALSE),"")</f>
        <v/>
      </c>
      <c r="AL309" s="9" t="str">
        <f>iferror(VLOOKUP($B309,covariates!$B$3:$Z$1126,18,FALSE),"")</f>
        <v/>
      </c>
      <c r="AM309" s="9" t="str">
        <f>iferror(VLOOKUP($B309,covariates!$B$3:$Z$1126,19,FALSE),"")</f>
        <v/>
      </c>
    </row>
    <row r="310">
      <c r="A310" s="15">
        <v>32.0</v>
      </c>
      <c r="B310" s="17" t="str">
        <f t="shared" ref="B310:B311" si="172">HYPERLINK("https://github.com/d-wkim/phd/blob/main/data/pdf/guglielmetti_2021.pdf","Guglielmetti et al., 2021")</f>
        <v>Guglielmetti et al., 2021</v>
      </c>
      <c r="C310" s="9" t="s">
        <v>42</v>
      </c>
      <c r="D310" s="19" t="s">
        <v>371</v>
      </c>
      <c r="E310" s="9" t="s">
        <v>222</v>
      </c>
      <c r="F310" s="9">
        <v>31.0</v>
      </c>
      <c r="G310" s="13">
        <v>89.87</v>
      </c>
      <c r="H310" s="13">
        <v>9.17</v>
      </c>
      <c r="I310" s="15"/>
      <c r="J310" s="15"/>
      <c r="K310" s="15"/>
      <c r="L310" s="15"/>
      <c r="M310" s="15"/>
      <c r="N310" s="21">
        <v>0.8987</v>
      </c>
      <c r="O310" s="9" t="s">
        <v>101</v>
      </c>
      <c r="P310" s="9" t="s">
        <v>101</v>
      </c>
      <c r="Q310" s="9" t="s">
        <v>101</v>
      </c>
      <c r="R310" s="9" t="s">
        <v>101</v>
      </c>
      <c r="S310" s="9" t="s">
        <v>101</v>
      </c>
      <c r="T310" s="9" t="s">
        <v>101</v>
      </c>
      <c r="U310" s="9" t="s">
        <v>101</v>
      </c>
      <c r="V310" s="15">
        <v>1.647</v>
      </c>
      <c r="W310" s="15"/>
      <c r="X310" s="15"/>
      <c r="Y310" s="15">
        <v>2.713</v>
      </c>
      <c r="Z310" s="15"/>
      <c r="AA310" s="15"/>
      <c r="AB310" s="15"/>
      <c r="AC310" s="15"/>
      <c r="AD310" s="15"/>
      <c r="AE310" s="19"/>
      <c r="AF310" s="19"/>
      <c r="AG310" s="7" t="s">
        <v>109</v>
      </c>
      <c r="AH310" s="13">
        <f>iferror(VLOOKUP($B310,covariates!$B$3:$Z$1126,6,FALSE),"")</f>
        <v>25.2</v>
      </c>
      <c r="AI310" s="13">
        <f>iferror(VLOOKUP($B310,covariates!$B$3:$Z$1126,7,FALSE),"")</f>
        <v>5.48</v>
      </c>
      <c r="AJ310" s="9">
        <f>iferror(VLOOKUP($B310,covariates!$B$3:$Z$1126,14,FALSE),"")</f>
        <v>23</v>
      </c>
      <c r="AK310" s="9">
        <f>iferror(VLOOKUP($B310,covariates!$B$3:$Z$1126,16,FALSE),"")</f>
        <v>8</v>
      </c>
      <c r="AL310" s="9">
        <f>iferror(VLOOKUP($B310,covariates!$B$3:$Z$1126,18,FALSE),"")</f>
        <v>24</v>
      </c>
      <c r="AM310" s="9">
        <f>iferror(VLOOKUP($B310,covariates!$B$3:$Z$1126,19,FALSE),"")</f>
        <v>2</v>
      </c>
    </row>
    <row r="311">
      <c r="A311" s="15">
        <v>32.0</v>
      </c>
      <c r="B311" s="17" t="str">
        <f t="shared" si="172"/>
        <v>Guglielmetti et al., 2021</v>
      </c>
      <c r="C311" s="9" t="s">
        <v>84</v>
      </c>
      <c r="D311" s="19" t="s">
        <v>371</v>
      </c>
      <c r="E311" s="9" t="s">
        <v>222</v>
      </c>
      <c r="F311" s="9">
        <v>31.0</v>
      </c>
      <c r="G311" s="13">
        <v>91.26</v>
      </c>
      <c r="H311" s="13">
        <v>9.36</v>
      </c>
      <c r="I311" s="15"/>
      <c r="J311" s="15"/>
      <c r="K311" s="15"/>
      <c r="L311" s="15"/>
      <c r="M311" s="15"/>
      <c r="N311" s="21">
        <v>0.9126000000000001</v>
      </c>
      <c r="O311" s="9" t="s">
        <v>101</v>
      </c>
      <c r="P311" s="9" t="s">
        <v>101</v>
      </c>
      <c r="Q311" s="9" t="s">
        <v>101</v>
      </c>
      <c r="R311" s="9" t="s">
        <v>101</v>
      </c>
      <c r="S311" s="9" t="s">
        <v>101</v>
      </c>
      <c r="T311" s="9" t="s">
        <v>101</v>
      </c>
      <c r="U311" s="9" t="s">
        <v>101</v>
      </c>
      <c r="V311" s="15">
        <v>1.681</v>
      </c>
      <c r="W311" s="15"/>
      <c r="X311" s="15"/>
      <c r="Y311" s="15">
        <v>2.826</v>
      </c>
      <c r="Z311" s="15"/>
      <c r="AA311" s="15"/>
      <c r="AB311" s="15"/>
      <c r="AC311" s="15"/>
      <c r="AD311" s="15"/>
      <c r="AE311" s="19"/>
      <c r="AF311" s="19"/>
      <c r="AG311" s="7" t="s">
        <v>109</v>
      </c>
      <c r="AH311" s="13">
        <f>iferror(VLOOKUP($B311,covariates!$B$3:$Z$1126,6,FALSE),"")</f>
        <v>25.2</v>
      </c>
      <c r="AI311" s="13">
        <f>iferror(VLOOKUP($B311,covariates!$B$3:$Z$1126,7,FALSE),"")</f>
        <v>5.48</v>
      </c>
      <c r="AJ311" s="9">
        <f>iferror(VLOOKUP($B311,covariates!$B$3:$Z$1126,14,FALSE),"")</f>
        <v>23</v>
      </c>
      <c r="AK311" s="9">
        <f>iferror(VLOOKUP($B311,covariates!$B$3:$Z$1126,16,FALSE),"")</f>
        <v>8</v>
      </c>
      <c r="AL311" s="9">
        <f>iferror(VLOOKUP($B311,covariates!$B$3:$Z$1126,18,FALSE),"")</f>
        <v>24</v>
      </c>
      <c r="AM311" s="9">
        <f>iferror(VLOOKUP($B311,covariates!$B$3:$Z$1126,19,FALSE),"")</f>
        <v>2</v>
      </c>
    </row>
    <row r="312">
      <c r="A312" s="9">
        <v>33.0</v>
      </c>
      <c r="B312" s="17" t="str">
        <f t="shared" ref="B312:B313" si="173">HYPERLINK("https://github.com/d-wkim/phd/blob/main/data/pdf/harilainen_2006.pdf","Harilainen et al., 2006")</f>
        <v>Harilainen et al., 2006</v>
      </c>
      <c r="C312" s="9" t="s">
        <v>42</v>
      </c>
      <c r="D312" s="7" t="s">
        <v>371</v>
      </c>
      <c r="E312" s="9" t="s">
        <v>222</v>
      </c>
      <c r="F312" s="9">
        <v>37.0</v>
      </c>
      <c r="G312" s="13">
        <f>iferror(MEDIAN_MEAN(F312,I312,K312,M312),"")</f>
        <v>89.10590643</v>
      </c>
      <c r="H312" s="13">
        <f t="shared" ref="H312:H313" si="174">iferror(RANGE_SD(F312,I312,M312),"")</f>
        <v>15.527</v>
      </c>
      <c r="I312" s="9">
        <v>34.0</v>
      </c>
      <c r="J312" s="15"/>
      <c r="K312" s="9">
        <v>95.0</v>
      </c>
      <c r="L312" s="15"/>
      <c r="M312" s="9">
        <v>100.0</v>
      </c>
      <c r="N312" s="21">
        <v>0.8910590643431374</v>
      </c>
      <c r="O312" s="9" t="s">
        <v>101</v>
      </c>
      <c r="P312" s="9" t="s">
        <v>101</v>
      </c>
      <c r="Q312" s="9" t="s">
        <v>101</v>
      </c>
      <c r="R312" s="9" t="s">
        <v>101</v>
      </c>
      <c r="S312" s="9" t="s">
        <v>101</v>
      </c>
      <c r="T312" s="9" t="s">
        <v>101</v>
      </c>
      <c r="U312" s="9" t="s">
        <v>101</v>
      </c>
      <c r="V312" s="15">
        <v>2.553</v>
      </c>
      <c r="W312" s="15"/>
      <c r="X312" s="15"/>
      <c r="Y312" s="15">
        <v>6.518</v>
      </c>
      <c r="Z312" s="15"/>
      <c r="AA312" s="15"/>
      <c r="AB312" s="15"/>
      <c r="AC312" s="15"/>
      <c r="AD312" s="15"/>
      <c r="AE312" s="19"/>
      <c r="AF312" s="19"/>
      <c r="AG312" s="7" t="s">
        <v>109</v>
      </c>
      <c r="AH312" s="13" t="str">
        <f>iferror(VLOOKUP($B312,covariates!$B$3:$Z$1126,6,FALSE),"")</f>
        <v/>
      </c>
      <c r="AI312" s="13" t="str">
        <f>iferror(VLOOKUP($B312,covariates!$B$3:$Z$1126,7,FALSE),"")</f>
        <v/>
      </c>
      <c r="AJ312" s="9" t="str">
        <f>iferror(VLOOKUP($B312,covariates!$B$3:$Z$1126,14,FALSE),"")</f>
        <v/>
      </c>
      <c r="AK312" s="9" t="str">
        <f>iferror(VLOOKUP($B312,covariates!$B$3:$Z$1126,16,FALSE),"")</f>
        <v/>
      </c>
      <c r="AL312" s="9">
        <f>iferror(VLOOKUP($B312,covariates!$B$3:$Z$1126,18,FALSE),"")</f>
        <v>60.6</v>
      </c>
      <c r="AM312" s="9">
        <f>iferror(VLOOKUP($B312,covariates!$B$3:$Z$1126,19,FALSE),"")</f>
        <v>5.1</v>
      </c>
    </row>
    <row r="313">
      <c r="A313" s="9">
        <v>33.0</v>
      </c>
      <c r="B313" s="17" t="str">
        <f t="shared" si="173"/>
        <v>Harilainen et al., 2006</v>
      </c>
      <c r="C313" s="9" t="s">
        <v>84</v>
      </c>
      <c r="D313" s="7" t="s">
        <v>371</v>
      </c>
      <c r="E313" s="9" t="s">
        <v>222</v>
      </c>
      <c r="F313" s="9">
        <v>37.0</v>
      </c>
      <c r="G313" s="13">
        <v>95.0</v>
      </c>
      <c r="H313" s="13">
        <f t="shared" si="174"/>
        <v>15.527</v>
      </c>
      <c r="I313" s="9">
        <v>34.0</v>
      </c>
      <c r="J313" s="15"/>
      <c r="K313" s="9">
        <v>95.0</v>
      </c>
      <c r="L313" s="15"/>
      <c r="M313" s="9">
        <v>100.0</v>
      </c>
      <c r="N313" s="21">
        <v>0.95</v>
      </c>
      <c r="O313" s="9" t="s">
        <v>101</v>
      </c>
      <c r="P313" s="9" t="s">
        <v>101</v>
      </c>
      <c r="Q313" s="9" t="s">
        <v>101</v>
      </c>
      <c r="R313" s="9" t="s">
        <v>101</v>
      </c>
      <c r="S313" s="9" t="s">
        <v>101</v>
      </c>
      <c r="T313" s="9" t="s">
        <v>101</v>
      </c>
      <c r="U313" s="9" t="s">
        <v>101</v>
      </c>
      <c r="V313" s="15">
        <v>2.553</v>
      </c>
      <c r="W313" s="15"/>
      <c r="X313" s="15"/>
      <c r="Y313" s="15">
        <v>6.518</v>
      </c>
      <c r="Z313" s="15"/>
      <c r="AA313" s="15"/>
      <c r="AB313" s="15"/>
      <c r="AC313" s="15"/>
      <c r="AD313" s="15"/>
      <c r="AE313" s="19"/>
      <c r="AF313" s="19"/>
      <c r="AG313" s="7" t="s">
        <v>109</v>
      </c>
      <c r="AH313" s="13" t="str">
        <f>iferror(VLOOKUP($B313,covariates!$B$3:$Z$1126,6,FALSE),"")</f>
        <v/>
      </c>
      <c r="AI313" s="13" t="str">
        <f>iferror(VLOOKUP($B313,covariates!$B$3:$Z$1126,7,FALSE),"")</f>
        <v/>
      </c>
      <c r="AJ313" s="9" t="str">
        <f>iferror(VLOOKUP($B313,covariates!$B$3:$Z$1126,14,FALSE),"")</f>
        <v/>
      </c>
      <c r="AK313" s="9" t="str">
        <f>iferror(VLOOKUP($B313,covariates!$B$3:$Z$1126,16,FALSE),"")</f>
        <v/>
      </c>
      <c r="AL313" s="9">
        <f>iferror(VLOOKUP($B313,covariates!$B$3:$Z$1126,18,FALSE),"")</f>
        <v>60.6</v>
      </c>
      <c r="AM313" s="9">
        <f>iferror(VLOOKUP($B313,covariates!$B$3:$Z$1126,19,FALSE),"")</f>
        <v>5.1</v>
      </c>
    </row>
    <row r="314">
      <c r="A314" s="15">
        <v>35.0</v>
      </c>
      <c r="B314" s="17" t="str">
        <f t="shared" ref="B314:B315" si="175">HYPERLINK("https://github.com/d-wkim/phd/blob/main/data/pdf/holm_2010.pdf","Holm et al., 2010")</f>
        <v>Holm et al., 2010</v>
      </c>
      <c r="C314" s="9" t="s">
        <v>42</v>
      </c>
      <c r="D314" s="7" t="s">
        <v>371</v>
      </c>
      <c r="E314" s="9" t="s">
        <v>222</v>
      </c>
      <c r="F314" s="9">
        <v>28.0</v>
      </c>
      <c r="G314" s="13">
        <v>84.2</v>
      </c>
      <c r="H314" s="13">
        <v>15.4</v>
      </c>
      <c r="I314" s="15"/>
      <c r="J314" s="15"/>
      <c r="K314" s="15"/>
      <c r="L314" s="15"/>
      <c r="M314" s="15"/>
      <c r="N314" s="21">
        <v>0.8420000000000001</v>
      </c>
      <c r="O314" s="9" t="s">
        <v>101</v>
      </c>
      <c r="P314" s="9" t="s">
        <v>101</v>
      </c>
      <c r="Q314" s="9" t="s">
        <v>101</v>
      </c>
      <c r="R314" s="9" t="s">
        <v>101</v>
      </c>
      <c r="S314" s="9" t="s">
        <v>101</v>
      </c>
      <c r="T314" s="9" t="s">
        <v>101</v>
      </c>
      <c r="U314" s="9" t="s">
        <v>101</v>
      </c>
      <c r="V314" s="15">
        <v>2.91</v>
      </c>
      <c r="W314" s="15"/>
      <c r="X314" s="15"/>
      <c r="Y314" s="15">
        <v>8.468</v>
      </c>
      <c r="Z314" s="15"/>
      <c r="AA314" s="15"/>
      <c r="AB314" s="15"/>
      <c r="AC314" s="15"/>
      <c r="AD314" s="15"/>
      <c r="AE314" s="19"/>
      <c r="AF314" s="19"/>
      <c r="AG314" s="7" t="s">
        <v>109</v>
      </c>
      <c r="AH314" s="13">
        <f>iferror(VLOOKUP($B314,covariates!$B$3:$Z$1126,6,FALSE),"")</f>
        <v>33.9</v>
      </c>
      <c r="AI314" s="13">
        <f>iferror(VLOOKUP($B314,covariates!$B$3:$Z$1126,7,FALSE),"")</f>
        <v>6.2</v>
      </c>
      <c r="AJ314" s="9">
        <f>iferror(VLOOKUP($B314,covariates!$B$3:$Z$1126,14,FALSE),"")</f>
        <v>18</v>
      </c>
      <c r="AK314" s="9">
        <f>iferror(VLOOKUP($B314,covariates!$B$3:$Z$1126,16,FALSE),"")</f>
        <v>10</v>
      </c>
      <c r="AL314" s="9">
        <f>iferror(VLOOKUP($B314,covariates!$B$3:$Z$1126,18,FALSE),"")</f>
        <v>10.2</v>
      </c>
      <c r="AM314" s="9">
        <f>iferror(VLOOKUP($B314,covariates!$B$3:$Z$1126,19,FALSE),"")</f>
        <v>0.9</v>
      </c>
    </row>
    <row r="315">
      <c r="A315" s="15">
        <v>35.0</v>
      </c>
      <c r="B315" s="17" t="str">
        <f t="shared" si="175"/>
        <v>Holm et al., 2010</v>
      </c>
      <c r="C315" s="9" t="s">
        <v>84</v>
      </c>
      <c r="D315" s="7" t="s">
        <v>371</v>
      </c>
      <c r="E315" s="9" t="s">
        <v>222</v>
      </c>
      <c r="F315" s="9">
        <v>29.0</v>
      </c>
      <c r="G315" s="13">
        <v>86.1</v>
      </c>
      <c r="H315" s="13">
        <v>15.1</v>
      </c>
      <c r="I315" s="15"/>
      <c r="J315" s="15"/>
      <c r="K315" s="15"/>
      <c r="L315" s="15"/>
      <c r="M315" s="15"/>
      <c r="N315" s="21">
        <v>0.861</v>
      </c>
      <c r="O315" s="9" t="s">
        <v>101</v>
      </c>
      <c r="P315" s="9" t="s">
        <v>101</v>
      </c>
      <c r="Q315" s="9" t="s">
        <v>101</v>
      </c>
      <c r="R315" s="9" t="s">
        <v>101</v>
      </c>
      <c r="S315" s="9" t="s">
        <v>101</v>
      </c>
      <c r="T315" s="9" t="s">
        <v>101</v>
      </c>
      <c r="U315" s="9" t="s">
        <v>101</v>
      </c>
      <c r="V315" s="15">
        <v>2.804</v>
      </c>
      <c r="W315" s="15"/>
      <c r="X315" s="15"/>
      <c r="Y315" s="15">
        <v>7.862</v>
      </c>
      <c r="Z315" s="15"/>
      <c r="AA315" s="15"/>
      <c r="AB315" s="15"/>
      <c r="AC315" s="15"/>
      <c r="AD315" s="15"/>
      <c r="AE315" s="19"/>
      <c r="AF315" s="19"/>
      <c r="AG315" s="7" t="s">
        <v>109</v>
      </c>
      <c r="AH315" s="13">
        <f>iferror(VLOOKUP($B315,covariates!$B$3:$Z$1126,6,FALSE),"")</f>
        <v>33.9</v>
      </c>
      <c r="AI315" s="13">
        <f>iferror(VLOOKUP($B315,covariates!$B$3:$Z$1126,7,FALSE),"")</f>
        <v>6.2</v>
      </c>
      <c r="AJ315" s="9">
        <f>iferror(VLOOKUP($B315,covariates!$B$3:$Z$1126,14,FALSE),"")</f>
        <v>18</v>
      </c>
      <c r="AK315" s="9">
        <f>iferror(VLOOKUP($B315,covariates!$B$3:$Z$1126,16,FALSE),"")</f>
        <v>10</v>
      </c>
      <c r="AL315" s="9">
        <f>iferror(VLOOKUP($B315,covariates!$B$3:$Z$1126,18,FALSE),"")</f>
        <v>10.2</v>
      </c>
      <c r="AM315" s="9">
        <f>iferror(VLOOKUP($B315,covariates!$B$3:$Z$1126,19,FALSE),"")</f>
        <v>0.9</v>
      </c>
    </row>
    <row r="316">
      <c r="A316" s="15">
        <v>36.0</v>
      </c>
      <c r="B316" s="17" t="str">
        <f t="shared" ref="B316:B317" si="176">HYPERLINK("https://github.com/d-wkim/phd/blob/main/data/pdf/horstmann_2022.pdf","Horstmann et al., 2022")</f>
        <v>Horstmann et al., 2022</v>
      </c>
      <c r="C316" s="9" t="s">
        <v>84</v>
      </c>
      <c r="D316" s="19" t="s">
        <v>371</v>
      </c>
      <c r="E316" s="9" t="s">
        <v>222</v>
      </c>
      <c r="F316" s="9">
        <v>26.0</v>
      </c>
      <c r="G316" s="13">
        <v>83.5</v>
      </c>
      <c r="H316" s="13">
        <v>17.4</v>
      </c>
      <c r="I316" s="15"/>
      <c r="J316" s="15"/>
      <c r="K316" s="15"/>
      <c r="L316" s="15"/>
      <c r="M316" s="15"/>
      <c r="N316" s="21">
        <v>0.835</v>
      </c>
      <c r="O316" s="9" t="s">
        <v>101</v>
      </c>
      <c r="P316" s="9" t="s">
        <v>101</v>
      </c>
      <c r="Q316" s="9" t="s">
        <v>101</v>
      </c>
      <c r="R316" s="9" t="s">
        <v>101</v>
      </c>
      <c r="S316" s="9" t="s">
        <v>101</v>
      </c>
      <c r="T316" s="9" t="s">
        <v>101</v>
      </c>
      <c r="U316" s="9" t="s">
        <v>101</v>
      </c>
      <c r="V316" s="15">
        <v>3.412</v>
      </c>
      <c r="W316" s="15"/>
      <c r="X316" s="15"/>
      <c r="Y316" s="15">
        <v>11.642</v>
      </c>
      <c r="Z316" s="15"/>
      <c r="AA316" s="15"/>
      <c r="AB316" s="15"/>
      <c r="AC316" s="15"/>
      <c r="AD316" s="15"/>
      <c r="AE316" s="19"/>
      <c r="AF316" s="19"/>
      <c r="AG316" s="7" t="s">
        <v>109</v>
      </c>
      <c r="AH316" s="13">
        <f>iferror(VLOOKUP($B316,covariates!$B$3:$Z$1126,6,FALSE),"")</f>
        <v>32.7</v>
      </c>
      <c r="AI316" s="13">
        <f>iferror(VLOOKUP($B316,covariates!$B$3:$Z$1126,7,FALSE),"")</f>
        <v>11.4</v>
      </c>
      <c r="AJ316" s="9">
        <f>iferror(VLOOKUP($B316,covariates!$B$3:$Z$1126,14,FALSE),"")</f>
        <v>12</v>
      </c>
      <c r="AK316" s="9">
        <f>iferror(VLOOKUP($B316,covariates!$B$3:$Z$1126,16,FALSE),"")</f>
        <v>15</v>
      </c>
      <c r="AL316" s="9">
        <f>iferror(VLOOKUP($B316,covariates!$B$3:$Z$1126,18,FALSE),"")</f>
        <v>24</v>
      </c>
      <c r="AM316" s="9">
        <f>iferror(VLOOKUP($B316,covariates!$B$3:$Z$1126,19,FALSE),"")</f>
        <v>2</v>
      </c>
    </row>
    <row r="317">
      <c r="A317" s="15">
        <v>36.0</v>
      </c>
      <c r="B317" s="17" t="str">
        <f t="shared" si="176"/>
        <v>Horstmann et al., 2022</v>
      </c>
      <c r="C317" s="9" t="s">
        <v>200</v>
      </c>
      <c r="D317" s="19" t="s">
        <v>371</v>
      </c>
      <c r="E317" s="9" t="s">
        <v>222</v>
      </c>
      <c r="F317" s="9">
        <v>23.0</v>
      </c>
      <c r="G317" s="13">
        <v>90.4</v>
      </c>
      <c r="H317" s="13">
        <v>11.9</v>
      </c>
      <c r="I317" s="15"/>
      <c r="J317" s="15"/>
      <c r="K317" s="15"/>
      <c r="L317" s="15"/>
      <c r="M317" s="15"/>
      <c r="N317" s="21">
        <v>0.904</v>
      </c>
      <c r="O317" s="9" t="s">
        <v>101</v>
      </c>
      <c r="P317" s="9" t="s">
        <v>101</v>
      </c>
      <c r="Q317" s="9" t="s">
        <v>101</v>
      </c>
      <c r="R317" s="9" t="s">
        <v>101</v>
      </c>
      <c r="S317" s="9" t="s">
        <v>101</v>
      </c>
      <c r="T317" s="9" t="s">
        <v>101</v>
      </c>
      <c r="U317" s="9" t="s">
        <v>101</v>
      </c>
      <c r="V317" s="15">
        <v>2.481</v>
      </c>
      <c r="W317" s="15"/>
      <c r="X317" s="15"/>
      <c r="Y317" s="15">
        <v>6.155</v>
      </c>
      <c r="Z317" s="19"/>
      <c r="AA317" s="19"/>
      <c r="AB317" s="19"/>
      <c r="AC317" s="19"/>
      <c r="AD317" s="19"/>
      <c r="AE317" s="19"/>
      <c r="AF317" s="19"/>
      <c r="AG317" s="7" t="s">
        <v>109</v>
      </c>
      <c r="AH317" s="13">
        <f>iferror(VLOOKUP($B317,covariates!$B$3:$Z$1126,6,FALSE),"")</f>
        <v>32.7</v>
      </c>
      <c r="AI317" s="13">
        <f>iferror(VLOOKUP($B317,covariates!$B$3:$Z$1126,7,FALSE),"")</f>
        <v>11.4</v>
      </c>
      <c r="AJ317" s="9">
        <f>iferror(VLOOKUP($B317,covariates!$B$3:$Z$1126,14,FALSE),"")</f>
        <v>12</v>
      </c>
      <c r="AK317" s="9">
        <f>iferror(VLOOKUP($B317,covariates!$B$3:$Z$1126,16,FALSE),"")</f>
        <v>15</v>
      </c>
      <c r="AL317" s="9">
        <f>iferror(VLOOKUP($B317,covariates!$B$3:$Z$1126,18,FALSE),"")</f>
        <v>24</v>
      </c>
      <c r="AM317" s="9">
        <f>iferror(VLOOKUP($B317,covariates!$B$3:$Z$1126,19,FALSE),"")</f>
        <v>2</v>
      </c>
    </row>
    <row r="318">
      <c r="A318" s="15">
        <v>37.0</v>
      </c>
      <c r="B318" s="17" t="str">
        <f t="shared" ref="B318:B319" si="177">HYPERLINK("https://github.com/d-wkim/phd/blob/main/data/pdf/ibrahim_2005.pdf","Ibrahim et al., 2005")</f>
        <v>Ibrahim et al., 2005</v>
      </c>
      <c r="C318" s="9" t="s">
        <v>42</v>
      </c>
      <c r="D318" s="19" t="s">
        <v>371</v>
      </c>
      <c r="E318" s="9" t="s">
        <v>222</v>
      </c>
      <c r="F318" s="9">
        <v>40.0</v>
      </c>
      <c r="G318" s="13">
        <v>91.6</v>
      </c>
      <c r="H318" s="13">
        <f t="shared" ref="H318:H319" si="178">iferror(RANGE_SD(F318,I318,M318),"")</f>
        <v>3.942</v>
      </c>
      <c r="I318" s="9">
        <v>79.0</v>
      </c>
      <c r="J318" s="15"/>
      <c r="K318" s="15"/>
      <c r="L318" s="15"/>
      <c r="M318" s="9">
        <v>96.0</v>
      </c>
      <c r="N318" s="21">
        <v>0.9159999999999999</v>
      </c>
      <c r="O318" s="9" t="s">
        <v>101</v>
      </c>
      <c r="P318" s="9" t="s">
        <v>101</v>
      </c>
      <c r="Q318" s="9" t="s">
        <v>101</v>
      </c>
      <c r="R318" s="9" t="s">
        <v>101</v>
      </c>
      <c r="S318" s="9" t="s">
        <v>101</v>
      </c>
      <c r="T318" s="9" t="s">
        <v>101</v>
      </c>
      <c r="U318" s="9" t="s">
        <v>101</v>
      </c>
      <c r="V318" s="15">
        <v>0.623</v>
      </c>
      <c r="W318" s="15"/>
      <c r="X318" s="15"/>
      <c r="Y318" s="15">
        <v>0.388</v>
      </c>
      <c r="Z318" s="15"/>
      <c r="AA318" s="15"/>
      <c r="AB318" s="15"/>
      <c r="AC318" s="15"/>
      <c r="AD318" s="15"/>
      <c r="AE318" s="19"/>
      <c r="AF318" s="19"/>
      <c r="AG318" s="7" t="s">
        <v>109</v>
      </c>
      <c r="AH318" s="13">
        <f>iferror(VLOOKUP($B318,covariates!$B$3:$Z$1126,6,FALSE),"")</f>
        <v>22.3</v>
      </c>
      <c r="AI318" s="13">
        <f>iferror(VLOOKUP($B318,covariates!$B$3:$Z$1126,7,FALSE),"")</f>
        <v>3.942</v>
      </c>
      <c r="AJ318" s="9">
        <f>iferror(VLOOKUP($B318,covariates!$B$3:$Z$1126,14,FALSE),"")</f>
        <v>40</v>
      </c>
      <c r="AK318" s="9">
        <f>iferror(VLOOKUP($B318,covariates!$B$3:$Z$1126,16,FALSE),"")</f>
        <v>0</v>
      </c>
      <c r="AL318" s="9">
        <f>iferror(VLOOKUP($B318,covariates!$B$3:$Z$1126,18,FALSE),"")</f>
        <v>81</v>
      </c>
      <c r="AM318" s="9">
        <f>iferror(VLOOKUP($B318,covariates!$B$3:$Z$1126,19,FALSE),"")</f>
        <v>6.8</v>
      </c>
    </row>
    <row r="319">
      <c r="A319" s="15">
        <v>37.0</v>
      </c>
      <c r="B319" s="17" t="str">
        <f t="shared" si="177"/>
        <v>Ibrahim et al., 2005</v>
      </c>
      <c r="C319" s="9" t="s">
        <v>84</v>
      </c>
      <c r="D319" s="19" t="s">
        <v>371</v>
      </c>
      <c r="E319" s="9" t="s">
        <v>222</v>
      </c>
      <c r="F319" s="9">
        <v>46.0</v>
      </c>
      <c r="G319" s="13">
        <v>92.7</v>
      </c>
      <c r="H319" s="13">
        <f t="shared" si="178"/>
        <v>3.618</v>
      </c>
      <c r="I319" s="9">
        <v>81.0</v>
      </c>
      <c r="J319" s="15"/>
      <c r="K319" s="15"/>
      <c r="L319" s="15"/>
      <c r="M319" s="9">
        <v>97.0</v>
      </c>
      <c r="N319" s="21">
        <v>0.927</v>
      </c>
      <c r="O319" s="9" t="s">
        <v>101</v>
      </c>
      <c r="P319" s="9" t="s">
        <v>101</v>
      </c>
      <c r="Q319" s="9" t="s">
        <v>101</v>
      </c>
      <c r="R319" s="9" t="s">
        <v>101</v>
      </c>
      <c r="S319" s="9" t="s">
        <v>101</v>
      </c>
      <c r="T319" s="9" t="s">
        <v>101</v>
      </c>
      <c r="U319" s="9" t="s">
        <v>101</v>
      </c>
      <c r="V319" s="15">
        <v>0.533</v>
      </c>
      <c r="W319" s="15"/>
      <c r="X319" s="15"/>
      <c r="Y319" s="15">
        <v>0.284</v>
      </c>
      <c r="Z319" s="15"/>
      <c r="AA319" s="15"/>
      <c r="AB319" s="15"/>
      <c r="AC319" s="15"/>
      <c r="AD319" s="15"/>
      <c r="AE319" s="19"/>
      <c r="AF319" s="19"/>
      <c r="AG319" s="7" t="s">
        <v>109</v>
      </c>
      <c r="AH319" s="13">
        <f>iferror(VLOOKUP($B319,covariates!$B$3:$Z$1126,6,FALSE),"")</f>
        <v>22.3</v>
      </c>
      <c r="AI319" s="13">
        <f>iferror(VLOOKUP($B319,covariates!$B$3:$Z$1126,7,FALSE),"")</f>
        <v>3.942</v>
      </c>
      <c r="AJ319" s="9">
        <f>iferror(VLOOKUP($B319,covariates!$B$3:$Z$1126,14,FALSE),"")</f>
        <v>40</v>
      </c>
      <c r="AK319" s="9">
        <f>iferror(VLOOKUP($B319,covariates!$B$3:$Z$1126,16,FALSE),"")</f>
        <v>0</v>
      </c>
      <c r="AL319" s="9">
        <f>iferror(VLOOKUP($B319,covariates!$B$3:$Z$1126,18,FALSE),"")</f>
        <v>81</v>
      </c>
      <c r="AM319" s="9">
        <f>iferror(VLOOKUP($B319,covariates!$B$3:$Z$1126,19,FALSE),"")</f>
        <v>6.8</v>
      </c>
    </row>
    <row r="320">
      <c r="A320" s="15">
        <v>38.0</v>
      </c>
      <c r="B320" s="17" t="str">
        <f t="shared" ref="B320:B321" si="179">HYPERLINK("https://github.com/d-wkim/phd/blob/main/data/pdf/iliopoulos_2017.pdf","Iliopoulos et al., 2017")</f>
        <v>Iliopoulos et al., 2017</v>
      </c>
      <c r="C320" s="9" t="s">
        <v>42</v>
      </c>
      <c r="D320" s="19" t="s">
        <v>371</v>
      </c>
      <c r="E320" s="9" t="s">
        <v>222</v>
      </c>
      <c r="F320" s="9">
        <v>45.0</v>
      </c>
      <c r="G320" s="13">
        <v>95.8</v>
      </c>
      <c r="H320" s="13">
        <v>2.4</v>
      </c>
      <c r="I320" s="15"/>
      <c r="J320" s="15"/>
      <c r="K320" s="15"/>
      <c r="L320" s="15"/>
      <c r="M320" s="15"/>
      <c r="N320" s="21">
        <v>0.958</v>
      </c>
      <c r="O320" s="9" t="s">
        <v>101</v>
      </c>
      <c r="P320" s="9" t="s">
        <v>101</v>
      </c>
      <c r="Q320" s="9" t="s">
        <v>101</v>
      </c>
      <c r="R320" s="9" t="s">
        <v>101</v>
      </c>
      <c r="S320" s="9" t="s">
        <v>101</v>
      </c>
      <c r="T320" s="9" t="s">
        <v>101</v>
      </c>
      <c r="U320" s="9" t="s">
        <v>101</v>
      </c>
      <c r="V320" s="15">
        <v>0.358</v>
      </c>
      <c r="W320" s="15"/>
      <c r="X320" s="15"/>
      <c r="Y320" s="15">
        <v>0.128</v>
      </c>
      <c r="Z320" s="15"/>
      <c r="AA320" s="15"/>
      <c r="AB320" s="15"/>
      <c r="AC320" s="15"/>
      <c r="AD320" s="15"/>
      <c r="AE320" s="19"/>
      <c r="AF320" s="19"/>
      <c r="AG320" s="7" t="s">
        <v>109</v>
      </c>
      <c r="AH320" s="13">
        <f>iferror(VLOOKUP($B320,covariates!$B$3:$Z$1126,6,FALSE),"")</f>
        <v>24.8</v>
      </c>
      <c r="AI320" s="13">
        <f>iferror(VLOOKUP($B320,covariates!$B$3:$Z$1126,7,FALSE),"")</f>
        <v>5</v>
      </c>
      <c r="AJ320" s="9">
        <f>iferror(VLOOKUP($B320,covariates!$B$3:$Z$1126,14,FALSE),"")</f>
        <v>10</v>
      </c>
      <c r="AK320" s="9">
        <f>iferror(VLOOKUP($B320,covariates!$B$3:$Z$1126,16,FALSE),"")</f>
        <v>0</v>
      </c>
      <c r="AL320" s="9">
        <f>iferror(VLOOKUP($B320,covariates!$B$3:$Z$1126,18,FALSE),"")</f>
        <v>9</v>
      </c>
      <c r="AM320" s="9">
        <f>iferror(VLOOKUP($B320,covariates!$B$3:$Z$1126,19,FALSE),"")</f>
        <v>0.8</v>
      </c>
    </row>
    <row r="321">
      <c r="A321" s="15">
        <v>38.0</v>
      </c>
      <c r="B321" s="17" t="str">
        <f t="shared" si="179"/>
        <v>Iliopoulos et al., 2017</v>
      </c>
      <c r="C321" s="9" t="s">
        <v>84</v>
      </c>
      <c r="D321" s="19" t="s">
        <v>371</v>
      </c>
      <c r="E321" s="9" t="s">
        <v>222</v>
      </c>
      <c r="F321" s="9">
        <v>45.0</v>
      </c>
      <c r="G321" s="13">
        <v>94.0</v>
      </c>
      <c r="H321" s="13">
        <v>3.6</v>
      </c>
      <c r="I321" s="15"/>
      <c r="J321" s="15"/>
      <c r="K321" s="15"/>
      <c r="L321" s="15"/>
      <c r="M321" s="15"/>
      <c r="N321" s="21">
        <v>0.94</v>
      </c>
      <c r="O321" s="9" t="s">
        <v>101</v>
      </c>
      <c r="P321" s="9" t="s">
        <v>101</v>
      </c>
      <c r="Q321" s="9" t="s">
        <v>101</v>
      </c>
      <c r="R321" s="9" t="s">
        <v>101</v>
      </c>
      <c r="S321" s="9" t="s">
        <v>101</v>
      </c>
      <c r="T321" s="9" t="s">
        <v>101</v>
      </c>
      <c r="U321" s="9" t="s">
        <v>101</v>
      </c>
      <c r="V321" s="15">
        <v>0.537</v>
      </c>
      <c r="W321" s="15"/>
      <c r="X321" s="15"/>
      <c r="Y321" s="15">
        <v>0.288</v>
      </c>
      <c r="Z321" s="15"/>
      <c r="AA321" s="15"/>
      <c r="AB321" s="15"/>
      <c r="AC321" s="15"/>
      <c r="AD321" s="15"/>
      <c r="AE321" s="19"/>
      <c r="AF321" s="19"/>
      <c r="AG321" s="7" t="s">
        <v>109</v>
      </c>
      <c r="AH321" s="13">
        <f>iferror(VLOOKUP($B321,covariates!$B$3:$Z$1126,6,FALSE),"")</f>
        <v>24.8</v>
      </c>
      <c r="AI321" s="13">
        <f>iferror(VLOOKUP($B321,covariates!$B$3:$Z$1126,7,FALSE),"")</f>
        <v>5</v>
      </c>
      <c r="AJ321" s="9">
        <f>iferror(VLOOKUP($B321,covariates!$B$3:$Z$1126,14,FALSE),"")</f>
        <v>10</v>
      </c>
      <c r="AK321" s="9">
        <f>iferror(VLOOKUP($B321,covariates!$B$3:$Z$1126,16,FALSE),"")</f>
        <v>0</v>
      </c>
      <c r="AL321" s="9">
        <f>iferror(VLOOKUP($B321,covariates!$B$3:$Z$1126,18,FALSE),"")</f>
        <v>9</v>
      </c>
      <c r="AM321" s="9">
        <f>iferror(VLOOKUP($B321,covariates!$B$3:$Z$1126,19,FALSE),"")</f>
        <v>0.8</v>
      </c>
    </row>
    <row r="322">
      <c r="A322" s="15">
        <v>41.0</v>
      </c>
      <c r="B322" s="17" t="str">
        <f t="shared" ref="B322:B323" si="180">HYPERLINK("https://github.com/d-wkim/phd/blob/main/data/pdf/jansson_2003.pdf","Jansson et al., 2003")</f>
        <v>Jansson et al., 2003</v>
      </c>
      <c r="C322" s="7" t="s">
        <v>42</v>
      </c>
      <c r="D322" s="19" t="s">
        <v>371</v>
      </c>
      <c r="E322" s="9" t="s">
        <v>222</v>
      </c>
      <c r="F322" s="9"/>
      <c r="G322" s="21"/>
      <c r="H322" s="13"/>
      <c r="I322" s="15"/>
      <c r="J322" s="15"/>
      <c r="K322" s="15"/>
      <c r="L322" s="15"/>
      <c r="M322" s="15"/>
      <c r="N322" s="66"/>
      <c r="O322" s="9" t="s">
        <v>101</v>
      </c>
      <c r="P322" s="9" t="s">
        <v>101</v>
      </c>
      <c r="Q322" s="9" t="s">
        <v>101</v>
      </c>
      <c r="R322" s="9" t="s">
        <v>101</v>
      </c>
      <c r="S322" s="9" t="s">
        <v>101</v>
      </c>
      <c r="T322" s="9" t="s">
        <v>101</v>
      </c>
      <c r="U322" s="9" t="s">
        <v>101</v>
      </c>
      <c r="V322" s="66"/>
      <c r="W322" s="66"/>
      <c r="X322" s="15"/>
      <c r="Y322" s="15"/>
      <c r="Z322" s="15"/>
      <c r="AA322" s="15"/>
      <c r="AB322" s="15"/>
      <c r="AC322" s="15"/>
      <c r="AD322" s="15"/>
      <c r="AE322" s="19"/>
      <c r="AF322" s="19"/>
      <c r="AG322" s="7" t="s">
        <v>174</v>
      </c>
      <c r="AH322" s="13" t="str">
        <f>iferror(VLOOKUP($B322,covariates!$B$3:$Z$1126,6,FALSE),"")</f>
        <v/>
      </c>
      <c r="AI322" s="13" t="str">
        <f>iferror(VLOOKUP($B322,covariates!$B$3:$Z$1126,7,FALSE),"")</f>
        <v/>
      </c>
      <c r="AJ322" s="9" t="str">
        <f>iferror(VLOOKUP($B322,covariates!$B$3:$Z$1126,14,FALSE),"")</f>
        <v/>
      </c>
      <c r="AK322" s="9" t="str">
        <f>iferror(VLOOKUP($B322,covariates!$B$3:$Z$1126,16,FALSE),"")</f>
        <v/>
      </c>
      <c r="AL322" s="9">
        <f>iferror(VLOOKUP($B322,covariates!$B$3:$Z$1126,18,FALSE),"")</f>
        <v>24</v>
      </c>
      <c r="AM322" s="9">
        <f>iferror(VLOOKUP($B322,covariates!$B$3:$Z$1126,19,FALSE),"")</f>
        <v>2</v>
      </c>
    </row>
    <row r="323">
      <c r="A323" s="15">
        <v>41.0</v>
      </c>
      <c r="B323" s="17" t="str">
        <f t="shared" si="180"/>
        <v>Jansson et al., 2003</v>
      </c>
      <c r="C323" s="7" t="s">
        <v>84</v>
      </c>
      <c r="D323" s="19" t="s">
        <v>371</v>
      </c>
      <c r="E323" s="9" t="s">
        <v>222</v>
      </c>
      <c r="F323" s="9"/>
      <c r="G323" s="21"/>
      <c r="H323" s="13"/>
      <c r="I323" s="15"/>
      <c r="J323" s="15"/>
      <c r="K323" s="15"/>
      <c r="L323" s="15"/>
      <c r="M323" s="15"/>
      <c r="N323" s="66"/>
      <c r="O323" s="9" t="s">
        <v>101</v>
      </c>
      <c r="P323" s="9" t="s">
        <v>101</v>
      </c>
      <c r="Q323" s="9" t="s">
        <v>101</v>
      </c>
      <c r="R323" s="9" t="s">
        <v>101</v>
      </c>
      <c r="S323" s="9" t="s">
        <v>101</v>
      </c>
      <c r="T323" s="9" t="s">
        <v>101</v>
      </c>
      <c r="U323" s="9" t="s">
        <v>101</v>
      </c>
      <c r="V323" s="66"/>
      <c r="W323" s="66"/>
      <c r="X323" s="15"/>
      <c r="Y323" s="15"/>
      <c r="Z323" s="15"/>
      <c r="AA323" s="15"/>
      <c r="AB323" s="15"/>
      <c r="AC323" s="15"/>
      <c r="AD323" s="15"/>
      <c r="AE323" s="19"/>
      <c r="AF323" s="19"/>
      <c r="AG323" s="7" t="s">
        <v>174</v>
      </c>
      <c r="AH323" s="13" t="str">
        <f>iferror(VLOOKUP($B323,covariates!$B$3:$Z$1126,6,FALSE),"")</f>
        <v/>
      </c>
      <c r="AI323" s="13" t="str">
        <f>iferror(VLOOKUP($B323,covariates!$B$3:$Z$1126,7,FALSE),"")</f>
        <v/>
      </c>
      <c r="AJ323" s="9" t="str">
        <f>iferror(VLOOKUP($B323,covariates!$B$3:$Z$1126,14,FALSE),"")</f>
        <v/>
      </c>
      <c r="AK323" s="9" t="str">
        <f>iferror(VLOOKUP($B323,covariates!$B$3:$Z$1126,16,FALSE),"")</f>
        <v/>
      </c>
      <c r="AL323" s="9">
        <f>iferror(VLOOKUP($B323,covariates!$B$3:$Z$1126,18,FALSE),"")</f>
        <v>24</v>
      </c>
      <c r="AM323" s="9">
        <f>iferror(VLOOKUP($B323,covariates!$B$3:$Z$1126,19,FALSE),"")</f>
        <v>2</v>
      </c>
    </row>
    <row r="324">
      <c r="A324" s="15">
        <v>43.0</v>
      </c>
      <c r="B324" s="17" t="str">
        <f t="shared" ref="B324:B325" si="181">HYPERLINK("https://github.com/d-wkim/phd/blob/main/data/pdf/kautzner_2015.pdf","Kautzner et al., 2015")</f>
        <v>Kautzner et al., 2015</v>
      </c>
      <c r="C324" s="9" t="s">
        <v>42</v>
      </c>
      <c r="D324" s="19" t="s">
        <v>371</v>
      </c>
      <c r="E324" s="9" t="s">
        <v>222</v>
      </c>
      <c r="F324" s="9">
        <v>74.0</v>
      </c>
      <c r="G324" s="13">
        <v>88.0</v>
      </c>
      <c r="H324" s="13">
        <v>7.5</v>
      </c>
      <c r="I324" s="15"/>
      <c r="J324" s="15"/>
      <c r="K324" s="15"/>
      <c r="L324" s="15"/>
      <c r="M324" s="15"/>
      <c r="N324" s="21">
        <v>0.88</v>
      </c>
      <c r="O324" s="9" t="s">
        <v>101</v>
      </c>
      <c r="P324" s="9" t="s">
        <v>101</v>
      </c>
      <c r="Q324" s="9" t="s">
        <v>101</v>
      </c>
      <c r="R324" s="9" t="s">
        <v>101</v>
      </c>
      <c r="S324" s="9" t="s">
        <v>101</v>
      </c>
      <c r="T324" s="9" t="s">
        <v>101</v>
      </c>
      <c r="U324" s="9" t="s">
        <v>101</v>
      </c>
      <c r="V324" s="15">
        <v>0.872</v>
      </c>
      <c r="W324" s="15"/>
      <c r="X324" s="15"/>
      <c r="Y324" s="15">
        <v>0.76</v>
      </c>
      <c r="Z324" s="15"/>
      <c r="AA324" s="15"/>
      <c r="AB324" s="15"/>
      <c r="AC324" s="15"/>
      <c r="AD324" s="15"/>
      <c r="AE324" s="19"/>
      <c r="AF324" s="19"/>
      <c r="AG324" s="7" t="s">
        <v>109</v>
      </c>
      <c r="AH324" s="13">
        <f>iferror(VLOOKUP($B324,covariates!$B$3:$Z$1126,6,FALSE),"")</f>
        <v>26</v>
      </c>
      <c r="AI324" s="13">
        <f>iferror(VLOOKUP($B324,covariates!$B$3:$Z$1126,7,FALSE),"")</f>
        <v>6.275</v>
      </c>
      <c r="AJ324" s="9">
        <f>iferror(VLOOKUP($B324,covariates!$B$3:$Z$1126,14,FALSE),"")</f>
        <v>0</v>
      </c>
      <c r="AK324" s="9">
        <f>iferror(VLOOKUP($B324,covariates!$B$3:$Z$1126,16,FALSE),"")</f>
        <v>74</v>
      </c>
      <c r="AL324" s="9">
        <f>iferror(VLOOKUP($B324,covariates!$B$3:$Z$1126,18,FALSE),"")</f>
        <v>24</v>
      </c>
      <c r="AM324" s="9">
        <f>iferror(VLOOKUP($B324,covariates!$B$3:$Z$1126,19,FALSE),"")</f>
        <v>2</v>
      </c>
    </row>
    <row r="325">
      <c r="A325" s="15">
        <v>43.0</v>
      </c>
      <c r="B325" s="17" t="str">
        <f t="shared" si="181"/>
        <v>Kautzner et al., 2015</v>
      </c>
      <c r="C325" s="9" t="s">
        <v>84</v>
      </c>
      <c r="D325" s="19" t="s">
        <v>371</v>
      </c>
      <c r="E325" s="9" t="s">
        <v>222</v>
      </c>
      <c r="F325" s="9">
        <v>73.0</v>
      </c>
      <c r="G325" s="13">
        <v>90.0</v>
      </c>
      <c r="H325" s="13">
        <v>7.6</v>
      </c>
      <c r="I325" s="15"/>
      <c r="J325" s="15"/>
      <c r="K325" s="15"/>
      <c r="L325" s="15"/>
      <c r="M325" s="15"/>
      <c r="N325" s="21">
        <v>0.9</v>
      </c>
      <c r="O325" s="9" t="s">
        <v>101</v>
      </c>
      <c r="P325" s="9" t="s">
        <v>101</v>
      </c>
      <c r="Q325" s="9" t="s">
        <v>101</v>
      </c>
      <c r="R325" s="9" t="s">
        <v>101</v>
      </c>
      <c r="S325" s="9" t="s">
        <v>101</v>
      </c>
      <c r="T325" s="9" t="s">
        <v>101</v>
      </c>
      <c r="U325" s="9" t="s">
        <v>101</v>
      </c>
      <c r="V325" s="15">
        <v>0.89</v>
      </c>
      <c r="W325" s="15"/>
      <c r="X325" s="15"/>
      <c r="Y325" s="15">
        <v>0.792</v>
      </c>
      <c r="Z325" s="15"/>
      <c r="AA325" s="15"/>
      <c r="AB325" s="15"/>
      <c r="AC325" s="15"/>
      <c r="AD325" s="15"/>
      <c r="AE325" s="19"/>
      <c r="AF325" s="19"/>
      <c r="AG325" s="7" t="s">
        <v>109</v>
      </c>
      <c r="AH325" s="13">
        <f>iferror(VLOOKUP($B325,covariates!$B$3:$Z$1126,6,FALSE),"")</f>
        <v>26</v>
      </c>
      <c r="AI325" s="13">
        <f>iferror(VLOOKUP($B325,covariates!$B$3:$Z$1126,7,FALSE),"")</f>
        <v>6.275</v>
      </c>
      <c r="AJ325" s="9">
        <f>iferror(VLOOKUP($B325,covariates!$B$3:$Z$1126,14,FALSE),"")</f>
        <v>0</v>
      </c>
      <c r="AK325" s="9">
        <f>iferror(VLOOKUP($B325,covariates!$B$3:$Z$1126,16,FALSE),"")</f>
        <v>74</v>
      </c>
      <c r="AL325" s="9">
        <f>iferror(VLOOKUP($B325,covariates!$B$3:$Z$1126,18,FALSE),"")</f>
        <v>24</v>
      </c>
      <c r="AM325" s="9">
        <f>iferror(VLOOKUP($B325,covariates!$B$3:$Z$1126,19,FALSE),"")</f>
        <v>2</v>
      </c>
    </row>
    <row r="326">
      <c r="A326" s="15">
        <v>44.0</v>
      </c>
      <c r="B326" s="17" t="str">
        <f t="shared" ref="B326:B327" si="182">HYPERLINK("https://github.com/d-wkim/phd/blob/main/data/pdf/komzak_2022.pdf","Komzak et al., 2022")</f>
        <v>Komzak et al., 2022</v>
      </c>
      <c r="C326" s="9" t="s">
        <v>42</v>
      </c>
      <c r="D326" s="19" t="s">
        <v>371</v>
      </c>
      <c r="E326" s="9" t="s">
        <v>222</v>
      </c>
      <c r="F326" s="9">
        <v>36.0</v>
      </c>
      <c r="G326" s="13">
        <v>93.4</v>
      </c>
      <c r="H326" s="13">
        <v>9.6</v>
      </c>
      <c r="I326" s="15"/>
      <c r="J326" s="15"/>
      <c r="K326" s="15"/>
      <c r="L326" s="15"/>
      <c r="M326" s="15"/>
      <c r="N326" s="21">
        <v>0.934</v>
      </c>
      <c r="O326" s="9" t="s">
        <v>101</v>
      </c>
      <c r="P326" s="9" t="s">
        <v>101</v>
      </c>
      <c r="Q326" s="9" t="s">
        <v>101</v>
      </c>
      <c r="R326" s="9" t="s">
        <v>101</v>
      </c>
      <c r="S326" s="9" t="s">
        <v>101</v>
      </c>
      <c r="T326" s="9" t="s">
        <v>101</v>
      </c>
      <c r="U326" s="9" t="s">
        <v>101</v>
      </c>
      <c r="V326" s="15">
        <v>1.6</v>
      </c>
      <c r="W326" s="15"/>
      <c r="X326" s="15"/>
      <c r="Y326" s="15">
        <v>2.56</v>
      </c>
      <c r="Z326" s="15"/>
      <c r="AA326" s="15"/>
      <c r="AB326" s="15"/>
      <c r="AC326" s="15"/>
      <c r="AD326" s="15"/>
      <c r="AE326" s="19"/>
      <c r="AF326" s="19"/>
      <c r="AG326" s="7" t="s">
        <v>109</v>
      </c>
      <c r="AH326" s="13">
        <f>iferror(VLOOKUP($B326,covariates!$B$3:$Z$1126,6,FALSE),"")</f>
        <v>31</v>
      </c>
      <c r="AI326" s="13">
        <f>iferror(VLOOKUP($B326,covariates!$B$3:$Z$1126,7,FALSE),"")</f>
        <v>9.459</v>
      </c>
      <c r="AJ326" s="9">
        <f>iferror(VLOOKUP($B326,covariates!$B$3:$Z$1126,14,FALSE),"")</f>
        <v>23</v>
      </c>
      <c r="AK326" s="9">
        <f>iferror(VLOOKUP($B326,covariates!$B$3:$Z$1126,16,FALSE),"")</f>
        <v>17</v>
      </c>
      <c r="AL326" s="9">
        <f>iferror(VLOOKUP($B326,covariates!$B$3:$Z$1126,18,FALSE),"")</f>
        <v>28</v>
      </c>
      <c r="AM326" s="9">
        <f>iferror(VLOOKUP($B326,covariates!$B$3:$Z$1126,19,FALSE),"")</f>
        <v>2.3</v>
      </c>
    </row>
    <row r="327">
      <c r="A327" s="15">
        <v>44.0</v>
      </c>
      <c r="B327" s="17" t="str">
        <f t="shared" si="182"/>
        <v>Komzak et al., 2022</v>
      </c>
      <c r="C327" s="9" t="s">
        <v>200</v>
      </c>
      <c r="D327" s="19" t="s">
        <v>371</v>
      </c>
      <c r="E327" s="9" t="s">
        <v>222</v>
      </c>
      <c r="F327" s="9">
        <v>36.0</v>
      </c>
      <c r="G327" s="13">
        <v>90.1</v>
      </c>
      <c r="H327" s="13">
        <v>6.7</v>
      </c>
      <c r="I327" s="15"/>
      <c r="J327" s="15"/>
      <c r="K327" s="15"/>
      <c r="L327" s="15"/>
      <c r="M327" s="15"/>
      <c r="N327" s="21">
        <v>0.9009999999999999</v>
      </c>
      <c r="O327" s="9" t="s">
        <v>101</v>
      </c>
      <c r="P327" s="9" t="s">
        <v>101</v>
      </c>
      <c r="Q327" s="9" t="s">
        <v>101</v>
      </c>
      <c r="R327" s="9" t="s">
        <v>101</v>
      </c>
      <c r="S327" s="9" t="s">
        <v>101</v>
      </c>
      <c r="T327" s="9" t="s">
        <v>101</v>
      </c>
      <c r="U327" s="9" t="s">
        <v>101</v>
      </c>
      <c r="V327" s="15">
        <v>1.117</v>
      </c>
      <c r="W327" s="15"/>
      <c r="X327" s="15"/>
      <c r="Y327" s="15">
        <v>1.248</v>
      </c>
      <c r="Z327" s="19"/>
      <c r="AA327" s="19"/>
      <c r="AB327" s="19"/>
      <c r="AC327" s="19"/>
      <c r="AD327" s="19"/>
      <c r="AE327" s="19"/>
      <c r="AF327" s="19"/>
      <c r="AG327" s="7" t="s">
        <v>109</v>
      </c>
      <c r="AH327" s="13">
        <f>iferror(VLOOKUP($B327,covariates!$B$3:$Z$1126,6,FALSE),"")</f>
        <v>31</v>
      </c>
      <c r="AI327" s="13">
        <f>iferror(VLOOKUP($B327,covariates!$B$3:$Z$1126,7,FALSE),"")</f>
        <v>9.459</v>
      </c>
      <c r="AJ327" s="9">
        <f>iferror(VLOOKUP($B327,covariates!$B$3:$Z$1126,14,FALSE),"")</f>
        <v>23</v>
      </c>
      <c r="AK327" s="9">
        <f>iferror(VLOOKUP($B327,covariates!$B$3:$Z$1126,16,FALSE),"")</f>
        <v>17</v>
      </c>
      <c r="AL327" s="9">
        <f>iferror(VLOOKUP($B327,covariates!$B$3:$Z$1126,18,FALSE),"")</f>
        <v>28</v>
      </c>
      <c r="AM327" s="9">
        <f>iferror(VLOOKUP($B327,covariates!$B$3:$Z$1126,19,FALSE),"")</f>
        <v>2.3</v>
      </c>
    </row>
    <row r="328">
      <c r="A328" s="15">
        <v>45.0</v>
      </c>
      <c r="B328" s="17" t="str">
        <f t="shared" ref="B328:B329" si="183">HYPERLINK("https://github.com/d-wkim/phd/blob/main/data/pdf/konrads_2016.pdf","Konrads et al., 2016")</f>
        <v>Konrads et al., 2016</v>
      </c>
      <c r="C328" s="9" t="s">
        <v>42</v>
      </c>
      <c r="D328" s="19" t="s">
        <v>371</v>
      </c>
      <c r="E328" s="9" t="s">
        <v>222</v>
      </c>
      <c r="F328" s="9">
        <v>24.0</v>
      </c>
      <c r="G328" s="13">
        <v>92.0</v>
      </c>
      <c r="H328" s="13">
        <f t="shared" ref="H328:H329" si="184">iferror(RANGE_SD(F328,I328,M328),"")</f>
        <v>8.989</v>
      </c>
      <c r="I328" s="9">
        <v>63.0</v>
      </c>
      <c r="J328" s="15"/>
      <c r="K328" s="15"/>
      <c r="L328" s="15"/>
      <c r="M328" s="9">
        <v>98.0</v>
      </c>
      <c r="N328" s="21">
        <v>0.92</v>
      </c>
      <c r="O328" s="9" t="s">
        <v>101</v>
      </c>
      <c r="P328" s="9" t="s">
        <v>101</v>
      </c>
      <c r="Q328" s="9" t="s">
        <v>101</v>
      </c>
      <c r="R328" s="9" t="s">
        <v>101</v>
      </c>
      <c r="S328" s="9" t="s">
        <v>101</v>
      </c>
      <c r="T328" s="9" t="s">
        <v>101</v>
      </c>
      <c r="U328" s="9" t="s">
        <v>101</v>
      </c>
      <c r="V328" s="15">
        <v>1.835</v>
      </c>
      <c r="W328" s="15"/>
      <c r="X328" s="15"/>
      <c r="Y328" s="15">
        <v>3.367</v>
      </c>
      <c r="Z328" s="15"/>
      <c r="AA328" s="15"/>
      <c r="AB328" s="15"/>
      <c r="AC328" s="15"/>
      <c r="AD328" s="15"/>
      <c r="AE328" s="19"/>
      <c r="AF328" s="19"/>
      <c r="AG328" s="7" t="s">
        <v>109</v>
      </c>
      <c r="AH328" s="13">
        <f>iferror(VLOOKUP($B328,covariates!$B$3:$Z$1126,6,FALSE),"")</f>
        <v>29.8</v>
      </c>
      <c r="AI328" s="13">
        <f>iferror(VLOOKUP($B328,covariates!$B$3:$Z$1126,7,FALSE),"")</f>
        <v>6.33</v>
      </c>
      <c r="AJ328" s="9">
        <f>iferror(VLOOKUP($B328,covariates!$B$3:$Z$1126,14,FALSE),"")</f>
        <v>22</v>
      </c>
      <c r="AK328" s="9">
        <f>iferror(VLOOKUP($B328,covariates!$B$3:$Z$1126,16,FALSE),"")</f>
        <v>9</v>
      </c>
      <c r="AL328" s="9">
        <f>iferror(VLOOKUP($B328,covariates!$B$3:$Z$1126,18,FALSE),"")</f>
        <v>120</v>
      </c>
      <c r="AM328" s="9">
        <f>iferror(VLOOKUP($B328,covariates!$B$3:$Z$1126,19,FALSE),"")</f>
        <v>10</v>
      </c>
    </row>
    <row r="329">
      <c r="A329" s="15">
        <v>45.0</v>
      </c>
      <c r="B329" s="17" t="str">
        <f t="shared" si="183"/>
        <v>Konrads et al., 2016</v>
      </c>
      <c r="C329" s="9" t="s">
        <v>84</v>
      </c>
      <c r="D329" s="19" t="s">
        <v>371</v>
      </c>
      <c r="E329" s="9" t="s">
        <v>222</v>
      </c>
      <c r="F329" s="9">
        <v>23.0</v>
      </c>
      <c r="G329" s="13">
        <v>91.8</v>
      </c>
      <c r="H329" s="13">
        <f t="shared" si="184"/>
        <v>9.333</v>
      </c>
      <c r="I329" s="9">
        <v>62.0</v>
      </c>
      <c r="J329" s="15"/>
      <c r="K329" s="15"/>
      <c r="L329" s="15"/>
      <c r="M329" s="9">
        <v>98.0</v>
      </c>
      <c r="N329" s="21">
        <v>0.9179999999999999</v>
      </c>
      <c r="O329" s="9" t="s">
        <v>101</v>
      </c>
      <c r="P329" s="9" t="s">
        <v>101</v>
      </c>
      <c r="Q329" s="9" t="s">
        <v>101</v>
      </c>
      <c r="R329" s="9" t="s">
        <v>101</v>
      </c>
      <c r="S329" s="9" t="s">
        <v>101</v>
      </c>
      <c r="T329" s="9" t="s">
        <v>101</v>
      </c>
      <c r="U329" s="9" t="s">
        <v>101</v>
      </c>
      <c r="V329" s="15">
        <v>1.946</v>
      </c>
      <c r="W329" s="15"/>
      <c r="X329" s="15"/>
      <c r="Y329" s="15">
        <v>3.787</v>
      </c>
      <c r="Z329" s="15"/>
      <c r="AA329" s="15"/>
      <c r="AB329" s="15"/>
      <c r="AC329" s="15"/>
      <c r="AD329" s="15"/>
      <c r="AE329" s="19"/>
      <c r="AF329" s="19"/>
      <c r="AG329" s="7" t="s">
        <v>109</v>
      </c>
      <c r="AH329" s="13">
        <f>iferror(VLOOKUP($B329,covariates!$B$3:$Z$1126,6,FALSE),"")</f>
        <v>29.8</v>
      </c>
      <c r="AI329" s="13">
        <f>iferror(VLOOKUP($B329,covariates!$B$3:$Z$1126,7,FALSE),"")</f>
        <v>6.33</v>
      </c>
      <c r="AJ329" s="9">
        <f>iferror(VLOOKUP($B329,covariates!$B$3:$Z$1126,14,FALSE),"")</f>
        <v>22</v>
      </c>
      <c r="AK329" s="9">
        <f>iferror(VLOOKUP($B329,covariates!$B$3:$Z$1126,16,FALSE),"")</f>
        <v>9</v>
      </c>
      <c r="AL329" s="9">
        <f>iferror(VLOOKUP($B329,covariates!$B$3:$Z$1126,18,FALSE),"")</f>
        <v>120</v>
      </c>
      <c r="AM329" s="9">
        <f>iferror(VLOOKUP($B329,covariates!$B$3:$Z$1126,19,FALSE),"")</f>
        <v>10</v>
      </c>
    </row>
    <row r="330">
      <c r="A330" s="15">
        <v>46.0</v>
      </c>
      <c r="B330" s="17" t="str">
        <f t="shared" ref="B330:B331" si="185">HYPERLINK("https://github.com/d-wkim/phd/blob/main/data/pdf/laoruengthana_2009.pdf","Laoruengthana et al., 2009")</f>
        <v>Laoruengthana et al., 2009</v>
      </c>
      <c r="C330" s="7" t="s">
        <v>42</v>
      </c>
      <c r="D330" s="19" t="s">
        <v>371</v>
      </c>
      <c r="E330" s="9" t="s">
        <v>222</v>
      </c>
      <c r="F330" s="9"/>
      <c r="G330" s="21"/>
      <c r="H330" s="13"/>
      <c r="I330" s="15"/>
      <c r="J330" s="15"/>
      <c r="K330" s="15"/>
      <c r="L330" s="15"/>
      <c r="M330" s="15"/>
      <c r="N330" s="15"/>
      <c r="O330" s="9" t="s">
        <v>101</v>
      </c>
      <c r="P330" s="9" t="s">
        <v>101</v>
      </c>
      <c r="Q330" s="9" t="s">
        <v>101</v>
      </c>
      <c r="R330" s="9" t="s">
        <v>101</v>
      </c>
      <c r="S330" s="9" t="s">
        <v>101</v>
      </c>
      <c r="T330" s="9" t="s">
        <v>101</v>
      </c>
      <c r="U330" s="9" t="s">
        <v>101</v>
      </c>
      <c r="V330" s="15"/>
      <c r="W330" s="15"/>
      <c r="X330" s="15"/>
      <c r="Y330" s="15"/>
      <c r="Z330" s="15"/>
      <c r="AA330" s="15"/>
      <c r="AB330" s="15"/>
      <c r="AC330" s="15"/>
      <c r="AD330" s="15"/>
      <c r="AE330" s="19"/>
      <c r="AF330" s="19"/>
      <c r="AG330" s="7" t="s">
        <v>174</v>
      </c>
      <c r="AH330" s="13">
        <f>iferror(VLOOKUP($B330,covariates!$B$3:$Z$1126,6,FALSE),"")</f>
        <v>29.93</v>
      </c>
      <c r="AI330" s="13">
        <f>iferror(VLOOKUP($B330,covariates!$B$3:$Z$1126,7,FALSE),"")</f>
        <v>8.911</v>
      </c>
      <c r="AJ330" s="9" t="str">
        <f>iferror(VLOOKUP($B330,covariates!$B$3:$Z$1126,14,FALSE),"")</f>
        <v/>
      </c>
      <c r="AK330" s="9" t="str">
        <f>iferror(VLOOKUP($B330,covariates!$B$3:$Z$1126,16,FALSE),"")</f>
        <v/>
      </c>
      <c r="AL330" s="9">
        <f>iferror(VLOOKUP($B330,covariates!$B$3:$Z$1126,18,FALSE),"")</f>
        <v>19</v>
      </c>
      <c r="AM330" s="9">
        <f>iferror(VLOOKUP($B330,covariates!$B$3:$Z$1126,19,FALSE),"")</f>
        <v>1.6</v>
      </c>
    </row>
    <row r="331">
      <c r="A331" s="15">
        <v>46.0</v>
      </c>
      <c r="B331" s="17" t="str">
        <f t="shared" si="185"/>
        <v>Laoruengthana et al., 2009</v>
      </c>
      <c r="C331" s="7" t="s">
        <v>84</v>
      </c>
      <c r="D331" s="19" t="s">
        <v>371</v>
      </c>
      <c r="E331" s="9" t="s">
        <v>222</v>
      </c>
      <c r="F331" s="9"/>
      <c r="G331" s="21"/>
      <c r="H331" s="13"/>
      <c r="I331" s="15"/>
      <c r="J331" s="15"/>
      <c r="K331" s="15"/>
      <c r="L331" s="15"/>
      <c r="M331" s="15"/>
      <c r="N331" s="15"/>
      <c r="O331" s="9" t="s">
        <v>101</v>
      </c>
      <c r="P331" s="9" t="s">
        <v>101</v>
      </c>
      <c r="Q331" s="9" t="s">
        <v>101</v>
      </c>
      <c r="R331" s="9" t="s">
        <v>101</v>
      </c>
      <c r="S331" s="9" t="s">
        <v>101</v>
      </c>
      <c r="T331" s="9" t="s">
        <v>101</v>
      </c>
      <c r="U331" s="9" t="s">
        <v>101</v>
      </c>
      <c r="V331" s="15"/>
      <c r="W331" s="15"/>
      <c r="X331" s="15"/>
      <c r="Y331" s="15"/>
      <c r="Z331" s="15"/>
      <c r="AA331" s="15"/>
      <c r="AB331" s="15"/>
      <c r="AC331" s="15"/>
      <c r="AD331" s="15"/>
      <c r="AE331" s="19"/>
      <c r="AF331" s="19"/>
      <c r="AG331" s="7" t="s">
        <v>174</v>
      </c>
      <c r="AH331" s="13">
        <f>iferror(VLOOKUP($B331,covariates!$B$3:$Z$1126,6,FALSE),"")</f>
        <v>29.93</v>
      </c>
      <c r="AI331" s="13">
        <f>iferror(VLOOKUP($B331,covariates!$B$3:$Z$1126,7,FALSE),"")</f>
        <v>8.911</v>
      </c>
      <c r="AJ331" s="9" t="str">
        <f>iferror(VLOOKUP($B331,covariates!$B$3:$Z$1126,14,FALSE),"")</f>
        <v/>
      </c>
      <c r="AK331" s="9" t="str">
        <f>iferror(VLOOKUP($B331,covariates!$B$3:$Z$1126,16,FALSE),"")</f>
        <v/>
      </c>
      <c r="AL331" s="9">
        <f>iferror(VLOOKUP($B331,covariates!$B$3:$Z$1126,18,FALSE),"")</f>
        <v>19</v>
      </c>
      <c r="AM331" s="9">
        <f>iferror(VLOOKUP($B331,covariates!$B$3:$Z$1126,19,FALSE),"")</f>
        <v>1.6</v>
      </c>
    </row>
    <row r="332">
      <c r="A332" s="15">
        <v>49.0</v>
      </c>
      <c r="B332" s="17" t="str">
        <f t="shared" ref="B332:B333" si="186">HYPERLINK("https://github.com/d-wkim/phd/blob/main/data/pdf/laxdal_2005.pdf","Laxdal et al., 2005")</f>
        <v>Laxdal et al., 2005</v>
      </c>
      <c r="C332" s="9" t="s">
        <v>42</v>
      </c>
      <c r="D332" s="19" t="s">
        <v>371</v>
      </c>
      <c r="E332" s="9" t="s">
        <v>222</v>
      </c>
      <c r="F332" s="9">
        <v>40.0</v>
      </c>
      <c r="G332" s="13">
        <v>94.0</v>
      </c>
      <c r="H332" s="13">
        <f>iferror(RANGE_SD(F332,I332,M332),"")</f>
        <v>18.086</v>
      </c>
      <c r="I332" s="9">
        <v>22.0</v>
      </c>
      <c r="J332" s="15"/>
      <c r="K332" s="15"/>
      <c r="L332" s="15"/>
      <c r="M332" s="9">
        <v>100.0</v>
      </c>
      <c r="N332" s="21">
        <v>0.94</v>
      </c>
      <c r="O332" s="9" t="s">
        <v>101</v>
      </c>
      <c r="P332" s="9" t="s">
        <v>101</v>
      </c>
      <c r="Q332" s="9" t="s">
        <v>101</v>
      </c>
      <c r="R332" s="9" t="s">
        <v>101</v>
      </c>
      <c r="S332" s="9" t="s">
        <v>101</v>
      </c>
      <c r="T332" s="9" t="s">
        <v>101</v>
      </c>
      <c r="U332" s="9" t="s">
        <v>101</v>
      </c>
      <c r="V332" s="15">
        <v>2.86</v>
      </c>
      <c r="W332" s="15"/>
      <c r="X332" s="15"/>
      <c r="Y332" s="15">
        <v>8.18</v>
      </c>
      <c r="Z332" s="15"/>
      <c r="AA332" s="15"/>
      <c r="AB332" s="15"/>
      <c r="AC332" s="15"/>
      <c r="AD332" s="15"/>
      <c r="AE332" s="19"/>
      <c r="AF332" s="19"/>
      <c r="AG332" s="7" t="s">
        <v>109</v>
      </c>
      <c r="AH332" s="13">
        <f>iferror(VLOOKUP($B332,covariates!$B$3:$Z$1126,6,FALSE),"")</f>
        <v>28</v>
      </c>
      <c r="AI332" s="13">
        <f>iferror(VLOOKUP($B332,covariates!$B$3:$Z$1126,7,FALSE),"")</f>
        <v>8.347</v>
      </c>
      <c r="AJ332" s="9" t="str">
        <f>iferror(VLOOKUP($B332,covariates!$B$3:$Z$1126,14,FALSE),"")</f>
        <v/>
      </c>
      <c r="AK332" s="9" t="str">
        <f>iferror(VLOOKUP($B332,covariates!$B$3:$Z$1126,16,FALSE),"")</f>
        <v/>
      </c>
      <c r="AL332" s="9">
        <f>iferror(VLOOKUP($B332,covariates!$B$3:$Z$1126,18,FALSE),"")</f>
        <v>26</v>
      </c>
      <c r="AM332" s="9">
        <f>iferror(VLOOKUP($B332,covariates!$B$3:$Z$1126,19,FALSE),"")</f>
        <v>2.2</v>
      </c>
    </row>
    <row r="333">
      <c r="A333" s="9">
        <v>49.0</v>
      </c>
      <c r="B333" s="17" t="str">
        <f t="shared" si="186"/>
        <v>Laxdal et al., 2005</v>
      </c>
      <c r="C333" s="9" t="s">
        <v>84</v>
      </c>
      <c r="D333" s="19" t="s">
        <v>371</v>
      </c>
      <c r="E333" s="9" t="s">
        <v>222</v>
      </c>
      <c r="F333" s="9">
        <v>78.0</v>
      </c>
      <c r="G333" s="13">
        <v>92.0</v>
      </c>
      <c r="H333" s="13">
        <v>13.397563064473081</v>
      </c>
      <c r="I333" s="9"/>
      <c r="J333" s="15"/>
      <c r="K333" s="15"/>
      <c r="L333" s="15"/>
      <c r="M333" s="9"/>
      <c r="N333" s="21">
        <v>0.92</v>
      </c>
      <c r="O333" s="9" t="s">
        <v>101</v>
      </c>
      <c r="P333" s="9" t="s">
        <v>101</v>
      </c>
      <c r="Q333" s="9" t="s">
        <v>101</v>
      </c>
      <c r="R333" s="9" t="s">
        <v>101</v>
      </c>
      <c r="S333" s="9" t="s">
        <v>101</v>
      </c>
      <c r="T333" s="9" t="s">
        <v>101</v>
      </c>
      <c r="U333" s="9" t="s">
        <v>101</v>
      </c>
      <c r="V333" s="15">
        <v>1.517</v>
      </c>
      <c r="W333" s="15"/>
      <c r="X333" s="15"/>
      <c r="Y333" s="15">
        <v>2.301</v>
      </c>
      <c r="Z333" s="15"/>
      <c r="AA333" s="15"/>
      <c r="AB333" s="15"/>
      <c r="AC333" s="15"/>
      <c r="AD333" s="15"/>
      <c r="AE333" s="19"/>
      <c r="AF333" s="19"/>
      <c r="AG333" s="7" t="s">
        <v>109</v>
      </c>
      <c r="AH333" s="13">
        <f>iferror(VLOOKUP($B333,covariates!$B$3:$Z$1126,6,FALSE),"")</f>
        <v>28</v>
      </c>
      <c r="AI333" s="13">
        <f>iferror(VLOOKUP($B333,covariates!$B$3:$Z$1126,7,FALSE),"")</f>
        <v>8.347</v>
      </c>
      <c r="AJ333" s="9" t="str">
        <f>iferror(VLOOKUP($B333,covariates!$B$3:$Z$1126,14,FALSE),"")</f>
        <v/>
      </c>
      <c r="AK333" s="9" t="str">
        <f>iferror(VLOOKUP($B333,covariates!$B$3:$Z$1126,16,FALSE),"")</f>
        <v/>
      </c>
      <c r="AL333" s="9">
        <f>iferror(VLOOKUP($B333,covariates!$B$3:$Z$1126,18,FALSE),"")</f>
        <v>26</v>
      </c>
      <c r="AM333" s="9">
        <f>iferror(VLOOKUP($B333,covariates!$B$3:$Z$1126,19,FALSE),"")</f>
        <v>2.2</v>
      </c>
    </row>
    <row r="334">
      <c r="A334" s="15">
        <v>51.0</v>
      </c>
      <c r="B334" s="17" t="str">
        <f t="shared" ref="B334:B335" si="187">HYPERLINK("https://github.com/d-wkim/phd/blob/main/data/pdf/li_2015.pdf","Li et al., 2015")</f>
        <v>Li et al., 2015</v>
      </c>
      <c r="C334" s="9" t="s">
        <v>84</v>
      </c>
      <c r="D334" s="19" t="s">
        <v>371</v>
      </c>
      <c r="E334" s="9" t="s">
        <v>222</v>
      </c>
      <c r="F334" s="9">
        <v>32.0</v>
      </c>
      <c r="G334" s="13">
        <v>91.3</v>
      </c>
      <c r="H334" s="13">
        <v>11.5</v>
      </c>
      <c r="I334" s="15"/>
      <c r="J334" s="15"/>
      <c r="K334" s="15"/>
      <c r="L334" s="15"/>
      <c r="M334" s="15"/>
      <c r="N334" s="21">
        <v>0.9129999999999999</v>
      </c>
      <c r="O334" s="9" t="s">
        <v>101</v>
      </c>
      <c r="P334" s="9" t="s">
        <v>101</v>
      </c>
      <c r="Q334" s="9" t="s">
        <v>101</v>
      </c>
      <c r="R334" s="9" t="s">
        <v>101</v>
      </c>
      <c r="S334" s="9" t="s">
        <v>101</v>
      </c>
      <c r="T334" s="9" t="s">
        <v>101</v>
      </c>
      <c r="U334" s="9" t="s">
        <v>101</v>
      </c>
      <c r="V334" s="15">
        <v>2.033</v>
      </c>
      <c r="W334" s="15"/>
      <c r="X334" s="15"/>
      <c r="Y334" s="15">
        <v>4.133</v>
      </c>
      <c r="Z334" s="15"/>
      <c r="AA334" s="15"/>
      <c r="AB334" s="15"/>
      <c r="AC334" s="15"/>
      <c r="AD334" s="15"/>
      <c r="AE334" s="19"/>
      <c r="AF334" s="19"/>
      <c r="AG334" s="7" t="s">
        <v>109</v>
      </c>
      <c r="AH334" s="13">
        <f>iferror(VLOOKUP($B334,covariates!$B$3:$Z$1126,6,FALSE),"")</f>
        <v>29.8</v>
      </c>
      <c r="AI334" s="13">
        <f>iferror(VLOOKUP($B334,covariates!$B$3:$Z$1126,7,FALSE),"")</f>
        <v>7.9</v>
      </c>
      <c r="AJ334" s="9">
        <f>iferror(VLOOKUP($B334,covariates!$B$3:$Z$1126,14,FALSE),"")</f>
        <v>17</v>
      </c>
      <c r="AK334" s="9">
        <f>iferror(VLOOKUP($B334,covariates!$B$3:$Z$1126,16,FALSE),"")</f>
        <v>15</v>
      </c>
      <c r="AL334" s="9">
        <f>iferror(VLOOKUP($B334,covariates!$B$3:$Z$1126,18,FALSE),"")</f>
        <v>69.6</v>
      </c>
      <c r="AM334" s="9">
        <f>iferror(VLOOKUP($B334,covariates!$B$3:$Z$1126,19,FALSE),"")</f>
        <v>5.8</v>
      </c>
    </row>
    <row r="335">
      <c r="A335" s="15">
        <v>51.0</v>
      </c>
      <c r="B335" s="17" t="str">
        <f t="shared" si="187"/>
        <v>Li et al., 2015</v>
      </c>
      <c r="C335" s="9" t="s">
        <v>205</v>
      </c>
      <c r="D335" s="19" t="s">
        <v>371</v>
      </c>
      <c r="E335" s="9" t="s">
        <v>222</v>
      </c>
      <c r="F335" s="9">
        <v>32.0</v>
      </c>
      <c r="G335" s="13">
        <v>88.7</v>
      </c>
      <c r="H335" s="13">
        <v>8.6</v>
      </c>
      <c r="I335" s="15"/>
      <c r="J335" s="15"/>
      <c r="K335" s="15"/>
      <c r="L335" s="15"/>
      <c r="M335" s="15"/>
      <c r="N335" s="21">
        <v>0.887</v>
      </c>
      <c r="O335" s="9" t="s">
        <v>101</v>
      </c>
      <c r="P335" s="9" t="s">
        <v>101</v>
      </c>
      <c r="Q335" s="9" t="s">
        <v>101</v>
      </c>
      <c r="R335" s="9" t="s">
        <v>101</v>
      </c>
      <c r="S335" s="9" t="s">
        <v>101</v>
      </c>
      <c r="T335" s="9" t="s">
        <v>101</v>
      </c>
      <c r="U335" s="9" t="s">
        <v>101</v>
      </c>
      <c r="V335" s="15">
        <v>1.52</v>
      </c>
      <c r="W335" s="15"/>
      <c r="X335" s="15"/>
      <c r="Y335" s="15">
        <v>2.31</v>
      </c>
      <c r="Z335" s="19"/>
      <c r="AA335" s="19"/>
      <c r="AB335" s="19"/>
      <c r="AC335" s="19"/>
      <c r="AD335" s="19"/>
      <c r="AE335" s="19"/>
      <c r="AF335" s="19"/>
      <c r="AG335" s="7" t="s">
        <v>109</v>
      </c>
      <c r="AH335" s="13">
        <f>iferror(VLOOKUP($B335,covariates!$B$3:$Z$1126,6,FALSE),"")</f>
        <v>29.8</v>
      </c>
      <c r="AI335" s="13">
        <f>iferror(VLOOKUP($B335,covariates!$B$3:$Z$1126,7,FALSE),"")</f>
        <v>7.9</v>
      </c>
      <c r="AJ335" s="9">
        <f>iferror(VLOOKUP($B335,covariates!$B$3:$Z$1126,14,FALSE),"")</f>
        <v>17</v>
      </c>
      <c r="AK335" s="9">
        <f>iferror(VLOOKUP($B335,covariates!$B$3:$Z$1126,16,FALSE),"")</f>
        <v>15</v>
      </c>
      <c r="AL335" s="9">
        <f>iferror(VLOOKUP($B335,covariates!$B$3:$Z$1126,18,FALSE),"")</f>
        <v>69.6</v>
      </c>
      <c r="AM335" s="9">
        <f>iferror(VLOOKUP($B335,covariates!$B$3:$Z$1126,19,FALSE),"")</f>
        <v>5.8</v>
      </c>
    </row>
    <row r="336">
      <c r="A336" s="15">
        <v>52.0</v>
      </c>
      <c r="B336" s="17" t="str">
        <f t="shared" ref="B336:B337" si="188">HYPERLINK("https://github.com/d-wkim/phd/blob/main/data/pdf/lidén_2007.pdf","Lidén et al., 2007")</f>
        <v>Lidén et al., 2007</v>
      </c>
      <c r="C336" s="9" t="s">
        <v>42</v>
      </c>
      <c r="D336" s="19" t="s">
        <v>371</v>
      </c>
      <c r="E336" s="9" t="s">
        <v>222</v>
      </c>
      <c r="F336" s="9">
        <v>30.0</v>
      </c>
      <c r="G336" s="13">
        <v>81.0</v>
      </c>
      <c r="H336" s="13">
        <f t="shared" ref="H336:H337" si="189">iferror(RANGE_SD(F336,I336,M336),"")</f>
        <v>18.38</v>
      </c>
      <c r="I336" s="9">
        <v>25.0</v>
      </c>
      <c r="J336" s="15"/>
      <c r="K336" s="15"/>
      <c r="L336" s="15"/>
      <c r="M336" s="9">
        <v>100.0</v>
      </c>
      <c r="N336" s="21">
        <v>0.81</v>
      </c>
      <c r="O336" s="9" t="s">
        <v>101</v>
      </c>
      <c r="P336" s="9" t="s">
        <v>101</v>
      </c>
      <c r="Q336" s="9" t="s">
        <v>101</v>
      </c>
      <c r="R336" s="9" t="s">
        <v>101</v>
      </c>
      <c r="S336" s="9" t="s">
        <v>101</v>
      </c>
      <c r="T336" s="9" t="s">
        <v>101</v>
      </c>
      <c r="U336" s="9" t="s">
        <v>101</v>
      </c>
      <c r="V336" s="15">
        <v>3.356</v>
      </c>
      <c r="W336" s="15"/>
      <c r="X336" s="15"/>
      <c r="Y336" s="15">
        <v>11.263</v>
      </c>
      <c r="Z336" s="15"/>
      <c r="AA336" s="15"/>
      <c r="AB336" s="15"/>
      <c r="AC336" s="15"/>
      <c r="AD336" s="15"/>
      <c r="AE336" s="19"/>
      <c r="AF336" s="19"/>
      <c r="AG336" s="7" t="s">
        <v>109</v>
      </c>
      <c r="AH336" s="13">
        <f>iferror(VLOOKUP($B336,covariates!$B$3:$Z$1126,6,FALSE),"")</f>
        <v>28</v>
      </c>
      <c r="AI336" s="13">
        <f>iferror(VLOOKUP($B336,covariates!$B$3:$Z$1126,7,FALSE),"")</f>
        <v>8.368</v>
      </c>
      <c r="AJ336" s="9">
        <f>iferror(VLOOKUP($B336,covariates!$B$3:$Z$1126,14,FALSE),"")</f>
        <v>23</v>
      </c>
      <c r="AK336" s="9">
        <f>iferror(VLOOKUP($B336,covariates!$B$3:$Z$1126,16,FALSE),"")</f>
        <v>11</v>
      </c>
      <c r="AL336" s="9">
        <f>iferror(VLOOKUP($B336,covariates!$B$3:$Z$1126,18,FALSE),"")</f>
        <v>87.10618173</v>
      </c>
      <c r="AM336" s="9">
        <f>iferror(VLOOKUP($B336,covariates!$B$3:$Z$1126,19,FALSE),"")</f>
        <v>7.3</v>
      </c>
    </row>
    <row r="337">
      <c r="A337" s="15">
        <v>52.0</v>
      </c>
      <c r="B337" s="17" t="str">
        <f t="shared" si="188"/>
        <v>Lidén et al., 2007</v>
      </c>
      <c r="C337" s="9" t="s">
        <v>84</v>
      </c>
      <c r="D337" s="19" t="s">
        <v>371</v>
      </c>
      <c r="E337" s="9" t="s">
        <v>222</v>
      </c>
      <c r="F337" s="9">
        <v>32.0</v>
      </c>
      <c r="G337" s="13">
        <v>90.0</v>
      </c>
      <c r="H337" s="13">
        <f t="shared" si="189"/>
        <v>12.096</v>
      </c>
      <c r="I337" s="9">
        <v>50.0</v>
      </c>
      <c r="J337" s="15"/>
      <c r="K337" s="15"/>
      <c r="L337" s="15"/>
      <c r="M337" s="9">
        <v>100.0</v>
      </c>
      <c r="N337" s="21">
        <v>0.9</v>
      </c>
      <c r="O337" s="9" t="s">
        <v>101</v>
      </c>
      <c r="P337" s="9" t="s">
        <v>101</v>
      </c>
      <c r="Q337" s="9" t="s">
        <v>101</v>
      </c>
      <c r="R337" s="9" t="s">
        <v>101</v>
      </c>
      <c r="S337" s="9" t="s">
        <v>101</v>
      </c>
      <c r="T337" s="9" t="s">
        <v>101</v>
      </c>
      <c r="U337" s="9" t="s">
        <v>101</v>
      </c>
      <c r="V337" s="15">
        <v>2.138</v>
      </c>
      <c r="W337" s="15"/>
      <c r="X337" s="15"/>
      <c r="Y337" s="15">
        <v>4.571</v>
      </c>
      <c r="Z337" s="15"/>
      <c r="AA337" s="15"/>
      <c r="AB337" s="15"/>
      <c r="AC337" s="15"/>
      <c r="AD337" s="15"/>
      <c r="AE337" s="19"/>
      <c r="AF337" s="19"/>
      <c r="AG337" s="7" t="s">
        <v>109</v>
      </c>
      <c r="AH337" s="13">
        <f>iferror(VLOOKUP($B337,covariates!$B$3:$Z$1126,6,FALSE),"")</f>
        <v>28</v>
      </c>
      <c r="AI337" s="13">
        <f>iferror(VLOOKUP($B337,covariates!$B$3:$Z$1126,7,FALSE),"")</f>
        <v>8.368</v>
      </c>
      <c r="AJ337" s="9">
        <f>iferror(VLOOKUP($B337,covariates!$B$3:$Z$1126,14,FALSE),"")</f>
        <v>23</v>
      </c>
      <c r="AK337" s="9">
        <f>iferror(VLOOKUP($B337,covariates!$B$3:$Z$1126,16,FALSE),"")</f>
        <v>11</v>
      </c>
      <c r="AL337" s="9">
        <f>iferror(VLOOKUP($B337,covariates!$B$3:$Z$1126,18,FALSE),"")</f>
        <v>87.10618173</v>
      </c>
      <c r="AM337" s="9">
        <f>iferror(VLOOKUP($B337,covariates!$B$3:$Z$1126,19,FALSE),"")</f>
        <v>7.3</v>
      </c>
    </row>
    <row r="338">
      <c r="A338" s="15">
        <v>54.0</v>
      </c>
      <c r="B338" s="17" t="str">
        <f t="shared" ref="B338:B339" si="190">HYPERLINK("https://github.com/d-wkim/phd/blob/main/data/pdf/lucidi_2025.pdf","Lucidi et al., 2025")</f>
        <v>Lucidi et al., 2025</v>
      </c>
      <c r="C338" s="9" t="s">
        <v>42</v>
      </c>
      <c r="D338" s="19" t="s">
        <v>371</v>
      </c>
      <c r="E338" s="9" t="s">
        <v>222</v>
      </c>
      <c r="F338" s="9">
        <v>19.0</v>
      </c>
      <c r="G338" s="13">
        <v>84.8</v>
      </c>
      <c r="H338" s="13">
        <v>10.3</v>
      </c>
      <c r="I338" s="15"/>
      <c r="J338" s="15"/>
      <c r="K338" s="15"/>
      <c r="L338" s="15"/>
      <c r="M338" s="15"/>
      <c r="N338" s="21">
        <v>0.848</v>
      </c>
      <c r="O338" s="9" t="s">
        <v>101</v>
      </c>
      <c r="P338" s="9" t="s">
        <v>101</v>
      </c>
      <c r="Q338" s="9" t="s">
        <v>101</v>
      </c>
      <c r="R338" s="9" t="s">
        <v>101</v>
      </c>
      <c r="S338" s="9" t="s">
        <v>101</v>
      </c>
      <c r="T338" s="9" t="s">
        <v>101</v>
      </c>
      <c r="U338" s="9" t="s">
        <v>101</v>
      </c>
      <c r="V338" s="15">
        <v>2.363</v>
      </c>
      <c r="W338" s="15"/>
      <c r="X338" s="15"/>
      <c r="Y338" s="15">
        <v>5.584</v>
      </c>
      <c r="Z338" s="15"/>
      <c r="AA338" s="15"/>
      <c r="AB338" s="15"/>
      <c r="AC338" s="15"/>
      <c r="AD338" s="15"/>
      <c r="AE338" s="19"/>
      <c r="AF338" s="19"/>
      <c r="AG338" s="7" t="s">
        <v>109</v>
      </c>
      <c r="AH338" s="13">
        <f>iferror(VLOOKUP($B338,covariates!$B$3:$Z$1126,6,FALSE),"")</f>
        <v>52.8</v>
      </c>
      <c r="AI338" s="13">
        <f>iferror(VLOOKUP($B338,covariates!$B$3:$Z$1126,7,FALSE),"")</f>
        <v>7.3</v>
      </c>
      <c r="AJ338" s="9" t="str">
        <f>iferror(VLOOKUP($B338,covariates!$B$3:$Z$1126,14,FALSE),"")</f>
        <v/>
      </c>
      <c r="AK338" s="9" t="str">
        <f>iferror(VLOOKUP($B338,covariates!$B$3:$Z$1126,16,FALSE),"")</f>
        <v/>
      </c>
      <c r="AL338" s="9">
        <f>iferror(VLOOKUP($B338,covariates!$B$3:$Z$1126,18,FALSE),"")</f>
        <v>240</v>
      </c>
      <c r="AM338" s="9">
        <f>iferror(VLOOKUP($B338,covariates!$B$3:$Z$1126,19,FALSE),"")</f>
        <v>20</v>
      </c>
    </row>
    <row r="339">
      <c r="A339" s="15">
        <v>54.0</v>
      </c>
      <c r="B339" s="17" t="str">
        <f t="shared" si="190"/>
        <v>Lucidi et al., 2025</v>
      </c>
      <c r="C339" s="9" t="s">
        <v>84</v>
      </c>
      <c r="D339" s="19" t="s">
        <v>371</v>
      </c>
      <c r="E339" s="9" t="s">
        <v>222</v>
      </c>
      <c r="F339" s="9">
        <v>20.0</v>
      </c>
      <c r="G339" s="13">
        <v>88.6</v>
      </c>
      <c r="H339" s="13">
        <v>8.3</v>
      </c>
      <c r="I339" s="15"/>
      <c r="J339" s="15"/>
      <c r="K339" s="15"/>
      <c r="L339" s="15"/>
      <c r="M339" s="15"/>
      <c r="N339" s="21">
        <v>0.8859999999999999</v>
      </c>
      <c r="O339" s="9" t="s">
        <v>101</v>
      </c>
      <c r="P339" s="9" t="s">
        <v>101</v>
      </c>
      <c r="Q339" s="9" t="s">
        <v>101</v>
      </c>
      <c r="R339" s="9" t="s">
        <v>101</v>
      </c>
      <c r="S339" s="9" t="s">
        <v>101</v>
      </c>
      <c r="T339" s="9" t="s">
        <v>101</v>
      </c>
      <c r="U339" s="9" t="s">
        <v>101</v>
      </c>
      <c r="V339" s="15">
        <v>1.856</v>
      </c>
      <c r="W339" s="15"/>
      <c r="X339" s="15"/>
      <c r="Y339" s="15">
        <v>3.445</v>
      </c>
      <c r="Z339" s="15"/>
      <c r="AA339" s="15"/>
      <c r="AB339" s="15"/>
      <c r="AC339" s="15"/>
      <c r="AD339" s="15"/>
      <c r="AE339" s="19"/>
      <c r="AF339" s="19"/>
      <c r="AG339" s="7" t="s">
        <v>109</v>
      </c>
      <c r="AH339" s="13">
        <f>iferror(VLOOKUP($B339,covariates!$B$3:$Z$1126,6,FALSE),"")</f>
        <v>52.8</v>
      </c>
      <c r="AI339" s="13">
        <f>iferror(VLOOKUP($B339,covariates!$B$3:$Z$1126,7,FALSE),"")</f>
        <v>7.3</v>
      </c>
      <c r="AJ339" s="9" t="str">
        <f>iferror(VLOOKUP($B339,covariates!$B$3:$Z$1126,14,FALSE),"")</f>
        <v/>
      </c>
      <c r="AK339" s="9" t="str">
        <f>iferror(VLOOKUP($B339,covariates!$B$3:$Z$1126,16,FALSE),"")</f>
        <v/>
      </c>
      <c r="AL339" s="9">
        <f>iferror(VLOOKUP($B339,covariates!$B$3:$Z$1126,18,FALSE),"")</f>
        <v>240</v>
      </c>
      <c r="AM339" s="9">
        <f>iferror(VLOOKUP($B339,covariates!$B$3:$Z$1126,19,FALSE),"")</f>
        <v>20</v>
      </c>
    </row>
    <row r="340">
      <c r="A340" s="15">
        <v>55.0</v>
      </c>
      <c r="B340" s="17" t="str">
        <f t="shared" ref="B340:B341" si="191">HYPERLINK("https://github.com/d-wkim/phd/blob/main/data/pdf/lui_2012.pdf","Lui et al., 2012")</f>
        <v>Lui et al., 2012</v>
      </c>
      <c r="C340" s="9" t="s">
        <v>42</v>
      </c>
      <c r="D340" s="19" t="s">
        <v>371</v>
      </c>
      <c r="E340" s="9" t="s">
        <v>222</v>
      </c>
      <c r="F340" s="9">
        <v>14.0</v>
      </c>
      <c r="G340" s="13">
        <v>84.0</v>
      </c>
      <c r="H340" s="13">
        <f t="shared" ref="H340:H341" si="192">iferror(RANGE_SD(F340,I340,M340),"")</f>
        <v>13.47</v>
      </c>
      <c r="I340" s="9">
        <v>54.0</v>
      </c>
      <c r="J340" s="15"/>
      <c r="K340" s="15"/>
      <c r="L340" s="15"/>
      <c r="M340" s="9">
        <v>100.0</v>
      </c>
      <c r="N340" s="21">
        <v>0.84</v>
      </c>
      <c r="O340" s="9" t="s">
        <v>101</v>
      </c>
      <c r="P340" s="9" t="s">
        <v>101</v>
      </c>
      <c r="Q340" s="9" t="s">
        <v>101</v>
      </c>
      <c r="R340" s="9" t="s">
        <v>101</v>
      </c>
      <c r="S340" s="9" t="s">
        <v>101</v>
      </c>
      <c r="T340" s="9" t="s">
        <v>101</v>
      </c>
      <c r="U340" s="9" t="s">
        <v>101</v>
      </c>
      <c r="V340" s="15">
        <v>3.6</v>
      </c>
      <c r="W340" s="15"/>
      <c r="X340" s="15"/>
      <c r="Y340" s="15">
        <v>12.96</v>
      </c>
      <c r="Z340" s="15"/>
      <c r="AA340" s="15"/>
      <c r="AB340" s="15"/>
      <c r="AC340" s="15"/>
      <c r="AD340" s="15"/>
      <c r="AE340" s="19"/>
      <c r="AF340" s="19"/>
      <c r="AG340" s="7" t="s">
        <v>109</v>
      </c>
      <c r="AH340" s="13">
        <f>iferror(VLOOKUP($B340,covariates!$B$3:$Z$1126,6,FALSE),"")</f>
        <v>26.5</v>
      </c>
      <c r="AI340" s="13">
        <f>iferror(VLOOKUP($B340,covariates!$B$3:$Z$1126,7,FALSE),"")</f>
        <v>5</v>
      </c>
      <c r="AJ340" s="9">
        <f>iferror(VLOOKUP($B340,covariates!$B$3:$Z$1126,14,FALSE),"")</f>
        <v>14</v>
      </c>
      <c r="AK340" s="9">
        <f>iferror(VLOOKUP($B340,covariates!$B$3:$Z$1126,16,FALSE),"")</f>
        <v>0</v>
      </c>
      <c r="AL340" s="9">
        <f>iferror(VLOOKUP($B340,covariates!$B$3:$Z$1126,18,FALSE),"")</f>
        <v>12</v>
      </c>
      <c r="AM340" s="9">
        <f>iferror(VLOOKUP($B340,covariates!$B$3:$Z$1126,19,FALSE),"")</f>
        <v>1</v>
      </c>
    </row>
    <row r="341">
      <c r="A341" s="15">
        <v>55.0</v>
      </c>
      <c r="B341" s="17" t="str">
        <f t="shared" si="191"/>
        <v>Lui et al., 2012</v>
      </c>
      <c r="C341" s="9" t="s">
        <v>84</v>
      </c>
      <c r="D341" s="19" t="s">
        <v>371</v>
      </c>
      <c r="E341" s="9" t="s">
        <v>222</v>
      </c>
      <c r="F341" s="9">
        <v>17.0</v>
      </c>
      <c r="G341" s="13">
        <v>80.0</v>
      </c>
      <c r="H341" s="13">
        <f t="shared" si="192"/>
        <v>15.589</v>
      </c>
      <c r="I341" s="9">
        <v>43.0</v>
      </c>
      <c r="J341" s="15"/>
      <c r="K341" s="15"/>
      <c r="L341" s="15"/>
      <c r="M341" s="9">
        <v>99.0</v>
      </c>
      <c r="N341" s="21">
        <v>0.8</v>
      </c>
      <c r="O341" s="9" t="s">
        <v>101</v>
      </c>
      <c r="P341" s="9" t="s">
        <v>101</v>
      </c>
      <c r="Q341" s="9" t="s">
        <v>101</v>
      </c>
      <c r="R341" s="9" t="s">
        <v>101</v>
      </c>
      <c r="S341" s="9" t="s">
        <v>101</v>
      </c>
      <c r="T341" s="9" t="s">
        <v>101</v>
      </c>
      <c r="U341" s="9" t="s">
        <v>101</v>
      </c>
      <c r="V341" s="15">
        <v>3.781</v>
      </c>
      <c r="W341" s="15"/>
      <c r="X341" s="15"/>
      <c r="Y341" s="15">
        <v>14.296</v>
      </c>
      <c r="Z341" s="15"/>
      <c r="AA341" s="15"/>
      <c r="AB341" s="15"/>
      <c r="AC341" s="15"/>
      <c r="AD341" s="15"/>
      <c r="AE341" s="19"/>
      <c r="AF341" s="19"/>
      <c r="AG341" s="7" t="s">
        <v>109</v>
      </c>
      <c r="AH341" s="13">
        <f>iferror(VLOOKUP($B341,covariates!$B$3:$Z$1126,6,FALSE),"")</f>
        <v>26.5</v>
      </c>
      <c r="AI341" s="13">
        <f>iferror(VLOOKUP($B341,covariates!$B$3:$Z$1126,7,FALSE),"")</f>
        <v>5</v>
      </c>
      <c r="AJ341" s="9">
        <f>iferror(VLOOKUP($B341,covariates!$B$3:$Z$1126,14,FALSE),"")</f>
        <v>14</v>
      </c>
      <c r="AK341" s="9">
        <f>iferror(VLOOKUP($B341,covariates!$B$3:$Z$1126,16,FALSE),"")</f>
        <v>0</v>
      </c>
      <c r="AL341" s="9">
        <f>iferror(VLOOKUP($B341,covariates!$B$3:$Z$1126,18,FALSE),"")</f>
        <v>12</v>
      </c>
      <c r="AM341" s="9">
        <f>iferror(VLOOKUP($B341,covariates!$B$3:$Z$1126,19,FALSE),"")</f>
        <v>1</v>
      </c>
    </row>
    <row r="342">
      <c r="A342" s="15">
        <v>57.0</v>
      </c>
      <c r="B342" s="17" t="str">
        <f t="shared" ref="B342:B343" si="193">HYPERLINK("https://github.com/d-wkim/phd/blob/main/data/pdf/maletis_2007.pdf","Maletis et al., 2007")</f>
        <v>Maletis et al., 2007</v>
      </c>
      <c r="C342" s="7" t="s">
        <v>42</v>
      </c>
      <c r="D342" s="19" t="s">
        <v>371</v>
      </c>
      <c r="E342" s="9" t="s">
        <v>222</v>
      </c>
      <c r="F342" s="9"/>
      <c r="G342" s="21"/>
      <c r="H342" s="13"/>
      <c r="I342" s="15"/>
      <c r="J342" s="15"/>
      <c r="K342" s="15"/>
      <c r="L342" s="15"/>
      <c r="M342" s="15"/>
      <c r="N342" s="15"/>
      <c r="O342" s="9" t="s">
        <v>101</v>
      </c>
      <c r="P342" s="9" t="s">
        <v>101</v>
      </c>
      <c r="Q342" s="9" t="s">
        <v>101</v>
      </c>
      <c r="R342" s="9" t="s">
        <v>101</v>
      </c>
      <c r="S342" s="9" t="s">
        <v>101</v>
      </c>
      <c r="T342" s="9" t="s">
        <v>101</v>
      </c>
      <c r="U342" s="9" t="s">
        <v>101</v>
      </c>
      <c r="V342" s="15"/>
      <c r="W342" s="15"/>
      <c r="X342" s="15"/>
      <c r="Y342" s="15"/>
      <c r="Z342" s="15"/>
      <c r="AA342" s="15"/>
      <c r="AB342" s="15"/>
      <c r="AC342" s="15"/>
      <c r="AD342" s="15"/>
      <c r="AE342" s="19"/>
      <c r="AF342" s="19"/>
      <c r="AG342" s="7" t="s">
        <v>174</v>
      </c>
      <c r="AH342" s="13" t="str">
        <f>iferror(VLOOKUP($B342,covariates!$B$3:$Z$1126,6,FALSE),"")</f>
        <v/>
      </c>
      <c r="AI342" s="13" t="str">
        <f>iferror(VLOOKUP($B342,covariates!$B$3:$Z$1126,7,FALSE),"")</f>
        <v/>
      </c>
      <c r="AJ342" s="9" t="str">
        <f>iferror(VLOOKUP($B342,covariates!$B$3:$Z$1126,14,FALSE),"")</f>
        <v/>
      </c>
      <c r="AK342" s="9" t="str">
        <f>iferror(VLOOKUP($B342,covariates!$B$3:$Z$1126,16,FALSE),"")</f>
        <v/>
      </c>
      <c r="AL342" s="9" t="str">
        <f>iferror(VLOOKUP($B342,covariates!$B$3:$Z$1126,18,FALSE),"")</f>
        <v/>
      </c>
      <c r="AM342" s="9" t="str">
        <f>iferror(VLOOKUP($B342,covariates!$B$3:$Z$1126,19,FALSE),"")</f>
        <v/>
      </c>
    </row>
    <row r="343">
      <c r="A343" s="15">
        <v>57.0</v>
      </c>
      <c r="B343" s="17" t="str">
        <f t="shared" si="193"/>
        <v>Maletis et al., 2007</v>
      </c>
      <c r="C343" s="7" t="s">
        <v>84</v>
      </c>
      <c r="D343" s="19" t="s">
        <v>371</v>
      </c>
      <c r="E343" s="9" t="s">
        <v>222</v>
      </c>
      <c r="F343" s="9"/>
      <c r="G343" s="21"/>
      <c r="H343" s="13"/>
      <c r="I343" s="15"/>
      <c r="J343" s="15"/>
      <c r="K343" s="15"/>
      <c r="L343" s="15"/>
      <c r="M343" s="15"/>
      <c r="N343" s="15"/>
      <c r="O343" s="9" t="s">
        <v>101</v>
      </c>
      <c r="P343" s="9" t="s">
        <v>101</v>
      </c>
      <c r="Q343" s="9" t="s">
        <v>101</v>
      </c>
      <c r="R343" s="9" t="s">
        <v>101</v>
      </c>
      <c r="S343" s="9" t="s">
        <v>101</v>
      </c>
      <c r="T343" s="9" t="s">
        <v>101</v>
      </c>
      <c r="U343" s="9" t="s">
        <v>101</v>
      </c>
      <c r="V343" s="15"/>
      <c r="W343" s="15"/>
      <c r="X343" s="15"/>
      <c r="Y343" s="15"/>
      <c r="Z343" s="15"/>
      <c r="AA343" s="15"/>
      <c r="AB343" s="15"/>
      <c r="AC343" s="15"/>
      <c r="AD343" s="15"/>
      <c r="AE343" s="19"/>
      <c r="AF343" s="19"/>
      <c r="AG343" s="7" t="s">
        <v>174</v>
      </c>
      <c r="AH343" s="13" t="str">
        <f>iferror(VLOOKUP($B343,covariates!$B$3:$Z$1126,6,FALSE),"")</f>
        <v/>
      </c>
      <c r="AI343" s="13" t="str">
        <f>iferror(VLOOKUP($B343,covariates!$B$3:$Z$1126,7,FALSE),"")</f>
        <v/>
      </c>
      <c r="AJ343" s="9" t="str">
        <f>iferror(VLOOKUP($B343,covariates!$B$3:$Z$1126,14,FALSE),"")</f>
        <v/>
      </c>
      <c r="AK343" s="9" t="str">
        <f>iferror(VLOOKUP($B343,covariates!$B$3:$Z$1126,16,FALSE),"")</f>
        <v/>
      </c>
      <c r="AL343" s="9" t="str">
        <f>iferror(VLOOKUP($B343,covariates!$B$3:$Z$1126,18,FALSE),"")</f>
        <v/>
      </c>
      <c r="AM343" s="9" t="str">
        <f>iferror(VLOOKUP($B343,covariates!$B$3:$Z$1126,19,FALSE),"")</f>
        <v/>
      </c>
    </row>
    <row r="344">
      <c r="A344" s="15">
        <v>58.0</v>
      </c>
      <c r="B344" s="17" t="str">
        <f t="shared" ref="B344:B345" si="194">HYPERLINK("https://github.com/d-wkim/phd/blob/main/data/pdf/malik_2026.pdf","Malik et al., 2026")</f>
        <v>Malik et al., 2026</v>
      </c>
      <c r="C344" s="9" t="s">
        <v>84</v>
      </c>
      <c r="D344" s="19" t="s">
        <v>371</v>
      </c>
      <c r="E344" s="9" t="s">
        <v>222</v>
      </c>
      <c r="F344" s="9">
        <v>25.0</v>
      </c>
      <c r="G344" s="13">
        <v>85.1</v>
      </c>
      <c r="H344" s="13">
        <v>6.4</v>
      </c>
      <c r="I344" s="15"/>
      <c r="J344" s="15"/>
      <c r="K344" s="15"/>
      <c r="L344" s="15"/>
      <c r="M344" s="15"/>
      <c r="N344" s="21">
        <v>0.851</v>
      </c>
      <c r="O344" s="9" t="s">
        <v>101</v>
      </c>
      <c r="P344" s="9" t="s">
        <v>101</v>
      </c>
      <c r="Q344" s="9" t="s">
        <v>101</v>
      </c>
      <c r="R344" s="9" t="s">
        <v>101</v>
      </c>
      <c r="S344" s="9" t="s">
        <v>101</v>
      </c>
      <c r="T344" s="9" t="s">
        <v>101</v>
      </c>
      <c r="U344" s="9" t="s">
        <v>101</v>
      </c>
      <c r="V344" s="15">
        <v>1.28</v>
      </c>
      <c r="W344" s="15"/>
      <c r="X344" s="15"/>
      <c r="Y344" s="15">
        <v>1.638</v>
      </c>
      <c r="Z344" s="15"/>
      <c r="AA344" s="15"/>
      <c r="AB344" s="15"/>
      <c r="AC344" s="15"/>
      <c r="AD344" s="15"/>
      <c r="AE344" s="19"/>
      <c r="AF344" s="19"/>
      <c r="AG344" s="7" t="s">
        <v>109</v>
      </c>
      <c r="AH344" s="13">
        <f>iferror(VLOOKUP($B344,covariates!$B$3:$Z$1126,6,FALSE),"")</f>
        <v>28.12</v>
      </c>
      <c r="AI344" s="13">
        <f>iferror(VLOOKUP($B344,covariates!$B$3:$Z$1126,7,FALSE),"")</f>
        <v>5.21</v>
      </c>
      <c r="AJ344" s="9">
        <f>iferror(VLOOKUP($B344,covariates!$B$3:$Z$1126,14,FALSE),"")</f>
        <v>18</v>
      </c>
      <c r="AK344" s="9">
        <f>iferror(VLOOKUP($B344,covariates!$B$3:$Z$1126,16,FALSE),"")</f>
        <v>7</v>
      </c>
      <c r="AL344" s="9">
        <f>iferror(VLOOKUP($B344,covariates!$B$3:$Z$1126,18,FALSE),"")</f>
        <v>6</v>
      </c>
      <c r="AM344" s="9">
        <f>iferror(VLOOKUP($B344,covariates!$B$3:$Z$1126,19,FALSE),"")</f>
        <v>0.5</v>
      </c>
    </row>
    <row r="345">
      <c r="A345" s="15">
        <v>58.0</v>
      </c>
      <c r="B345" s="17" t="str">
        <f t="shared" si="194"/>
        <v>Malik et al., 2026</v>
      </c>
      <c r="C345" s="9" t="s">
        <v>186</v>
      </c>
      <c r="D345" s="19" t="s">
        <v>371</v>
      </c>
      <c r="E345" s="9" t="s">
        <v>222</v>
      </c>
      <c r="F345" s="9">
        <v>25.0</v>
      </c>
      <c r="G345" s="13">
        <v>89.4</v>
      </c>
      <c r="H345" s="13">
        <v>5.8</v>
      </c>
      <c r="I345" s="15"/>
      <c r="J345" s="15"/>
      <c r="K345" s="15"/>
      <c r="L345" s="15"/>
      <c r="M345" s="15"/>
      <c r="N345" s="21">
        <v>0.894</v>
      </c>
      <c r="O345" s="9" t="s">
        <v>101</v>
      </c>
      <c r="P345" s="9" t="s">
        <v>101</v>
      </c>
      <c r="Q345" s="9" t="s">
        <v>101</v>
      </c>
      <c r="R345" s="9" t="s">
        <v>101</v>
      </c>
      <c r="S345" s="9" t="s">
        <v>101</v>
      </c>
      <c r="T345" s="9" t="s">
        <v>101</v>
      </c>
      <c r="U345" s="9" t="s">
        <v>101</v>
      </c>
      <c r="V345" s="15">
        <v>1.16</v>
      </c>
      <c r="W345" s="15"/>
      <c r="X345" s="15"/>
      <c r="Y345" s="15">
        <v>1.346</v>
      </c>
      <c r="Z345" s="19"/>
      <c r="AA345" s="19"/>
      <c r="AB345" s="19"/>
      <c r="AC345" s="19"/>
      <c r="AD345" s="19"/>
      <c r="AE345" s="19"/>
      <c r="AF345" s="19"/>
      <c r="AG345" s="7" t="s">
        <v>109</v>
      </c>
      <c r="AH345" s="13">
        <f>iferror(VLOOKUP($B345,covariates!$B$3:$Z$1126,6,FALSE),"")</f>
        <v>28.12</v>
      </c>
      <c r="AI345" s="13">
        <f>iferror(VLOOKUP($B345,covariates!$B$3:$Z$1126,7,FALSE),"")</f>
        <v>5.21</v>
      </c>
      <c r="AJ345" s="9">
        <f>iferror(VLOOKUP($B345,covariates!$B$3:$Z$1126,14,FALSE),"")</f>
        <v>18</v>
      </c>
      <c r="AK345" s="9">
        <f>iferror(VLOOKUP($B345,covariates!$B$3:$Z$1126,16,FALSE),"")</f>
        <v>7</v>
      </c>
      <c r="AL345" s="9">
        <f>iferror(VLOOKUP($B345,covariates!$B$3:$Z$1126,18,FALSE),"")</f>
        <v>6</v>
      </c>
      <c r="AM345" s="9">
        <f>iferror(VLOOKUP($B345,covariates!$B$3:$Z$1126,19,FALSE),"")</f>
        <v>0.5</v>
      </c>
    </row>
    <row r="346">
      <c r="A346" s="15">
        <v>68.0</v>
      </c>
      <c r="B346" s="17" t="str">
        <f t="shared" ref="B346:B347" si="195">HYPERLINK("https://github.com/d-wkim/phd/blob/main/data/pdf/moraiti_2010.pdf","Moraiti et al., 2010")</f>
        <v>Moraiti et al., 2010</v>
      </c>
      <c r="C346" s="9" t="s">
        <v>42</v>
      </c>
      <c r="D346" s="19" t="s">
        <v>371</v>
      </c>
      <c r="E346" s="9" t="s">
        <v>222</v>
      </c>
      <c r="F346" s="9">
        <v>6.0</v>
      </c>
      <c r="G346" s="13">
        <v>96.0</v>
      </c>
      <c r="H346" s="13">
        <v>3.0</v>
      </c>
      <c r="I346" s="15"/>
      <c r="J346" s="15"/>
      <c r="K346" s="15"/>
      <c r="L346" s="15"/>
      <c r="M346" s="15"/>
      <c r="N346" s="21">
        <v>0.96</v>
      </c>
      <c r="O346" s="9" t="s">
        <v>101</v>
      </c>
      <c r="P346" s="9" t="s">
        <v>101</v>
      </c>
      <c r="Q346" s="9" t="s">
        <v>101</v>
      </c>
      <c r="R346" s="9" t="s">
        <v>101</v>
      </c>
      <c r="S346" s="9" t="s">
        <v>101</v>
      </c>
      <c r="T346" s="9" t="s">
        <v>101</v>
      </c>
      <c r="U346" s="9" t="s">
        <v>101</v>
      </c>
      <c r="V346" s="15">
        <v>1.225</v>
      </c>
      <c r="W346" s="15"/>
      <c r="X346" s="15"/>
      <c r="Y346" s="15">
        <v>1.501</v>
      </c>
      <c r="Z346" s="15"/>
      <c r="AA346" s="15"/>
      <c r="AB346" s="15"/>
      <c r="AC346" s="15"/>
      <c r="AD346" s="15"/>
      <c r="AE346" s="19"/>
      <c r="AF346" s="19"/>
      <c r="AG346" s="7" t="s">
        <v>109</v>
      </c>
      <c r="AH346" s="13">
        <f>iferror(VLOOKUP($B346,covariates!$B$3:$Z$1126,6,FALSE),"")</f>
        <v>23</v>
      </c>
      <c r="AI346" s="13">
        <f>iferror(VLOOKUP($B346,covariates!$B$3:$Z$1126,7,FALSE),"")</f>
        <v>2</v>
      </c>
      <c r="AJ346" s="9">
        <f>iferror(VLOOKUP($B346,covariates!$B$3:$Z$1126,14,FALSE),"")</f>
        <v>6</v>
      </c>
      <c r="AK346" s="9">
        <f>iferror(VLOOKUP($B346,covariates!$B$3:$Z$1126,16,FALSE),"")</f>
        <v>0</v>
      </c>
      <c r="AL346" s="9">
        <f>iferror(VLOOKUP($B346,covariates!$B$3:$Z$1126,18,FALSE),"")</f>
        <v>21</v>
      </c>
      <c r="AM346" s="9">
        <f>iferror(VLOOKUP($B346,covariates!$B$3:$Z$1126,19,FALSE),"")</f>
        <v>1.8</v>
      </c>
    </row>
    <row r="347">
      <c r="A347" s="15">
        <v>68.0</v>
      </c>
      <c r="B347" s="17" t="str">
        <f t="shared" si="195"/>
        <v>Moraiti et al., 2010</v>
      </c>
      <c r="C347" s="9" t="s">
        <v>84</v>
      </c>
      <c r="D347" s="19" t="s">
        <v>371</v>
      </c>
      <c r="E347" s="9" t="s">
        <v>222</v>
      </c>
      <c r="F347" s="9">
        <v>6.0</v>
      </c>
      <c r="G347" s="13">
        <v>95.0</v>
      </c>
      <c r="H347" s="13">
        <v>5.0</v>
      </c>
      <c r="I347" s="15"/>
      <c r="J347" s="15"/>
      <c r="K347" s="15"/>
      <c r="L347" s="15"/>
      <c r="M347" s="15"/>
      <c r="N347" s="21">
        <v>0.95</v>
      </c>
      <c r="O347" s="9" t="s">
        <v>101</v>
      </c>
      <c r="P347" s="9" t="s">
        <v>101</v>
      </c>
      <c r="Q347" s="9" t="s">
        <v>101</v>
      </c>
      <c r="R347" s="9" t="s">
        <v>101</v>
      </c>
      <c r="S347" s="9" t="s">
        <v>101</v>
      </c>
      <c r="T347" s="9" t="s">
        <v>101</v>
      </c>
      <c r="U347" s="9" t="s">
        <v>101</v>
      </c>
      <c r="V347" s="15">
        <v>2.041</v>
      </c>
      <c r="W347" s="15"/>
      <c r="X347" s="15"/>
      <c r="Y347" s="15">
        <v>4.166</v>
      </c>
      <c r="Z347" s="15"/>
      <c r="AA347" s="15"/>
      <c r="AB347" s="15"/>
      <c r="AC347" s="15"/>
      <c r="AD347" s="15"/>
      <c r="AE347" s="19"/>
      <c r="AF347" s="19"/>
      <c r="AG347" s="7" t="s">
        <v>109</v>
      </c>
      <c r="AH347" s="13">
        <f>iferror(VLOOKUP($B347,covariates!$B$3:$Z$1126,6,FALSE),"")</f>
        <v>23</v>
      </c>
      <c r="AI347" s="13">
        <f>iferror(VLOOKUP($B347,covariates!$B$3:$Z$1126,7,FALSE),"")</f>
        <v>2</v>
      </c>
      <c r="AJ347" s="9">
        <f>iferror(VLOOKUP($B347,covariates!$B$3:$Z$1126,14,FALSE),"")</f>
        <v>6</v>
      </c>
      <c r="AK347" s="9">
        <f>iferror(VLOOKUP($B347,covariates!$B$3:$Z$1126,16,FALSE),"")</f>
        <v>0</v>
      </c>
      <c r="AL347" s="9">
        <f>iferror(VLOOKUP($B347,covariates!$B$3:$Z$1126,18,FALSE),"")</f>
        <v>21</v>
      </c>
      <c r="AM347" s="9">
        <f>iferror(VLOOKUP($B347,covariates!$B$3:$Z$1126,19,FALSE),"")</f>
        <v>1.8</v>
      </c>
    </row>
    <row r="348">
      <c r="A348" s="15">
        <v>70.0</v>
      </c>
      <c r="B348" s="17" t="str">
        <f t="shared" ref="B348:B349" si="196">HYPERLINK("https://github.com/d-wkim/phd/blob/main/data/pdf/noh_2011.pdf","Noh et al., 2011")</f>
        <v>Noh et al., 2011</v>
      </c>
      <c r="C348" s="9" t="s">
        <v>84</v>
      </c>
      <c r="D348" s="19" t="s">
        <v>371</v>
      </c>
      <c r="E348" s="9" t="s">
        <v>222</v>
      </c>
      <c r="F348" s="9">
        <v>33.0</v>
      </c>
      <c r="G348" s="13">
        <v>98.0</v>
      </c>
      <c r="H348" s="13">
        <f t="shared" ref="H348:H349" si="197">iferror(RANGE_SD(F348,I348,M348),"")</f>
        <v>3.607</v>
      </c>
      <c r="I348" s="9">
        <v>85.0</v>
      </c>
      <c r="J348" s="15"/>
      <c r="K348" s="15"/>
      <c r="L348" s="15"/>
      <c r="M348" s="9">
        <v>100.0</v>
      </c>
      <c r="N348" s="21">
        <v>0.98</v>
      </c>
      <c r="O348" s="9" t="s">
        <v>101</v>
      </c>
      <c r="P348" s="9" t="s">
        <v>101</v>
      </c>
      <c r="Q348" s="9" t="s">
        <v>101</v>
      </c>
      <c r="R348" s="9" t="s">
        <v>101</v>
      </c>
      <c r="S348" s="9" t="s">
        <v>101</v>
      </c>
      <c r="T348" s="9" t="s">
        <v>101</v>
      </c>
      <c r="U348" s="9" t="s">
        <v>101</v>
      </c>
      <c r="V348" s="15">
        <v>0.628</v>
      </c>
      <c r="W348" s="15"/>
      <c r="X348" s="15"/>
      <c r="Y348" s="15">
        <v>0.394</v>
      </c>
      <c r="Z348" s="15"/>
      <c r="AA348" s="15"/>
      <c r="AB348" s="15"/>
      <c r="AC348" s="15"/>
      <c r="AD348" s="15"/>
      <c r="AE348" s="19"/>
      <c r="AF348" s="19"/>
      <c r="AG348" s="7" t="s">
        <v>109</v>
      </c>
      <c r="AH348" s="13">
        <f>iferror(VLOOKUP($B348,covariates!$B$3:$Z$1126,6,FALSE),"")</f>
        <v>25.81397443</v>
      </c>
      <c r="AI348" s="13">
        <f>iferror(VLOOKUP($B348,covariates!$B$3:$Z$1126,7,FALSE),"")</f>
        <v>7.455</v>
      </c>
      <c r="AJ348" s="9">
        <f>iferror(VLOOKUP($B348,covariates!$B$3:$Z$1126,14,FALSE),"")</f>
        <v>30</v>
      </c>
      <c r="AK348" s="9">
        <f>iferror(VLOOKUP($B348,covariates!$B$3:$Z$1126,16,FALSE),"")</f>
        <v>3</v>
      </c>
      <c r="AL348" s="9">
        <f>iferror(VLOOKUP($B348,covariates!$B$3:$Z$1126,18,FALSE),"")</f>
        <v>28.1</v>
      </c>
      <c r="AM348" s="9">
        <f>iferror(VLOOKUP($B348,covariates!$B$3:$Z$1126,19,FALSE),"")</f>
        <v>2.3</v>
      </c>
    </row>
    <row r="349">
      <c r="A349" s="15">
        <v>70.0</v>
      </c>
      <c r="B349" s="17" t="str">
        <f t="shared" si="196"/>
        <v>Noh et al., 2011</v>
      </c>
      <c r="C349" s="9" t="s">
        <v>246</v>
      </c>
      <c r="D349" s="19" t="s">
        <v>371</v>
      </c>
      <c r="E349" s="9" t="s">
        <v>222</v>
      </c>
      <c r="F349" s="9">
        <v>32.0</v>
      </c>
      <c r="G349" s="13">
        <v>99.0</v>
      </c>
      <c r="H349" s="13">
        <f t="shared" si="197"/>
        <v>3.629</v>
      </c>
      <c r="I349" s="9">
        <v>85.0</v>
      </c>
      <c r="J349" s="15"/>
      <c r="K349" s="15"/>
      <c r="L349" s="15"/>
      <c r="M349" s="9">
        <v>100.0</v>
      </c>
      <c r="N349" s="21">
        <v>0.99</v>
      </c>
      <c r="O349" s="9" t="s">
        <v>101</v>
      </c>
      <c r="P349" s="9" t="s">
        <v>101</v>
      </c>
      <c r="Q349" s="9" t="s">
        <v>101</v>
      </c>
      <c r="R349" s="9" t="s">
        <v>101</v>
      </c>
      <c r="S349" s="9" t="s">
        <v>101</v>
      </c>
      <c r="T349" s="9" t="s">
        <v>101</v>
      </c>
      <c r="U349" s="9" t="s">
        <v>101</v>
      </c>
      <c r="V349" s="15">
        <v>0.642</v>
      </c>
      <c r="W349" s="15"/>
      <c r="X349" s="15"/>
      <c r="Y349" s="15">
        <v>0.412</v>
      </c>
      <c r="Z349" s="15"/>
      <c r="AA349" s="15"/>
      <c r="AB349" s="15"/>
      <c r="AC349" s="15"/>
      <c r="AD349" s="15"/>
      <c r="AE349" s="19"/>
      <c r="AF349" s="19"/>
      <c r="AG349" s="7" t="s">
        <v>109</v>
      </c>
      <c r="AH349" s="13">
        <f>iferror(VLOOKUP($B349,covariates!$B$3:$Z$1126,6,FALSE),"")</f>
        <v>25.81397443</v>
      </c>
      <c r="AI349" s="13">
        <f>iferror(VLOOKUP($B349,covariates!$B$3:$Z$1126,7,FALSE),"")</f>
        <v>7.455</v>
      </c>
      <c r="AJ349" s="9">
        <f>iferror(VLOOKUP($B349,covariates!$B$3:$Z$1126,14,FALSE),"")</f>
        <v>30</v>
      </c>
      <c r="AK349" s="9">
        <f>iferror(VLOOKUP($B349,covariates!$B$3:$Z$1126,16,FALSE),"")</f>
        <v>3</v>
      </c>
      <c r="AL349" s="9">
        <f>iferror(VLOOKUP($B349,covariates!$B$3:$Z$1126,18,FALSE),"")</f>
        <v>28.1</v>
      </c>
      <c r="AM349" s="9">
        <f>iferror(VLOOKUP($B349,covariates!$B$3:$Z$1126,19,FALSE),"")</f>
        <v>2.3</v>
      </c>
    </row>
    <row r="350">
      <c r="A350" s="15">
        <v>72.0</v>
      </c>
      <c r="B350" s="17" t="str">
        <f t="shared" ref="B350:B351" si="198">HYPERLINK("https://github.com/d-wkim/phd/blob/main/data/pdf/oneill_1996.pdf","Oneill et al., 1996")</f>
        <v>Oneill et al., 1996</v>
      </c>
      <c r="C350" s="7" t="s">
        <v>42</v>
      </c>
      <c r="D350" s="19" t="s">
        <v>371</v>
      </c>
      <c r="E350" s="9" t="s">
        <v>222</v>
      </c>
      <c r="F350" s="15"/>
      <c r="G350" s="21"/>
      <c r="H350" s="13"/>
      <c r="I350" s="15"/>
      <c r="J350" s="15"/>
      <c r="K350" s="15"/>
      <c r="L350" s="15"/>
      <c r="M350" s="15"/>
      <c r="N350" s="15"/>
      <c r="O350" s="9" t="s">
        <v>101</v>
      </c>
      <c r="P350" s="9" t="s">
        <v>101</v>
      </c>
      <c r="Q350" s="9" t="s">
        <v>101</v>
      </c>
      <c r="R350" s="9" t="s">
        <v>101</v>
      </c>
      <c r="S350" s="9" t="s">
        <v>101</v>
      </c>
      <c r="T350" s="9" t="s">
        <v>101</v>
      </c>
      <c r="U350" s="9" t="s">
        <v>101</v>
      </c>
      <c r="V350" s="15"/>
      <c r="W350" s="15"/>
      <c r="X350" s="15"/>
      <c r="Y350" s="15"/>
      <c r="Z350" s="15"/>
      <c r="AA350" s="15"/>
      <c r="AB350" s="15"/>
      <c r="AC350" s="15"/>
      <c r="AD350" s="15"/>
      <c r="AE350" s="19"/>
      <c r="AF350" s="19"/>
      <c r="AG350" s="7" t="s">
        <v>174</v>
      </c>
      <c r="AH350" s="13" t="str">
        <f>iferror(VLOOKUP($B350,covariates!$B$3:$Z$1126,6,FALSE),"")</f>
        <v/>
      </c>
      <c r="AI350" s="13" t="str">
        <f>iferror(VLOOKUP($B350,covariates!$B$3:$Z$1126,7,FALSE),"")</f>
        <v/>
      </c>
      <c r="AJ350" s="9" t="str">
        <f>iferror(VLOOKUP($B350,covariates!$B$3:$Z$1126,14,FALSE),"")</f>
        <v/>
      </c>
      <c r="AK350" s="9" t="str">
        <f>iferror(VLOOKUP($B350,covariates!$B$3:$Z$1126,16,FALSE),"")</f>
        <v/>
      </c>
      <c r="AL350" s="9" t="str">
        <f>iferror(VLOOKUP($B350,covariates!$B$3:$Z$1126,18,FALSE),"")</f>
        <v/>
      </c>
      <c r="AM350" s="9" t="str">
        <f>iferror(VLOOKUP($B350,covariates!$B$3:$Z$1126,19,FALSE),"")</f>
        <v/>
      </c>
    </row>
    <row r="351">
      <c r="A351" s="15">
        <v>72.0</v>
      </c>
      <c r="B351" s="17" t="str">
        <f t="shared" si="198"/>
        <v>Oneill et al., 1996</v>
      </c>
      <c r="C351" s="7" t="s">
        <v>84</v>
      </c>
      <c r="D351" s="19" t="s">
        <v>371</v>
      </c>
      <c r="E351" s="9" t="s">
        <v>222</v>
      </c>
      <c r="F351" s="15"/>
      <c r="G351" s="21"/>
      <c r="H351" s="13"/>
      <c r="I351" s="15"/>
      <c r="J351" s="15"/>
      <c r="K351" s="15"/>
      <c r="L351" s="15"/>
      <c r="M351" s="15"/>
      <c r="N351" s="15"/>
      <c r="O351" s="9" t="s">
        <v>101</v>
      </c>
      <c r="P351" s="9" t="s">
        <v>101</v>
      </c>
      <c r="Q351" s="9" t="s">
        <v>101</v>
      </c>
      <c r="R351" s="9" t="s">
        <v>101</v>
      </c>
      <c r="S351" s="9" t="s">
        <v>101</v>
      </c>
      <c r="T351" s="9" t="s">
        <v>101</v>
      </c>
      <c r="U351" s="9" t="s">
        <v>101</v>
      </c>
      <c r="V351" s="15"/>
      <c r="W351" s="15"/>
      <c r="X351" s="15"/>
      <c r="Y351" s="15"/>
      <c r="Z351" s="15"/>
      <c r="AA351" s="15"/>
      <c r="AB351" s="15"/>
      <c r="AC351" s="15"/>
      <c r="AD351" s="15"/>
      <c r="AE351" s="19"/>
      <c r="AF351" s="19"/>
      <c r="AG351" s="7" t="s">
        <v>174</v>
      </c>
      <c r="AH351" s="13" t="str">
        <f>iferror(VLOOKUP($B351,covariates!$B$3:$Z$1126,6,FALSE),"")</f>
        <v/>
      </c>
      <c r="AI351" s="13" t="str">
        <f>iferror(VLOOKUP($B351,covariates!$B$3:$Z$1126,7,FALSE),"")</f>
        <v/>
      </c>
      <c r="AJ351" s="9" t="str">
        <f>iferror(VLOOKUP($B351,covariates!$B$3:$Z$1126,14,FALSE),"")</f>
        <v/>
      </c>
      <c r="AK351" s="9" t="str">
        <f>iferror(VLOOKUP($B351,covariates!$B$3:$Z$1126,16,FALSE),"")</f>
        <v/>
      </c>
      <c r="AL351" s="9" t="str">
        <f>iferror(VLOOKUP($B351,covariates!$B$3:$Z$1126,18,FALSE),"")</f>
        <v/>
      </c>
      <c r="AM351" s="9" t="str">
        <f>iferror(VLOOKUP($B351,covariates!$B$3:$Z$1126,19,FALSE),"")</f>
        <v/>
      </c>
    </row>
    <row r="352">
      <c r="A352" s="15">
        <v>73.0</v>
      </c>
      <c r="B352" s="17" t="str">
        <f t="shared" ref="B352:B353" si="199">HYPERLINK("https://github.com/d-wkim/phd/blob/main/data/pdf/papalia_2015.pdf","Papalia et al., 2015")</f>
        <v>Papalia et al., 2015</v>
      </c>
      <c r="C352" s="9" t="s">
        <v>42</v>
      </c>
      <c r="D352" s="19" t="s">
        <v>371</v>
      </c>
      <c r="E352" s="9" t="s">
        <v>222</v>
      </c>
      <c r="F352" s="9">
        <v>20.0</v>
      </c>
      <c r="G352" s="13">
        <v>87.4</v>
      </c>
      <c r="H352" s="13">
        <v>13.8</v>
      </c>
      <c r="I352" s="9"/>
      <c r="J352" s="15"/>
      <c r="K352" s="15"/>
      <c r="L352" s="15"/>
      <c r="M352" s="9"/>
      <c r="N352" s="21">
        <v>0.8740000000000001</v>
      </c>
      <c r="O352" s="9" t="s">
        <v>101</v>
      </c>
      <c r="P352" s="9" t="s">
        <v>101</v>
      </c>
      <c r="Q352" s="9" t="s">
        <v>101</v>
      </c>
      <c r="R352" s="9" t="s">
        <v>101</v>
      </c>
      <c r="S352" s="9" t="s">
        <v>101</v>
      </c>
      <c r="T352" s="9" t="s">
        <v>101</v>
      </c>
      <c r="U352" s="9" t="s">
        <v>101</v>
      </c>
      <c r="V352" s="15">
        <v>3.086</v>
      </c>
      <c r="W352" s="15"/>
      <c r="X352" s="15"/>
      <c r="Y352" s="15">
        <v>9.523</v>
      </c>
      <c r="Z352" s="15"/>
      <c r="AA352" s="15"/>
      <c r="AB352" s="15"/>
      <c r="AC352" s="15"/>
      <c r="AD352" s="15"/>
      <c r="AE352" s="19"/>
      <c r="AF352" s="19"/>
      <c r="AG352" s="7" t="s">
        <v>109</v>
      </c>
      <c r="AH352" s="13">
        <f>iferror(VLOOKUP($B352,covariates!$B$3:$Z$1126,6,FALSE),"")</f>
        <v>24.7</v>
      </c>
      <c r="AI352" s="13" t="str">
        <f>iferror(VLOOKUP($B352,covariates!$B$3:$Z$1126,7,FALSE),"")</f>
        <v/>
      </c>
      <c r="AJ352" s="9">
        <f>iferror(VLOOKUP($B352,covariates!$B$3:$Z$1126,14,FALSE),"")</f>
        <v>0</v>
      </c>
      <c r="AK352" s="9">
        <f>iferror(VLOOKUP($B352,covariates!$B$3:$Z$1126,16,FALSE),"")</f>
        <v>20</v>
      </c>
      <c r="AL352" s="9">
        <f>iferror(VLOOKUP($B352,covariates!$B$3:$Z$1126,18,FALSE),"")</f>
        <v>6</v>
      </c>
      <c r="AM352" s="9">
        <f>iferror(VLOOKUP($B352,covariates!$B$3:$Z$1126,19,FALSE),"")</f>
        <v>0.5</v>
      </c>
    </row>
    <row r="353">
      <c r="A353" s="15">
        <v>73.0</v>
      </c>
      <c r="B353" s="17" t="str">
        <f t="shared" si="199"/>
        <v>Papalia et al., 2015</v>
      </c>
      <c r="C353" s="9" t="s">
        <v>84</v>
      </c>
      <c r="D353" s="19" t="s">
        <v>371</v>
      </c>
      <c r="E353" s="9" t="s">
        <v>222</v>
      </c>
      <c r="F353" s="9">
        <v>20.0</v>
      </c>
      <c r="G353" s="13">
        <v>93.17</v>
      </c>
      <c r="H353" s="13">
        <v>10.3</v>
      </c>
      <c r="I353" s="9"/>
      <c r="J353" s="15"/>
      <c r="K353" s="15"/>
      <c r="L353" s="15"/>
      <c r="M353" s="9"/>
      <c r="N353" s="21">
        <v>0.9317</v>
      </c>
      <c r="O353" s="9" t="s">
        <v>101</v>
      </c>
      <c r="P353" s="9" t="s">
        <v>101</v>
      </c>
      <c r="Q353" s="9" t="s">
        <v>101</v>
      </c>
      <c r="R353" s="9" t="s">
        <v>101</v>
      </c>
      <c r="S353" s="9" t="s">
        <v>101</v>
      </c>
      <c r="T353" s="9" t="s">
        <v>101</v>
      </c>
      <c r="U353" s="9" t="s">
        <v>101</v>
      </c>
      <c r="V353" s="15">
        <v>2.303</v>
      </c>
      <c r="W353" s="15"/>
      <c r="X353" s="15"/>
      <c r="Y353" s="15">
        <v>5.304</v>
      </c>
      <c r="Z353" s="15"/>
      <c r="AA353" s="15"/>
      <c r="AB353" s="15"/>
      <c r="AC353" s="15"/>
      <c r="AD353" s="15"/>
      <c r="AE353" s="19"/>
      <c r="AF353" s="19"/>
      <c r="AG353" s="7" t="s">
        <v>109</v>
      </c>
      <c r="AH353" s="13">
        <f>iferror(VLOOKUP($B353,covariates!$B$3:$Z$1126,6,FALSE),"")</f>
        <v>24.7</v>
      </c>
      <c r="AI353" s="13" t="str">
        <f>iferror(VLOOKUP($B353,covariates!$B$3:$Z$1126,7,FALSE),"")</f>
        <v/>
      </c>
      <c r="AJ353" s="9">
        <f>iferror(VLOOKUP($B353,covariates!$B$3:$Z$1126,14,FALSE),"")</f>
        <v>0</v>
      </c>
      <c r="AK353" s="9">
        <f>iferror(VLOOKUP($B353,covariates!$B$3:$Z$1126,16,FALSE),"")</f>
        <v>20</v>
      </c>
      <c r="AL353" s="9">
        <f>iferror(VLOOKUP($B353,covariates!$B$3:$Z$1126,18,FALSE),"")</f>
        <v>6</v>
      </c>
      <c r="AM353" s="9">
        <f>iferror(VLOOKUP($B353,covariates!$B$3:$Z$1126,19,FALSE),"")</f>
        <v>0.5</v>
      </c>
    </row>
    <row r="354">
      <c r="A354" s="15">
        <v>76.0</v>
      </c>
      <c r="B354" s="17" t="str">
        <f t="shared" ref="B354:B355" si="200">HYPERLINK("https://github.com/d-wkim/phd/blob/main/data/pdf/pinczewski_2007.pdf","Pinczewski et al., 2007")</f>
        <v>Pinczewski et al., 2007</v>
      </c>
      <c r="C354" s="9" t="s">
        <v>42</v>
      </c>
      <c r="D354" s="19" t="s">
        <v>371</v>
      </c>
      <c r="E354" s="9" t="s">
        <v>222</v>
      </c>
      <c r="F354" s="9"/>
      <c r="G354" s="21"/>
      <c r="H354" s="13"/>
      <c r="I354" s="15"/>
      <c r="J354" s="15"/>
      <c r="K354" s="15"/>
      <c r="L354" s="15"/>
      <c r="M354" s="15"/>
      <c r="N354" s="15"/>
      <c r="O354" s="9" t="s">
        <v>101</v>
      </c>
      <c r="P354" s="9" t="s">
        <v>101</v>
      </c>
      <c r="Q354" s="9" t="s">
        <v>101</v>
      </c>
      <c r="R354" s="9" t="s">
        <v>101</v>
      </c>
      <c r="S354" s="9" t="s">
        <v>101</v>
      </c>
      <c r="T354" s="9" t="s">
        <v>101</v>
      </c>
      <c r="U354" s="9" t="s">
        <v>101</v>
      </c>
      <c r="V354" s="15"/>
      <c r="W354" s="15"/>
      <c r="X354" s="15"/>
      <c r="Y354" s="15"/>
      <c r="Z354" s="15"/>
      <c r="AA354" s="15"/>
      <c r="AB354" s="15"/>
      <c r="AC354" s="15"/>
      <c r="AD354" s="15"/>
      <c r="AE354" s="19"/>
      <c r="AF354" s="19"/>
      <c r="AG354" s="7" t="s">
        <v>174</v>
      </c>
      <c r="AH354" s="13">
        <f>iferror(VLOOKUP($B354,covariates!$B$3:$Z$1126,6,FALSE),"")</f>
        <v>25</v>
      </c>
      <c r="AI354" s="13">
        <f>iferror(VLOOKUP($B354,covariates!$B$3:$Z$1126,7,FALSE),"")</f>
        <v>5.485</v>
      </c>
      <c r="AJ354" s="9">
        <f>iferror(VLOOKUP($B354,covariates!$B$3:$Z$1126,14,FALSE),"")</f>
        <v>48</v>
      </c>
      <c r="AK354" s="9">
        <f>iferror(VLOOKUP($B354,covariates!$B$3:$Z$1126,16,FALSE),"")</f>
        <v>42</v>
      </c>
      <c r="AL354" s="9">
        <f>iferror(VLOOKUP($B354,covariates!$B$3:$Z$1126,18,FALSE),"")</f>
        <v>120</v>
      </c>
      <c r="AM354" s="9">
        <f>iferror(VLOOKUP($B354,covariates!$B$3:$Z$1126,19,FALSE),"")</f>
        <v>10</v>
      </c>
    </row>
    <row r="355">
      <c r="A355" s="15">
        <v>76.0</v>
      </c>
      <c r="B355" s="17" t="str">
        <f t="shared" si="200"/>
        <v>Pinczewski et al., 2007</v>
      </c>
      <c r="C355" s="9" t="s">
        <v>84</v>
      </c>
      <c r="D355" s="19" t="s">
        <v>371</v>
      </c>
      <c r="E355" s="9" t="s">
        <v>222</v>
      </c>
      <c r="F355" s="9"/>
      <c r="G355" s="21"/>
      <c r="H355" s="13"/>
      <c r="I355" s="15"/>
      <c r="J355" s="15"/>
      <c r="K355" s="15"/>
      <c r="L355" s="15"/>
      <c r="M355" s="15"/>
      <c r="N355" s="15"/>
      <c r="O355" s="9" t="s">
        <v>101</v>
      </c>
      <c r="P355" s="9" t="s">
        <v>101</v>
      </c>
      <c r="Q355" s="9" t="s">
        <v>101</v>
      </c>
      <c r="R355" s="9" t="s">
        <v>101</v>
      </c>
      <c r="S355" s="9" t="s">
        <v>101</v>
      </c>
      <c r="T355" s="9" t="s">
        <v>101</v>
      </c>
      <c r="U355" s="9" t="s">
        <v>101</v>
      </c>
      <c r="V355" s="15"/>
      <c r="W355" s="15"/>
      <c r="X355" s="15"/>
      <c r="Y355" s="15"/>
      <c r="Z355" s="15"/>
      <c r="AA355" s="15"/>
      <c r="AB355" s="15"/>
      <c r="AC355" s="15"/>
      <c r="AD355" s="15"/>
      <c r="AE355" s="19"/>
      <c r="AF355" s="19"/>
      <c r="AG355" s="7" t="s">
        <v>174</v>
      </c>
      <c r="AH355" s="13">
        <f>iferror(VLOOKUP($B355,covariates!$B$3:$Z$1126,6,FALSE),"")</f>
        <v>25</v>
      </c>
      <c r="AI355" s="13">
        <f>iferror(VLOOKUP($B355,covariates!$B$3:$Z$1126,7,FALSE),"")</f>
        <v>5.485</v>
      </c>
      <c r="AJ355" s="9">
        <f>iferror(VLOOKUP($B355,covariates!$B$3:$Z$1126,14,FALSE),"")</f>
        <v>48</v>
      </c>
      <c r="AK355" s="9">
        <f>iferror(VLOOKUP($B355,covariates!$B$3:$Z$1126,16,FALSE),"")</f>
        <v>42</v>
      </c>
      <c r="AL355" s="9">
        <f>iferror(VLOOKUP($B355,covariates!$B$3:$Z$1126,18,FALSE),"")</f>
        <v>120</v>
      </c>
      <c r="AM355" s="9">
        <f>iferror(VLOOKUP($B355,covariates!$B$3:$Z$1126,19,FALSE),"")</f>
        <v>10</v>
      </c>
    </row>
    <row r="356">
      <c r="A356" s="15">
        <v>77.0</v>
      </c>
      <c r="B356" s="17" t="str">
        <f t="shared" ref="B356:B357" si="201">HYPERLINK("https://github.com/d-wkim/phd/blob/main/data/pdf/popovic_2024.pdf","Popovic et al., 2024")</f>
        <v>Popovic et al., 2024</v>
      </c>
      <c r="C356" s="9" t="s">
        <v>42</v>
      </c>
      <c r="D356" s="19" t="s">
        <v>371</v>
      </c>
      <c r="E356" s="9" t="s">
        <v>222</v>
      </c>
      <c r="F356" s="9">
        <v>38.0</v>
      </c>
      <c r="G356" s="13">
        <v>82.0</v>
      </c>
      <c r="H356" s="13">
        <f t="shared" ref="H356:H357" si="202">iferror(RANGE_SD(F356,I356,M356),"")</f>
        <v>15.449</v>
      </c>
      <c r="I356" s="9">
        <v>34.0</v>
      </c>
      <c r="J356" s="15"/>
      <c r="K356" s="15"/>
      <c r="L356" s="15"/>
      <c r="M356" s="9">
        <v>100.0</v>
      </c>
      <c r="N356" s="21">
        <v>0.82</v>
      </c>
      <c r="O356" s="9" t="s">
        <v>101</v>
      </c>
      <c r="P356" s="9" t="s">
        <v>101</v>
      </c>
      <c r="Q356" s="9" t="s">
        <v>101</v>
      </c>
      <c r="R356" s="9" t="s">
        <v>101</v>
      </c>
      <c r="S356" s="9" t="s">
        <v>101</v>
      </c>
      <c r="T356" s="9" t="s">
        <v>101</v>
      </c>
      <c r="U356" s="9" t="s">
        <v>101</v>
      </c>
      <c r="V356" s="15">
        <v>2.506</v>
      </c>
      <c r="W356" s="15"/>
      <c r="X356" s="15"/>
      <c r="Y356" s="15">
        <v>6.28</v>
      </c>
      <c r="Z356" s="15"/>
      <c r="AA356" s="15"/>
      <c r="AB356" s="15"/>
      <c r="AC356" s="15"/>
      <c r="AD356" s="15"/>
      <c r="AE356" s="19"/>
      <c r="AF356" s="19"/>
      <c r="AG356" s="7" t="s">
        <v>109</v>
      </c>
      <c r="AH356" s="13">
        <f>iferror(VLOOKUP($B356,covariates!$B$3:$Z$1126,6,FALSE),"")</f>
        <v>27</v>
      </c>
      <c r="AI356" s="13">
        <f>iferror(VLOOKUP($B356,covariates!$B$3:$Z$1126,7,FALSE),"")</f>
        <v>6.82</v>
      </c>
      <c r="AJ356" s="9" t="str">
        <f>iferror(VLOOKUP($B356,covariates!$B$3:$Z$1126,14,FALSE),"")</f>
        <v/>
      </c>
      <c r="AK356" s="9" t="str">
        <f>iferror(VLOOKUP($B356,covariates!$B$3:$Z$1126,16,FALSE),"")</f>
        <v/>
      </c>
      <c r="AL356" s="9">
        <f>iferror(VLOOKUP($B356,covariates!$B$3:$Z$1126,18,FALSE),"")</f>
        <v>228</v>
      </c>
      <c r="AM356" s="9">
        <f>iferror(VLOOKUP($B356,covariates!$B$3:$Z$1126,19,FALSE),"")</f>
        <v>19</v>
      </c>
    </row>
    <row r="357">
      <c r="A357" s="15">
        <v>77.0</v>
      </c>
      <c r="B357" s="17" t="str">
        <f t="shared" si="201"/>
        <v>Popovic et al., 2024</v>
      </c>
      <c r="C357" s="9" t="s">
        <v>84</v>
      </c>
      <c r="D357" s="19" t="s">
        <v>371</v>
      </c>
      <c r="E357" s="9" t="s">
        <v>222</v>
      </c>
      <c r="F357" s="9">
        <v>33.0</v>
      </c>
      <c r="G357" s="13">
        <v>85.0</v>
      </c>
      <c r="H357" s="13">
        <f t="shared" si="202"/>
        <v>14.669</v>
      </c>
      <c r="I357" s="9">
        <v>39.0</v>
      </c>
      <c r="J357" s="15"/>
      <c r="K357" s="15"/>
      <c r="L357" s="15"/>
      <c r="M357" s="9">
        <v>100.0</v>
      </c>
      <c r="N357" s="21">
        <v>0.85</v>
      </c>
      <c r="O357" s="9" t="s">
        <v>101</v>
      </c>
      <c r="P357" s="9" t="s">
        <v>101</v>
      </c>
      <c r="Q357" s="9" t="s">
        <v>101</v>
      </c>
      <c r="R357" s="9" t="s">
        <v>101</v>
      </c>
      <c r="S357" s="9" t="s">
        <v>101</v>
      </c>
      <c r="T357" s="9" t="s">
        <v>101</v>
      </c>
      <c r="U357" s="9" t="s">
        <v>101</v>
      </c>
      <c r="V357" s="15">
        <v>2.554</v>
      </c>
      <c r="W357" s="15"/>
      <c r="X357" s="15"/>
      <c r="Y357" s="15">
        <v>6.523</v>
      </c>
      <c r="Z357" s="15"/>
      <c r="AA357" s="15"/>
      <c r="AB357" s="15"/>
      <c r="AC357" s="15"/>
      <c r="AD357" s="15"/>
      <c r="AE357" s="19"/>
      <c r="AF357" s="19"/>
      <c r="AG357" s="7" t="s">
        <v>109</v>
      </c>
      <c r="AH357" s="13">
        <f>iferror(VLOOKUP($B357,covariates!$B$3:$Z$1126,6,FALSE),"")</f>
        <v>27</v>
      </c>
      <c r="AI357" s="13">
        <f>iferror(VLOOKUP($B357,covariates!$B$3:$Z$1126,7,FALSE),"")</f>
        <v>6.82</v>
      </c>
      <c r="AJ357" s="9" t="str">
        <f>iferror(VLOOKUP($B357,covariates!$B$3:$Z$1126,14,FALSE),"")</f>
        <v/>
      </c>
      <c r="AK357" s="9" t="str">
        <f>iferror(VLOOKUP($B357,covariates!$B$3:$Z$1126,16,FALSE),"")</f>
        <v/>
      </c>
      <c r="AL357" s="9">
        <f>iferror(VLOOKUP($B357,covariates!$B$3:$Z$1126,18,FALSE),"")</f>
        <v>228</v>
      </c>
      <c r="AM357" s="9">
        <f>iferror(VLOOKUP($B357,covariates!$B$3:$Z$1126,19,FALSE),"")</f>
        <v>19</v>
      </c>
    </row>
    <row r="358">
      <c r="A358" s="15">
        <v>87.0</v>
      </c>
      <c r="B358" s="17" t="str">
        <f t="shared" ref="B358:B359" si="203">HYPERLINK("https://github.com/d-wkim/phd/blob/main/data/pdf/sonnery-cottet_2026.pdf","Sonnery-cottet et al., 2026")</f>
        <v>Sonnery-cottet et al., 2026</v>
      </c>
      <c r="C358" s="9" t="s">
        <v>42</v>
      </c>
      <c r="D358" s="7" t="s">
        <v>371</v>
      </c>
      <c r="E358" s="9" t="s">
        <v>222</v>
      </c>
      <c r="F358" s="9">
        <v>296.0</v>
      </c>
      <c r="G358" s="13">
        <v>89.0</v>
      </c>
      <c r="H358" s="13">
        <v>12.4</v>
      </c>
      <c r="I358" s="15"/>
      <c r="J358" s="15"/>
      <c r="K358" s="15"/>
      <c r="L358" s="15"/>
      <c r="M358" s="15"/>
      <c r="N358" s="21">
        <v>0.89</v>
      </c>
      <c r="O358" s="9" t="s">
        <v>101</v>
      </c>
      <c r="P358" s="9" t="s">
        <v>101</v>
      </c>
      <c r="Q358" s="9" t="s">
        <v>101</v>
      </c>
      <c r="R358" s="9" t="s">
        <v>101</v>
      </c>
      <c r="S358" s="9" t="s">
        <v>101</v>
      </c>
      <c r="T358" s="9" t="s">
        <v>101</v>
      </c>
      <c r="U358" s="9" t="s">
        <v>101</v>
      </c>
      <c r="V358" s="15">
        <v>0.721</v>
      </c>
      <c r="W358" s="15"/>
      <c r="X358" s="15"/>
      <c r="Y358" s="15">
        <v>0.52</v>
      </c>
      <c r="Z358" s="15"/>
      <c r="AA358" s="15"/>
      <c r="AB358" s="15"/>
      <c r="AC358" s="15"/>
      <c r="AD358" s="15"/>
      <c r="AE358" s="19"/>
      <c r="AF358" s="19"/>
      <c r="AG358" s="7" t="s">
        <v>109</v>
      </c>
      <c r="AH358" s="13">
        <f>iferror(VLOOKUP($B358,covariates!$B$3:$Z$1126,6,FALSE),"")</f>
        <v>24.8</v>
      </c>
      <c r="AI358" s="13">
        <f>iferror(VLOOKUP($B358,covariates!$B$3:$Z$1126,7,FALSE),"")</f>
        <v>4.4</v>
      </c>
      <c r="AJ358" s="9">
        <f>iferror(VLOOKUP($B358,covariates!$B$3:$Z$1126,14,FALSE),"")</f>
        <v>214</v>
      </c>
      <c r="AK358" s="9">
        <f>iferror(VLOOKUP($B358,covariates!$B$3:$Z$1126,16,FALSE),"")</f>
        <v>69</v>
      </c>
      <c r="AL358" s="9">
        <f>iferror(VLOOKUP($B358,covariates!$B$3:$Z$1126,18,FALSE),"")</f>
        <v>61.5</v>
      </c>
      <c r="AM358" s="9">
        <f>iferror(VLOOKUP($B358,covariates!$B$3:$Z$1126,19,FALSE),"")</f>
        <v>5.1</v>
      </c>
    </row>
    <row r="359">
      <c r="A359" s="15">
        <v>87.0</v>
      </c>
      <c r="B359" s="17" t="str">
        <f t="shared" si="203"/>
        <v>Sonnery-cottet et al., 2026</v>
      </c>
      <c r="C359" s="9" t="s">
        <v>84</v>
      </c>
      <c r="D359" s="7" t="s">
        <v>371</v>
      </c>
      <c r="E359" s="9" t="s">
        <v>222</v>
      </c>
      <c r="F359" s="9">
        <v>297.0</v>
      </c>
      <c r="G359" s="13">
        <v>91.1</v>
      </c>
      <c r="H359" s="13">
        <v>11.9</v>
      </c>
      <c r="I359" s="15"/>
      <c r="J359" s="15"/>
      <c r="K359" s="15"/>
      <c r="L359" s="15"/>
      <c r="M359" s="15"/>
      <c r="N359" s="21">
        <v>0.9109999999999999</v>
      </c>
      <c r="O359" s="9" t="s">
        <v>101</v>
      </c>
      <c r="P359" s="9" t="s">
        <v>101</v>
      </c>
      <c r="Q359" s="9" t="s">
        <v>101</v>
      </c>
      <c r="R359" s="9" t="s">
        <v>101</v>
      </c>
      <c r="S359" s="9" t="s">
        <v>101</v>
      </c>
      <c r="T359" s="9" t="s">
        <v>101</v>
      </c>
      <c r="U359" s="9" t="s">
        <v>101</v>
      </c>
      <c r="V359" s="15">
        <v>0.691</v>
      </c>
      <c r="W359" s="15"/>
      <c r="X359" s="15"/>
      <c r="Y359" s="15">
        <v>0.477</v>
      </c>
      <c r="Z359" s="15"/>
      <c r="AA359" s="15"/>
      <c r="AB359" s="15"/>
      <c r="AC359" s="15"/>
      <c r="AD359" s="15"/>
      <c r="AE359" s="19"/>
      <c r="AF359" s="19"/>
      <c r="AG359" s="7" t="s">
        <v>109</v>
      </c>
      <c r="AH359" s="13">
        <f>iferror(VLOOKUP($B359,covariates!$B$3:$Z$1126,6,FALSE),"")</f>
        <v>24.8</v>
      </c>
      <c r="AI359" s="13">
        <f>iferror(VLOOKUP($B359,covariates!$B$3:$Z$1126,7,FALSE),"")</f>
        <v>4.4</v>
      </c>
      <c r="AJ359" s="9">
        <f>iferror(VLOOKUP($B359,covariates!$B$3:$Z$1126,14,FALSE),"")</f>
        <v>214</v>
      </c>
      <c r="AK359" s="9">
        <f>iferror(VLOOKUP($B359,covariates!$B$3:$Z$1126,16,FALSE),"")</f>
        <v>69</v>
      </c>
      <c r="AL359" s="9">
        <f>iferror(VLOOKUP($B359,covariates!$B$3:$Z$1126,18,FALSE),"")</f>
        <v>61.5</v>
      </c>
      <c r="AM359" s="9">
        <f>iferror(VLOOKUP($B359,covariates!$B$3:$Z$1126,19,FALSE),"")</f>
        <v>5.1</v>
      </c>
    </row>
    <row r="360">
      <c r="A360" s="15">
        <v>89.0</v>
      </c>
      <c r="B360" s="17" t="str">
        <f t="shared" ref="B360:B361" si="204">HYPERLINK("https://github.com/d-wkim/phd/blob/main/data/pdf/tang_2023.pdf","Tang et al., 2023")</f>
        <v>Tang et al., 2023</v>
      </c>
      <c r="C360" s="9" t="s">
        <v>84</v>
      </c>
      <c r="D360" s="7" t="s">
        <v>371</v>
      </c>
      <c r="E360" s="9" t="s">
        <v>222</v>
      </c>
      <c r="F360" s="9">
        <v>16.0</v>
      </c>
      <c r="G360" s="13">
        <v>90.06</v>
      </c>
      <c r="H360" s="13">
        <v>7.33</v>
      </c>
      <c r="I360" s="15"/>
      <c r="J360" s="15"/>
      <c r="K360" s="15"/>
      <c r="L360" s="15"/>
      <c r="M360" s="15"/>
      <c r="N360" s="21">
        <v>0.9006000000000001</v>
      </c>
      <c r="O360" s="9" t="s">
        <v>101</v>
      </c>
      <c r="P360" s="9" t="s">
        <v>101</v>
      </c>
      <c r="Q360" s="9" t="s">
        <v>101</v>
      </c>
      <c r="R360" s="9" t="s">
        <v>101</v>
      </c>
      <c r="S360" s="9" t="s">
        <v>101</v>
      </c>
      <c r="T360" s="9" t="s">
        <v>101</v>
      </c>
      <c r="U360" s="9" t="s">
        <v>101</v>
      </c>
      <c r="V360" s="15">
        <v>1.833</v>
      </c>
      <c r="W360" s="15"/>
      <c r="X360" s="15"/>
      <c r="Y360" s="15">
        <v>3.36</v>
      </c>
      <c r="Z360" s="15"/>
      <c r="AA360" s="15"/>
      <c r="AB360" s="15"/>
      <c r="AC360" s="15"/>
      <c r="AD360" s="15"/>
      <c r="AE360" s="19"/>
      <c r="AF360" s="19"/>
      <c r="AG360" s="7" t="s">
        <v>109</v>
      </c>
      <c r="AH360" s="13">
        <f>iferror(VLOOKUP($B360,covariates!$B$3:$Z$1126,6,FALSE),"")</f>
        <v>28.31</v>
      </c>
      <c r="AI360" s="13">
        <f>iferror(VLOOKUP($B360,covariates!$B$3:$Z$1126,7,FALSE),"")</f>
        <v>8.55</v>
      </c>
      <c r="AJ360" s="9">
        <f>iferror(VLOOKUP($B360,covariates!$B$3:$Z$1126,14,FALSE),"")</f>
        <v>13</v>
      </c>
      <c r="AK360" s="9">
        <f>iferror(VLOOKUP($B360,covariates!$B$3:$Z$1126,16,FALSE),"")</f>
        <v>3</v>
      </c>
      <c r="AL360" s="9">
        <f>iferror(VLOOKUP($B360,covariates!$B$3:$Z$1126,18,FALSE),"")</f>
        <v>24</v>
      </c>
      <c r="AM360" s="9">
        <f>iferror(VLOOKUP($B360,covariates!$B$3:$Z$1126,19,FALSE),"")</f>
        <v>2</v>
      </c>
    </row>
    <row r="361">
      <c r="A361" s="15">
        <v>89.0</v>
      </c>
      <c r="B361" s="17" t="str">
        <f t="shared" si="204"/>
        <v>Tang et al., 2023</v>
      </c>
      <c r="C361" s="9" t="s">
        <v>200</v>
      </c>
      <c r="D361" s="7" t="s">
        <v>371</v>
      </c>
      <c r="E361" s="9" t="s">
        <v>222</v>
      </c>
      <c r="F361" s="9">
        <v>17.0</v>
      </c>
      <c r="G361" s="13">
        <v>90.0</v>
      </c>
      <c r="H361" s="13">
        <v>4.26</v>
      </c>
      <c r="I361" s="15"/>
      <c r="J361" s="15"/>
      <c r="K361" s="15"/>
      <c r="L361" s="15"/>
      <c r="M361" s="15"/>
      <c r="N361" s="21">
        <v>0.9</v>
      </c>
      <c r="O361" s="9" t="s">
        <v>101</v>
      </c>
      <c r="P361" s="9" t="s">
        <v>101</v>
      </c>
      <c r="Q361" s="9" t="s">
        <v>101</v>
      </c>
      <c r="R361" s="9" t="s">
        <v>101</v>
      </c>
      <c r="S361" s="9" t="s">
        <v>101</v>
      </c>
      <c r="T361" s="9" t="s">
        <v>101</v>
      </c>
      <c r="U361" s="9" t="s">
        <v>101</v>
      </c>
      <c r="V361" s="15">
        <v>1.033</v>
      </c>
      <c r="W361" s="15"/>
      <c r="X361" s="15"/>
      <c r="Y361" s="15">
        <v>1.067</v>
      </c>
      <c r="Z361" s="19"/>
      <c r="AA361" s="19"/>
      <c r="AB361" s="19"/>
      <c r="AC361" s="19"/>
      <c r="AD361" s="19"/>
      <c r="AE361" s="19"/>
      <c r="AF361" s="19"/>
      <c r="AG361" s="7" t="s">
        <v>109</v>
      </c>
      <c r="AH361" s="13">
        <f>iferror(VLOOKUP($B361,covariates!$B$3:$Z$1126,6,FALSE),"")</f>
        <v>28.31</v>
      </c>
      <c r="AI361" s="13">
        <f>iferror(VLOOKUP($B361,covariates!$B$3:$Z$1126,7,FALSE),"")</f>
        <v>8.55</v>
      </c>
      <c r="AJ361" s="9">
        <f>iferror(VLOOKUP($B361,covariates!$B$3:$Z$1126,14,FALSE),"")</f>
        <v>13</v>
      </c>
      <c r="AK361" s="9">
        <f>iferror(VLOOKUP($B361,covariates!$B$3:$Z$1126,16,FALSE),"")</f>
        <v>3</v>
      </c>
      <c r="AL361" s="9">
        <f>iferror(VLOOKUP($B361,covariates!$B$3:$Z$1126,18,FALSE),"")</f>
        <v>24</v>
      </c>
      <c r="AM361" s="9">
        <f>iferror(VLOOKUP($B361,covariates!$B$3:$Z$1126,19,FALSE),"")</f>
        <v>2</v>
      </c>
    </row>
    <row r="362">
      <c r="A362" s="15">
        <v>90.0</v>
      </c>
      <c r="B362" s="17" t="str">
        <f t="shared" ref="B362:B363" si="205">HYPERLINK("https://github.com/d-wkim/phd/blob/main/data/pdf/taylor_2009.pdf","Taylor et al., 2009")</f>
        <v>Taylor et al., 2009</v>
      </c>
      <c r="C362" s="9" t="s">
        <v>42</v>
      </c>
      <c r="D362" s="19" t="s">
        <v>371</v>
      </c>
      <c r="E362" s="9" t="s">
        <v>222</v>
      </c>
      <c r="F362" s="9">
        <v>21.0</v>
      </c>
      <c r="G362" s="13">
        <v>90.3</v>
      </c>
      <c r="H362" s="13">
        <v>12.19</v>
      </c>
      <c r="I362" s="15"/>
      <c r="J362" s="15"/>
      <c r="K362" s="15"/>
      <c r="L362" s="15"/>
      <c r="M362" s="15"/>
      <c r="N362" s="21">
        <v>0.903</v>
      </c>
      <c r="O362" s="9" t="s">
        <v>101</v>
      </c>
      <c r="P362" s="9" t="s">
        <v>101</v>
      </c>
      <c r="Q362" s="9" t="s">
        <v>101</v>
      </c>
      <c r="R362" s="9" t="s">
        <v>101</v>
      </c>
      <c r="S362" s="9" t="s">
        <v>101</v>
      </c>
      <c r="T362" s="9" t="s">
        <v>101</v>
      </c>
      <c r="U362" s="9" t="s">
        <v>101</v>
      </c>
      <c r="V362" s="15">
        <v>2.66</v>
      </c>
      <c r="W362" s="15"/>
      <c r="X362" s="15"/>
      <c r="Y362" s="15">
        <v>7.076</v>
      </c>
      <c r="Z362" s="15"/>
      <c r="AA362" s="15"/>
      <c r="AB362" s="15"/>
      <c r="AC362" s="15"/>
      <c r="AD362" s="15"/>
      <c r="AE362" s="19"/>
      <c r="AF362" s="19"/>
      <c r="AG362" s="7" t="s">
        <v>109</v>
      </c>
      <c r="AH362" s="13">
        <f>iferror(VLOOKUP($B362,covariates!$B$3:$Z$1126,6,FALSE),"")</f>
        <v>21.7</v>
      </c>
      <c r="AI362" s="13">
        <f>iferror(VLOOKUP($B362,covariates!$B$3:$Z$1126,7,FALSE),"")</f>
        <v>4.597</v>
      </c>
      <c r="AJ362" s="9">
        <f>iferror(VLOOKUP($B362,covariates!$B$3:$Z$1126,14,FALSE),"")</f>
        <v>25</v>
      </c>
      <c r="AK362" s="9">
        <f>iferror(VLOOKUP($B362,covariates!$B$3:$Z$1126,16,FALSE),"")</f>
        <v>7</v>
      </c>
      <c r="AL362" s="9">
        <f>iferror(VLOOKUP($B362,covariates!$B$3:$Z$1126,18,FALSE),"")</f>
        <v>32.4</v>
      </c>
      <c r="AM362" s="9">
        <f>iferror(VLOOKUP($B362,covariates!$B$3:$Z$1126,19,FALSE),"")</f>
        <v>2.7</v>
      </c>
    </row>
    <row r="363">
      <c r="A363" s="15">
        <v>90.0</v>
      </c>
      <c r="B363" s="17" t="str">
        <f t="shared" si="205"/>
        <v>Taylor et al., 2009</v>
      </c>
      <c r="C363" s="9" t="s">
        <v>84</v>
      </c>
      <c r="D363" s="19" t="s">
        <v>371</v>
      </c>
      <c r="E363" s="9" t="s">
        <v>222</v>
      </c>
      <c r="F363" s="9">
        <v>23.0</v>
      </c>
      <c r="G363" s="13">
        <v>90.4</v>
      </c>
      <c r="H363" s="13">
        <v>12.75</v>
      </c>
      <c r="I363" s="15"/>
      <c r="J363" s="15"/>
      <c r="K363" s="15"/>
      <c r="L363" s="15"/>
      <c r="M363" s="15"/>
      <c r="N363" s="21">
        <v>0.904</v>
      </c>
      <c r="O363" s="9" t="s">
        <v>101</v>
      </c>
      <c r="P363" s="9" t="s">
        <v>101</v>
      </c>
      <c r="Q363" s="9" t="s">
        <v>101</v>
      </c>
      <c r="R363" s="9" t="s">
        <v>101</v>
      </c>
      <c r="S363" s="9" t="s">
        <v>101</v>
      </c>
      <c r="T363" s="9" t="s">
        <v>101</v>
      </c>
      <c r="U363" s="9" t="s">
        <v>101</v>
      </c>
      <c r="V363" s="15">
        <v>2.659</v>
      </c>
      <c r="W363" s="15"/>
      <c r="X363" s="15"/>
      <c r="Y363" s="15">
        <v>7.07</v>
      </c>
      <c r="Z363" s="15"/>
      <c r="AA363" s="15"/>
      <c r="AB363" s="15"/>
      <c r="AC363" s="15"/>
      <c r="AD363" s="15"/>
      <c r="AE363" s="19"/>
      <c r="AF363" s="19"/>
      <c r="AG363" s="7" t="s">
        <v>109</v>
      </c>
      <c r="AH363" s="13">
        <f>iferror(VLOOKUP($B363,covariates!$B$3:$Z$1126,6,FALSE),"")</f>
        <v>21.7</v>
      </c>
      <c r="AI363" s="13">
        <f>iferror(VLOOKUP($B363,covariates!$B$3:$Z$1126,7,FALSE),"")</f>
        <v>4.597</v>
      </c>
      <c r="AJ363" s="9">
        <f>iferror(VLOOKUP($B363,covariates!$B$3:$Z$1126,14,FALSE),"")</f>
        <v>25</v>
      </c>
      <c r="AK363" s="9">
        <f>iferror(VLOOKUP($B363,covariates!$B$3:$Z$1126,16,FALSE),"")</f>
        <v>7</v>
      </c>
      <c r="AL363" s="9">
        <f>iferror(VLOOKUP($B363,covariates!$B$3:$Z$1126,18,FALSE),"")</f>
        <v>32.4</v>
      </c>
      <c r="AM363" s="9">
        <f>iferror(VLOOKUP($B363,covariates!$B$3:$Z$1126,19,FALSE),"")</f>
        <v>2.7</v>
      </c>
    </row>
    <row r="364">
      <c r="A364" s="15">
        <v>93.0</v>
      </c>
      <c r="B364" s="17" t="str">
        <f t="shared" ref="B364:B365" si="206">HYPERLINK("https://github.com/d-wkim/phd/blob/main/data/pdf/vilchez-cavazos_2020.pdf","Vilchez-cavazos et al., 2020")</f>
        <v>Vilchez-cavazos et al., 2020</v>
      </c>
      <c r="C364" s="9" t="s">
        <v>42</v>
      </c>
      <c r="D364" s="7" t="s">
        <v>371</v>
      </c>
      <c r="E364" s="9" t="s">
        <v>222</v>
      </c>
      <c r="F364" s="9">
        <v>14.0</v>
      </c>
      <c r="G364" s="13">
        <v>96.0</v>
      </c>
      <c r="H364" s="13">
        <f t="shared" ref="H364:H365" si="207">iferror(RANGE_SD(F364,J364,L364),"")</f>
        <v>2.928</v>
      </c>
      <c r="I364" s="15"/>
      <c r="J364" s="9">
        <v>90.0</v>
      </c>
      <c r="K364" s="13">
        <v>98.0</v>
      </c>
      <c r="L364" s="9">
        <v>100.0</v>
      </c>
      <c r="M364" s="15"/>
      <c r="N364" s="21">
        <v>0.96</v>
      </c>
      <c r="O364" s="9" t="s">
        <v>101</v>
      </c>
      <c r="P364" s="9" t="s">
        <v>101</v>
      </c>
      <c r="Q364" s="9" t="s">
        <v>101</v>
      </c>
      <c r="R364" s="9" t="s">
        <v>101</v>
      </c>
      <c r="S364" s="9" t="s">
        <v>101</v>
      </c>
      <c r="T364" s="9" t="s">
        <v>101</v>
      </c>
      <c r="U364" s="9" t="s">
        <v>101</v>
      </c>
      <c r="V364" s="15">
        <v>0.783</v>
      </c>
      <c r="W364" s="15"/>
      <c r="X364" s="15"/>
      <c r="Y364" s="15">
        <v>0.613</v>
      </c>
      <c r="Z364" s="15"/>
      <c r="AA364" s="15"/>
      <c r="AB364" s="15"/>
      <c r="AC364" s="15"/>
      <c r="AD364" s="15"/>
      <c r="AE364" s="19"/>
      <c r="AF364" s="19"/>
      <c r="AG364" s="7" t="s">
        <v>109</v>
      </c>
      <c r="AH364" s="13">
        <f>iferror(VLOOKUP($B364,covariates!$B$3:$Z$1126,6,FALSE),"")</f>
        <v>24.4557</v>
      </c>
      <c r="AI364" s="13">
        <f>iferror(VLOOKUP($B364,covariates!$B$3:$Z$1126,7,FALSE),"")</f>
        <v>8.2374</v>
      </c>
      <c r="AJ364" s="9">
        <f>iferror(VLOOKUP($B364,covariates!$B$3:$Z$1126,14,FALSE),"")</f>
        <v>12</v>
      </c>
      <c r="AK364" s="9">
        <f>iferror(VLOOKUP($B364,covariates!$B$3:$Z$1126,16,FALSE),"")</f>
        <v>3</v>
      </c>
      <c r="AL364" s="9">
        <f>iferror(VLOOKUP($B364,covariates!$B$3:$Z$1126,18,FALSE),"")</f>
        <v>12</v>
      </c>
      <c r="AM364" s="9">
        <f>iferror(VLOOKUP($B364,covariates!$B$3:$Z$1126,19,FALSE),"")</f>
        <v>1</v>
      </c>
    </row>
    <row r="365">
      <c r="A365" s="15">
        <v>93.0</v>
      </c>
      <c r="B365" s="17" t="str">
        <f t="shared" si="206"/>
        <v>Vilchez-cavazos et al., 2020</v>
      </c>
      <c r="C365" s="9" t="s">
        <v>200</v>
      </c>
      <c r="D365" s="7" t="s">
        <v>371</v>
      </c>
      <c r="E365" s="9" t="s">
        <v>222</v>
      </c>
      <c r="F365" s="9">
        <v>14.0</v>
      </c>
      <c r="G365" s="13">
        <v>95.33</v>
      </c>
      <c r="H365" s="13">
        <f t="shared" si="207"/>
        <v>2.635</v>
      </c>
      <c r="I365" s="15"/>
      <c r="J365" s="9">
        <v>91.0</v>
      </c>
      <c r="K365" s="13">
        <v>95.0</v>
      </c>
      <c r="L365" s="9">
        <v>100.0</v>
      </c>
      <c r="M365" s="15"/>
      <c r="N365" s="21">
        <v>0.9533</v>
      </c>
      <c r="O365" s="9" t="s">
        <v>101</v>
      </c>
      <c r="P365" s="9" t="s">
        <v>101</v>
      </c>
      <c r="Q365" s="9" t="s">
        <v>101</v>
      </c>
      <c r="R365" s="9" t="s">
        <v>101</v>
      </c>
      <c r="S365" s="9" t="s">
        <v>101</v>
      </c>
      <c r="T365" s="9" t="s">
        <v>101</v>
      </c>
      <c r="U365" s="9" t="s">
        <v>101</v>
      </c>
      <c r="V365" s="15">
        <v>0.704</v>
      </c>
      <c r="W365" s="15"/>
      <c r="X365" s="15"/>
      <c r="Y365" s="15">
        <v>0.496</v>
      </c>
      <c r="Z365" s="19"/>
      <c r="AA365" s="19"/>
      <c r="AB365" s="19"/>
      <c r="AC365" s="19"/>
      <c r="AD365" s="19"/>
      <c r="AE365" s="19"/>
      <c r="AF365" s="19"/>
      <c r="AG365" s="7" t="s">
        <v>109</v>
      </c>
      <c r="AH365" s="13">
        <f>iferror(VLOOKUP($B365,covariates!$B$3:$Z$1126,6,FALSE),"")</f>
        <v>24.4557</v>
      </c>
      <c r="AI365" s="13">
        <f>iferror(VLOOKUP($B365,covariates!$B$3:$Z$1126,7,FALSE),"")</f>
        <v>8.2374</v>
      </c>
      <c r="AJ365" s="9">
        <f>iferror(VLOOKUP($B365,covariates!$B$3:$Z$1126,14,FALSE),"")</f>
        <v>12</v>
      </c>
      <c r="AK365" s="9">
        <f>iferror(VLOOKUP($B365,covariates!$B$3:$Z$1126,16,FALSE),"")</f>
        <v>3</v>
      </c>
      <c r="AL365" s="9">
        <f>iferror(VLOOKUP($B365,covariates!$B$3:$Z$1126,18,FALSE),"")</f>
        <v>12</v>
      </c>
      <c r="AM365" s="9">
        <f>iferror(VLOOKUP($B365,covariates!$B$3:$Z$1126,19,FALSE),"")</f>
        <v>1</v>
      </c>
    </row>
    <row r="366">
      <c r="A366" s="15">
        <v>96.0</v>
      </c>
      <c r="B366" s="17" t="str">
        <f t="shared" ref="B366:B367" si="208">HYPERLINK("https://github.com/d-wkim/phd/blob/main/data/pdf/wipfler_2011.pdf","Wipfler et al., 2011")</f>
        <v>Wipfler et al., 2011</v>
      </c>
      <c r="C366" s="9" t="s">
        <v>42</v>
      </c>
      <c r="D366" s="7" t="s">
        <v>371</v>
      </c>
      <c r="E366" s="9" t="s">
        <v>222</v>
      </c>
      <c r="F366" s="9">
        <v>29.0</v>
      </c>
      <c r="G366" s="13">
        <v>87.28</v>
      </c>
      <c r="H366" s="13">
        <v>1.761</v>
      </c>
      <c r="I366" s="15"/>
      <c r="J366" s="15"/>
      <c r="K366" s="15"/>
      <c r="L366" s="15"/>
      <c r="M366" s="15"/>
      <c r="N366" s="21">
        <v>0.8728</v>
      </c>
      <c r="O366" s="9" t="s">
        <v>101</v>
      </c>
      <c r="P366" s="9" t="s">
        <v>101</v>
      </c>
      <c r="Q366" s="9" t="s">
        <v>101</v>
      </c>
      <c r="R366" s="9" t="s">
        <v>101</v>
      </c>
      <c r="S366" s="9" t="s">
        <v>101</v>
      </c>
      <c r="T366" s="9" t="s">
        <v>101</v>
      </c>
      <c r="U366" s="9" t="s">
        <v>101</v>
      </c>
      <c r="V366" s="15">
        <v>0.327</v>
      </c>
      <c r="W366" s="15"/>
      <c r="X366" s="15"/>
      <c r="Y366" s="15">
        <v>0.107</v>
      </c>
      <c r="Z366" s="15"/>
      <c r="AA366" s="15"/>
      <c r="AB366" s="15"/>
      <c r="AC366" s="15"/>
      <c r="AD366" s="15"/>
      <c r="AE366" s="19"/>
      <c r="AF366" s="19"/>
      <c r="AG366" s="7" t="s">
        <v>109</v>
      </c>
      <c r="AH366" s="13">
        <f>iferror(VLOOKUP($B366,covariates!$B$3:$Z$1126,6,FALSE),"")</f>
        <v>29.87</v>
      </c>
      <c r="AI366" s="13">
        <f>iferror(VLOOKUP($B366,covariates!$B$3:$Z$1126,7,FALSE),"")</f>
        <v>7.304</v>
      </c>
      <c r="AJ366" s="9">
        <f>iferror(VLOOKUP($B366,covariates!$B$3:$Z$1126,14,FALSE),"")</f>
        <v>19</v>
      </c>
      <c r="AK366" s="9">
        <f>iferror(VLOOKUP($B366,covariates!$B$3:$Z$1126,16,FALSE),"")</f>
        <v>12</v>
      </c>
      <c r="AL366" s="9">
        <f>iferror(VLOOKUP($B366,covariates!$B$3:$Z$1126,18,FALSE),"")</f>
        <v>108</v>
      </c>
      <c r="AM366" s="9">
        <f>iferror(VLOOKUP($B366,covariates!$B$3:$Z$1126,19,FALSE),"")</f>
        <v>9</v>
      </c>
    </row>
    <row r="367">
      <c r="A367" s="15">
        <v>96.0</v>
      </c>
      <c r="B367" s="17" t="str">
        <f t="shared" si="208"/>
        <v>Wipfler et al., 2011</v>
      </c>
      <c r="C367" s="9" t="s">
        <v>84</v>
      </c>
      <c r="D367" s="7" t="s">
        <v>371</v>
      </c>
      <c r="E367" s="9" t="s">
        <v>222</v>
      </c>
      <c r="F367" s="9">
        <v>25.0</v>
      </c>
      <c r="G367" s="13">
        <v>91.82</v>
      </c>
      <c r="H367" s="13">
        <v>1.713</v>
      </c>
      <c r="I367" s="15"/>
      <c r="J367" s="15"/>
      <c r="K367" s="15"/>
      <c r="L367" s="15"/>
      <c r="M367" s="15"/>
      <c r="N367" s="21">
        <v>0.9181999999999999</v>
      </c>
      <c r="O367" s="9" t="s">
        <v>101</v>
      </c>
      <c r="P367" s="9" t="s">
        <v>101</v>
      </c>
      <c r="Q367" s="9" t="s">
        <v>101</v>
      </c>
      <c r="R367" s="9" t="s">
        <v>101</v>
      </c>
      <c r="S367" s="9" t="s">
        <v>101</v>
      </c>
      <c r="T367" s="9" t="s">
        <v>101</v>
      </c>
      <c r="U367" s="9" t="s">
        <v>101</v>
      </c>
      <c r="V367" s="15">
        <v>0.343</v>
      </c>
      <c r="W367" s="15"/>
      <c r="X367" s="15"/>
      <c r="Y367" s="15">
        <v>0.118</v>
      </c>
      <c r="Z367" s="15"/>
      <c r="AA367" s="15"/>
      <c r="AB367" s="15"/>
      <c r="AC367" s="15"/>
      <c r="AD367" s="15"/>
      <c r="AE367" s="19"/>
      <c r="AF367" s="19"/>
      <c r="AG367" s="7" t="s">
        <v>109</v>
      </c>
      <c r="AH367" s="13">
        <f>iferror(VLOOKUP($B367,covariates!$B$3:$Z$1126,6,FALSE),"")</f>
        <v>29.87</v>
      </c>
      <c r="AI367" s="13">
        <f>iferror(VLOOKUP($B367,covariates!$B$3:$Z$1126,7,FALSE),"")</f>
        <v>7.304</v>
      </c>
      <c r="AJ367" s="9">
        <f>iferror(VLOOKUP($B367,covariates!$B$3:$Z$1126,14,FALSE),"")</f>
        <v>19</v>
      </c>
      <c r="AK367" s="9">
        <f>iferror(VLOOKUP($B367,covariates!$B$3:$Z$1126,16,FALSE),"")</f>
        <v>12</v>
      </c>
      <c r="AL367" s="9">
        <f>iferror(VLOOKUP($B367,covariates!$B$3:$Z$1126,18,FALSE),"")</f>
        <v>108</v>
      </c>
      <c r="AM367" s="9">
        <f>iferror(VLOOKUP($B367,covariates!$B$3:$Z$1126,19,FALSE),"")</f>
        <v>9</v>
      </c>
    </row>
    <row r="368">
      <c r="A368" s="15">
        <v>97.0</v>
      </c>
      <c r="B368" s="17" t="str">
        <f t="shared" ref="B368:B369" si="209">HYPERLINK("https://github.com/d-wkim/phd/blob/main/data/pdf/yadav_2025.pdf","Yadav et al., 2025")</f>
        <v>Yadav et al., 2025</v>
      </c>
      <c r="C368" s="9" t="s">
        <v>84</v>
      </c>
      <c r="D368" s="19" t="s">
        <v>371</v>
      </c>
      <c r="E368" s="9" t="s">
        <v>222</v>
      </c>
      <c r="F368" s="9">
        <v>36.0</v>
      </c>
      <c r="G368" s="13">
        <v>92.4</v>
      </c>
      <c r="H368" s="13">
        <f t="shared" ref="H368:H371" si="210">iferror(RANGE_SD(F368,I368,M368),"")</f>
        <v>0</v>
      </c>
      <c r="I368" s="15"/>
      <c r="J368" s="15"/>
      <c r="K368" s="15"/>
      <c r="L368" s="15"/>
      <c r="M368" s="15"/>
      <c r="N368" s="21">
        <v>0.924</v>
      </c>
      <c r="O368" s="9" t="s">
        <v>101</v>
      </c>
      <c r="P368" s="9" t="s">
        <v>101</v>
      </c>
      <c r="Q368" s="9" t="s">
        <v>101</v>
      </c>
      <c r="R368" s="9" t="s">
        <v>101</v>
      </c>
      <c r="S368" s="9" t="s">
        <v>101</v>
      </c>
      <c r="T368" s="9" t="s">
        <v>101</v>
      </c>
      <c r="U368" s="9" t="s">
        <v>101</v>
      </c>
      <c r="V368" s="15">
        <v>0.0</v>
      </c>
      <c r="W368" s="15"/>
      <c r="X368" s="15"/>
      <c r="Y368" s="15">
        <v>0.0</v>
      </c>
      <c r="Z368" s="15"/>
      <c r="AA368" s="15"/>
      <c r="AB368" s="15"/>
      <c r="AC368" s="15"/>
      <c r="AD368" s="15"/>
      <c r="AE368" s="19"/>
      <c r="AF368" s="19"/>
      <c r="AG368" s="7" t="s">
        <v>109</v>
      </c>
      <c r="AH368" s="13">
        <f>iferror(VLOOKUP($B368,covariates!$B$3:$Z$1126,6,FALSE),"")</f>
        <v>30.06</v>
      </c>
      <c r="AI368" s="13">
        <f>iferror(VLOOKUP($B368,covariates!$B$3:$Z$1126,7,FALSE),"")</f>
        <v>8.87</v>
      </c>
      <c r="AJ368" s="9">
        <f>iferror(VLOOKUP($B368,covariates!$B$3:$Z$1126,14,FALSE),"")</f>
        <v>32</v>
      </c>
      <c r="AK368" s="9">
        <f>iferror(VLOOKUP($B368,covariates!$B$3:$Z$1126,16,FALSE),"")</f>
        <v>4</v>
      </c>
      <c r="AL368" s="9">
        <f>iferror(VLOOKUP($B368,covariates!$B$3:$Z$1126,18,FALSE),"")</f>
        <v>12</v>
      </c>
      <c r="AM368" s="9">
        <f>iferror(VLOOKUP($B368,covariates!$B$3:$Z$1126,19,FALSE),"")</f>
        <v>1</v>
      </c>
    </row>
    <row r="369">
      <c r="A369" s="15">
        <v>97.0</v>
      </c>
      <c r="B369" s="17" t="str">
        <f t="shared" si="209"/>
        <v>Yadav et al., 2025</v>
      </c>
      <c r="C369" s="9" t="s">
        <v>200</v>
      </c>
      <c r="D369" s="19" t="s">
        <v>371</v>
      </c>
      <c r="E369" s="9" t="s">
        <v>222</v>
      </c>
      <c r="F369" s="9">
        <v>33.0</v>
      </c>
      <c r="G369" s="13">
        <v>88.2</v>
      </c>
      <c r="H369" s="13">
        <f t="shared" si="210"/>
        <v>0</v>
      </c>
      <c r="I369" s="15"/>
      <c r="J369" s="15"/>
      <c r="K369" s="15"/>
      <c r="L369" s="15"/>
      <c r="M369" s="15"/>
      <c r="N369" s="21">
        <v>0.882</v>
      </c>
      <c r="O369" s="9" t="s">
        <v>101</v>
      </c>
      <c r="P369" s="9" t="s">
        <v>101</v>
      </c>
      <c r="Q369" s="9" t="s">
        <v>101</v>
      </c>
      <c r="R369" s="9" t="s">
        <v>101</v>
      </c>
      <c r="S369" s="9" t="s">
        <v>101</v>
      </c>
      <c r="T369" s="9" t="s">
        <v>101</v>
      </c>
      <c r="U369" s="9" t="s">
        <v>101</v>
      </c>
      <c r="V369" s="15">
        <v>0.0</v>
      </c>
      <c r="W369" s="15"/>
      <c r="X369" s="15"/>
      <c r="Y369" s="15">
        <v>0.0</v>
      </c>
      <c r="Z369" s="19"/>
      <c r="AA369" s="19"/>
      <c r="AB369" s="19"/>
      <c r="AC369" s="19"/>
      <c r="AD369" s="19"/>
      <c r="AE369" s="19"/>
      <c r="AF369" s="19"/>
      <c r="AG369" s="7" t="s">
        <v>109</v>
      </c>
      <c r="AH369" s="13">
        <f>iferror(VLOOKUP($B369,covariates!$B$3:$Z$1126,6,FALSE),"")</f>
        <v>30.06</v>
      </c>
      <c r="AI369" s="13">
        <f>iferror(VLOOKUP($B369,covariates!$B$3:$Z$1126,7,FALSE),"")</f>
        <v>8.87</v>
      </c>
      <c r="AJ369" s="9">
        <f>iferror(VLOOKUP($B369,covariates!$B$3:$Z$1126,14,FALSE),"")</f>
        <v>32</v>
      </c>
      <c r="AK369" s="9">
        <f>iferror(VLOOKUP($B369,covariates!$B$3:$Z$1126,16,FALSE),"")</f>
        <v>4</v>
      </c>
      <c r="AL369" s="9">
        <f>iferror(VLOOKUP($B369,covariates!$B$3:$Z$1126,18,FALSE),"")</f>
        <v>12</v>
      </c>
      <c r="AM369" s="9">
        <f>iferror(VLOOKUP($B369,covariates!$B$3:$Z$1126,19,FALSE),"")</f>
        <v>1</v>
      </c>
    </row>
    <row r="370">
      <c r="A370" s="15">
        <v>98.0</v>
      </c>
      <c r="B370" s="17" t="str">
        <f t="shared" ref="B370:B371" si="211">HYPERLINK("https://github.com/d-wkim/phd/blob/main/data/pdf/yoo_2017.pdf","Yoo et al., 2017")</f>
        <v>Yoo et al., 2017</v>
      </c>
      <c r="C370" s="9" t="s">
        <v>84</v>
      </c>
      <c r="D370" s="19" t="s">
        <v>371</v>
      </c>
      <c r="E370" s="9" t="s">
        <v>222</v>
      </c>
      <c r="F370" s="9">
        <v>68.0</v>
      </c>
      <c r="G370" s="13">
        <v>96.0</v>
      </c>
      <c r="H370" s="13">
        <f t="shared" si="210"/>
        <v>6.994</v>
      </c>
      <c r="I370" s="9">
        <v>67.0</v>
      </c>
      <c r="J370" s="15"/>
      <c r="K370" s="15"/>
      <c r="L370" s="15"/>
      <c r="M370" s="9">
        <v>100.0</v>
      </c>
      <c r="N370" s="21">
        <v>0.96</v>
      </c>
      <c r="O370" s="9" t="s">
        <v>101</v>
      </c>
      <c r="P370" s="9" t="s">
        <v>101</v>
      </c>
      <c r="Q370" s="9" t="s">
        <v>101</v>
      </c>
      <c r="R370" s="9" t="s">
        <v>101</v>
      </c>
      <c r="S370" s="9" t="s">
        <v>101</v>
      </c>
      <c r="T370" s="9" t="s">
        <v>101</v>
      </c>
      <c r="U370" s="9" t="s">
        <v>101</v>
      </c>
      <c r="V370" s="15">
        <v>0.848</v>
      </c>
      <c r="W370" s="15"/>
      <c r="X370" s="15"/>
      <c r="Y370" s="15">
        <v>0.719</v>
      </c>
      <c r="Z370" s="15"/>
      <c r="AA370" s="15"/>
      <c r="AB370" s="15"/>
      <c r="AC370" s="15"/>
      <c r="AD370" s="15"/>
      <c r="AE370" s="19"/>
      <c r="AF370" s="19"/>
      <c r="AG370" s="7" t="s">
        <v>109</v>
      </c>
      <c r="AH370" s="13">
        <f>iferror(VLOOKUP($B370,covariates!$B$3:$Z$1126,6,FALSE),"")</f>
        <v>30</v>
      </c>
      <c r="AI370" s="13">
        <f>iferror(VLOOKUP($B370,covariates!$B$3:$Z$1126,7,FALSE),"")</f>
        <v>9.961</v>
      </c>
      <c r="AJ370" s="9">
        <f>iferror(VLOOKUP($B370,covariates!$B$3:$Z$1126,14,FALSE),"")</f>
        <v>61</v>
      </c>
      <c r="AK370" s="9">
        <f>iferror(VLOOKUP($B370,covariates!$B$3:$Z$1126,16,FALSE),"")</f>
        <v>7</v>
      </c>
      <c r="AL370" s="9">
        <f>iferror(VLOOKUP($B370,covariates!$B$3:$Z$1126,18,FALSE),"")</f>
        <v>32.8</v>
      </c>
      <c r="AM370" s="9">
        <f>iferror(VLOOKUP($B370,covariates!$B$3:$Z$1126,19,FALSE),"")</f>
        <v>2.7</v>
      </c>
    </row>
    <row r="371">
      <c r="A371" s="15">
        <v>98.0</v>
      </c>
      <c r="B371" s="17" t="str">
        <f t="shared" si="211"/>
        <v>Yoo et al., 2017</v>
      </c>
      <c r="C371" s="9" t="s">
        <v>205</v>
      </c>
      <c r="D371" s="19" t="s">
        <v>371</v>
      </c>
      <c r="E371" s="9" t="s">
        <v>222</v>
      </c>
      <c r="F371" s="9">
        <v>64.0</v>
      </c>
      <c r="G371" s="13">
        <v>93.0</v>
      </c>
      <c r="H371" s="13">
        <f t="shared" si="210"/>
        <v>5.777</v>
      </c>
      <c r="I371" s="9">
        <v>73.0</v>
      </c>
      <c r="J371" s="15"/>
      <c r="K371" s="15"/>
      <c r="L371" s="15"/>
      <c r="M371" s="9">
        <v>100.0</v>
      </c>
      <c r="N371" s="21">
        <v>0.93</v>
      </c>
      <c r="O371" s="9" t="s">
        <v>101</v>
      </c>
      <c r="P371" s="9" t="s">
        <v>101</v>
      </c>
      <c r="Q371" s="9" t="s">
        <v>101</v>
      </c>
      <c r="R371" s="9" t="s">
        <v>101</v>
      </c>
      <c r="S371" s="9" t="s">
        <v>101</v>
      </c>
      <c r="T371" s="9" t="s">
        <v>101</v>
      </c>
      <c r="U371" s="9" t="s">
        <v>101</v>
      </c>
      <c r="V371" s="15">
        <v>0.722</v>
      </c>
      <c r="W371" s="15"/>
      <c r="X371" s="15"/>
      <c r="Y371" s="15">
        <v>0.521</v>
      </c>
      <c r="Z371" s="19"/>
      <c r="AA371" s="19"/>
      <c r="AB371" s="19"/>
      <c r="AC371" s="19"/>
      <c r="AD371" s="19"/>
      <c r="AE371" s="19"/>
      <c r="AF371" s="19"/>
      <c r="AG371" s="7" t="s">
        <v>109</v>
      </c>
      <c r="AH371" s="13">
        <f>iferror(VLOOKUP($B371,covariates!$B$3:$Z$1126,6,FALSE),"")</f>
        <v>30</v>
      </c>
      <c r="AI371" s="13">
        <f>iferror(VLOOKUP($B371,covariates!$B$3:$Z$1126,7,FALSE),"")</f>
        <v>9.961</v>
      </c>
      <c r="AJ371" s="9">
        <f>iferror(VLOOKUP($B371,covariates!$B$3:$Z$1126,14,FALSE),"")</f>
        <v>61</v>
      </c>
      <c r="AK371" s="9">
        <f>iferror(VLOOKUP($B371,covariates!$B$3:$Z$1126,16,FALSE),"")</f>
        <v>7</v>
      </c>
      <c r="AL371" s="9">
        <f>iferror(VLOOKUP($B371,covariates!$B$3:$Z$1126,18,FALSE),"")</f>
        <v>32.8</v>
      </c>
      <c r="AM371" s="9">
        <f>iferror(VLOOKUP($B371,covariates!$B$3:$Z$1126,19,FALSE),"")</f>
        <v>2.7</v>
      </c>
    </row>
    <row r="372">
      <c r="A372" s="15">
        <v>2.0</v>
      </c>
      <c r="B372" s="17" t="str">
        <f t="shared" ref="B372:B373" si="212">HYPERLINK("https://github.com/d-wkim/phd/blob/main/data/pdf/aglietti_2004.pdf","Aglietti et al., 2004")</f>
        <v>Aglietti et al., 2004</v>
      </c>
      <c r="C372" s="9" t="s">
        <v>42</v>
      </c>
      <c r="D372" s="7" t="s">
        <v>385</v>
      </c>
      <c r="E372" s="9" t="s">
        <v>64</v>
      </c>
      <c r="F372" s="9">
        <v>60.0</v>
      </c>
      <c r="G372" s="20">
        <v>0.0</v>
      </c>
      <c r="H372" s="21">
        <f t="shared" ref="H372:H435" si="213">iferror(P_SD(F372,G372),"")</f>
        <v>0.06454972244</v>
      </c>
      <c r="I372" s="15"/>
      <c r="J372" s="15"/>
      <c r="K372" s="15"/>
      <c r="L372" s="15"/>
      <c r="M372" s="15"/>
      <c r="N372" s="15"/>
      <c r="O372" s="9" t="s">
        <v>101</v>
      </c>
      <c r="P372" s="9" t="s">
        <v>101</v>
      </c>
      <c r="Q372" s="9" t="s">
        <v>101</v>
      </c>
      <c r="R372" s="9" t="s">
        <v>101</v>
      </c>
      <c r="S372" s="9" t="s">
        <v>101</v>
      </c>
      <c r="T372" s="9" t="s">
        <v>101</v>
      </c>
      <c r="U372" s="9" t="s">
        <v>101</v>
      </c>
      <c r="V372" s="15"/>
      <c r="W372" s="15"/>
      <c r="X372" s="15"/>
      <c r="Y372" s="15"/>
      <c r="Z372" s="15"/>
      <c r="AA372" s="15"/>
      <c r="AB372" s="15"/>
      <c r="AC372" s="15"/>
      <c r="AD372" s="15"/>
      <c r="AE372" s="19"/>
      <c r="AF372" s="19"/>
      <c r="AG372" s="7" t="s">
        <v>109</v>
      </c>
      <c r="AH372" s="13">
        <f>iferror(VLOOKUP($B372,covariates!$B$3:$Z$1126,6,FALSE),"")</f>
        <v>25</v>
      </c>
      <c r="AI372" s="13">
        <f>iferror(VLOOKUP($B372,covariates!$B$3:$Z$1126,7,FALSE),"")</f>
        <v>4.973</v>
      </c>
      <c r="AJ372" s="9">
        <f>iferror(VLOOKUP($B372,covariates!$B$3:$Z$1126,14,FALSE),"")</f>
        <v>46</v>
      </c>
      <c r="AK372" s="9">
        <f>iferror(VLOOKUP($B372,covariates!$B$3:$Z$1126,16,FALSE),"")</f>
        <v>14</v>
      </c>
      <c r="AL372" s="9">
        <f>iferror(VLOOKUP($B372,covariates!$B$3:$Z$1126,18,FALSE),"")</f>
        <v>24</v>
      </c>
      <c r="AM372" s="9">
        <f>iferror(VLOOKUP($B372,covariates!$B$3:$Z$1126,19,FALSE),"")</f>
        <v>2</v>
      </c>
    </row>
    <row r="373">
      <c r="A373" s="15">
        <v>2.0</v>
      </c>
      <c r="B373" s="17" t="str">
        <f t="shared" si="212"/>
        <v>Aglietti et al., 2004</v>
      </c>
      <c r="C373" s="9" t="s">
        <v>84</v>
      </c>
      <c r="D373" s="7" t="s">
        <v>385</v>
      </c>
      <c r="E373" s="9" t="s">
        <v>64</v>
      </c>
      <c r="F373" s="9">
        <v>60.0</v>
      </c>
      <c r="G373" s="20">
        <v>0.0</v>
      </c>
      <c r="H373" s="21">
        <f t="shared" si="213"/>
        <v>0.06454972244</v>
      </c>
      <c r="I373" s="15"/>
      <c r="J373" s="15"/>
      <c r="K373" s="15"/>
      <c r="L373" s="15"/>
      <c r="M373" s="15"/>
      <c r="N373" s="15"/>
      <c r="O373" s="9" t="s">
        <v>101</v>
      </c>
      <c r="P373" s="9" t="s">
        <v>101</v>
      </c>
      <c r="Q373" s="9" t="s">
        <v>101</v>
      </c>
      <c r="R373" s="9" t="s">
        <v>101</v>
      </c>
      <c r="S373" s="9" t="s">
        <v>101</v>
      </c>
      <c r="T373" s="9" t="s">
        <v>101</v>
      </c>
      <c r="U373" s="9" t="s">
        <v>101</v>
      </c>
      <c r="V373" s="15"/>
      <c r="W373" s="15"/>
      <c r="X373" s="15"/>
      <c r="Y373" s="15"/>
      <c r="Z373" s="15"/>
      <c r="AA373" s="15"/>
      <c r="AB373" s="15"/>
      <c r="AC373" s="15"/>
      <c r="AD373" s="15"/>
      <c r="AE373" s="19"/>
      <c r="AF373" s="19"/>
      <c r="AG373" s="7" t="s">
        <v>109</v>
      </c>
      <c r="AH373" s="13">
        <f>iferror(VLOOKUP($B373,covariates!$B$3:$Z$1126,6,FALSE),"")</f>
        <v>25</v>
      </c>
      <c r="AI373" s="13">
        <f>iferror(VLOOKUP($B373,covariates!$B$3:$Z$1126,7,FALSE),"")</f>
        <v>4.973</v>
      </c>
      <c r="AJ373" s="9">
        <f>iferror(VLOOKUP($B373,covariates!$B$3:$Z$1126,14,FALSE),"")</f>
        <v>46</v>
      </c>
      <c r="AK373" s="9">
        <f>iferror(VLOOKUP($B373,covariates!$B$3:$Z$1126,16,FALSE),"")</f>
        <v>14</v>
      </c>
      <c r="AL373" s="9">
        <f>iferror(VLOOKUP($B373,covariates!$B$3:$Z$1126,18,FALSE),"")</f>
        <v>24</v>
      </c>
      <c r="AM373" s="9">
        <f>iferror(VLOOKUP($B373,covariates!$B$3:$Z$1126,19,FALSE),"")</f>
        <v>2</v>
      </c>
    </row>
    <row r="374">
      <c r="A374" s="15">
        <v>5.0</v>
      </c>
      <c r="B374" s="17" t="str">
        <f t="shared" ref="B374:B375" si="214">HYPERLINK("https://github.com/d-wkim/phd/blob/main/data/pdf/anderson_2001.pdf","Anderson et al., 2001")</f>
        <v>Anderson et al., 2001</v>
      </c>
      <c r="C374" s="9" t="s">
        <v>42</v>
      </c>
      <c r="D374" s="7" t="s">
        <v>385</v>
      </c>
      <c r="E374" s="9" t="s">
        <v>64</v>
      </c>
      <c r="F374" s="9">
        <v>35.0</v>
      </c>
      <c r="G374" s="20">
        <v>7.0</v>
      </c>
      <c r="H374" s="21">
        <f t="shared" si="213"/>
        <v>1.584664228</v>
      </c>
      <c r="I374" s="15"/>
      <c r="J374" s="15"/>
      <c r="K374" s="15"/>
      <c r="L374" s="15"/>
      <c r="M374" s="15"/>
      <c r="N374" s="15"/>
      <c r="O374" s="9" t="s">
        <v>101</v>
      </c>
      <c r="P374" s="9" t="s">
        <v>101</v>
      </c>
      <c r="Q374" s="9" t="s">
        <v>101</v>
      </c>
      <c r="R374" s="9" t="s">
        <v>101</v>
      </c>
      <c r="S374" s="9" t="s">
        <v>101</v>
      </c>
      <c r="T374" s="9" t="s">
        <v>101</v>
      </c>
      <c r="U374" s="9" t="s">
        <v>101</v>
      </c>
      <c r="V374" s="15"/>
      <c r="W374" s="15"/>
      <c r="X374" s="15"/>
      <c r="Y374" s="15"/>
      <c r="Z374" s="15"/>
      <c r="AA374" s="15"/>
      <c r="AB374" s="15"/>
      <c r="AC374" s="15"/>
      <c r="AD374" s="15"/>
      <c r="AE374" s="19"/>
      <c r="AF374" s="19"/>
      <c r="AG374" s="7" t="s">
        <v>109</v>
      </c>
      <c r="AH374" s="13">
        <f>iferror(VLOOKUP($B374,covariates!$B$3:$Z$1126,6,FALSE),"")</f>
        <v>23.6</v>
      </c>
      <c r="AI374" s="13">
        <f>iferror(VLOOKUP($B374,covariates!$B$3:$Z$1126,7,FALSE),"")</f>
        <v>7.132</v>
      </c>
      <c r="AJ374" s="9">
        <f>iferror(VLOOKUP($B374,covariates!$B$3:$Z$1126,14,FALSE),"")</f>
        <v>23</v>
      </c>
      <c r="AK374" s="9">
        <f>iferror(VLOOKUP($B374,covariates!$B$3:$Z$1126,16,FALSE),"")</f>
        <v>12</v>
      </c>
      <c r="AL374" s="9">
        <f>iferror(VLOOKUP($B374,covariates!$B$3:$Z$1126,18,FALSE),"")</f>
        <v>34.6</v>
      </c>
      <c r="AM374" s="9">
        <f>iferror(VLOOKUP($B374,covariates!$B$3:$Z$1126,19,FALSE),"")</f>
        <v>2.9</v>
      </c>
    </row>
    <row r="375">
      <c r="A375" s="15">
        <v>5.0</v>
      </c>
      <c r="B375" s="17" t="str">
        <f t="shared" si="214"/>
        <v>Anderson et al., 2001</v>
      </c>
      <c r="C375" s="9" t="s">
        <v>84</v>
      </c>
      <c r="D375" s="7" t="s">
        <v>385</v>
      </c>
      <c r="E375" s="9" t="s">
        <v>64</v>
      </c>
      <c r="F375" s="9">
        <v>33.0</v>
      </c>
      <c r="G375" s="20">
        <v>8.0</v>
      </c>
      <c r="H375" s="21">
        <f t="shared" si="213"/>
        <v>1.9531513</v>
      </c>
      <c r="I375" s="15"/>
      <c r="J375" s="15"/>
      <c r="K375" s="15"/>
      <c r="L375" s="15"/>
      <c r="M375" s="15"/>
      <c r="N375" s="15"/>
      <c r="O375" s="9">
        <v>20.1</v>
      </c>
      <c r="P375" s="9" t="s">
        <v>101</v>
      </c>
      <c r="Q375" s="9" t="s">
        <v>101</v>
      </c>
      <c r="R375" s="9" t="s">
        <v>101</v>
      </c>
      <c r="S375" s="9" t="s">
        <v>101</v>
      </c>
      <c r="T375" s="9" t="s">
        <v>101</v>
      </c>
      <c r="U375" s="9" t="s">
        <v>101</v>
      </c>
      <c r="V375" s="15"/>
      <c r="W375" s="15"/>
      <c r="X375" s="15"/>
      <c r="Y375" s="15"/>
      <c r="Z375" s="15"/>
      <c r="AA375" s="15"/>
      <c r="AB375" s="15"/>
      <c r="AC375" s="15"/>
      <c r="AD375" s="15"/>
      <c r="AE375" s="19"/>
      <c r="AF375" s="19"/>
      <c r="AG375" s="7" t="s">
        <v>109</v>
      </c>
      <c r="AH375" s="13">
        <f>iferror(VLOOKUP($B375,covariates!$B$3:$Z$1126,6,FALSE),"")</f>
        <v>23.6</v>
      </c>
      <c r="AI375" s="13">
        <f>iferror(VLOOKUP($B375,covariates!$B$3:$Z$1126,7,FALSE),"")</f>
        <v>7.132</v>
      </c>
      <c r="AJ375" s="9">
        <f>iferror(VLOOKUP($B375,covariates!$B$3:$Z$1126,14,FALSE),"")</f>
        <v>23</v>
      </c>
      <c r="AK375" s="9">
        <f>iferror(VLOOKUP($B375,covariates!$B$3:$Z$1126,16,FALSE),"")</f>
        <v>12</v>
      </c>
      <c r="AL375" s="9">
        <f>iferror(VLOOKUP($B375,covariates!$B$3:$Z$1126,18,FALSE),"")</f>
        <v>34.6</v>
      </c>
      <c r="AM375" s="9">
        <f>iferror(VLOOKUP($B375,covariates!$B$3:$Z$1126,19,FALSE),"")</f>
        <v>2.9</v>
      </c>
    </row>
    <row r="376">
      <c r="A376" s="15">
        <v>9.0</v>
      </c>
      <c r="B376" s="17" t="str">
        <f t="shared" ref="B376:B377" si="215">HYPERLINK("https://github.com/d-wkim/phd/blob/main/data/pdf/barenius_2010.pdf","Barenius et al., 2010")</f>
        <v>Barenius et al., 2010</v>
      </c>
      <c r="C376" s="7" t="s">
        <v>42</v>
      </c>
      <c r="D376" s="7" t="s">
        <v>385</v>
      </c>
      <c r="E376" s="9" t="s">
        <v>64</v>
      </c>
      <c r="F376" s="9"/>
      <c r="G376" s="27"/>
      <c r="H376" s="21" t="str">
        <f t="shared" si="213"/>
        <v/>
      </c>
      <c r="I376" s="15"/>
      <c r="J376" s="15"/>
      <c r="K376" s="15"/>
      <c r="L376" s="15"/>
      <c r="M376" s="15"/>
      <c r="N376" s="15"/>
      <c r="O376" s="9" t="s">
        <v>101</v>
      </c>
      <c r="P376" s="9" t="s">
        <v>101</v>
      </c>
      <c r="Q376" s="9" t="s">
        <v>101</v>
      </c>
      <c r="R376" s="9" t="s">
        <v>101</v>
      </c>
      <c r="S376" s="9" t="s">
        <v>101</v>
      </c>
      <c r="T376" s="9" t="s">
        <v>101</v>
      </c>
      <c r="U376" s="9" t="s">
        <v>101</v>
      </c>
      <c r="V376" s="15"/>
      <c r="W376" s="15"/>
      <c r="X376" s="15"/>
      <c r="Y376" s="15"/>
      <c r="Z376" s="15"/>
      <c r="AA376" s="15"/>
      <c r="AB376" s="15"/>
      <c r="AC376" s="15"/>
      <c r="AD376" s="15"/>
      <c r="AE376" s="19"/>
      <c r="AF376" s="19"/>
      <c r="AG376" s="7" t="s">
        <v>174</v>
      </c>
      <c r="AH376" s="13">
        <f>iferror(VLOOKUP($B376,covariates!$B$3:$Z$1126,6,FALSE),"")</f>
        <v>33</v>
      </c>
      <c r="AI376" s="13">
        <f>iferror(VLOOKUP($B376,covariates!$B$3:$Z$1126,7,FALSE),"")</f>
        <v>6.3</v>
      </c>
      <c r="AJ376" s="9">
        <f>iferror(VLOOKUP($B376,covariates!$B$3:$Z$1126,14,FALSE),"")</f>
        <v>38</v>
      </c>
      <c r="AK376" s="9">
        <f>iferror(VLOOKUP($B376,covariates!$B$3:$Z$1126,16,FALSE),"")</f>
        <v>40</v>
      </c>
      <c r="AL376" s="9">
        <f>iferror(VLOOKUP($B376,covariates!$B$3:$Z$1126,18,FALSE),"")</f>
        <v>96</v>
      </c>
      <c r="AM376" s="9">
        <f>iferror(VLOOKUP($B376,covariates!$B$3:$Z$1126,19,FALSE),"")</f>
        <v>8</v>
      </c>
    </row>
    <row r="377">
      <c r="A377" s="15">
        <v>9.0</v>
      </c>
      <c r="B377" s="17" t="str">
        <f t="shared" si="215"/>
        <v>Barenius et al., 2010</v>
      </c>
      <c r="C377" s="7" t="s">
        <v>84</v>
      </c>
      <c r="D377" s="7" t="s">
        <v>385</v>
      </c>
      <c r="E377" s="9" t="s">
        <v>64</v>
      </c>
      <c r="F377" s="9"/>
      <c r="G377" s="27"/>
      <c r="H377" s="21" t="str">
        <f t="shared" si="213"/>
        <v/>
      </c>
      <c r="I377" s="15"/>
      <c r="J377" s="15"/>
      <c r="K377" s="15"/>
      <c r="L377" s="15"/>
      <c r="M377" s="15"/>
      <c r="N377" s="15"/>
      <c r="O377" s="9" t="s">
        <v>101</v>
      </c>
      <c r="P377" s="9" t="s">
        <v>101</v>
      </c>
      <c r="Q377" s="9" t="s">
        <v>101</v>
      </c>
      <c r="R377" s="9" t="s">
        <v>101</v>
      </c>
      <c r="S377" s="9" t="s">
        <v>101</v>
      </c>
      <c r="T377" s="9" t="s">
        <v>101</v>
      </c>
      <c r="U377" s="9" t="s">
        <v>101</v>
      </c>
      <c r="V377" s="15"/>
      <c r="W377" s="15"/>
      <c r="X377" s="15"/>
      <c r="Y377" s="15"/>
      <c r="Z377" s="15"/>
      <c r="AA377" s="15"/>
      <c r="AB377" s="15"/>
      <c r="AC377" s="15"/>
      <c r="AD377" s="15"/>
      <c r="AE377" s="19"/>
      <c r="AF377" s="19"/>
      <c r="AG377" s="7" t="s">
        <v>174</v>
      </c>
      <c r="AH377" s="13">
        <f>iferror(VLOOKUP($B377,covariates!$B$3:$Z$1126,6,FALSE),"")</f>
        <v>33</v>
      </c>
      <c r="AI377" s="13">
        <f>iferror(VLOOKUP($B377,covariates!$B$3:$Z$1126,7,FALSE),"")</f>
        <v>6.3</v>
      </c>
      <c r="AJ377" s="9">
        <f>iferror(VLOOKUP($B377,covariates!$B$3:$Z$1126,14,FALSE),"")</f>
        <v>38</v>
      </c>
      <c r="AK377" s="9">
        <f>iferror(VLOOKUP($B377,covariates!$B$3:$Z$1126,16,FALSE),"")</f>
        <v>40</v>
      </c>
      <c r="AL377" s="9">
        <f>iferror(VLOOKUP($B377,covariates!$B$3:$Z$1126,18,FALSE),"")</f>
        <v>96</v>
      </c>
      <c r="AM377" s="9">
        <f>iferror(VLOOKUP($B377,covariates!$B$3:$Z$1126,19,FALSE),"")</f>
        <v>8</v>
      </c>
    </row>
    <row r="378">
      <c r="A378" s="15">
        <v>11.0</v>
      </c>
      <c r="B378" s="17" t="str">
        <f t="shared" ref="B378:B379" si="216">HYPERLINK("https://github.com/d-wkim/phd/blob/main/data/pdf/beynnon_2002.pdf","Beynnon et al., 2002")</f>
        <v>Beynnon et al., 2002</v>
      </c>
      <c r="C378" s="9" t="s">
        <v>42</v>
      </c>
      <c r="D378" s="7" t="s">
        <v>385</v>
      </c>
      <c r="E378" s="9" t="s">
        <v>64</v>
      </c>
      <c r="F378" s="9">
        <v>22.0</v>
      </c>
      <c r="G378" s="20">
        <v>3.0</v>
      </c>
      <c r="H378" s="21">
        <f t="shared" si="213"/>
        <v>0.8640239558</v>
      </c>
      <c r="I378" s="15"/>
      <c r="J378" s="15"/>
      <c r="K378" s="15"/>
      <c r="L378" s="15"/>
      <c r="M378" s="15"/>
      <c r="N378" s="15"/>
      <c r="O378" s="9" t="s">
        <v>101</v>
      </c>
      <c r="P378" s="9" t="s">
        <v>101</v>
      </c>
      <c r="Q378" s="9" t="s">
        <v>101</v>
      </c>
      <c r="R378" s="9" t="s">
        <v>101</v>
      </c>
      <c r="S378" s="9" t="s">
        <v>101</v>
      </c>
      <c r="T378" s="9" t="s">
        <v>101</v>
      </c>
      <c r="U378" s="9" t="s">
        <v>101</v>
      </c>
      <c r="V378" s="15"/>
      <c r="W378" s="15"/>
      <c r="X378" s="15"/>
      <c r="Y378" s="15"/>
      <c r="Z378" s="15"/>
      <c r="AA378" s="15"/>
      <c r="AB378" s="15"/>
      <c r="AC378" s="15"/>
      <c r="AD378" s="15"/>
      <c r="AE378" s="19"/>
      <c r="AF378" s="19"/>
      <c r="AG378" s="7" t="s">
        <v>109</v>
      </c>
      <c r="AH378" s="13">
        <f>iferror(VLOOKUP($B378,covariates!$B$3:$Z$1126,6,FALSE),"")</f>
        <v>28.5</v>
      </c>
      <c r="AI378" s="13">
        <f>iferror(VLOOKUP($B378,covariates!$B$3:$Z$1126,7,FALSE),"")</f>
        <v>6.959</v>
      </c>
      <c r="AJ378" s="9">
        <f>iferror(VLOOKUP($B378,covariates!$B$3:$Z$1126,14,FALSE),"")</f>
        <v>18</v>
      </c>
      <c r="AK378" s="9">
        <f>iferror(VLOOKUP($B378,covariates!$B$3:$Z$1126,16,FALSE),"")</f>
        <v>10</v>
      </c>
      <c r="AL378" s="9">
        <f>iferror(VLOOKUP($B378,covariates!$B$3:$Z$1126,18,FALSE),"")</f>
        <v>36</v>
      </c>
      <c r="AM378" s="9">
        <f>iferror(VLOOKUP($B378,covariates!$B$3:$Z$1126,19,FALSE),"")</f>
        <v>3</v>
      </c>
    </row>
    <row r="379">
      <c r="A379" s="15">
        <v>11.0</v>
      </c>
      <c r="B379" s="17" t="str">
        <f t="shared" si="216"/>
        <v>Beynnon et al., 2002</v>
      </c>
      <c r="C379" s="9" t="s">
        <v>84</v>
      </c>
      <c r="D379" s="7" t="s">
        <v>385</v>
      </c>
      <c r="E379" s="9" t="s">
        <v>64</v>
      </c>
      <c r="F379" s="9">
        <v>22.0</v>
      </c>
      <c r="G379" s="20">
        <v>9.0</v>
      </c>
      <c r="H379" s="21">
        <f t="shared" si="213"/>
        <v>3.427611517</v>
      </c>
      <c r="I379" s="15"/>
      <c r="J379" s="15"/>
      <c r="K379" s="15"/>
      <c r="L379" s="15"/>
      <c r="M379" s="15"/>
      <c r="N379" s="15"/>
      <c r="O379" s="9" t="s">
        <v>101</v>
      </c>
      <c r="P379" s="9" t="s">
        <v>101</v>
      </c>
      <c r="Q379" s="9" t="s">
        <v>101</v>
      </c>
      <c r="R379" s="9" t="s">
        <v>101</v>
      </c>
      <c r="S379" s="9" t="s">
        <v>101</v>
      </c>
      <c r="T379" s="9" t="s">
        <v>101</v>
      </c>
      <c r="U379" s="9" t="s">
        <v>101</v>
      </c>
      <c r="V379" s="15"/>
      <c r="W379" s="15"/>
      <c r="X379" s="15"/>
      <c r="Y379" s="15"/>
      <c r="Z379" s="15"/>
      <c r="AA379" s="15"/>
      <c r="AB379" s="15"/>
      <c r="AC379" s="15"/>
      <c r="AD379" s="15"/>
      <c r="AE379" s="19"/>
      <c r="AF379" s="19"/>
      <c r="AG379" s="7" t="s">
        <v>109</v>
      </c>
      <c r="AH379" s="13">
        <f>iferror(VLOOKUP($B379,covariates!$B$3:$Z$1126,6,FALSE),"")</f>
        <v>28.5</v>
      </c>
      <c r="AI379" s="13">
        <f>iferror(VLOOKUP($B379,covariates!$B$3:$Z$1126,7,FALSE),"")</f>
        <v>6.959</v>
      </c>
      <c r="AJ379" s="9">
        <f>iferror(VLOOKUP($B379,covariates!$B$3:$Z$1126,14,FALSE),"")</f>
        <v>18</v>
      </c>
      <c r="AK379" s="9">
        <f>iferror(VLOOKUP($B379,covariates!$B$3:$Z$1126,16,FALSE),"")</f>
        <v>10</v>
      </c>
      <c r="AL379" s="9">
        <f>iferror(VLOOKUP($B379,covariates!$B$3:$Z$1126,18,FALSE),"")</f>
        <v>36</v>
      </c>
      <c r="AM379" s="9">
        <f>iferror(VLOOKUP($B379,covariates!$B$3:$Z$1126,19,FALSE),"")</f>
        <v>3</v>
      </c>
    </row>
    <row r="380">
      <c r="A380" s="15">
        <v>12.0</v>
      </c>
      <c r="B380" s="17" t="str">
        <f t="shared" ref="B380:B381" si="217">HYPERLINK("https://github.com/d-wkim/phd/blob/main/data/pdf/bi_2018.pdf","Bi et al., 2018")</f>
        <v>Bi et al., 2018</v>
      </c>
      <c r="C380" s="9" t="s">
        <v>84</v>
      </c>
      <c r="D380" s="7" t="s">
        <v>385</v>
      </c>
      <c r="E380" s="9" t="s">
        <v>64</v>
      </c>
      <c r="F380" s="9">
        <v>62.0</v>
      </c>
      <c r="G380" s="20">
        <v>0.0</v>
      </c>
      <c r="H380" s="21">
        <f t="shared" si="213"/>
        <v>0.0635000635</v>
      </c>
      <c r="I380" s="15"/>
      <c r="J380" s="15"/>
      <c r="K380" s="15"/>
      <c r="L380" s="15"/>
      <c r="M380" s="15"/>
      <c r="N380" s="15"/>
      <c r="O380" s="9" t="s">
        <v>101</v>
      </c>
      <c r="P380" s="9" t="s">
        <v>101</v>
      </c>
      <c r="Q380" s="9" t="s">
        <v>101</v>
      </c>
      <c r="R380" s="9" t="s">
        <v>101</v>
      </c>
      <c r="S380" s="9" t="s">
        <v>101</v>
      </c>
      <c r="T380" s="9" t="s">
        <v>101</v>
      </c>
      <c r="U380" s="9" t="s">
        <v>101</v>
      </c>
      <c r="V380" s="15"/>
      <c r="W380" s="15"/>
      <c r="X380" s="15"/>
      <c r="Y380" s="15"/>
      <c r="Z380" s="15"/>
      <c r="AA380" s="15"/>
      <c r="AB380" s="15"/>
      <c r="AC380" s="15"/>
      <c r="AD380" s="15"/>
      <c r="AE380" s="19"/>
      <c r="AF380" s="19"/>
      <c r="AG380" s="7" t="s">
        <v>109</v>
      </c>
      <c r="AH380" s="13">
        <f>iferror(VLOOKUP($B380,covariates!$B$3:$Z$1126,6,FALSE),"")</f>
        <v>27.9</v>
      </c>
      <c r="AI380" s="13">
        <f>iferror(VLOOKUP($B380,covariates!$B$3:$Z$1126,7,FALSE),"")</f>
        <v>6.7</v>
      </c>
      <c r="AJ380" s="9">
        <f>iferror(VLOOKUP($B380,covariates!$B$3:$Z$1126,14,FALSE),"")</f>
        <v>31</v>
      </c>
      <c r="AK380" s="9">
        <f>iferror(VLOOKUP($B380,covariates!$B$3:$Z$1126,16,FALSE),"")</f>
        <v>31</v>
      </c>
      <c r="AL380" s="9">
        <f>iferror(VLOOKUP($B380,covariates!$B$3:$Z$1126,18,FALSE),"")</f>
        <v>30.3</v>
      </c>
      <c r="AM380" s="9">
        <f>iferror(VLOOKUP($B380,covariates!$B$3:$Z$1126,19,FALSE),"")</f>
        <v>2.5</v>
      </c>
    </row>
    <row r="381">
      <c r="A381" s="15">
        <v>12.0</v>
      </c>
      <c r="B381" s="17" t="str">
        <f t="shared" si="217"/>
        <v>Bi et al., 2018</v>
      </c>
      <c r="C381" s="9" t="s">
        <v>186</v>
      </c>
      <c r="D381" s="7" t="s">
        <v>385</v>
      </c>
      <c r="E381" s="9" t="s">
        <v>64</v>
      </c>
      <c r="F381" s="9">
        <v>62.0</v>
      </c>
      <c r="G381" s="20">
        <v>0.0</v>
      </c>
      <c r="H381" s="21">
        <f t="shared" si="213"/>
        <v>0.0635000635</v>
      </c>
      <c r="I381" s="15"/>
      <c r="J381" s="15"/>
      <c r="K381" s="15"/>
      <c r="L381" s="15"/>
      <c r="M381" s="15"/>
      <c r="N381" s="15"/>
      <c r="O381" s="9" t="s">
        <v>101</v>
      </c>
      <c r="P381" s="9" t="s">
        <v>101</v>
      </c>
      <c r="Q381" s="9" t="s">
        <v>101</v>
      </c>
      <c r="R381" s="9" t="s">
        <v>101</v>
      </c>
      <c r="S381" s="9" t="s">
        <v>101</v>
      </c>
      <c r="T381" s="9" t="s">
        <v>101</v>
      </c>
      <c r="U381" s="9" t="s">
        <v>101</v>
      </c>
      <c r="V381" s="19"/>
      <c r="W381" s="19"/>
      <c r="X381" s="19"/>
      <c r="Y381" s="19"/>
      <c r="Z381" s="19"/>
      <c r="AA381" s="19"/>
      <c r="AB381" s="19"/>
      <c r="AC381" s="19"/>
      <c r="AD381" s="19"/>
      <c r="AE381" s="19"/>
      <c r="AF381" s="19"/>
      <c r="AG381" s="7" t="s">
        <v>109</v>
      </c>
      <c r="AH381" s="13">
        <f>iferror(VLOOKUP($B381,covariates!$B$3:$Z$1126,6,FALSE),"")</f>
        <v>27.9</v>
      </c>
      <c r="AI381" s="13">
        <f>iferror(VLOOKUP($B381,covariates!$B$3:$Z$1126,7,FALSE),"")</f>
        <v>6.7</v>
      </c>
      <c r="AJ381" s="9">
        <f>iferror(VLOOKUP($B381,covariates!$B$3:$Z$1126,14,FALSE),"")</f>
        <v>31</v>
      </c>
      <c r="AK381" s="9">
        <f>iferror(VLOOKUP($B381,covariates!$B$3:$Z$1126,16,FALSE),"")</f>
        <v>31</v>
      </c>
      <c r="AL381" s="9">
        <f>iferror(VLOOKUP($B381,covariates!$B$3:$Z$1126,18,FALSE),"")</f>
        <v>30.3</v>
      </c>
      <c r="AM381" s="9">
        <f>iferror(VLOOKUP($B381,covariates!$B$3:$Z$1126,19,FALSE),"")</f>
        <v>2.5</v>
      </c>
    </row>
    <row r="382">
      <c r="A382" s="9">
        <v>13.0</v>
      </c>
      <c r="B382" s="17" t="str">
        <f t="shared" ref="B382:B383" si="218">HYPERLINK("https://github.com/d-wkim/phd/blob/main/data/pdf/björnsson_2016.pdf","Björnsson et al., 2016")</f>
        <v>Björnsson et al., 2016</v>
      </c>
      <c r="C382" s="9" t="s">
        <v>42</v>
      </c>
      <c r="D382" s="7" t="s">
        <v>385</v>
      </c>
      <c r="E382" s="9" t="s">
        <v>64</v>
      </c>
      <c r="F382" s="9">
        <v>61.0</v>
      </c>
      <c r="G382" s="20">
        <v>12.0</v>
      </c>
      <c r="H382" s="21">
        <f t="shared" si="213"/>
        <v>1.992410632</v>
      </c>
      <c r="I382" s="15"/>
      <c r="J382" s="15"/>
      <c r="K382" s="15"/>
      <c r="L382" s="15"/>
      <c r="M382" s="15"/>
      <c r="N382" s="15"/>
      <c r="O382" s="9" t="s">
        <v>101</v>
      </c>
      <c r="P382" s="9" t="s">
        <v>101</v>
      </c>
      <c r="Q382" s="9" t="s">
        <v>101</v>
      </c>
      <c r="R382" s="9" t="s">
        <v>101</v>
      </c>
      <c r="S382" s="9" t="s">
        <v>101</v>
      </c>
      <c r="T382" s="9" t="s">
        <v>101</v>
      </c>
      <c r="U382" s="9" t="s">
        <v>101</v>
      </c>
      <c r="V382" s="15"/>
      <c r="W382" s="15"/>
      <c r="X382" s="15"/>
      <c r="Y382" s="15"/>
      <c r="Z382" s="15"/>
      <c r="AA382" s="15"/>
      <c r="AB382" s="15"/>
      <c r="AC382" s="15"/>
      <c r="AD382" s="15"/>
      <c r="AE382" s="19"/>
      <c r="AF382" s="19"/>
      <c r="AG382" s="7" t="s">
        <v>109</v>
      </c>
      <c r="AH382" s="13">
        <f>iferror(VLOOKUP($B382,covariates!$B$3:$Z$1126,6,FALSE),"")</f>
        <v>28.2</v>
      </c>
      <c r="AI382" s="13">
        <f>iferror(VLOOKUP($B382,covariates!$B$3:$Z$1126,7,FALSE),"")</f>
        <v>9.1</v>
      </c>
      <c r="AJ382" s="9">
        <f>iferror(VLOOKUP($B382,covariates!$B$3:$Z$1126,14,FALSE),"")</f>
        <v>42</v>
      </c>
      <c r="AK382" s="9">
        <f>iferror(VLOOKUP($B382,covariates!$B$3:$Z$1126,16,FALSE),"")</f>
        <v>19</v>
      </c>
      <c r="AL382" s="9">
        <f>iferror(VLOOKUP($B382,covariates!$B$3:$Z$1126,18,FALSE),"")</f>
        <v>202.6</v>
      </c>
      <c r="AM382" s="9">
        <f>iferror(VLOOKUP($B382,covariates!$B$3:$Z$1126,19,FALSE),"")</f>
        <v>16.9</v>
      </c>
    </row>
    <row r="383">
      <c r="A383" s="9">
        <v>13.0</v>
      </c>
      <c r="B383" s="17" t="str">
        <f t="shared" si="218"/>
        <v>Björnsson et al., 2016</v>
      </c>
      <c r="C383" s="9" t="s">
        <v>84</v>
      </c>
      <c r="D383" s="7" t="s">
        <v>385</v>
      </c>
      <c r="E383" s="9" t="s">
        <v>64</v>
      </c>
      <c r="F383" s="9">
        <v>86.0</v>
      </c>
      <c r="G383" s="20">
        <v>13.0</v>
      </c>
      <c r="H383" s="21">
        <f t="shared" si="213"/>
        <v>1.714984242</v>
      </c>
      <c r="I383" s="15"/>
      <c r="J383" s="15"/>
      <c r="K383" s="15"/>
      <c r="L383" s="15"/>
      <c r="M383" s="15"/>
      <c r="N383" s="15"/>
      <c r="O383" s="9" t="s">
        <v>101</v>
      </c>
      <c r="P383" s="9" t="s">
        <v>101</v>
      </c>
      <c r="Q383" s="9" t="s">
        <v>101</v>
      </c>
      <c r="R383" s="9" t="s">
        <v>101</v>
      </c>
      <c r="S383" s="9" t="s">
        <v>101</v>
      </c>
      <c r="T383" s="9" t="s">
        <v>101</v>
      </c>
      <c r="U383" s="9" t="s">
        <v>101</v>
      </c>
      <c r="V383" s="15"/>
      <c r="W383" s="15"/>
      <c r="X383" s="15"/>
      <c r="Y383" s="15"/>
      <c r="Z383" s="15"/>
      <c r="AA383" s="15"/>
      <c r="AB383" s="15"/>
      <c r="AC383" s="15"/>
      <c r="AD383" s="15"/>
      <c r="AE383" s="19"/>
      <c r="AF383" s="19"/>
      <c r="AG383" s="7" t="s">
        <v>109</v>
      </c>
      <c r="AH383" s="13">
        <f>iferror(VLOOKUP($B383,covariates!$B$3:$Z$1126,6,FALSE),"")</f>
        <v>28.2</v>
      </c>
      <c r="AI383" s="13">
        <f>iferror(VLOOKUP($B383,covariates!$B$3:$Z$1126,7,FALSE),"")</f>
        <v>9.1</v>
      </c>
      <c r="AJ383" s="9">
        <f>iferror(VLOOKUP($B383,covariates!$B$3:$Z$1126,14,FALSE),"")</f>
        <v>42</v>
      </c>
      <c r="AK383" s="9">
        <f>iferror(VLOOKUP($B383,covariates!$B$3:$Z$1126,16,FALSE),"")</f>
        <v>19</v>
      </c>
      <c r="AL383" s="9">
        <f>iferror(VLOOKUP($B383,covariates!$B$3:$Z$1126,18,FALSE),"")</f>
        <v>202.6</v>
      </c>
      <c r="AM383" s="9">
        <f>iferror(VLOOKUP($B383,covariates!$B$3:$Z$1126,19,FALSE),"")</f>
        <v>16.9</v>
      </c>
    </row>
    <row r="384">
      <c r="A384" s="15">
        <v>18.0</v>
      </c>
      <c r="B384" s="17" t="str">
        <f t="shared" ref="B384:B385" si="219">HYPERLINK("https://github.com/d-wkim/phd/blob/main/data/pdf/butt_2024.pdf","Butt et al., 2024")</f>
        <v>Butt et al., 2024</v>
      </c>
      <c r="C384" s="7" t="s">
        <v>84</v>
      </c>
      <c r="D384" s="7" t="s">
        <v>385</v>
      </c>
      <c r="E384" s="9" t="s">
        <v>64</v>
      </c>
      <c r="F384" s="9"/>
      <c r="G384" s="27"/>
      <c r="H384" s="21" t="str">
        <f t="shared" si="213"/>
        <v/>
      </c>
      <c r="I384" s="15"/>
      <c r="J384" s="15"/>
      <c r="K384" s="15"/>
      <c r="L384" s="15"/>
      <c r="M384" s="15"/>
      <c r="N384" s="15"/>
      <c r="O384" s="9" t="s">
        <v>101</v>
      </c>
      <c r="P384" s="9" t="s">
        <v>101</v>
      </c>
      <c r="Q384" s="9" t="s">
        <v>101</v>
      </c>
      <c r="R384" s="9" t="s">
        <v>101</v>
      </c>
      <c r="S384" s="9" t="s">
        <v>101</v>
      </c>
      <c r="T384" s="9" t="s">
        <v>101</v>
      </c>
      <c r="U384" s="9" t="s">
        <v>101</v>
      </c>
      <c r="V384" s="15"/>
      <c r="W384" s="15"/>
      <c r="X384" s="15"/>
      <c r="Y384" s="15"/>
      <c r="Z384" s="15"/>
      <c r="AA384" s="15"/>
      <c r="AB384" s="15"/>
      <c r="AC384" s="15"/>
      <c r="AD384" s="15"/>
      <c r="AE384" s="19"/>
      <c r="AF384" s="19"/>
      <c r="AG384" s="7" t="s">
        <v>174</v>
      </c>
      <c r="AH384" s="13">
        <f>iferror(VLOOKUP($B384,covariates!$B$3:$Z$1126,6,FALSE),"")</f>
        <v>29.17</v>
      </c>
      <c r="AI384" s="13">
        <f>iferror(VLOOKUP($B384,covariates!$B$3:$Z$1126,7,FALSE),"")</f>
        <v>5.03</v>
      </c>
      <c r="AJ384" s="9">
        <f>iferror(VLOOKUP($B384,covariates!$B$3:$Z$1126,14,FALSE),"")</f>
        <v>29</v>
      </c>
      <c r="AK384" s="9">
        <f>iferror(VLOOKUP($B384,covariates!$B$3:$Z$1126,16,FALSE),"")</f>
        <v>1</v>
      </c>
      <c r="AL384" s="9">
        <f>iferror(VLOOKUP($B384,covariates!$B$3:$Z$1126,18,FALSE),"")</f>
        <v>60</v>
      </c>
      <c r="AM384" s="9">
        <f>iferror(VLOOKUP($B384,covariates!$B$3:$Z$1126,19,FALSE),"")</f>
        <v>5</v>
      </c>
    </row>
    <row r="385">
      <c r="A385" s="15">
        <v>18.0</v>
      </c>
      <c r="B385" s="17" t="str">
        <f t="shared" si="219"/>
        <v>Butt et al., 2024</v>
      </c>
      <c r="C385" s="7" t="s">
        <v>186</v>
      </c>
      <c r="D385" s="7" t="s">
        <v>385</v>
      </c>
      <c r="E385" s="9" t="s">
        <v>64</v>
      </c>
      <c r="F385" s="9"/>
      <c r="G385" s="27"/>
      <c r="H385" s="21" t="str">
        <f t="shared" si="213"/>
        <v/>
      </c>
      <c r="I385" s="15"/>
      <c r="J385" s="15"/>
      <c r="K385" s="15"/>
      <c r="L385" s="15"/>
      <c r="M385" s="15"/>
      <c r="N385" s="15"/>
      <c r="O385" s="9" t="s">
        <v>101</v>
      </c>
      <c r="P385" s="9" t="s">
        <v>101</v>
      </c>
      <c r="Q385" s="9" t="s">
        <v>101</v>
      </c>
      <c r="R385" s="9" t="s">
        <v>101</v>
      </c>
      <c r="S385" s="9" t="s">
        <v>101</v>
      </c>
      <c r="T385" s="9" t="s">
        <v>101</v>
      </c>
      <c r="U385" s="9" t="s">
        <v>101</v>
      </c>
      <c r="V385" s="19"/>
      <c r="W385" s="19"/>
      <c r="X385" s="19"/>
      <c r="Y385" s="19"/>
      <c r="Z385" s="19"/>
      <c r="AA385" s="19"/>
      <c r="AB385" s="19"/>
      <c r="AC385" s="19"/>
      <c r="AD385" s="19"/>
      <c r="AE385" s="19"/>
      <c r="AF385" s="19"/>
      <c r="AG385" s="7" t="s">
        <v>174</v>
      </c>
      <c r="AH385" s="13">
        <f>iferror(VLOOKUP($B385,covariates!$B$3:$Z$1126,6,FALSE),"")</f>
        <v>29.17</v>
      </c>
      <c r="AI385" s="13">
        <f>iferror(VLOOKUP($B385,covariates!$B$3:$Z$1126,7,FALSE),"")</f>
        <v>5.03</v>
      </c>
      <c r="AJ385" s="9">
        <f>iferror(VLOOKUP($B385,covariates!$B$3:$Z$1126,14,FALSE),"")</f>
        <v>29</v>
      </c>
      <c r="AK385" s="9">
        <f>iferror(VLOOKUP($B385,covariates!$B$3:$Z$1126,16,FALSE),"")</f>
        <v>1</v>
      </c>
      <c r="AL385" s="9">
        <f>iferror(VLOOKUP($B385,covariates!$B$3:$Z$1126,18,FALSE),"")</f>
        <v>60</v>
      </c>
      <c r="AM385" s="9">
        <f>iferror(VLOOKUP($B385,covariates!$B$3:$Z$1126,19,FALSE),"")</f>
        <v>5</v>
      </c>
    </row>
    <row r="386">
      <c r="A386" s="15">
        <v>25.0</v>
      </c>
      <c r="B386" s="17" t="str">
        <f t="shared" ref="B386:B387" si="220">HYPERLINK("https://github.com/d-wkim/phd/blob/main/data/pdf/eriksson_2006.pdf","Eriksson et al., 2001")</f>
        <v>Eriksson et al., 2001</v>
      </c>
      <c r="C386" s="9" t="s">
        <v>42</v>
      </c>
      <c r="D386" s="7" t="s">
        <v>385</v>
      </c>
      <c r="E386" s="9" t="s">
        <v>64</v>
      </c>
      <c r="F386" s="9">
        <v>42.0</v>
      </c>
      <c r="G386" s="20">
        <v>2.0</v>
      </c>
      <c r="H386" s="21">
        <f t="shared" si="213"/>
        <v>0.4050462937</v>
      </c>
      <c r="I386" s="15"/>
      <c r="J386" s="15"/>
      <c r="K386" s="15"/>
      <c r="L386" s="15"/>
      <c r="M386" s="15"/>
      <c r="N386" s="15"/>
      <c r="O386" s="9" t="s">
        <v>101</v>
      </c>
      <c r="P386" s="9" t="s">
        <v>101</v>
      </c>
      <c r="Q386" s="9" t="s">
        <v>101</v>
      </c>
      <c r="R386" s="9" t="s">
        <v>101</v>
      </c>
      <c r="S386" s="9" t="s">
        <v>101</v>
      </c>
      <c r="T386" s="9" t="s">
        <v>101</v>
      </c>
      <c r="U386" s="9" t="s">
        <v>101</v>
      </c>
      <c r="V386" s="15"/>
      <c r="W386" s="15"/>
      <c r="X386" s="15"/>
      <c r="Y386" s="15"/>
      <c r="Z386" s="15"/>
      <c r="AA386" s="15"/>
      <c r="AB386" s="15"/>
      <c r="AC386" s="15"/>
      <c r="AD386" s="15"/>
      <c r="AE386" s="19"/>
      <c r="AF386" s="19"/>
      <c r="AG386" s="7" t="s">
        <v>109</v>
      </c>
      <c r="AH386" s="13">
        <f>iferror(VLOOKUP($B386,covariates!$B$3:$Z$1126,6,FALSE),"")</f>
        <v>27</v>
      </c>
      <c r="AI386" s="13">
        <f>iferror(VLOOKUP($B386,covariates!$B$3:$Z$1126,7,FALSE),"")</f>
        <v>6</v>
      </c>
      <c r="AJ386" s="9" t="str">
        <f>iferror(VLOOKUP($B386,covariates!$B$3:$Z$1126,14,FALSE),"")</f>
        <v/>
      </c>
      <c r="AK386" s="9" t="str">
        <f>iferror(VLOOKUP($B386,covariates!$B$3:$Z$1126,16,FALSE),"")</f>
        <v/>
      </c>
      <c r="AL386" s="9">
        <f>iferror(VLOOKUP($B386,covariates!$B$3:$Z$1126,18,FALSE),"")</f>
        <v>6.7</v>
      </c>
      <c r="AM386" s="9">
        <f>iferror(VLOOKUP($B386,covariates!$B$3:$Z$1126,19,FALSE),"")</f>
        <v>0.6</v>
      </c>
    </row>
    <row r="387">
      <c r="A387" s="15">
        <v>25.0</v>
      </c>
      <c r="B387" s="17" t="str">
        <f t="shared" si="220"/>
        <v>Eriksson et al., 2001</v>
      </c>
      <c r="C387" s="9" t="s">
        <v>84</v>
      </c>
      <c r="D387" s="7" t="s">
        <v>385</v>
      </c>
      <c r="E387" s="9" t="s">
        <v>64</v>
      </c>
      <c r="F387" s="9">
        <v>47.0</v>
      </c>
      <c r="G387" s="20">
        <v>9.0</v>
      </c>
      <c r="H387" s="21">
        <f t="shared" si="213"/>
        <v>1.71391365</v>
      </c>
      <c r="I387" s="15"/>
      <c r="J387" s="15"/>
      <c r="K387" s="15"/>
      <c r="L387" s="15"/>
      <c r="M387" s="15"/>
      <c r="N387" s="15"/>
      <c r="O387" s="9" t="s">
        <v>101</v>
      </c>
      <c r="P387" s="9" t="s">
        <v>101</v>
      </c>
      <c r="Q387" s="9" t="s">
        <v>101</v>
      </c>
      <c r="R387" s="9" t="s">
        <v>101</v>
      </c>
      <c r="S387" s="9" t="s">
        <v>101</v>
      </c>
      <c r="T387" s="9" t="s">
        <v>101</v>
      </c>
      <c r="U387" s="9" t="s">
        <v>101</v>
      </c>
      <c r="V387" s="15"/>
      <c r="W387" s="15"/>
      <c r="X387" s="15"/>
      <c r="Y387" s="15"/>
      <c r="Z387" s="15"/>
      <c r="AA387" s="15"/>
      <c r="AB387" s="15"/>
      <c r="AC387" s="15"/>
      <c r="AD387" s="15"/>
      <c r="AE387" s="19"/>
      <c r="AF387" s="19"/>
      <c r="AG387" s="7" t="s">
        <v>109</v>
      </c>
      <c r="AH387" s="13">
        <f>iferror(VLOOKUP($B387,covariates!$B$3:$Z$1126,6,FALSE),"")</f>
        <v>27</v>
      </c>
      <c r="AI387" s="13">
        <f>iferror(VLOOKUP($B387,covariates!$B$3:$Z$1126,7,FALSE),"")</f>
        <v>6</v>
      </c>
      <c r="AJ387" s="9" t="str">
        <f>iferror(VLOOKUP($B387,covariates!$B$3:$Z$1126,14,FALSE),"")</f>
        <v/>
      </c>
      <c r="AK387" s="9" t="str">
        <f>iferror(VLOOKUP($B387,covariates!$B$3:$Z$1126,16,FALSE),"")</f>
        <v/>
      </c>
      <c r="AL387" s="9">
        <f>iferror(VLOOKUP($B387,covariates!$B$3:$Z$1126,18,FALSE),"")</f>
        <v>6.7</v>
      </c>
      <c r="AM387" s="9">
        <f>iferror(VLOOKUP($B387,covariates!$B$3:$Z$1126,19,FALSE),"")</f>
        <v>0.6</v>
      </c>
    </row>
    <row r="388">
      <c r="A388" s="15">
        <v>26.0</v>
      </c>
      <c r="B388" s="17" t="str">
        <f t="shared" ref="B388:B389" si="221">HYPERLINK("https://github.com/d-wkim/phd/blob/main/data/pdf/feller_webster_2003.pdf","Feller &amp; Webster, 2003")</f>
        <v>Feller &amp; Webster, 2003</v>
      </c>
      <c r="C388" s="9" t="s">
        <v>42</v>
      </c>
      <c r="D388" s="7" t="s">
        <v>385</v>
      </c>
      <c r="E388" s="9" t="s">
        <v>64</v>
      </c>
      <c r="F388" s="9">
        <v>27.0</v>
      </c>
      <c r="G388" s="20">
        <v>0.0</v>
      </c>
      <c r="H388" s="21">
        <f t="shared" si="213"/>
        <v>0.09622504486</v>
      </c>
      <c r="I388" s="15"/>
      <c r="J388" s="15"/>
      <c r="K388" s="15"/>
      <c r="L388" s="15"/>
      <c r="M388" s="15"/>
      <c r="N388" s="15"/>
      <c r="O388" s="9" t="s">
        <v>101</v>
      </c>
      <c r="P388" s="9" t="s">
        <v>101</v>
      </c>
      <c r="Q388" s="9" t="s">
        <v>101</v>
      </c>
      <c r="R388" s="9" t="s">
        <v>101</v>
      </c>
      <c r="S388" s="9" t="s">
        <v>101</v>
      </c>
      <c r="T388" s="9" t="s">
        <v>101</v>
      </c>
      <c r="U388" s="9" t="s">
        <v>101</v>
      </c>
      <c r="V388" s="15"/>
      <c r="W388" s="15"/>
      <c r="X388" s="15"/>
      <c r="Y388" s="15"/>
      <c r="Z388" s="15"/>
      <c r="AA388" s="15"/>
      <c r="AB388" s="15"/>
      <c r="AC388" s="15"/>
      <c r="AD388" s="15"/>
      <c r="AE388" s="19"/>
      <c r="AF388" s="19"/>
      <c r="AG388" s="7" t="s">
        <v>109</v>
      </c>
      <c r="AH388" s="13">
        <f>iferror(VLOOKUP($B388,covariates!$B$3:$Z$1126,6,FALSE),"")</f>
        <v>25.8</v>
      </c>
      <c r="AI388" s="13">
        <f>iferror(VLOOKUP($B388,covariates!$B$3:$Z$1126,7,FALSE),"")</f>
        <v>6</v>
      </c>
      <c r="AJ388" s="9">
        <f>iferror(VLOOKUP($B388,covariates!$B$3:$Z$1126,14,FALSE),"")</f>
        <v>23</v>
      </c>
      <c r="AK388" s="9">
        <f>iferror(VLOOKUP($B388,covariates!$B$3:$Z$1126,16,FALSE),"")</f>
        <v>8</v>
      </c>
      <c r="AL388" s="9">
        <f>iferror(VLOOKUP($B388,covariates!$B$3:$Z$1126,18,FALSE),"")</f>
        <v>36</v>
      </c>
      <c r="AM388" s="9">
        <f>iferror(VLOOKUP($B388,covariates!$B$3:$Z$1126,19,FALSE),"")</f>
        <v>3</v>
      </c>
    </row>
    <row r="389">
      <c r="A389" s="15">
        <v>26.0</v>
      </c>
      <c r="B389" s="17" t="str">
        <f t="shared" si="221"/>
        <v>Feller &amp; Webster, 2003</v>
      </c>
      <c r="C389" s="9" t="s">
        <v>84</v>
      </c>
      <c r="D389" s="7" t="s">
        <v>385</v>
      </c>
      <c r="E389" s="9" t="s">
        <v>64</v>
      </c>
      <c r="F389" s="9">
        <v>21.0</v>
      </c>
      <c r="G389" s="20">
        <v>5.0</v>
      </c>
      <c r="H389" s="21">
        <f t="shared" si="213"/>
        <v>1.575260395</v>
      </c>
      <c r="I389" s="15"/>
      <c r="J389" s="15"/>
      <c r="K389" s="15"/>
      <c r="L389" s="15"/>
      <c r="M389" s="15"/>
      <c r="N389" s="15"/>
      <c r="O389" s="9" t="s">
        <v>101</v>
      </c>
      <c r="P389" s="9" t="s">
        <v>101</v>
      </c>
      <c r="Q389" s="9" t="s">
        <v>101</v>
      </c>
      <c r="R389" s="9" t="s">
        <v>101</v>
      </c>
      <c r="S389" s="9" t="s">
        <v>101</v>
      </c>
      <c r="T389" s="9" t="s">
        <v>101</v>
      </c>
      <c r="U389" s="9" t="s">
        <v>101</v>
      </c>
      <c r="V389" s="15"/>
      <c r="W389" s="15"/>
      <c r="X389" s="15"/>
      <c r="Y389" s="15"/>
      <c r="Z389" s="15"/>
      <c r="AA389" s="15"/>
      <c r="AB389" s="15"/>
      <c r="AC389" s="15"/>
      <c r="AD389" s="15"/>
      <c r="AE389" s="19"/>
      <c r="AF389" s="19"/>
      <c r="AG389" s="7" t="s">
        <v>109</v>
      </c>
      <c r="AH389" s="13">
        <f>iferror(VLOOKUP($B389,covariates!$B$3:$Z$1126,6,FALSE),"")</f>
        <v>25.8</v>
      </c>
      <c r="AI389" s="13">
        <f>iferror(VLOOKUP($B389,covariates!$B$3:$Z$1126,7,FALSE),"")</f>
        <v>6</v>
      </c>
      <c r="AJ389" s="9">
        <f>iferror(VLOOKUP($B389,covariates!$B$3:$Z$1126,14,FALSE),"")</f>
        <v>23</v>
      </c>
      <c r="AK389" s="9">
        <f>iferror(VLOOKUP($B389,covariates!$B$3:$Z$1126,16,FALSE),"")</f>
        <v>8</v>
      </c>
      <c r="AL389" s="9">
        <f>iferror(VLOOKUP($B389,covariates!$B$3:$Z$1126,18,FALSE),"")</f>
        <v>36</v>
      </c>
      <c r="AM389" s="9">
        <f>iferror(VLOOKUP($B389,covariates!$B$3:$Z$1126,19,FALSE),"")</f>
        <v>3</v>
      </c>
    </row>
    <row r="390">
      <c r="A390" s="15">
        <v>32.0</v>
      </c>
      <c r="B390" s="17" t="str">
        <f t="shared" ref="B390:B391" si="222">HYPERLINK("https://github.com/d-wkim/phd/blob/main/data/pdf/guglielmetti_2021.pdf","Guglielmetti et al., 2021")</f>
        <v>Guglielmetti et al., 2021</v>
      </c>
      <c r="C390" s="9" t="s">
        <v>42</v>
      </c>
      <c r="D390" s="7" t="s">
        <v>385</v>
      </c>
      <c r="E390" s="9" t="s">
        <v>64</v>
      </c>
      <c r="F390" s="9">
        <v>31.0</v>
      </c>
      <c r="G390" s="20">
        <v>2.0</v>
      </c>
      <c r="H390" s="21">
        <f t="shared" si="213"/>
        <v>0.4799796865</v>
      </c>
      <c r="I390" s="15"/>
      <c r="J390" s="15"/>
      <c r="K390" s="15"/>
      <c r="L390" s="15"/>
      <c r="M390" s="15"/>
      <c r="N390" s="15"/>
      <c r="O390" s="9" t="s">
        <v>101</v>
      </c>
      <c r="P390" s="9" t="s">
        <v>101</v>
      </c>
      <c r="Q390" s="9" t="s">
        <v>101</v>
      </c>
      <c r="R390" s="9" t="s">
        <v>101</v>
      </c>
      <c r="S390" s="9" t="s">
        <v>101</v>
      </c>
      <c r="T390" s="9" t="s">
        <v>101</v>
      </c>
      <c r="U390" s="9" t="s">
        <v>101</v>
      </c>
      <c r="V390" s="15"/>
      <c r="W390" s="15"/>
      <c r="X390" s="15"/>
      <c r="Y390" s="15"/>
      <c r="Z390" s="15"/>
      <c r="AA390" s="15"/>
      <c r="AB390" s="15"/>
      <c r="AC390" s="15"/>
      <c r="AD390" s="15"/>
      <c r="AE390" s="19"/>
      <c r="AF390" s="19"/>
      <c r="AG390" s="7" t="s">
        <v>109</v>
      </c>
      <c r="AH390" s="13">
        <f>iferror(VLOOKUP($B390,covariates!$B$3:$Z$1126,6,FALSE),"")</f>
        <v>25.2</v>
      </c>
      <c r="AI390" s="13">
        <f>iferror(VLOOKUP($B390,covariates!$B$3:$Z$1126,7,FALSE),"")</f>
        <v>5.48</v>
      </c>
      <c r="AJ390" s="9">
        <f>iferror(VLOOKUP($B390,covariates!$B$3:$Z$1126,14,FALSE),"")</f>
        <v>23</v>
      </c>
      <c r="AK390" s="9">
        <f>iferror(VLOOKUP($B390,covariates!$B$3:$Z$1126,16,FALSE),"")</f>
        <v>8</v>
      </c>
      <c r="AL390" s="9">
        <f>iferror(VLOOKUP($B390,covariates!$B$3:$Z$1126,18,FALSE),"")</f>
        <v>24</v>
      </c>
      <c r="AM390" s="9">
        <f>iferror(VLOOKUP($B390,covariates!$B$3:$Z$1126,19,FALSE),"")</f>
        <v>2</v>
      </c>
    </row>
    <row r="391">
      <c r="A391" s="15">
        <v>32.0</v>
      </c>
      <c r="B391" s="17" t="str">
        <f t="shared" si="222"/>
        <v>Guglielmetti et al., 2021</v>
      </c>
      <c r="C391" s="9" t="s">
        <v>84</v>
      </c>
      <c r="D391" s="7" t="s">
        <v>385</v>
      </c>
      <c r="E391" s="9" t="s">
        <v>64</v>
      </c>
      <c r="F391" s="9">
        <v>31.0</v>
      </c>
      <c r="G391" s="20">
        <v>3.0</v>
      </c>
      <c r="H391" s="21">
        <f t="shared" si="213"/>
        <v>0.6959705454</v>
      </c>
      <c r="I391" s="15"/>
      <c r="J391" s="15"/>
      <c r="K391" s="15"/>
      <c r="L391" s="15"/>
      <c r="M391" s="15"/>
      <c r="N391" s="15"/>
      <c r="O391" s="9" t="s">
        <v>101</v>
      </c>
      <c r="P391" s="9" t="s">
        <v>101</v>
      </c>
      <c r="Q391" s="9" t="s">
        <v>101</v>
      </c>
      <c r="R391" s="9" t="s">
        <v>101</v>
      </c>
      <c r="S391" s="9" t="s">
        <v>101</v>
      </c>
      <c r="T391" s="9" t="s">
        <v>101</v>
      </c>
      <c r="U391" s="9" t="s">
        <v>101</v>
      </c>
      <c r="V391" s="15"/>
      <c r="W391" s="15"/>
      <c r="X391" s="15"/>
      <c r="Y391" s="15"/>
      <c r="Z391" s="15"/>
      <c r="AA391" s="15"/>
      <c r="AB391" s="15"/>
      <c r="AC391" s="15"/>
      <c r="AD391" s="15"/>
      <c r="AE391" s="19"/>
      <c r="AF391" s="19"/>
      <c r="AG391" s="7" t="s">
        <v>109</v>
      </c>
      <c r="AH391" s="13">
        <f>iferror(VLOOKUP($B391,covariates!$B$3:$Z$1126,6,FALSE),"")</f>
        <v>25.2</v>
      </c>
      <c r="AI391" s="13">
        <f>iferror(VLOOKUP($B391,covariates!$B$3:$Z$1126,7,FALSE),"")</f>
        <v>5.48</v>
      </c>
      <c r="AJ391" s="9">
        <f>iferror(VLOOKUP($B391,covariates!$B$3:$Z$1126,14,FALSE),"")</f>
        <v>23</v>
      </c>
      <c r="AK391" s="9">
        <f>iferror(VLOOKUP($B391,covariates!$B$3:$Z$1126,16,FALSE),"")</f>
        <v>8</v>
      </c>
      <c r="AL391" s="9">
        <f>iferror(VLOOKUP($B391,covariates!$B$3:$Z$1126,18,FALSE),"")</f>
        <v>24</v>
      </c>
      <c r="AM391" s="9">
        <f>iferror(VLOOKUP($B391,covariates!$B$3:$Z$1126,19,FALSE),"")</f>
        <v>2</v>
      </c>
    </row>
    <row r="392">
      <c r="A392" s="15">
        <v>33.0</v>
      </c>
      <c r="B392" s="17" t="str">
        <f t="shared" ref="B392:B393" si="223">HYPERLINK("https://github.com/d-wkim/phd/blob/main/data/pdf/harilainen_2006.pdf","Harilainen et al., 2006")</f>
        <v>Harilainen et al., 2006</v>
      </c>
      <c r="C392" s="9" t="s">
        <v>42</v>
      </c>
      <c r="D392" s="7" t="s">
        <v>385</v>
      </c>
      <c r="E392" s="9" t="s">
        <v>64</v>
      </c>
      <c r="F392" s="9">
        <v>37.0</v>
      </c>
      <c r="G392" s="20">
        <v>0.0</v>
      </c>
      <c r="H392" s="21">
        <f t="shared" si="213"/>
        <v>0.08219949365</v>
      </c>
      <c r="I392" s="15"/>
      <c r="J392" s="15"/>
      <c r="K392" s="15"/>
      <c r="L392" s="15"/>
      <c r="M392" s="15"/>
      <c r="N392" s="15"/>
      <c r="O392" s="9" t="s">
        <v>101</v>
      </c>
      <c r="P392" s="9" t="s">
        <v>101</v>
      </c>
      <c r="Q392" s="9" t="s">
        <v>101</v>
      </c>
      <c r="R392" s="9" t="s">
        <v>101</v>
      </c>
      <c r="S392" s="9" t="s">
        <v>101</v>
      </c>
      <c r="T392" s="9" t="s">
        <v>101</v>
      </c>
      <c r="U392" s="9" t="s">
        <v>101</v>
      </c>
      <c r="V392" s="15"/>
      <c r="W392" s="15"/>
      <c r="X392" s="15"/>
      <c r="Y392" s="15"/>
      <c r="Z392" s="15"/>
      <c r="AA392" s="15"/>
      <c r="AB392" s="15"/>
      <c r="AC392" s="15"/>
      <c r="AD392" s="15"/>
      <c r="AE392" s="19"/>
      <c r="AF392" s="19"/>
      <c r="AG392" s="7" t="s">
        <v>109</v>
      </c>
      <c r="AH392" s="13" t="str">
        <f>iferror(VLOOKUP($B392,covariates!$B$3:$Z$1126,6,FALSE),"")</f>
        <v/>
      </c>
      <c r="AI392" s="13" t="str">
        <f>iferror(VLOOKUP($B392,covariates!$B$3:$Z$1126,7,FALSE),"")</f>
        <v/>
      </c>
      <c r="AJ392" s="9" t="str">
        <f>iferror(VLOOKUP($B392,covariates!$B$3:$Z$1126,14,FALSE),"")</f>
        <v/>
      </c>
      <c r="AK392" s="9" t="str">
        <f>iferror(VLOOKUP($B392,covariates!$B$3:$Z$1126,16,FALSE),"")</f>
        <v/>
      </c>
      <c r="AL392" s="9">
        <f>iferror(VLOOKUP($B392,covariates!$B$3:$Z$1126,18,FALSE),"")</f>
        <v>60.6</v>
      </c>
      <c r="AM392" s="9">
        <f>iferror(VLOOKUP($B392,covariates!$B$3:$Z$1126,19,FALSE),"")</f>
        <v>5.1</v>
      </c>
    </row>
    <row r="393">
      <c r="A393" s="15">
        <v>33.0</v>
      </c>
      <c r="B393" s="17" t="str">
        <f t="shared" si="223"/>
        <v>Harilainen et al., 2006</v>
      </c>
      <c r="C393" s="9" t="s">
        <v>84</v>
      </c>
      <c r="D393" s="7" t="s">
        <v>385</v>
      </c>
      <c r="E393" s="9" t="s">
        <v>64</v>
      </c>
      <c r="F393" s="9">
        <v>37.0</v>
      </c>
      <c r="G393" s="20">
        <v>1.0</v>
      </c>
      <c r="H393" s="21">
        <f t="shared" si="213"/>
        <v>0.2534484388</v>
      </c>
      <c r="I393" s="15"/>
      <c r="J393" s="15"/>
      <c r="K393" s="15"/>
      <c r="L393" s="15"/>
      <c r="M393" s="15"/>
      <c r="N393" s="15"/>
      <c r="O393" s="9" t="s">
        <v>101</v>
      </c>
      <c r="P393" s="9" t="s">
        <v>101</v>
      </c>
      <c r="Q393" s="9" t="s">
        <v>101</v>
      </c>
      <c r="R393" s="9" t="s">
        <v>101</v>
      </c>
      <c r="S393" s="9" t="s">
        <v>101</v>
      </c>
      <c r="T393" s="9" t="s">
        <v>101</v>
      </c>
      <c r="U393" s="9" t="s">
        <v>101</v>
      </c>
      <c r="V393" s="15"/>
      <c r="W393" s="15"/>
      <c r="X393" s="15"/>
      <c r="Y393" s="15"/>
      <c r="Z393" s="15"/>
      <c r="AA393" s="15"/>
      <c r="AB393" s="15"/>
      <c r="AC393" s="15"/>
      <c r="AD393" s="15"/>
      <c r="AE393" s="19"/>
      <c r="AF393" s="19"/>
      <c r="AG393" s="7" t="s">
        <v>109</v>
      </c>
      <c r="AH393" s="13" t="str">
        <f>iferror(VLOOKUP($B393,covariates!$B$3:$Z$1126,6,FALSE),"")</f>
        <v/>
      </c>
      <c r="AI393" s="13" t="str">
        <f>iferror(VLOOKUP($B393,covariates!$B$3:$Z$1126,7,FALSE),"")</f>
        <v/>
      </c>
      <c r="AJ393" s="9" t="str">
        <f>iferror(VLOOKUP($B393,covariates!$B$3:$Z$1126,14,FALSE),"")</f>
        <v/>
      </c>
      <c r="AK393" s="9" t="str">
        <f>iferror(VLOOKUP($B393,covariates!$B$3:$Z$1126,16,FALSE),"")</f>
        <v/>
      </c>
      <c r="AL393" s="9">
        <f>iferror(VLOOKUP($B393,covariates!$B$3:$Z$1126,18,FALSE),"")</f>
        <v>60.6</v>
      </c>
      <c r="AM393" s="9">
        <f>iferror(VLOOKUP($B393,covariates!$B$3:$Z$1126,19,FALSE),"")</f>
        <v>5.1</v>
      </c>
    </row>
    <row r="394">
      <c r="A394" s="15">
        <v>34.0</v>
      </c>
      <c r="B394" s="17" t="str">
        <f t="shared" ref="B394:B395" si="224">HYPERLINK("https://github.com/d-wkim/phd/blob/main/data/pdf/heijne_werner_2010.pdf","Heijne &amp; Werner, 2010")</f>
        <v>Heijne &amp; Werner, 2010</v>
      </c>
      <c r="C394" s="9" t="s">
        <v>42</v>
      </c>
      <c r="D394" s="7" t="s">
        <v>385</v>
      </c>
      <c r="E394" s="9" t="s">
        <v>64</v>
      </c>
      <c r="F394" s="9">
        <v>30.0</v>
      </c>
      <c r="G394" s="20">
        <v>3.0</v>
      </c>
      <c r="H394" s="21">
        <f t="shared" si="213"/>
        <v>0.7100107227</v>
      </c>
      <c r="I394" s="15"/>
      <c r="J394" s="15"/>
      <c r="K394" s="15"/>
      <c r="L394" s="15"/>
      <c r="M394" s="15"/>
      <c r="N394" s="15"/>
      <c r="O394" s="9" t="s">
        <v>101</v>
      </c>
      <c r="P394" s="9" t="s">
        <v>101</v>
      </c>
      <c r="Q394" s="9" t="s">
        <v>101</v>
      </c>
      <c r="R394" s="9" t="s">
        <v>101</v>
      </c>
      <c r="S394" s="9" t="s">
        <v>101</v>
      </c>
      <c r="T394" s="9" t="s">
        <v>101</v>
      </c>
      <c r="U394" s="9" t="s">
        <v>101</v>
      </c>
      <c r="V394" s="15"/>
      <c r="W394" s="15"/>
      <c r="X394" s="15"/>
      <c r="Y394" s="15"/>
      <c r="Z394" s="15"/>
      <c r="AA394" s="15"/>
      <c r="AB394" s="15"/>
      <c r="AC394" s="15"/>
      <c r="AD394" s="15"/>
      <c r="AE394" s="19"/>
      <c r="AF394" s="19"/>
      <c r="AG394" s="7" t="s">
        <v>109</v>
      </c>
      <c r="AH394" s="13">
        <f>iferror(VLOOKUP($B394,covariates!$B$3:$Z$1126,6,FALSE),"")</f>
        <v>29</v>
      </c>
      <c r="AI394" s="13">
        <f>iferror(VLOOKUP($B394,covariates!$B$3:$Z$1126,7,FALSE),"")</f>
        <v>7</v>
      </c>
      <c r="AJ394" s="9">
        <f>iferror(VLOOKUP($B394,covariates!$B$3:$Z$1126,14,FALSE),"")</f>
        <v>22</v>
      </c>
      <c r="AK394" s="9">
        <f>iferror(VLOOKUP($B394,covariates!$B$3:$Z$1126,16,FALSE),"")</f>
        <v>12</v>
      </c>
      <c r="AL394" s="9">
        <f>iferror(VLOOKUP($B394,covariates!$B$3:$Z$1126,18,FALSE),"")</f>
        <v>24.7</v>
      </c>
      <c r="AM394" s="9">
        <f>iferror(VLOOKUP($B394,covariates!$B$3:$Z$1126,19,FALSE),"")</f>
        <v>2.1</v>
      </c>
    </row>
    <row r="395">
      <c r="A395" s="15">
        <v>34.0</v>
      </c>
      <c r="B395" s="17" t="str">
        <f t="shared" si="224"/>
        <v>Heijne &amp; Werner, 2010</v>
      </c>
      <c r="C395" s="9" t="s">
        <v>84</v>
      </c>
      <c r="D395" s="7" t="s">
        <v>385</v>
      </c>
      <c r="E395" s="9" t="s">
        <v>64</v>
      </c>
      <c r="F395" s="9">
        <v>29.0</v>
      </c>
      <c r="G395" s="20">
        <v>8.0</v>
      </c>
      <c r="H395" s="21">
        <f t="shared" si="213"/>
        <v>2.179709565</v>
      </c>
      <c r="I395" s="15"/>
      <c r="J395" s="15"/>
      <c r="K395" s="15"/>
      <c r="L395" s="15"/>
      <c r="M395" s="15"/>
      <c r="N395" s="15"/>
      <c r="O395" s="9" t="s">
        <v>101</v>
      </c>
      <c r="P395" s="9" t="s">
        <v>101</v>
      </c>
      <c r="Q395" s="9" t="s">
        <v>101</v>
      </c>
      <c r="R395" s="9" t="s">
        <v>101</v>
      </c>
      <c r="S395" s="9" t="s">
        <v>101</v>
      </c>
      <c r="T395" s="9" t="s">
        <v>101</v>
      </c>
      <c r="U395" s="9" t="s">
        <v>101</v>
      </c>
      <c r="V395" s="15"/>
      <c r="W395" s="15"/>
      <c r="X395" s="15"/>
      <c r="Y395" s="15"/>
      <c r="Z395" s="15"/>
      <c r="AA395" s="15"/>
      <c r="AB395" s="15"/>
      <c r="AC395" s="15"/>
      <c r="AD395" s="15"/>
      <c r="AE395" s="19"/>
      <c r="AF395" s="19"/>
      <c r="AG395" s="7" t="s">
        <v>109</v>
      </c>
      <c r="AH395" s="13">
        <f>iferror(VLOOKUP($B395,covariates!$B$3:$Z$1126,6,FALSE),"")</f>
        <v>29</v>
      </c>
      <c r="AI395" s="13">
        <f>iferror(VLOOKUP($B395,covariates!$B$3:$Z$1126,7,FALSE),"")</f>
        <v>7</v>
      </c>
      <c r="AJ395" s="9">
        <f>iferror(VLOOKUP($B395,covariates!$B$3:$Z$1126,14,FALSE),"")</f>
        <v>22</v>
      </c>
      <c r="AK395" s="9">
        <f>iferror(VLOOKUP($B395,covariates!$B$3:$Z$1126,16,FALSE),"")</f>
        <v>12</v>
      </c>
      <c r="AL395" s="9">
        <f>iferror(VLOOKUP($B395,covariates!$B$3:$Z$1126,18,FALSE),"")</f>
        <v>24.7</v>
      </c>
      <c r="AM395" s="9">
        <f>iferror(VLOOKUP($B395,covariates!$B$3:$Z$1126,19,FALSE),"")</f>
        <v>2.1</v>
      </c>
    </row>
    <row r="396">
      <c r="A396" s="15">
        <v>36.0</v>
      </c>
      <c r="B396" s="17" t="str">
        <f t="shared" ref="B396:B397" si="225">HYPERLINK("https://github.com/d-wkim/phd/blob/main/data/pdf/horstmann_2022.pdf","Horstmann et al., 2022")</f>
        <v>Horstmann et al., 2022</v>
      </c>
      <c r="C396" s="9" t="s">
        <v>84</v>
      </c>
      <c r="D396" s="7" t="s">
        <v>385</v>
      </c>
      <c r="E396" s="9" t="s">
        <v>64</v>
      </c>
      <c r="F396" s="9">
        <v>26.0</v>
      </c>
      <c r="G396" s="20">
        <v>0.0</v>
      </c>
      <c r="H396" s="21">
        <f t="shared" si="213"/>
        <v>0.09805806757</v>
      </c>
      <c r="I396" s="15"/>
      <c r="J396" s="15"/>
      <c r="K396" s="15"/>
      <c r="L396" s="15"/>
      <c r="M396" s="15"/>
      <c r="N396" s="15"/>
      <c r="O396" s="9" t="s">
        <v>101</v>
      </c>
      <c r="P396" s="9" t="s">
        <v>101</v>
      </c>
      <c r="Q396" s="9" t="s">
        <v>101</v>
      </c>
      <c r="R396" s="9" t="s">
        <v>101</v>
      </c>
      <c r="S396" s="9" t="s">
        <v>101</v>
      </c>
      <c r="T396" s="9" t="s">
        <v>101</v>
      </c>
      <c r="U396" s="9" t="s">
        <v>101</v>
      </c>
      <c r="V396" s="15"/>
      <c r="W396" s="15"/>
      <c r="X396" s="15"/>
      <c r="Y396" s="15"/>
      <c r="Z396" s="15"/>
      <c r="AA396" s="15"/>
      <c r="AB396" s="15"/>
      <c r="AC396" s="15"/>
      <c r="AD396" s="15"/>
      <c r="AE396" s="19"/>
      <c r="AF396" s="19"/>
      <c r="AG396" s="7" t="s">
        <v>109</v>
      </c>
      <c r="AH396" s="13">
        <f>iferror(VLOOKUP($B396,covariates!$B$3:$Z$1126,6,FALSE),"")</f>
        <v>32.7</v>
      </c>
      <c r="AI396" s="13">
        <f>iferror(VLOOKUP($B396,covariates!$B$3:$Z$1126,7,FALSE),"")</f>
        <v>11.4</v>
      </c>
      <c r="AJ396" s="9">
        <f>iferror(VLOOKUP($B396,covariates!$B$3:$Z$1126,14,FALSE),"")</f>
        <v>12</v>
      </c>
      <c r="AK396" s="9">
        <f>iferror(VLOOKUP($B396,covariates!$B$3:$Z$1126,16,FALSE),"")</f>
        <v>15</v>
      </c>
      <c r="AL396" s="9">
        <f>iferror(VLOOKUP($B396,covariates!$B$3:$Z$1126,18,FALSE),"")</f>
        <v>24</v>
      </c>
      <c r="AM396" s="9">
        <f>iferror(VLOOKUP($B396,covariates!$B$3:$Z$1126,19,FALSE),"")</f>
        <v>2</v>
      </c>
    </row>
    <row r="397">
      <c r="A397" s="15">
        <v>36.0</v>
      </c>
      <c r="B397" s="17" t="str">
        <f t="shared" si="225"/>
        <v>Horstmann et al., 2022</v>
      </c>
      <c r="C397" s="9" t="s">
        <v>200</v>
      </c>
      <c r="D397" s="7" t="s">
        <v>385</v>
      </c>
      <c r="E397" s="9" t="s">
        <v>64</v>
      </c>
      <c r="F397" s="9">
        <v>23.0</v>
      </c>
      <c r="G397" s="20">
        <v>0.0</v>
      </c>
      <c r="H397" s="21">
        <f t="shared" si="213"/>
        <v>0.104257207</v>
      </c>
      <c r="I397" s="15"/>
      <c r="J397" s="15"/>
      <c r="K397" s="15"/>
      <c r="L397" s="15"/>
      <c r="M397" s="15"/>
      <c r="N397" s="15"/>
      <c r="O397" s="9" t="s">
        <v>101</v>
      </c>
      <c r="P397" s="9" t="s">
        <v>101</v>
      </c>
      <c r="Q397" s="9" t="s">
        <v>101</v>
      </c>
      <c r="R397" s="9" t="s">
        <v>101</v>
      </c>
      <c r="S397" s="9" t="s">
        <v>101</v>
      </c>
      <c r="T397" s="9" t="s">
        <v>101</v>
      </c>
      <c r="U397" s="9" t="s">
        <v>101</v>
      </c>
      <c r="V397" s="19"/>
      <c r="W397" s="19"/>
      <c r="X397" s="19"/>
      <c r="Y397" s="19"/>
      <c r="Z397" s="19"/>
      <c r="AA397" s="19"/>
      <c r="AB397" s="19"/>
      <c r="AC397" s="19"/>
      <c r="AD397" s="19"/>
      <c r="AE397" s="19"/>
      <c r="AF397" s="19"/>
      <c r="AG397" s="7" t="s">
        <v>109</v>
      </c>
      <c r="AH397" s="13">
        <f>iferror(VLOOKUP($B397,covariates!$B$3:$Z$1126,6,FALSE),"")</f>
        <v>32.7</v>
      </c>
      <c r="AI397" s="13">
        <f>iferror(VLOOKUP($B397,covariates!$B$3:$Z$1126,7,FALSE),"")</f>
        <v>11.4</v>
      </c>
      <c r="AJ397" s="9">
        <f>iferror(VLOOKUP($B397,covariates!$B$3:$Z$1126,14,FALSE),"")</f>
        <v>12</v>
      </c>
      <c r="AK397" s="9">
        <f>iferror(VLOOKUP($B397,covariates!$B$3:$Z$1126,16,FALSE),"")</f>
        <v>15</v>
      </c>
      <c r="AL397" s="9">
        <f>iferror(VLOOKUP($B397,covariates!$B$3:$Z$1126,18,FALSE),"")</f>
        <v>24</v>
      </c>
      <c r="AM397" s="9">
        <f>iferror(VLOOKUP($B397,covariates!$B$3:$Z$1126,19,FALSE),"")</f>
        <v>2</v>
      </c>
    </row>
    <row r="398">
      <c r="A398" s="15">
        <v>37.0</v>
      </c>
      <c r="B398" s="17" t="str">
        <f t="shared" ref="B398:B399" si="226">HYPERLINK("https://github.com/d-wkim/phd/blob/main/data/pdf/ibrahim_2005.pdf","Ibrahim et al., 2005")</f>
        <v>Ibrahim et al., 2005</v>
      </c>
      <c r="C398" s="9" t="s">
        <v>42</v>
      </c>
      <c r="D398" s="7" t="s">
        <v>385</v>
      </c>
      <c r="E398" s="9" t="s">
        <v>64</v>
      </c>
      <c r="F398" s="9">
        <v>40.0</v>
      </c>
      <c r="G398" s="20">
        <v>5.0</v>
      </c>
      <c r="H398" s="21">
        <f t="shared" si="213"/>
        <v>0.9938586932</v>
      </c>
      <c r="I398" s="15"/>
      <c r="J398" s="15"/>
      <c r="K398" s="15"/>
      <c r="L398" s="15"/>
      <c r="M398" s="15"/>
      <c r="N398" s="15"/>
      <c r="O398" s="9" t="s">
        <v>101</v>
      </c>
      <c r="P398" s="9" t="s">
        <v>101</v>
      </c>
      <c r="Q398" s="9" t="s">
        <v>101</v>
      </c>
      <c r="R398" s="9" t="s">
        <v>101</v>
      </c>
      <c r="S398" s="9" t="s">
        <v>101</v>
      </c>
      <c r="T398" s="9" t="s">
        <v>101</v>
      </c>
      <c r="U398" s="9" t="s">
        <v>101</v>
      </c>
      <c r="V398" s="15"/>
      <c r="W398" s="15"/>
      <c r="X398" s="15"/>
      <c r="Y398" s="15"/>
      <c r="Z398" s="15"/>
      <c r="AA398" s="15"/>
      <c r="AB398" s="15"/>
      <c r="AC398" s="15"/>
      <c r="AD398" s="15"/>
      <c r="AE398" s="19"/>
      <c r="AF398" s="19"/>
      <c r="AG398" s="7" t="s">
        <v>109</v>
      </c>
      <c r="AH398" s="13">
        <f>iferror(VLOOKUP($B398,covariates!$B$3:$Z$1126,6,FALSE),"")</f>
        <v>22.3</v>
      </c>
      <c r="AI398" s="13">
        <f>iferror(VLOOKUP($B398,covariates!$B$3:$Z$1126,7,FALSE),"")</f>
        <v>3.942</v>
      </c>
      <c r="AJ398" s="9">
        <f>iferror(VLOOKUP($B398,covariates!$B$3:$Z$1126,14,FALSE),"")</f>
        <v>40</v>
      </c>
      <c r="AK398" s="9">
        <f>iferror(VLOOKUP($B398,covariates!$B$3:$Z$1126,16,FALSE),"")</f>
        <v>0</v>
      </c>
      <c r="AL398" s="9">
        <f>iferror(VLOOKUP($B398,covariates!$B$3:$Z$1126,18,FALSE),"")</f>
        <v>81</v>
      </c>
      <c r="AM398" s="9">
        <f>iferror(VLOOKUP($B398,covariates!$B$3:$Z$1126,19,FALSE),"")</f>
        <v>6.8</v>
      </c>
    </row>
    <row r="399">
      <c r="A399" s="15">
        <v>37.0</v>
      </c>
      <c r="B399" s="17" t="str">
        <f t="shared" si="226"/>
        <v>Ibrahim et al., 2005</v>
      </c>
      <c r="C399" s="9" t="s">
        <v>84</v>
      </c>
      <c r="D399" s="7" t="s">
        <v>385</v>
      </c>
      <c r="E399" s="9" t="s">
        <v>64</v>
      </c>
      <c r="F399" s="9">
        <v>45.0</v>
      </c>
      <c r="G399" s="20">
        <v>8.0</v>
      </c>
      <c r="H399" s="21">
        <f t="shared" si="213"/>
        <v>1.541073876</v>
      </c>
      <c r="I399" s="15"/>
      <c r="J399" s="15"/>
      <c r="K399" s="15"/>
      <c r="L399" s="15"/>
      <c r="M399" s="15"/>
      <c r="N399" s="15"/>
      <c r="O399" s="9" t="s">
        <v>101</v>
      </c>
      <c r="P399" s="9" t="s">
        <v>101</v>
      </c>
      <c r="Q399" s="9" t="s">
        <v>101</v>
      </c>
      <c r="R399" s="9" t="s">
        <v>101</v>
      </c>
      <c r="S399" s="9" t="s">
        <v>101</v>
      </c>
      <c r="T399" s="9" t="s">
        <v>101</v>
      </c>
      <c r="U399" s="9" t="s">
        <v>101</v>
      </c>
      <c r="V399" s="15"/>
      <c r="W399" s="15"/>
      <c r="X399" s="15"/>
      <c r="Y399" s="15"/>
      <c r="Z399" s="15"/>
      <c r="AA399" s="15"/>
      <c r="AB399" s="15"/>
      <c r="AC399" s="15"/>
      <c r="AD399" s="15"/>
      <c r="AE399" s="19"/>
      <c r="AF399" s="19"/>
      <c r="AG399" s="7" t="s">
        <v>109</v>
      </c>
      <c r="AH399" s="13">
        <f>iferror(VLOOKUP($B399,covariates!$B$3:$Z$1126,6,FALSE),"")</f>
        <v>22.3</v>
      </c>
      <c r="AI399" s="13">
        <f>iferror(VLOOKUP($B399,covariates!$B$3:$Z$1126,7,FALSE),"")</f>
        <v>3.942</v>
      </c>
      <c r="AJ399" s="9">
        <f>iferror(VLOOKUP($B399,covariates!$B$3:$Z$1126,14,FALSE),"")</f>
        <v>40</v>
      </c>
      <c r="AK399" s="9">
        <f>iferror(VLOOKUP($B399,covariates!$B$3:$Z$1126,16,FALSE),"")</f>
        <v>0</v>
      </c>
      <c r="AL399" s="9">
        <f>iferror(VLOOKUP($B399,covariates!$B$3:$Z$1126,18,FALSE),"")</f>
        <v>81</v>
      </c>
      <c r="AM399" s="9">
        <f>iferror(VLOOKUP($B399,covariates!$B$3:$Z$1126,19,FALSE),"")</f>
        <v>6.8</v>
      </c>
    </row>
    <row r="400">
      <c r="A400" s="15">
        <v>38.0</v>
      </c>
      <c r="B400" s="17" t="str">
        <f t="shared" ref="B400:B401" si="227">HYPERLINK("https://github.com/d-wkim/phd/blob/main/data/pdf/iliopoulos_2017.pdf","Iliopoulos et al., 2017")</f>
        <v>Iliopoulos et al., 2017</v>
      </c>
      <c r="C400" s="7" t="s">
        <v>42</v>
      </c>
      <c r="D400" s="7" t="s">
        <v>385</v>
      </c>
      <c r="E400" s="9" t="s">
        <v>64</v>
      </c>
      <c r="F400" s="15"/>
      <c r="G400" s="20"/>
      <c r="H400" s="21" t="str">
        <f t="shared" si="213"/>
        <v/>
      </c>
      <c r="I400" s="15"/>
      <c r="J400" s="15"/>
      <c r="K400" s="15"/>
      <c r="L400" s="15"/>
      <c r="M400" s="15"/>
      <c r="N400" s="15"/>
      <c r="O400" s="9" t="s">
        <v>101</v>
      </c>
      <c r="P400" s="9" t="s">
        <v>101</v>
      </c>
      <c r="Q400" s="9" t="s">
        <v>101</v>
      </c>
      <c r="R400" s="9" t="s">
        <v>101</v>
      </c>
      <c r="S400" s="9" t="s">
        <v>101</v>
      </c>
      <c r="T400" s="9" t="s">
        <v>101</v>
      </c>
      <c r="U400" s="9" t="s">
        <v>101</v>
      </c>
      <c r="V400" s="15"/>
      <c r="W400" s="15"/>
      <c r="X400" s="15"/>
      <c r="Y400" s="15"/>
      <c r="Z400" s="15"/>
      <c r="AA400" s="15"/>
      <c r="AB400" s="15"/>
      <c r="AC400" s="15"/>
      <c r="AD400" s="15"/>
      <c r="AE400" s="19"/>
      <c r="AF400" s="19"/>
      <c r="AG400" s="7" t="s">
        <v>174</v>
      </c>
      <c r="AH400" s="13">
        <f>iferror(VLOOKUP($B400,covariates!$B$3:$Z$1126,6,FALSE),"")</f>
        <v>24.8</v>
      </c>
      <c r="AI400" s="13">
        <f>iferror(VLOOKUP($B400,covariates!$B$3:$Z$1126,7,FALSE),"")</f>
        <v>5</v>
      </c>
      <c r="AJ400" s="9">
        <f>iferror(VLOOKUP($B400,covariates!$B$3:$Z$1126,14,FALSE),"")</f>
        <v>10</v>
      </c>
      <c r="AK400" s="9">
        <f>iferror(VLOOKUP($B400,covariates!$B$3:$Z$1126,16,FALSE),"")</f>
        <v>0</v>
      </c>
      <c r="AL400" s="9">
        <f>iferror(VLOOKUP($B400,covariates!$B$3:$Z$1126,18,FALSE),"")</f>
        <v>9</v>
      </c>
      <c r="AM400" s="9">
        <f>iferror(VLOOKUP($B400,covariates!$B$3:$Z$1126,19,FALSE),"")</f>
        <v>0.8</v>
      </c>
    </row>
    <row r="401">
      <c r="A401" s="15">
        <v>38.0</v>
      </c>
      <c r="B401" s="17" t="str">
        <f t="shared" si="227"/>
        <v>Iliopoulos et al., 2017</v>
      </c>
      <c r="C401" s="7" t="s">
        <v>84</v>
      </c>
      <c r="D401" s="7" t="s">
        <v>385</v>
      </c>
      <c r="E401" s="9" t="s">
        <v>64</v>
      </c>
      <c r="F401" s="15"/>
      <c r="G401" s="20"/>
      <c r="H401" s="21" t="str">
        <f t="shared" si="213"/>
        <v/>
      </c>
      <c r="I401" s="15"/>
      <c r="J401" s="15"/>
      <c r="K401" s="15"/>
      <c r="L401" s="15"/>
      <c r="M401" s="15"/>
      <c r="N401" s="15"/>
      <c r="O401" s="9" t="s">
        <v>101</v>
      </c>
      <c r="P401" s="9" t="s">
        <v>101</v>
      </c>
      <c r="Q401" s="9" t="s">
        <v>101</v>
      </c>
      <c r="R401" s="9" t="s">
        <v>101</v>
      </c>
      <c r="S401" s="9" t="s">
        <v>101</v>
      </c>
      <c r="T401" s="9" t="s">
        <v>101</v>
      </c>
      <c r="U401" s="9" t="s">
        <v>101</v>
      </c>
      <c r="V401" s="15"/>
      <c r="W401" s="15"/>
      <c r="X401" s="15"/>
      <c r="Y401" s="15"/>
      <c r="Z401" s="15"/>
      <c r="AA401" s="15"/>
      <c r="AB401" s="15"/>
      <c r="AC401" s="15"/>
      <c r="AD401" s="15"/>
      <c r="AE401" s="19"/>
      <c r="AF401" s="19"/>
      <c r="AG401" s="7" t="s">
        <v>174</v>
      </c>
      <c r="AH401" s="13">
        <f>iferror(VLOOKUP($B401,covariates!$B$3:$Z$1126,6,FALSE),"")</f>
        <v>24.8</v>
      </c>
      <c r="AI401" s="13">
        <f>iferror(VLOOKUP($B401,covariates!$B$3:$Z$1126,7,FALSE),"")</f>
        <v>5</v>
      </c>
      <c r="AJ401" s="9">
        <f>iferror(VLOOKUP($B401,covariates!$B$3:$Z$1126,14,FALSE),"")</f>
        <v>10</v>
      </c>
      <c r="AK401" s="9">
        <f>iferror(VLOOKUP($B401,covariates!$B$3:$Z$1126,16,FALSE),"")</f>
        <v>0</v>
      </c>
      <c r="AL401" s="9">
        <f>iferror(VLOOKUP($B401,covariates!$B$3:$Z$1126,18,FALSE),"")</f>
        <v>9</v>
      </c>
      <c r="AM401" s="9">
        <f>iferror(VLOOKUP($B401,covariates!$B$3:$Z$1126,19,FALSE),"")</f>
        <v>0.8</v>
      </c>
    </row>
    <row r="402">
      <c r="A402" s="15">
        <v>41.0</v>
      </c>
      <c r="B402" s="17" t="str">
        <f t="shared" ref="B402:B403" si="228">HYPERLINK("https://github.com/d-wkim/phd/blob/main/data/pdf/jansson_2003.pdf","Jansson et al., 2003")</f>
        <v>Jansson et al., 2003</v>
      </c>
      <c r="C402" s="9" t="s">
        <v>42</v>
      </c>
      <c r="D402" s="7" t="s">
        <v>385</v>
      </c>
      <c r="E402" s="9" t="s">
        <v>64</v>
      </c>
      <c r="F402" s="9">
        <v>43.0</v>
      </c>
      <c r="G402" s="20">
        <v>3.0</v>
      </c>
      <c r="H402" s="21">
        <f t="shared" si="213"/>
        <v>0.5737758709</v>
      </c>
      <c r="I402" s="15"/>
      <c r="J402" s="15"/>
      <c r="K402" s="15"/>
      <c r="L402" s="15"/>
      <c r="M402" s="15"/>
      <c r="N402" s="15"/>
      <c r="O402" s="9" t="s">
        <v>101</v>
      </c>
      <c r="P402" s="9" t="s">
        <v>101</v>
      </c>
      <c r="Q402" s="9" t="s">
        <v>101</v>
      </c>
      <c r="R402" s="9" t="s">
        <v>101</v>
      </c>
      <c r="S402" s="9" t="s">
        <v>101</v>
      </c>
      <c r="T402" s="9" t="s">
        <v>101</v>
      </c>
      <c r="U402" s="9" t="s">
        <v>101</v>
      </c>
      <c r="V402" s="15"/>
      <c r="W402" s="15"/>
      <c r="X402" s="15"/>
      <c r="Y402" s="15"/>
      <c r="Z402" s="15"/>
      <c r="AA402" s="15"/>
      <c r="AB402" s="15"/>
      <c r="AC402" s="15"/>
      <c r="AD402" s="15"/>
      <c r="AE402" s="19"/>
      <c r="AF402" s="19"/>
      <c r="AG402" s="7" t="s">
        <v>109</v>
      </c>
      <c r="AH402" s="13" t="str">
        <f>iferror(VLOOKUP($B402,covariates!$B$3:$Z$1126,6,FALSE),"")</f>
        <v/>
      </c>
      <c r="AI402" s="13" t="str">
        <f>iferror(VLOOKUP($B402,covariates!$B$3:$Z$1126,7,FALSE),"")</f>
        <v/>
      </c>
      <c r="AJ402" s="9" t="str">
        <f>iferror(VLOOKUP($B402,covariates!$B$3:$Z$1126,14,FALSE),"")</f>
        <v/>
      </c>
      <c r="AK402" s="9" t="str">
        <f>iferror(VLOOKUP($B402,covariates!$B$3:$Z$1126,16,FALSE),"")</f>
        <v/>
      </c>
      <c r="AL402" s="9">
        <f>iferror(VLOOKUP($B402,covariates!$B$3:$Z$1126,18,FALSE),"")</f>
        <v>24</v>
      </c>
      <c r="AM402" s="9">
        <f>iferror(VLOOKUP($B402,covariates!$B$3:$Z$1126,19,FALSE),"")</f>
        <v>2</v>
      </c>
    </row>
    <row r="403">
      <c r="A403" s="15">
        <v>41.0</v>
      </c>
      <c r="B403" s="17" t="str">
        <f t="shared" si="228"/>
        <v>Jansson et al., 2003</v>
      </c>
      <c r="C403" s="9" t="s">
        <v>84</v>
      </c>
      <c r="D403" s="7" t="s">
        <v>385</v>
      </c>
      <c r="E403" s="9" t="s">
        <v>64</v>
      </c>
      <c r="F403" s="9">
        <v>46.0</v>
      </c>
      <c r="G403" s="20">
        <v>3.0</v>
      </c>
      <c r="H403" s="21">
        <f t="shared" si="213"/>
        <v>0.5520501149</v>
      </c>
      <c r="I403" s="15"/>
      <c r="J403" s="15"/>
      <c r="K403" s="15"/>
      <c r="L403" s="15"/>
      <c r="M403" s="15"/>
      <c r="N403" s="15"/>
      <c r="O403" s="9" t="s">
        <v>101</v>
      </c>
      <c r="P403" s="9" t="s">
        <v>101</v>
      </c>
      <c r="Q403" s="9" t="s">
        <v>101</v>
      </c>
      <c r="R403" s="9" t="s">
        <v>101</v>
      </c>
      <c r="S403" s="9" t="s">
        <v>101</v>
      </c>
      <c r="T403" s="9" t="s">
        <v>101</v>
      </c>
      <c r="U403" s="9" t="s">
        <v>101</v>
      </c>
      <c r="V403" s="15"/>
      <c r="W403" s="15"/>
      <c r="X403" s="15"/>
      <c r="Y403" s="15"/>
      <c r="Z403" s="15"/>
      <c r="AA403" s="15"/>
      <c r="AB403" s="15"/>
      <c r="AC403" s="15"/>
      <c r="AD403" s="15"/>
      <c r="AE403" s="19"/>
      <c r="AF403" s="19"/>
      <c r="AG403" s="7" t="s">
        <v>109</v>
      </c>
      <c r="AH403" s="13" t="str">
        <f>iferror(VLOOKUP($B403,covariates!$B$3:$Z$1126,6,FALSE),"")</f>
        <v/>
      </c>
      <c r="AI403" s="13" t="str">
        <f>iferror(VLOOKUP($B403,covariates!$B$3:$Z$1126,7,FALSE),"")</f>
        <v/>
      </c>
      <c r="AJ403" s="9" t="str">
        <f>iferror(VLOOKUP($B403,covariates!$B$3:$Z$1126,14,FALSE),"")</f>
        <v/>
      </c>
      <c r="AK403" s="9" t="str">
        <f>iferror(VLOOKUP($B403,covariates!$B$3:$Z$1126,16,FALSE),"")</f>
        <v/>
      </c>
      <c r="AL403" s="9">
        <f>iferror(VLOOKUP($B403,covariates!$B$3:$Z$1126,18,FALSE),"")</f>
        <v>24</v>
      </c>
      <c r="AM403" s="9">
        <f>iferror(VLOOKUP($B403,covariates!$B$3:$Z$1126,19,FALSE),"")</f>
        <v>2</v>
      </c>
    </row>
    <row r="404">
      <c r="A404" s="15">
        <v>45.0</v>
      </c>
      <c r="B404" s="17" t="str">
        <f t="shared" ref="B404:B405" si="229">HYPERLINK("https://github.com/d-wkim/phd/blob/main/data/pdf/konrads_2016.pdf","Konrads et al., 2016")</f>
        <v>Konrads et al., 2016</v>
      </c>
      <c r="C404" s="7" t="s">
        <v>42</v>
      </c>
      <c r="D404" s="7" t="s">
        <v>385</v>
      </c>
      <c r="E404" s="9" t="s">
        <v>64</v>
      </c>
      <c r="F404" s="9"/>
      <c r="G404" s="27"/>
      <c r="H404" s="21" t="str">
        <f t="shared" si="213"/>
        <v/>
      </c>
      <c r="I404" s="15"/>
      <c r="J404" s="15"/>
      <c r="K404" s="15"/>
      <c r="L404" s="15"/>
      <c r="M404" s="15"/>
      <c r="N404" s="15"/>
      <c r="O404" s="9" t="s">
        <v>101</v>
      </c>
      <c r="P404" s="9" t="s">
        <v>101</v>
      </c>
      <c r="Q404" s="9" t="s">
        <v>101</v>
      </c>
      <c r="R404" s="9" t="s">
        <v>101</v>
      </c>
      <c r="S404" s="9" t="s">
        <v>101</v>
      </c>
      <c r="T404" s="9" t="s">
        <v>101</v>
      </c>
      <c r="U404" s="9" t="s">
        <v>101</v>
      </c>
      <c r="V404" s="15"/>
      <c r="W404" s="15"/>
      <c r="X404" s="15"/>
      <c r="Y404" s="15"/>
      <c r="Z404" s="15"/>
      <c r="AA404" s="15"/>
      <c r="AB404" s="15"/>
      <c r="AC404" s="15"/>
      <c r="AD404" s="15"/>
      <c r="AE404" s="19"/>
      <c r="AF404" s="19"/>
      <c r="AG404" s="7" t="s">
        <v>174</v>
      </c>
      <c r="AH404" s="13">
        <f>iferror(VLOOKUP($B404,covariates!$B$3:$Z$1126,6,FALSE),"")</f>
        <v>29.8</v>
      </c>
      <c r="AI404" s="13">
        <f>iferror(VLOOKUP($B404,covariates!$B$3:$Z$1126,7,FALSE),"")</f>
        <v>6.33</v>
      </c>
      <c r="AJ404" s="9">
        <f>iferror(VLOOKUP($B404,covariates!$B$3:$Z$1126,14,FALSE),"")</f>
        <v>22</v>
      </c>
      <c r="AK404" s="9">
        <f>iferror(VLOOKUP($B404,covariates!$B$3:$Z$1126,16,FALSE),"")</f>
        <v>9</v>
      </c>
      <c r="AL404" s="9">
        <f>iferror(VLOOKUP($B404,covariates!$B$3:$Z$1126,18,FALSE),"")</f>
        <v>120</v>
      </c>
      <c r="AM404" s="9">
        <f>iferror(VLOOKUP($B404,covariates!$B$3:$Z$1126,19,FALSE),"")</f>
        <v>10</v>
      </c>
    </row>
    <row r="405">
      <c r="A405" s="15">
        <v>45.0</v>
      </c>
      <c r="B405" s="17" t="str">
        <f t="shared" si="229"/>
        <v>Konrads et al., 2016</v>
      </c>
      <c r="C405" s="7" t="s">
        <v>84</v>
      </c>
      <c r="D405" s="7" t="s">
        <v>385</v>
      </c>
      <c r="E405" s="9" t="s">
        <v>64</v>
      </c>
      <c r="F405" s="9"/>
      <c r="G405" s="27"/>
      <c r="H405" s="21" t="str">
        <f t="shared" si="213"/>
        <v/>
      </c>
      <c r="I405" s="15"/>
      <c r="J405" s="15"/>
      <c r="K405" s="15"/>
      <c r="L405" s="15"/>
      <c r="M405" s="15"/>
      <c r="N405" s="15"/>
      <c r="O405" s="9" t="s">
        <v>101</v>
      </c>
      <c r="P405" s="9" t="s">
        <v>101</v>
      </c>
      <c r="Q405" s="9" t="s">
        <v>101</v>
      </c>
      <c r="R405" s="9" t="s">
        <v>101</v>
      </c>
      <c r="S405" s="9" t="s">
        <v>101</v>
      </c>
      <c r="T405" s="9" t="s">
        <v>101</v>
      </c>
      <c r="U405" s="9" t="s">
        <v>101</v>
      </c>
      <c r="V405" s="15"/>
      <c r="W405" s="15"/>
      <c r="X405" s="15"/>
      <c r="Y405" s="15"/>
      <c r="Z405" s="15"/>
      <c r="AA405" s="15"/>
      <c r="AB405" s="15"/>
      <c r="AC405" s="15"/>
      <c r="AD405" s="15"/>
      <c r="AE405" s="19"/>
      <c r="AF405" s="19"/>
      <c r="AG405" s="7" t="s">
        <v>174</v>
      </c>
      <c r="AH405" s="13">
        <f>iferror(VLOOKUP($B405,covariates!$B$3:$Z$1126,6,FALSE),"")</f>
        <v>29.8</v>
      </c>
      <c r="AI405" s="13">
        <f>iferror(VLOOKUP($B405,covariates!$B$3:$Z$1126,7,FALSE),"")</f>
        <v>6.33</v>
      </c>
      <c r="AJ405" s="9">
        <f>iferror(VLOOKUP($B405,covariates!$B$3:$Z$1126,14,FALSE),"")</f>
        <v>22</v>
      </c>
      <c r="AK405" s="9">
        <f>iferror(VLOOKUP($B405,covariates!$B$3:$Z$1126,16,FALSE),"")</f>
        <v>9</v>
      </c>
      <c r="AL405" s="9">
        <f>iferror(VLOOKUP($B405,covariates!$B$3:$Z$1126,18,FALSE),"")</f>
        <v>120</v>
      </c>
      <c r="AM405" s="9">
        <f>iferror(VLOOKUP($B405,covariates!$B$3:$Z$1126,19,FALSE),"")</f>
        <v>10</v>
      </c>
    </row>
    <row r="406">
      <c r="A406" s="15">
        <v>46.0</v>
      </c>
      <c r="B406" s="17" t="str">
        <f t="shared" ref="B406:B407" si="230">HYPERLINK("https://github.com/d-wkim/phd/blob/main/data/pdf/laoruengthana_2009.pdf","Laoruengthana et al., 2009")</f>
        <v>Laoruengthana et al., 2009</v>
      </c>
      <c r="C406" s="9" t="s">
        <v>42</v>
      </c>
      <c r="D406" s="7" t="s">
        <v>385</v>
      </c>
      <c r="E406" s="9" t="s">
        <v>64</v>
      </c>
      <c r="F406" s="9">
        <v>15.0</v>
      </c>
      <c r="G406" s="20">
        <v>2.0</v>
      </c>
      <c r="H406" s="21">
        <f t="shared" si="213"/>
        <v>0.7448044897</v>
      </c>
      <c r="I406" s="15"/>
      <c r="J406" s="15"/>
      <c r="K406" s="15"/>
      <c r="L406" s="15"/>
      <c r="M406" s="15"/>
      <c r="N406" s="15"/>
      <c r="O406" s="9" t="s">
        <v>101</v>
      </c>
      <c r="P406" s="9" t="s">
        <v>101</v>
      </c>
      <c r="Q406" s="9" t="s">
        <v>101</v>
      </c>
      <c r="R406" s="9" t="s">
        <v>101</v>
      </c>
      <c r="S406" s="9" t="s">
        <v>101</v>
      </c>
      <c r="T406" s="9" t="s">
        <v>101</v>
      </c>
      <c r="U406" s="9" t="s">
        <v>101</v>
      </c>
      <c r="V406" s="15"/>
      <c r="W406" s="15"/>
      <c r="X406" s="15"/>
      <c r="Y406" s="15"/>
      <c r="Z406" s="15"/>
      <c r="AA406" s="15"/>
      <c r="AB406" s="15"/>
      <c r="AC406" s="15"/>
      <c r="AD406" s="15"/>
      <c r="AE406" s="19"/>
      <c r="AF406" s="19"/>
      <c r="AG406" s="7" t="s">
        <v>109</v>
      </c>
      <c r="AH406" s="13">
        <f>iferror(VLOOKUP($B406,covariates!$B$3:$Z$1126,6,FALSE),"")</f>
        <v>29.93</v>
      </c>
      <c r="AI406" s="13">
        <f>iferror(VLOOKUP($B406,covariates!$B$3:$Z$1126,7,FALSE),"")</f>
        <v>8.911</v>
      </c>
      <c r="AJ406" s="9" t="str">
        <f>iferror(VLOOKUP($B406,covariates!$B$3:$Z$1126,14,FALSE),"")</f>
        <v/>
      </c>
      <c r="AK406" s="9" t="str">
        <f>iferror(VLOOKUP($B406,covariates!$B$3:$Z$1126,16,FALSE),"")</f>
        <v/>
      </c>
      <c r="AL406" s="9">
        <f>iferror(VLOOKUP($B406,covariates!$B$3:$Z$1126,18,FALSE),"")</f>
        <v>19</v>
      </c>
      <c r="AM406" s="9">
        <f>iferror(VLOOKUP($B406,covariates!$B$3:$Z$1126,19,FALSE),"")</f>
        <v>1.6</v>
      </c>
    </row>
    <row r="407">
      <c r="A407" s="15">
        <v>46.0</v>
      </c>
      <c r="B407" s="17" t="str">
        <f t="shared" si="230"/>
        <v>Laoruengthana et al., 2009</v>
      </c>
      <c r="C407" s="9" t="s">
        <v>84</v>
      </c>
      <c r="D407" s="7" t="s">
        <v>385</v>
      </c>
      <c r="E407" s="9" t="s">
        <v>64</v>
      </c>
      <c r="F407" s="9">
        <v>13.0</v>
      </c>
      <c r="G407" s="20">
        <v>2.0</v>
      </c>
      <c r="H407" s="21">
        <f t="shared" si="213"/>
        <v>0.8194434717</v>
      </c>
      <c r="I407" s="15"/>
      <c r="J407" s="15"/>
      <c r="K407" s="15"/>
      <c r="L407" s="15"/>
      <c r="M407" s="15"/>
      <c r="N407" s="15"/>
      <c r="O407" s="9" t="s">
        <v>101</v>
      </c>
      <c r="P407" s="9" t="s">
        <v>101</v>
      </c>
      <c r="Q407" s="9" t="s">
        <v>101</v>
      </c>
      <c r="R407" s="9" t="s">
        <v>101</v>
      </c>
      <c r="S407" s="9" t="s">
        <v>101</v>
      </c>
      <c r="T407" s="9" t="s">
        <v>101</v>
      </c>
      <c r="U407" s="9" t="s">
        <v>101</v>
      </c>
      <c r="V407" s="15"/>
      <c r="W407" s="15"/>
      <c r="X407" s="15"/>
      <c r="Y407" s="15"/>
      <c r="Z407" s="15"/>
      <c r="AA407" s="15"/>
      <c r="AB407" s="15"/>
      <c r="AC407" s="15"/>
      <c r="AD407" s="15"/>
      <c r="AE407" s="19"/>
      <c r="AF407" s="19"/>
      <c r="AG407" s="7" t="s">
        <v>109</v>
      </c>
      <c r="AH407" s="13">
        <f>iferror(VLOOKUP($B407,covariates!$B$3:$Z$1126,6,FALSE),"")</f>
        <v>29.93</v>
      </c>
      <c r="AI407" s="13">
        <f>iferror(VLOOKUP($B407,covariates!$B$3:$Z$1126,7,FALSE),"")</f>
        <v>8.911</v>
      </c>
      <c r="AJ407" s="9" t="str">
        <f>iferror(VLOOKUP($B407,covariates!$B$3:$Z$1126,14,FALSE),"")</f>
        <v/>
      </c>
      <c r="AK407" s="9" t="str">
        <f>iferror(VLOOKUP($B407,covariates!$B$3:$Z$1126,16,FALSE),"")</f>
        <v/>
      </c>
      <c r="AL407" s="9">
        <f>iferror(VLOOKUP($B407,covariates!$B$3:$Z$1126,18,FALSE),"")</f>
        <v>19</v>
      </c>
      <c r="AM407" s="9">
        <f>iferror(VLOOKUP($B407,covariates!$B$3:$Z$1126,19,FALSE),"")</f>
        <v>1.6</v>
      </c>
    </row>
    <row r="408">
      <c r="A408" s="15">
        <v>47.0</v>
      </c>
      <c r="B408" s="17" t="str">
        <f t="shared" ref="B408:B409" si="231">HYPERLINK("https://github.com/d-wkim/phd/blob/main/data/pdf/lawhorn_2012.pdf","Lawhorn et al., 2012")</f>
        <v>Lawhorn et al., 2012</v>
      </c>
      <c r="C408" s="9" t="s">
        <v>84</v>
      </c>
      <c r="D408" s="7" t="s">
        <v>385</v>
      </c>
      <c r="E408" s="9" t="s">
        <v>64</v>
      </c>
      <c r="F408" s="9">
        <v>44.0</v>
      </c>
      <c r="G408" s="20">
        <v>6.0</v>
      </c>
      <c r="H408" s="21">
        <f t="shared" si="213"/>
        <v>1.134634797</v>
      </c>
      <c r="I408" s="15"/>
      <c r="J408" s="15"/>
      <c r="K408" s="15"/>
      <c r="L408" s="15"/>
      <c r="M408" s="15"/>
      <c r="N408" s="15"/>
      <c r="O408" s="9" t="s">
        <v>101</v>
      </c>
      <c r="P408" s="9" t="s">
        <v>101</v>
      </c>
      <c r="Q408" s="9" t="s">
        <v>101</v>
      </c>
      <c r="R408" s="9" t="s">
        <v>101</v>
      </c>
      <c r="S408" s="9" t="s">
        <v>101</v>
      </c>
      <c r="T408" s="9" t="s">
        <v>101</v>
      </c>
      <c r="U408" s="9" t="s">
        <v>101</v>
      </c>
      <c r="V408" s="15"/>
      <c r="W408" s="15"/>
      <c r="X408" s="15"/>
      <c r="Y408" s="15"/>
      <c r="Z408" s="15"/>
      <c r="AA408" s="15"/>
      <c r="AB408" s="15"/>
      <c r="AC408" s="15"/>
      <c r="AD408" s="15"/>
      <c r="AE408" s="19"/>
      <c r="AF408" s="19"/>
      <c r="AG408" s="7" t="s">
        <v>109</v>
      </c>
      <c r="AH408" s="13">
        <f>iferror(VLOOKUP($B408,covariates!$B$3:$Z$1126,6,FALSE),"")</f>
        <v>32</v>
      </c>
      <c r="AI408" s="13">
        <f>iferror(VLOOKUP($B408,covariates!$B$3:$Z$1126,7,FALSE),"")</f>
        <v>8.433</v>
      </c>
      <c r="AJ408" s="9">
        <f>iferror(VLOOKUP($B408,covariates!$B$3:$Z$1126,14,FALSE),"")</f>
        <v>32</v>
      </c>
      <c r="AK408" s="9">
        <f>iferror(VLOOKUP($B408,covariates!$B$3:$Z$1126,16,FALSE),"")</f>
        <v>22</v>
      </c>
      <c r="AL408" s="9">
        <f>iferror(VLOOKUP($B408,covariates!$B$3:$Z$1126,18,FALSE),"")</f>
        <v>24</v>
      </c>
      <c r="AM408" s="9">
        <f>iferror(VLOOKUP($B408,covariates!$B$3:$Z$1126,19,FALSE),"")</f>
        <v>2</v>
      </c>
    </row>
    <row r="409">
      <c r="A409" s="15">
        <v>47.0</v>
      </c>
      <c r="B409" s="17" t="str">
        <f t="shared" si="231"/>
        <v>Lawhorn et al., 2012</v>
      </c>
      <c r="C409" s="9" t="s">
        <v>205</v>
      </c>
      <c r="D409" s="7" t="s">
        <v>385</v>
      </c>
      <c r="E409" s="9" t="s">
        <v>64</v>
      </c>
      <c r="F409" s="9">
        <v>48.0</v>
      </c>
      <c r="G409" s="20">
        <v>4.0</v>
      </c>
      <c r="H409" s="21">
        <f t="shared" si="213"/>
        <v>0.7085662395</v>
      </c>
      <c r="I409" s="15"/>
      <c r="J409" s="15"/>
      <c r="K409" s="15"/>
      <c r="L409" s="15"/>
      <c r="M409" s="15"/>
      <c r="N409" s="15"/>
      <c r="O409" s="9" t="s">
        <v>101</v>
      </c>
      <c r="P409" s="9" t="s">
        <v>101</v>
      </c>
      <c r="Q409" s="9" t="s">
        <v>101</v>
      </c>
      <c r="R409" s="9" t="s">
        <v>101</v>
      </c>
      <c r="S409" s="9" t="s">
        <v>101</v>
      </c>
      <c r="T409" s="9" t="s">
        <v>101</v>
      </c>
      <c r="U409" s="9" t="s">
        <v>101</v>
      </c>
      <c r="V409" s="19"/>
      <c r="W409" s="19"/>
      <c r="X409" s="19"/>
      <c r="Y409" s="19"/>
      <c r="Z409" s="19"/>
      <c r="AA409" s="19"/>
      <c r="AB409" s="19"/>
      <c r="AC409" s="19"/>
      <c r="AD409" s="19"/>
      <c r="AE409" s="19"/>
      <c r="AF409" s="19"/>
      <c r="AG409" s="7" t="s">
        <v>109</v>
      </c>
      <c r="AH409" s="13">
        <f>iferror(VLOOKUP($B409,covariates!$B$3:$Z$1126,6,FALSE),"")</f>
        <v>32</v>
      </c>
      <c r="AI409" s="13">
        <f>iferror(VLOOKUP($B409,covariates!$B$3:$Z$1126,7,FALSE),"")</f>
        <v>8.433</v>
      </c>
      <c r="AJ409" s="9">
        <f>iferror(VLOOKUP($B409,covariates!$B$3:$Z$1126,14,FALSE),"")</f>
        <v>32</v>
      </c>
      <c r="AK409" s="9">
        <f>iferror(VLOOKUP($B409,covariates!$B$3:$Z$1126,16,FALSE),"")</f>
        <v>22</v>
      </c>
      <c r="AL409" s="9">
        <f>iferror(VLOOKUP($B409,covariates!$B$3:$Z$1126,18,FALSE),"")</f>
        <v>24</v>
      </c>
      <c r="AM409" s="9">
        <f>iferror(VLOOKUP($B409,covariates!$B$3:$Z$1126,19,FALSE),"")</f>
        <v>2</v>
      </c>
    </row>
    <row r="410">
      <c r="A410" s="15">
        <v>51.0</v>
      </c>
      <c r="B410" s="17" t="str">
        <f t="shared" ref="B410:B411" si="232">HYPERLINK("https://github.com/d-wkim/phd/blob/main/data/pdf/li_2015.pdf","Li et al., 2015")</f>
        <v>Li et al., 2015</v>
      </c>
      <c r="C410" s="9" t="s">
        <v>84</v>
      </c>
      <c r="D410" s="7" t="s">
        <v>385</v>
      </c>
      <c r="E410" s="9" t="s">
        <v>64</v>
      </c>
      <c r="F410" s="9">
        <v>32.0</v>
      </c>
      <c r="G410" s="20">
        <v>4.0</v>
      </c>
      <c r="H410" s="21">
        <f t="shared" si="213"/>
        <v>0.9091372901</v>
      </c>
      <c r="I410" s="15"/>
      <c r="J410" s="15"/>
      <c r="K410" s="15"/>
      <c r="L410" s="15"/>
      <c r="M410" s="15"/>
      <c r="N410" s="15"/>
      <c r="O410" s="9" t="s">
        <v>101</v>
      </c>
      <c r="P410" s="9" t="s">
        <v>101</v>
      </c>
      <c r="Q410" s="9" t="s">
        <v>101</v>
      </c>
      <c r="R410" s="9" t="s">
        <v>101</v>
      </c>
      <c r="S410" s="9" t="s">
        <v>101</v>
      </c>
      <c r="T410" s="9" t="s">
        <v>101</v>
      </c>
      <c r="U410" s="9" t="s">
        <v>101</v>
      </c>
      <c r="V410" s="15"/>
      <c r="W410" s="15"/>
      <c r="X410" s="15"/>
      <c r="Y410" s="15"/>
      <c r="Z410" s="15"/>
      <c r="AA410" s="15"/>
      <c r="AB410" s="15"/>
      <c r="AC410" s="15"/>
      <c r="AD410" s="15"/>
      <c r="AE410" s="19"/>
      <c r="AF410" s="19"/>
      <c r="AG410" s="7" t="s">
        <v>109</v>
      </c>
      <c r="AH410" s="13">
        <f>iferror(VLOOKUP($B410,covariates!$B$3:$Z$1126,6,FALSE),"")</f>
        <v>29.8</v>
      </c>
      <c r="AI410" s="13">
        <f>iferror(VLOOKUP($B410,covariates!$B$3:$Z$1126,7,FALSE),"")</f>
        <v>7.9</v>
      </c>
      <c r="AJ410" s="9">
        <f>iferror(VLOOKUP($B410,covariates!$B$3:$Z$1126,14,FALSE),"")</f>
        <v>17</v>
      </c>
      <c r="AK410" s="9">
        <f>iferror(VLOOKUP($B410,covariates!$B$3:$Z$1126,16,FALSE),"")</f>
        <v>15</v>
      </c>
      <c r="AL410" s="9">
        <f>iferror(VLOOKUP($B410,covariates!$B$3:$Z$1126,18,FALSE),"")</f>
        <v>69.6</v>
      </c>
      <c r="AM410" s="9">
        <f>iferror(VLOOKUP($B410,covariates!$B$3:$Z$1126,19,FALSE),"")</f>
        <v>5.8</v>
      </c>
    </row>
    <row r="411">
      <c r="A411" s="15">
        <v>51.0</v>
      </c>
      <c r="B411" s="17" t="str">
        <f t="shared" si="232"/>
        <v>Li et al., 2015</v>
      </c>
      <c r="C411" s="9" t="s">
        <v>205</v>
      </c>
      <c r="D411" s="7" t="s">
        <v>385</v>
      </c>
      <c r="E411" s="9" t="s">
        <v>64</v>
      </c>
      <c r="F411" s="9">
        <v>32.0</v>
      </c>
      <c r="G411" s="20">
        <v>9.0</v>
      </c>
      <c r="H411" s="21">
        <f t="shared" si="213"/>
        <v>2.336526755</v>
      </c>
      <c r="I411" s="15"/>
      <c r="J411" s="15"/>
      <c r="K411" s="15"/>
      <c r="L411" s="15"/>
      <c r="M411" s="15"/>
      <c r="N411" s="15"/>
      <c r="O411" s="9" t="s">
        <v>101</v>
      </c>
      <c r="P411" s="9" t="s">
        <v>101</v>
      </c>
      <c r="Q411" s="9" t="s">
        <v>101</v>
      </c>
      <c r="R411" s="9" t="s">
        <v>101</v>
      </c>
      <c r="S411" s="9" t="s">
        <v>101</v>
      </c>
      <c r="T411" s="9" t="s">
        <v>101</v>
      </c>
      <c r="U411" s="9" t="s">
        <v>101</v>
      </c>
      <c r="V411" s="19"/>
      <c r="W411" s="19"/>
      <c r="X411" s="19"/>
      <c r="Y411" s="19"/>
      <c r="Z411" s="19"/>
      <c r="AA411" s="19"/>
      <c r="AB411" s="19"/>
      <c r="AC411" s="19"/>
      <c r="AD411" s="19"/>
      <c r="AE411" s="19"/>
      <c r="AF411" s="19"/>
      <c r="AG411" s="7" t="s">
        <v>109</v>
      </c>
      <c r="AH411" s="13">
        <f>iferror(VLOOKUP($B411,covariates!$B$3:$Z$1126,6,FALSE),"")</f>
        <v>29.8</v>
      </c>
      <c r="AI411" s="13">
        <f>iferror(VLOOKUP($B411,covariates!$B$3:$Z$1126,7,FALSE),"")</f>
        <v>7.9</v>
      </c>
      <c r="AJ411" s="9">
        <f>iferror(VLOOKUP($B411,covariates!$B$3:$Z$1126,14,FALSE),"")</f>
        <v>17</v>
      </c>
      <c r="AK411" s="9">
        <f>iferror(VLOOKUP($B411,covariates!$B$3:$Z$1126,16,FALSE),"")</f>
        <v>15</v>
      </c>
      <c r="AL411" s="9">
        <f>iferror(VLOOKUP($B411,covariates!$B$3:$Z$1126,18,FALSE),"")</f>
        <v>69.6</v>
      </c>
      <c r="AM411" s="9">
        <f>iferror(VLOOKUP($B411,covariates!$B$3:$Z$1126,19,FALSE),"")</f>
        <v>5.8</v>
      </c>
    </row>
    <row r="412">
      <c r="A412" s="15">
        <v>53.0</v>
      </c>
      <c r="B412" s="17" t="str">
        <f t="shared" ref="B412:B413" si="233">HYPERLINK("https://github.com/d-wkim/phd/blob/main/data/pdf/lind_2020.pdf","Lind et al., 2020")</f>
        <v>Lind et al., 2020</v>
      </c>
      <c r="C412" s="9" t="s">
        <v>84</v>
      </c>
      <c r="D412" s="7" t="s">
        <v>385</v>
      </c>
      <c r="E412" s="9" t="s">
        <v>64</v>
      </c>
      <c r="F412" s="9">
        <v>49.0</v>
      </c>
      <c r="G412" s="20">
        <v>11.0</v>
      </c>
      <c r="H412" s="21">
        <f t="shared" si="213"/>
        <v>2.118421053</v>
      </c>
      <c r="I412" s="15"/>
      <c r="J412" s="15"/>
      <c r="K412" s="15"/>
      <c r="L412" s="15"/>
      <c r="M412" s="15"/>
      <c r="N412" s="15"/>
      <c r="O412" s="9" t="s">
        <v>101</v>
      </c>
      <c r="P412" s="9" t="s">
        <v>101</v>
      </c>
      <c r="Q412" s="9" t="s">
        <v>101</v>
      </c>
      <c r="R412" s="9" t="s">
        <v>101</v>
      </c>
      <c r="S412" s="9" t="s">
        <v>101</v>
      </c>
      <c r="T412" s="9" t="s">
        <v>101</v>
      </c>
      <c r="U412" s="9" t="s">
        <v>101</v>
      </c>
      <c r="V412" s="15"/>
      <c r="W412" s="15"/>
      <c r="X412" s="15"/>
      <c r="Y412" s="15"/>
      <c r="Z412" s="15"/>
      <c r="AA412" s="15"/>
      <c r="AB412" s="15"/>
      <c r="AC412" s="15"/>
      <c r="AD412" s="15"/>
      <c r="AE412" s="19"/>
      <c r="AF412" s="19"/>
      <c r="AG412" s="7" t="s">
        <v>109</v>
      </c>
      <c r="AH412" s="13">
        <f>iferror(VLOOKUP($B412,covariates!$B$3:$Z$1126,6,FALSE),"")</f>
        <v>27.1</v>
      </c>
      <c r="AI412" s="13">
        <f>iferror(VLOOKUP($B412,covariates!$B$3:$Z$1126,7,FALSE),"")</f>
        <v>6.1</v>
      </c>
      <c r="AJ412" s="9">
        <f>iferror(VLOOKUP($B412,covariates!$B$3:$Z$1126,14,FALSE),"")</f>
        <v>25</v>
      </c>
      <c r="AK412" s="9">
        <f>iferror(VLOOKUP($B412,covariates!$B$3:$Z$1126,16,FALSE),"")</f>
        <v>24</v>
      </c>
      <c r="AL412" s="9">
        <f>iferror(VLOOKUP($B412,covariates!$B$3:$Z$1126,18,FALSE),"")</f>
        <v>24</v>
      </c>
      <c r="AM412" s="9">
        <f>iferror(VLOOKUP($B412,covariates!$B$3:$Z$1126,19,FALSE),"")</f>
        <v>2</v>
      </c>
    </row>
    <row r="413">
      <c r="A413" s="15">
        <v>53.0</v>
      </c>
      <c r="B413" s="17" t="str">
        <f t="shared" si="233"/>
        <v>Lind et al., 2020</v>
      </c>
      <c r="C413" s="9" t="s">
        <v>200</v>
      </c>
      <c r="D413" s="7" t="s">
        <v>385</v>
      </c>
      <c r="E413" s="9" t="s">
        <v>64</v>
      </c>
      <c r="F413" s="9">
        <v>47.0</v>
      </c>
      <c r="G413" s="20">
        <v>8.0</v>
      </c>
      <c r="H413" s="21">
        <f t="shared" si="213"/>
        <v>1.494181131</v>
      </c>
      <c r="I413" s="15"/>
      <c r="J413" s="15"/>
      <c r="K413" s="15"/>
      <c r="L413" s="15"/>
      <c r="M413" s="15"/>
      <c r="N413" s="66"/>
      <c r="O413" s="9" t="s">
        <v>101</v>
      </c>
      <c r="P413" s="9" t="s">
        <v>101</v>
      </c>
      <c r="Q413" s="9" t="s">
        <v>101</v>
      </c>
      <c r="R413" s="9" t="s">
        <v>101</v>
      </c>
      <c r="S413" s="9" t="s">
        <v>101</v>
      </c>
      <c r="T413" s="9" t="s">
        <v>101</v>
      </c>
      <c r="U413" s="9" t="s">
        <v>101</v>
      </c>
      <c r="V413" s="107"/>
      <c r="W413" s="107"/>
      <c r="X413" s="19"/>
      <c r="Y413" s="19"/>
      <c r="Z413" s="19"/>
      <c r="AA413" s="19"/>
      <c r="AB413" s="19"/>
      <c r="AC413" s="19"/>
      <c r="AD413" s="19"/>
      <c r="AE413" s="19"/>
      <c r="AF413" s="19"/>
      <c r="AG413" s="7" t="s">
        <v>109</v>
      </c>
      <c r="AH413" s="13">
        <f>iferror(VLOOKUP($B413,covariates!$B$3:$Z$1126,6,FALSE),"")</f>
        <v>27.1</v>
      </c>
      <c r="AI413" s="13">
        <f>iferror(VLOOKUP($B413,covariates!$B$3:$Z$1126,7,FALSE),"")</f>
        <v>6.1</v>
      </c>
      <c r="AJ413" s="9">
        <f>iferror(VLOOKUP($B413,covariates!$B$3:$Z$1126,14,FALSE),"")</f>
        <v>25</v>
      </c>
      <c r="AK413" s="9">
        <f>iferror(VLOOKUP($B413,covariates!$B$3:$Z$1126,16,FALSE),"")</f>
        <v>24</v>
      </c>
      <c r="AL413" s="9">
        <f>iferror(VLOOKUP($B413,covariates!$B$3:$Z$1126,18,FALSE),"")</f>
        <v>24</v>
      </c>
      <c r="AM413" s="9">
        <f>iferror(VLOOKUP($B413,covariates!$B$3:$Z$1126,19,FALSE),"")</f>
        <v>2</v>
      </c>
    </row>
    <row r="414">
      <c r="A414" s="15">
        <v>54.0</v>
      </c>
      <c r="B414" s="17" t="str">
        <f t="shared" ref="B414:B415" si="234">HYPERLINK("https://github.com/d-wkim/phd/blob/main/data/pdf/lucidi_2025.pdf","Lucidi et al., 2025")</f>
        <v>Lucidi et al., 2025</v>
      </c>
      <c r="C414" s="9" t="s">
        <v>42</v>
      </c>
      <c r="D414" s="7" t="s">
        <v>385</v>
      </c>
      <c r="E414" s="9" t="s">
        <v>64</v>
      </c>
      <c r="F414" s="9">
        <v>19.0</v>
      </c>
      <c r="G414" s="20">
        <v>7.0</v>
      </c>
      <c r="H414" s="21">
        <f t="shared" si="213"/>
        <v>2.72431184</v>
      </c>
      <c r="I414" s="15"/>
      <c r="J414" s="15"/>
      <c r="K414" s="15"/>
      <c r="L414" s="15"/>
      <c r="M414" s="15"/>
      <c r="N414" s="15"/>
      <c r="O414" s="9" t="s">
        <v>101</v>
      </c>
      <c r="P414" s="9" t="s">
        <v>101</v>
      </c>
      <c r="Q414" s="9" t="s">
        <v>101</v>
      </c>
      <c r="R414" s="9" t="s">
        <v>101</v>
      </c>
      <c r="S414" s="9" t="s">
        <v>101</v>
      </c>
      <c r="T414" s="9" t="s">
        <v>101</v>
      </c>
      <c r="U414" s="9" t="s">
        <v>101</v>
      </c>
      <c r="V414" s="15"/>
      <c r="W414" s="15"/>
      <c r="X414" s="15"/>
      <c r="Y414" s="15"/>
      <c r="Z414" s="15"/>
      <c r="AA414" s="15"/>
      <c r="AB414" s="15"/>
      <c r="AC414" s="15"/>
      <c r="AD414" s="15"/>
      <c r="AE414" s="19"/>
      <c r="AF414" s="19"/>
      <c r="AG414" s="7" t="s">
        <v>109</v>
      </c>
      <c r="AH414" s="13">
        <f>iferror(VLOOKUP($B414,covariates!$B$3:$Z$1126,6,FALSE),"")</f>
        <v>52.8</v>
      </c>
      <c r="AI414" s="13">
        <f>iferror(VLOOKUP($B414,covariates!$B$3:$Z$1126,7,FALSE),"")</f>
        <v>7.3</v>
      </c>
      <c r="AJ414" s="9" t="str">
        <f>iferror(VLOOKUP($B414,covariates!$B$3:$Z$1126,14,FALSE),"")</f>
        <v/>
      </c>
      <c r="AK414" s="9" t="str">
        <f>iferror(VLOOKUP($B414,covariates!$B$3:$Z$1126,16,FALSE),"")</f>
        <v/>
      </c>
      <c r="AL414" s="9">
        <f>iferror(VLOOKUP($B414,covariates!$B$3:$Z$1126,18,FALSE),"")</f>
        <v>240</v>
      </c>
      <c r="AM414" s="9">
        <f>iferror(VLOOKUP($B414,covariates!$B$3:$Z$1126,19,FALSE),"")</f>
        <v>20</v>
      </c>
    </row>
    <row r="415">
      <c r="A415" s="15">
        <v>54.0</v>
      </c>
      <c r="B415" s="17" t="str">
        <f t="shared" si="234"/>
        <v>Lucidi et al., 2025</v>
      </c>
      <c r="C415" s="9" t="s">
        <v>84</v>
      </c>
      <c r="D415" s="7" t="s">
        <v>385</v>
      </c>
      <c r="E415" s="9" t="s">
        <v>64</v>
      </c>
      <c r="F415" s="9">
        <v>20.0</v>
      </c>
      <c r="G415" s="20">
        <v>5.0</v>
      </c>
      <c r="H415" s="21">
        <f t="shared" si="213"/>
        <v>1.639783183</v>
      </c>
      <c r="I415" s="15"/>
      <c r="J415" s="15"/>
      <c r="K415" s="15"/>
      <c r="L415" s="15"/>
      <c r="M415" s="15"/>
      <c r="N415" s="15"/>
      <c r="O415" s="9" t="s">
        <v>101</v>
      </c>
      <c r="P415" s="9" t="s">
        <v>101</v>
      </c>
      <c r="Q415" s="9" t="s">
        <v>101</v>
      </c>
      <c r="R415" s="9" t="s">
        <v>101</v>
      </c>
      <c r="S415" s="9" t="s">
        <v>101</v>
      </c>
      <c r="T415" s="9" t="s">
        <v>101</v>
      </c>
      <c r="U415" s="9" t="s">
        <v>101</v>
      </c>
      <c r="V415" s="15"/>
      <c r="W415" s="15"/>
      <c r="X415" s="15"/>
      <c r="Y415" s="15"/>
      <c r="Z415" s="15"/>
      <c r="AA415" s="15"/>
      <c r="AB415" s="15"/>
      <c r="AC415" s="15"/>
      <c r="AD415" s="15"/>
      <c r="AE415" s="19"/>
      <c r="AF415" s="19"/>
      <c r="AG415" s="7" t="s">
        <v>109</v>
      </c>
      <c r="AH415" s="13">
        <f>iferror(VLOOKUP($B415,covariates!$B$3:$Z$1126,6,FALSE),"")</f>
        <v>52.8</v>
      </c>
      <c r="AI415" s="13">
        <f>iferror(VLOOKUP($B415,covariates!$B$3:$Z$1126,7,FALSE),"")</f>
        <v>7.3</v>
      </c>
      <c r="AJ415" s="9" t="str">
        <f>iferror(VLOOKUP($B415,covariates!$B$3:$Z$1126,14,FALSE),"")</f>
        <v/>
      </c>
      <c r="AK415" s="9" t="str">
        <f>iferror(VLOOKUP($B415,covariates!$B$3:$Z$1126,16,FALSE),"")</f>
        <v/>
      </c>
      <c r="AL415" s="9">
        <f>iferror(VLOOKUP($B415,covariates!$B$3:$Z$1126,18,FALSE),"")</f>
        <v>240</v>
      </c>
      <c r="AM415" s="9">
        <f>iferror(VLOOKUP($B415,covariates!$B$3:$Z$1126,19,FALSE),"")</f>
        <v>20</v>
      </c>
    </row>
    <row r="416">
      <c r="A416" s="15">
        <v>56.0</v>
      </c>
      <c r="B416" s="17" t="str">
        <f t="shared" ref="B416:B417" si="235">HYPERLINK("https://github.com/d-wkim/phd/blob/main/data/pdf/lund_2014.pdf","Lund et al., 2014")</f>
        <v>Lund et al., 2014</v>
      </c>
      <c r="C416" s="9" t="s">
        <v>42</v>
      </c>
      <c r="D416" s="7" t="s">
        <v>385</v>
      </c>
      <c r="E416" s="9" t="s">
        <v>64</v>
      </c>
      <c r="F416" s="9">
        <v>18.0</v>
      </c>
      <c r="G416" s="20">
        <v>3.0</v>
      </c>
      <c r="H416" s="21">
        <f t="shared" si="213"/>
        <v>0.9899494937</v>
      </c>
      <c r="I416" s="15"/>
      <c r="J416" s="15"/>
      <c r="K416" s="15"/>
      <c r="L416" s="15"/>
      <c r="M416" s="15"/>
      <c r="N416" s="15"/>
      <c r="O416" s="9" t="s">
        <v>101</v>
      </c>
      <c r="P416" s="9" t="s">
        <v>101</v>
      </c>
      <c r="Q416" s="9" t="s">
        <v>101</v>
      </c>
      <c r="R416" s="9" t="s">
        <v>101</v>
      </c>
      <c r="S416" s="9" t="s">
        <v>101</v>
      </c>
      <c r="T416" s="9" t="s">
        <v>101</v>
      </c>
      <c r="U416" s="9" t="s">
        <v>101</v>
      </c>
      <c r="V416" s="15"/>
      <c r="W416" s="15"/>
      <c r="X416" s="15"/>
      <c r="Y416" s="15"/>
      <c r="Z416" s="15"/>
      <c r="AA416" s="15"/>
      <c r="AB416" s="15"/>
      <c r="AC416" s="15"/>
      <c r="AD416" s="15"/>
      <c r="AE416" s="19"/>
      <c r="AF416" s="19"/>
      <c r="AG416" s="7" t="s">
        <v>109</v>
      </c>
      <c r="AH416" s="13">
        <f>iferror(VLOOKUP($B416,covariates!$B$3:$Z$1126,6,FALSE),"")</f>
        <v>31</v>
      </c>
      <c r="AI416" s="13">
        <f>iferror(VLOOKUP($B416,covariates!$B$3:$Z$1126,7,FALSE),"")</f>
        <v>8</v>
      </c>
      <c r="AJ416" s="9">
        <f>iferror(VLOOKUP($B416,covariates!$B$3:$Z$1126,14,FALSE),"")</f>
        <v>15</v>
      </c>
      <c r="AK416" s="9">
        <f>iferror(VLOOKUP($B416,covariates!$B$3:$Z$1126,16,FALSE),"")</f>
        <v>3</v>
      </c>
      <c r="AL416" s="9">
        <f>iferror(VLOOKUP($B416,covariates!$B$3:$Z$1126,18,FALSE),"")</f>
        <v>24</v>
      </c>
      <c r="AM416" s="9">
        <f>iferror(VLOOKUP($B416,covariates!$B$3:$Z$1126,19,FALSE),"")</f>
        <v>2</v>
      </c>
    </row>
    <row r="417">
      <c r="A417" s="15">
        <v>56.0</v>
      </c>
      <c r="B417" s="17" t="str">
        <f t="shared" si="235"/>
        <v>Lund et al., 2014</v>
      </c>
      <c r="C417" s="9" t="s">
        <v>200</v>
      </c>
      <c r="D417" s="7" t="s">
        <v>385</v>
      </c>
      <c r="E417" s="9" t="s">
        <v>64</v>
      </c>
      <c r="F417" s="9">
        <v>21.0</v>
      </c>
      <c r="G417" s="20">
        <v>8.0</v>
      </c>
      <c r="H417" s="21">
        <f t="shared" si="213"/>
        <v>2.996299493</v>
      </c>
      <c r="I417" s="15"/>
      <c r="J417" s="15"/>
      <c r="K417" s="15"/>
      <c r="L417" s="15"/>
      <c r="M417" s="15"/>
      <c r="N417" s="15"/>
      <c r="O417" s="9" t="s">
        <v>101</v>
      </c>
      <c r="P417" s="9" t="s">
        <v>101</v>
      </c>
      <c r="Q417" s="9" t="s">
        <v>101</v>
      </c>
      <c r="R417" s="9" t="s">
        <v>101</v>
      </c>
      <c r="S417" s="9" t="s">
        <v>101</v>
      </c>
      <c r="T417" s="9" t="s">
        <v>101</v>
      </c>
      <c r="U417" s="9" t="s">
        <v>101</v>
      </c>
      <c r="V417" s="19"/>
      <c r="W417" s="19"/>
      <c r="X417" s="19"/>
      <c r="Y417" s="19"/>
      <c r="Z417" s="19"/>
      <c r="AA417" s="19"/>
      <c r="AB417" s="19"/>
      <c r="AC417" s="19"/>
      <c r="AD417" s="19"/>
      <c r="AE417" s="19"/>
      <c r="AF417" s="19"/>
      <c r="AG417" s="7" t="s">
        <v>109</v>
      </c>
      <c r="AH417" s="13">
        <f>iferror(VLOOKUP($B417,covariates!$B$3:$Z$1126,6,FALSE),"")</f>
        <v>31</v>
      </c>
      <c r="AI417" s="13">
        <f>iferror(VLOOKUP($B417,covariates!$B$3:$Z$1126,7,FALSE),"")</f>
        <v>8</v>
      </c>
      <c r="AJ417" s="9">
        <f>iferror(VLOOKUP($B417,covariates!$B$3:$Z$1126,14,FALSE),"")</f>
        <v>15</v>
      </c>
      <c r="AK417" s="9">
        <f>iferror(VLOOKUP($B417,covariates!$B$3:$Z$1126,16,FALSE),"")</f>
        <v>3</v>
      </c>
      <c r="AL417" s="9">
        <f>iferror(VLOOKUP($B417,covariates!$B$3:$Z$1126,18,FALSE),"")</f>
        <v>24</v>
      </c>
      <c r="AM417" s="9">
        <f>iferror(VLOOKUP($B417,covariates!$B$3:$Z$1126,19,FALSE),"")</f>
        <v>2</v>
      </c>
    </row>
    <row r="418">
      <c r="A418" s="15">
        <v>58.0</v>
      </c>
      <c r="B418" s="17" t="str">
        <f t="shared" ref="B418:B419" si="236">HYPERLINK("https://github.com/d-wkim/phd/blob/main/data/pdf/malik_2026.pdf","Malik et al., 2026")</f>
        <v>Malik et al., 2026</v>
      </c>
      <c r="C418" s="9" t="s">
        <v>84</v>
      </c>
      <c r="D418" s="7" t="s">
        <v>385</v>
      </c>
      <c r="E418" s="9" t="s">
        <v>64</v>
      </c>
      <c r="F418" s="9">
        <v>25.0</v>
      </c>
      <c r="G418" s="20">
        <v>4.0</v>
      </c>
      <c r="H418" s="21">
        <f t="shared" si="213"/>
        <v>1.071428571</v>
      </c>
      <c r="I418" s="15"/>
      <c r="J418" s="15"/>
      <c r="K418" s="15"/>
      <c r="L418" s="15"/>
      <c r="M418" s="15"/>
      <c r="N418" s="15"/>
      <c r="O418" s="9" t="s">
        <v>101</v>
      </c>
      <c r="P418" s="9" t="s">
        <v>101</v>
      </c>
      <c r="Q418" s="9" t="s">
        <v>101</v>
      </c>
      <c r="R418" s="9" t="s">
        <v>101</v>
      </c>
      <c r="S418" s="9" t="s">
        <v>101</v>
      </c>
      <c r="T418" s="9" t="s">
        <v>101</v>
      </c>
      <c r="U418" s="9" t="s">
        <v>101</v>
      </c>
      <c r="V418" s="15"/>
      <c r="W418" s="15"/>
      <c r="X418" s="15"/>
      <c r="Y418" s="15"/>
      <c r="Z418" s="15"/>
      <c r="AA418" s="15"/>
      <c r="AB418" s="15"/>
      <c r="AC418" s="15"/>
      <c r="AD418" s="15"/>
      <c r="AE418" s="19"/>
      <c r="AF418" s="19"/>
      <c r="AG418" s="7" t="s">
        <v>109</v>
      </c>
      <c r="AH418" s="13">
        <f>iferror(VLOOKUP($B418,covariates!$B$3:$Z$1126,6,FALSE),"")</f>
        <v>28.12</v>
      </c>
      <c r="AI418" s="13">
        <f>iferror(VLOOKUP($B418,covariates!$B$3:$Z$1126,7,FALSE),"")</f>
        <v>5.21</v>
      </c>
      <c r="AJ418" s="9">
        <f>iferror(VLOOKUP($B418,covariates!$B$3:$Z$1126,14,FALSE),"")</f>
        <v>18</v>
      </c>
      <c r="AK418" s="9">
        <f>iferror(VLOOKUP($B418,covariates!$B$3:$Z$1126,16,FALSE),"")</f>
        <v>7</v>
      </c>
      <c r="AL418" s="9">
        <f>iferror(VLOOKUP($B418,covariates!$B$3:$Z$1126,18,FALSE),"")</f>
        <v>6</v>
      </c>
      <c r="AM418" s="9">
        <f>iferror(VLOOKUP($B418,covariates!$B$3:$Z$1126,19,FALSE),"")</f>
        <v>0.5</v>
      </c>
    </row>
    <row r="419">
      <c r="A419" s="15">
        <v>58.0</v>
      </c>
      <c r="B419" s="17" t="str">
        <f t="shared" si="236"/>
        <v>Malik et al., 2026</v>
      </c>
      <c r="C419" s="9" t="s">
        <v>186</v>
      </c>
      <c r="D419" s="7" t="s">
        <v>385</v>
      </c>
      <c r="E419" s="9" t="s">
        <v>64</v>
      </c>
      <c r="F419" s="9">
        <v>25.0</v>
      </c>
      <c r="G419" s="20">
        <v>3.0</v>
      </c>
      <c r="H419" s="21">
        <f t="shared" si="213"/>
        <v>0.7954545455</v>
      </c>
      <c r="I419" s="15"/>
      <c r="J419" s="15"/>
      <c r="K419" s="15"/>
      <c r="L419" s="15"/>
      <c r="M419" s="15"/>
      <c r="N419" s="15"/>
      <c r="O419" s="9" t="s">
        <v>101</v>
      </c>
      <c r="P419" s="9" t="s">
        <v>101</v>
      </c>
      <c r="Q419" s="9" t="s">
        <v>101</v>
      </c>
      <c r="R419" s="9" t="s">
        <v>101</v>
      </c>
      <c r="S419" s="9" t="s">
        <v>101</v>
      </c>
      <c r="T419" s="9" t="s">
        <v>101</v>
      </c>
      <c r="U419" s="9" t="s">
        <v>101</v>
      </c>
      <c r="V419" s="19"/>
      <c r="W419" s="19"/>
      <c r="X419" s="19"/>
      <c r="Y419" s="19"/>
      <c r="Z419" s="19"/>
      <c r="AA419" s="19"/>
      <c r="AB419" s="19"/>
      <c r="AC419" s="19"/>
      <c r="AD419" s="19"/>
      <c r="AE419" s="19"/>
      <c r="AF419" s="19"/>
      <c r="AG419" s="7" t="s">
        <v>109</v>
      </c>
      <c r="AH419" s="13">
        <f>iferror(VLOOKUP($B419,covariates!$B$3:$Z$1126,6,FALSE),"")</f>
        <v>28.12</v>
      </c>
      <c r="AI419" s="13">
        <f>iferror(VLOOKUP($B419,covariates!$B$3:$Z$1126,7,FALSE),"")</f>
        <v>5.21</v>
      </c>
      <c r="AJ419" s="9">
        <f>iferror(VLOOKUP($B419,covariates!$B$3:$Z$1126,14,FALSE),"")</f>
        <v>18</v>
      </c>
      <c r="AK419" s="9">
        <f>iferror(VLOOKUP($B419,covariates!$B$3:$Z$1126,16,FALSE),"")</f>
        <v>7</v>
      </c>
      <c r="AL419" s="9">
        <f>iferror(VLOOKUP($B419,covariates!$B$3:$Z$1126,18,FALSE),"")</f>
        <v>6</v>
      </c>
      <c r="AM419" s="9">
        <f>iferror(VLOOKUP($B419,covariates!$B$3:$Z$1126,19,FALSE),"")</f>
        <v>0.5</v>
      </c>
    </row>
    <row r="420">
      <c r="A420" s="15">
        <v>67.0</v>
      </c>
      <c r="B420" s="17" t="str">
        <f t="shared" ref="B420:B421" si="237">HYPERLINK("https://github.com/d-wkim/phd/blob/main/data/pdf/mohtadi_chan_2019.pdf","Mohtadi &amp; Chan, 2019")</f>
        <v>Mohtadi &amp; Chan, 2019</v>
      </c>
      <c r="C420" s="7" t="s">
        <v>42</v>
      </c>
      <c r="D420" s="7" t="s">
        <v>385</v>
      </c>
      <c r="E420" s="9" t="s">
        <v>64</v>
      </c>
      <c r="F420" s="15"/>
      <c r="G420" s="27"/>
      <c r="H420" s="21" t="str">
        <f t="shared" si="213"/>
        <v/>
      </c>
      <c r="I420" s="15"/>
      <c r="J420" s="15"/>
      <c r="K420" s="15"/>
      <c r="L420" s="15"/>
      <c r="M420" s="15"/>
      <c r="N420" s="15"/>
      <c r="O420" s="9" t="s">
        <v>101</v>
      </c>
      <c r="P420" s="9" t="s">
        <v>101</v>
      </c>
      <c r="Q420" s="9" t="s">
        <v>101</v>
      </c>
      <c r="R420" s="9" t="s">
        <v>101</v>
      </c>
      <c r="S420" s="9" t="s">
        <v>101</v>
      </c>
      <c r="T420" s="9" t="s">
        <v>101</v>
      </c>
      <c r="U420" s="9" t="s">
        <v>101</v>
      </c>
      <c r="V420" s="15"/>
      <c r="W420" s="15"/>
      <c r="X420" s="15"/>
      <c r="Y420" s="15"/>
      <c r="Z420" s="15"/>
      <c r="AA420" s="15"/>
      <c r="AB420" s="15"/>
      <c r="AC420" s="15"/>
      <c r="AD420" s="15"/>
      <c r="AE420" s="19"/>
      <c r="AF420" s="19"/>
      <c r="AG420" s="7" t="s">
        <v>174</v>
      </c>
      <c r="AH420" s="13" t="str">
        <f>iferror(VLOOKUP($B420,covariates!$B$3:$Z$1126,6,FALSE),"")</f>
        <v/>
      </c>
      <c r="AI420" s="13" t="str">
        <f>iferror(VLOOKUP($B420,covariates!$B$3:$Z$1126,7,FALSE),"")</f>
        <v/>
      </c>
      <c r="AJ420" s="9" t="str">
        <f>iferror(VLOOKUP($B420,covariates!$B$3:$Z$1126,14,FALSE),"")</f>
        <v/>
      </c>
      <c r="AK420" s="9" t="str">
        <f>iferror(VLOOKUP($B420,covariates!$B$3:$Z$1126,16,FALSE),"")</f>
        <v/>
      </c>
      <c r="AL420" s="9" t="str">
        <f>iferror(VLOOKUP($B420,covariates!$B$3:$Z$1126,18,FALSE),"")</f>
        <v/>
      </c>
      <c r="AM420" s="9" t="str">
        <f>iferror(VLOOKUP($B420,covariates!$B$3:$Z$1126,19,FALSE),"")</f>
        <v/>
      </c>
    </row>
    <row r="421">
      <c r="A421" s="15">
        <v>67.0</v>
      </c>
      <c r="B421" s="17" t="str">
        <f t="shared" si="237"/>
        <v>Mohtadi &amp; Chan, 2019</v>
      </c>
      <c r="C421" s="7" t="s">
        <v>84</v>
      </c>
      <c r="D421" s="7" t="s">
        <v>385</v>
      </c>
      <c r="E421" s="9" t="s">
        <v>64</v>
      </c>
      <c r="F421" s="15"/>
      <c r="G421" s="27"/>
      <c r="H421" s="21" t="str">
        <f t="shared" si="213"/>
        <v/>
      </c>
      <c r="I421" s="15"/>
      <c r="J421" s="15"/>
      <c r="K421" s="15"/>
      <c r="L421" s="15"/>
      <c r="M421" s="15"/>
      <c r="N421" s="15"/>
      <c r="O421" s="9" t="s">
        <v>101</v>
      </c>
      <c r="P421" s="9" t="s">
        <v>101</v>
      </c>
      <c r="Q421" s="9" t="s">
        <v>101</v>
      </c>
      <c r="R421" s="9" t="s">
        <v>101</v>
      </c>
      <c r="S421" s="9" t="s">
        <v>101</v>
      </c>
      <c r="T421" s="9" t="s">
        <v>101</v>
      </c>
      <c r="U421" s="9" t="s">
        <v>101</v>
      </c>
      <c r="V421" s="15"/>
      <c r="W421" s="15"/>
      <c r="X421" s="15"/>
      <c r="Y421" s="15"/>
      <c r="Z421" s="15"/>
      <c r="AA421" s="15"/>
      <c r="AB421" s="15"/>
      <c r="AC421" s="15"/>
      <c r="AD421" s="15"/>
      <c r="AE421" s="19"/>
      <c r="AF421" s="19"/>
      <c r="AG421" s="7" t="s">
        <v>174</v>
      </c>
      <c r="AH421" s="13" t="str">
        <f>iferror(VLOOKUP($B421,covariates!$B$3:$Z$1126,6,FALSE),"")</f>
        <v/>
      </c>
      <c r="AI421" s="13" t="str">
        <f>iferror(VLOOKUP($B421,covariates!$B$3:$Z$1126,7,FALSE),"")</f>
        <v/>
      </c>
      <c r="AJ421" s="9" t="str">
        <f>iferror(VLOOKUP($B421,covariates!$B$3:$Z$1126,14,FALSE),"")</f>
        <v/>
      </c>
      <c r="AK421" s="9" t="str">
        <f>iferror(VLOOKUP($B421,covariates!$B$3:$Z$1126,16,FALSE),"")</f>
        <v/>
      </c>
      <c r="AL421" s="9" t="str">
        <f>iferror(VLOOKUP($B421,covariates!$B$3:$Z$1126,18,FALSE),"")</f>
        <v/>
      </c>
      <c r="AM421" s="9" t="str">
        <f>iferror(VLOOKUP($B421,covariates!$B$3:$Z$1126,19,FALSE),"")</f>
        <v/>
      </c>
    </row>
    <row r="422">
      <c r="A422" s="15">
        <v>70.0</v>
      </c>
      <c r="B422" s="17" t="str">
        <f t="shared" ref="B422:B423" si="238">HYPERLINK("https://github.com/d-wkim/phd/blob/main/data/pdf/noh_2011.pdf","Noh et al., 2011")</f>
        <v>Noh et al., 2011</v>
      </c>
      <c r="C422" s="9" t="s">
        <v>84</v>
      </c>
      <c r="D422" s="7" t="s">
        <v>385</v>
      </c>
      <c r="E422" s="9" t="s">
        <v>64</v>
      </c>
      <c r="F422" s="9">
        <v>33.0</v>
      </c>
      <c r="G422" s="20">
        <v>6.0</v>
      </c>
      <c r="H422" s="21">
        <f t="shared" si="213"/>
        <v>1.382950267</v>
      </c>
      <c r="I422" s="15"/>
      <c r="J422" s="15"/>
      <c r="K422" s="15"/>
      <c r="L422" s="15"/>
      <c r="M422" s="15"/>
      <c r="N422" s="15"/>
      <c r="O422" s="9" t="s">
        <v>101</v>
      </c>
      <c r="P422" s="9" t="s">
        <v>101</v>
      </c>
      <c r="Q422" s="9" t="s">
        <v>101</v>
      </c>
      <c r="R422" s="9" t="s">
        <v>101</v>
      </c>
      <c r="S422" s="9" t="s">
        <v>101</v>
      </c>
      <c r="T422" s="9" t="s">
        <v>101</v>
      </c>
      <c r="U422" s="9" t="s">
        <v>101</v>
      </c>
      <c r="V422" s="15"/>
      <c r="W422" s="15"/>
      <c r="X422" s="15"/>
      <c r="Y422" s="15"/>
      <c r="Z422" s="15"/>
      <c r="AA422" s="15"/>
      <c r="AB422" s="15"/>
      <c r="AC422" s="15"/>
      <c r="AD422" s="15"/>
      <c r="AE422" s="19"/>
      <c r="AF422" s="19"/>
      <c r="AG422" s="7" t="s">
        <v>109</v>
      </c>
      <c r="AH422" s="13">
        <f>iferror(VLOOKUP($B422,covariates!$B$3:$Z$1126,6,FALSE),"")</f>
        <v>25.81397443</v>
      </c>
      <c r="AI422" s="13">
        <f>iferror(VLOOKUP($B422,covariates!$B$3:$Z$1126,7,FALSE),"")</f>
        <v>7.455</v>
      </c>
      <c r="AJ422" s="9">
        <f>iferror(VLOOKUP($B422,covariates!$B$3:$Z$1126,14,FALSE),"")</f>
        <v>30</v>
      </c>
      <c r="AK422" s="9">
        <f>iferror(VLOOKUP($B422,covariates!$B$3:$Z$1126,16,FALSE),"")</f>
        <v>3</v>
      </c>
      <c r="AL422" s="9">
        <f>iferror(VLOOKUP($B422,covariates!$B$3:$Z$1126,18,FALSE),"")</f>
        <v>28.1</v>
      </c>
      <c r="AM422" s="9">
        <f>iferror(VLOOKUP($B422,covariates!$B$3:$Z$1126,19,FALSE),"")</f>
        <v>2.3</v>
      </c>
    </row>
    <row r="423">
      <c r="A423" s="15">
        <v>70.0</v>
      </c>
      <c r="B423" s="17" t="str">
        <f t="shared" si="238"/>
        <v>Noh et al., 2011</v>
      </c>
      <c r="C423" s="9" t="s">
        <v>246</v>
      </c>
      <c r="D423" s="7" t="s">
        <v>385</v>
      </c>
      <c r="E423" s="9" t="s">
        <v>64</v>
      </c>
      <c r="F423" s="9">
        <v>32.0</v>
      </c>
      <c r="G423" s="20">
        <v>6.0</v>
      </c>
      <c r="H423" s="21">
        <f t="shared" si="213"/>
        <v>1.414213562</v>
      </c>
      <c r="I423" s="15"/>
      <c r="J423" s="15"/>
      <c r="K423" s="15"/>
      <c r="L423" s="15"/>
      <c r="M423" s="15"/>
      <c r="N423" s="15"/>
      <c r="O423" s="9" t="s">
        <v>101</v>
      </c>
      <c r="P423" s="9" t="s">
        <v>101</v>
      </c>
      <c r="Q423" s="9" t="s">
        <v>101</v>
      </c>
      <c r="R423" s="9" t="s">
        <v>101</v>
      </c>
      <c r="S423" s="9" t="s">
        <v>101</v>
      </c>
      <c r="T423" s="9" t="s">
        <v>101</v>
      </c>
      <c r="U423" s="9" t="s">
        <v>101</v>
      </c>
      <c r="V423" s="15"/>
      <c r="W423" s="15"/>
      <c r="X423" s="15"/>
      <c r="Y423" s="15"/>
      <c r="Z423" s="15"/>
      <c r="AA423" s="15"/>
      <c r="AB423" s="15"/>
      <c r="AC423" s="15"/>
      <c r="AD423" s="15"/>
      <c r="AE423" s="19"/>
      <c r="AF423" s="19"/>
      <c r="AG423" s="7" t="s">
        <v>109</v>
      </c>
      <c r="AH423" s="13">
        <f>iferror(VLOOKUP($B423,covariates!$B$3:$Z$1126,6,FALSE),"")</f>
        <v>25.81397443</v>
      </c>
      <c r="AI423" s="13">
        <f>iferror(VLOOKUP($B423,covariates!$B$3:$Z$1126,7,FALSE),"")</f>
        <v>7.455</v>
      </c>
      <c r="AJ423" s="9">
        <f>iferror(VLOOKUP($B423,covariates!$B$3:$Z$1126,14,FALSE),"")</f>
        <v>30</v>
      </c>
      <c r="AK423" s="9">
        <f>iferror(VLOOKUP($B423,covariates!$B$3:$Z$1126,16,FALSE),"")</f>
        <v>3</v>
      </c>
      <c r="AL423" s="9">
        <f>iferror(VLOOKUP($B423,covariates!$B$3:$Z$1126,18,FALSE),"")</f>
        <v>28.1</v>
      </c>
      <c r="AM423" s="9">
        <f>iferror(VLOOKUP($B423,covariates!$B$3:$Z$1126,19,FALSE),"")</f>
        <v>2.3</v>
      </c>
    </row>
    <row r="424">
      <c r="A424" s="15">
        <v>76.0</v>
      </c>
      <c r="B424" s="17" t="str">
        <f t="shared" ref="B424:B425" si="239">HYPERLINK("https://github.com/d-wkim/phd/blob/main/data/pdf/pinczewski_2007.pdf","Pinczewski et al., 2007")</f>
        <v>Pinczewski et al., 2007</v>
      </c>
      <c r="C424" s="9" t="s">
        <v>42</v>
      </c>
      <c r="D424" s="7" t="s">
        <v>385</v>
      </c>
      <c r="E424" s="9" t="s">
        <v>64</v>
      </c>
      <c r="F424" s="9">
        <v>53.0</v>
      </c>
      <c r="G424" s="20">
        <v>5.0</v>
      </c>
      <c r="H424" s="21">
        <f t="shared" si="213"/>
        <v>0.8341792581</v>
      </c>
      <c r="I424" s="15"/>
      <c r="J424" s="15"/>
      <c r="K424" s="15"/>
      <c r="L424" s="15"/>
      <c r="M424" s="15"/>
      <c r="N424" s="15"/>
      <c r="O424" s="9" t="s">
        <v>101</v>
      </c>
      <c r="P424" s="9" t="s">
        <v>101</v>
      </c>
      <c r="Q424" s="9" t="s">
        <v>101</v>
      </c>
      <c r="R424" s="9" t="s">
        <v>101</v>
      </c>
      <c r="S424" s="9" t="s">
        <v>101</v>
      </c>
      <c r="T424" s="9" t="s">
        <v>101</v>
      </c>
      <c r="U424" s="9" t="s">
        <v>101</v>
      </c>
      <c r="V424" s="15"/>
      <c r="W424" s="15"/>
      <c r="X424" s="15"/>
      <c r="Y424" s="15"/>
      <c r="Z424" s="15"/>
      <c r="AA424" s="15"/>
      <c r="AB424" s="15"/>
      <c r="AC424" s="15"/>
      <c r="AD424" s="15"/>
      <c r="AE424" s="19"/>
      <c r="AF424" s="19"/>
      <c r="AG424" s="7" t="s">
        <v>109</v>
      </c>
      <c r="AH424" s="13">
        <f>iferror(VLOOKUP($B424,covariates!$B$3:$Z$1126,6,FALSE),"")</f>
        <v>25</v>
      </c>
      <c r="AI424" s="13">
        <f>iferror(VLOOKUP($B424,covariates!$B$3:$Z$1126,7,FALSE),"")</f>
        <v>5.485</v>
      </c>
      <c r="AJ424" s="9">
        <f>iferror(VLOOKUP($B424,covariates!$B$3:$Z$1126,14,FALSE),"")</f>
        <v>48</v>
      </c>
      <c r="AK424" s="9">
        <f>iferror(VLOOKUP($B424,covariates!$B$3:$Z$1126,16,FALSE),"")</f>
        <v>42</v>
      </c>
      <c r="AL424" s="9">
        <f>iferror(VLOOKUP($B424,covariates!$B$3:$Z$1126,18,FALSE),"")</f>
        <v>120</v>
      </c>
      <c r="AM424" s="9">
        <f>iferror(VLOOKUP($B424,covariates!$B$3:$Z$1126,19,FALSE),"")</f>
        <v>10</v>
      </c>
    </row>
    <row r="425">
      <c r="A425" s="15">
        <v>76.0</v>
      </c>
      <c r="B425" s="17" t="str">
        <f t="shared" si="239"/>
        <v>Pinczewski et al., 2007</v>
      </c>
      <c r="C425" s="9" t="s">
        <v>84</v>
      </c>
      <c r="D425" s="7" t="s">
        <v>385</v>
      </c>
      <c r="E425" s="9" t="s">
        <v>64</v>
      </c>
      <c r="F425" s="9">
        <v>58.0</v>
      </c>
      <c r="G425" s="20">
        <v>8.0</v>
      </c>
      <c r="H425" s="21">
        <f t="shared" si="213"/>
        <v>1.294681428</v>
      </c>
      <c r="I425" s="15"/>
      <c r="J425" s="15"/>
      <c r="K425" s="15"/>
      <c r="L425" s="15"/>
      <c r="M425" s="15"/>
      <c r="N425" s="15"/>
      <c r="O425" s="9" t="s">
        <v>101</v>
      </c>
      <c r="P425" s="9" t="s">
        <v>101</v>
      </c>
      <c r="Q425" s="9" t="s">
        <v>101</v>
      </c>
      <c r="R425" s="9" t="s">
        <v>101</v>
      </c>
      <c r="S425" s="9" t="s">
        <v>101</v>
      </c>
      <c r="T425" s="9" t="s">
        <v>101</v>
      </c>
      <c r="U425" s="9" t="s">
        <v>101</v>
      </c>
      <c r="V425" s="15"/>
      <c r="W425" s="15"/>
      <c r="X425" s="15"/>
      <c r="Y425" s="15"/>
      <c r="Z425" s="15"/>
      <c r="AA425" s="15"/>
      <c r="AB425" s="15"/>
      <c r="AC425" s="15"/>
      <c r="AD425" s="15"/>
      <c r="AE425" s="19"/>
      <c r="AF425" s="19"/>
      <c r="AG425" s="7" t="s">
        <v>109</v>
      </c>
      <c r="AH425" s="13">
        <f>iferror(VLOOKUP($B425,covariates!$B$3:$Z$1126,6,FALSE),"")</f>
        <v>25</v>
      </c>
      <c r="AI425" s="13">
        <f>iferror(VLOOKUP($B425,covariates!$B$3:$Z$1126,7,FALSE),"")</f>
        <v>5.485</v>
      </c>
      <c r="AJ425" s="9">
        <f>iferror(VLOOKUP($B425,covariates!$B$3:$Z$1126,14,FALSE),"")</f>
        <v>48</v>
      </c>
      <c r="AK425" s="9">
        <f>iferror(VLOOKUP($B425,covariates!$B$3:$Z$1126,16,FALSE),"")</f>
        <v>42</v>
      </c>
      <c r="AL425" s="9">
        <f>iferror(VLOOKUP($B425,covariates!$B$3:$Z$1126,18,FALSE),"")</f>
        <v>120</v>
      </c>
      <c r="AM425" s="9">
        <f>iferror(VLOOKUP($B425,covariates!$B$3:$Z$1126,19,FALSE),"")</f>
        <v>10</v>
      </c>
    </row>
    <row r="426">
      <c r="A426" s="15">
        <v>77.0</v>
      </c>
      <c r="B426" s="17" t="str">
        <f t="shared" ref="B426:B427" si="240">HYPERLINK("https://github.com/d-wkim/phd/blob/main/data/pdf/popovic_2024.pdf","Popovic et al., 2024")</f>
        <v>Popovic et al., 2024</v>
      </c>
      <c r="C426" s="9" t="s">
        <v>42</v>
      </c>
      <c r="D426" s="7" t="s">
        <v>385</v>
      </c>
      <c r="E426" s="9" t="s">
        <v>64</v>
      </c>
      <c r="F426" s="9">
        <v>38.0</v>
      </c>
      <c r="G426" s="20">
        <v>1.0</v>
      </c>
      <c r="H426" s="21">
        <f t="shared" si="213"/>
        <v>0.2499086758</v>
      </c>
      <c r="I426" s="15"/>
      <c r="J426" s="15"/>
      <c r="K426" s="15"/>
      <c r="L426" s="15"/>
      <c r="M426" s="15"/>
      <c r="N426" s="15"/>
      <c r="O426" s="9" t="s">
        <v>101</v>
      </c>
      <c r="P426" s="9" t="s">
        <v>101</v>
      </c>
      <c r="Q426" s="9" t="s">
        <v>101</v>
      </c>
      <c r="R426" s="9" t="s">
        <v>101</v>
      </c>
      <c r="S426" s="9" t="s">
        <v>101</v>
      </c>
      <c r="T426" s="9" t="s">
        <v>101</v>
      </c>
      <c r="U426" s="9" t="s">
        <v>101</v>
      </c>
      <c r="V426" s="15"/>
      <c r="W426" s="15"/>
      <c r="X426" s="15"/>
      <c r="Y426" s="15"/>
      <c r="Z426" s="15"/>
      <c r="AA426" s="15"/>
      <c r="AB426" s="15"/>
      <c r="AC426" s="15"/>
      <c r="AD426" s="15"/>
      <c r="AE426" s="19"/>
      <c r="AF426" s="19"/>
      <c r="AG426" s="7" t="s">
        <v>109</v>
      </c>
      <c r="AH426" s="13">
        <f>iferror(VLOOKUP($B426,covariates!$B$3:$Z$1126,6,FALSE),"")</f>
        <v>27</v>
      </c>
      <c r="AI426" s="13">
        <f>iferror(VLOOKUP($B426,covariates!$B$3:$Z$1126,7,FALSE),"")</f>
        <v>6.82</v>
      </c>
      <c r="AJ426" s="9" t="str">
        <f>iferror(VLOOKUP($B426,covariates!$B$3:$Z$1126,14,FALSE),"")</f>
        <v/>
      </c>
      <c r="AK426" s="9" t="str">
        <f>iferror(VLOOKUP($B426,covariates!$B$3:$Z$1126,16,FALSE),"")</f>
        <v/>
      </c>
      <c r="AL426" s="9">
        <f>iferror(VLOOKUP($B426,covariates!$B$3:$Z$1126,18,FALSE),"")</f>
        <v>228</v>
      </c>
      <c r="AM426" s="9">
        <f>iferror(VLOOKUP($B426,covariates!$B$3:$Z$1126,19,FALSE),"")</f>
        <v>19</v>
      </c>
    </row>
    <row r="427">
      <c r="A427" s="15">
        <v>77.0</v>
      </c>
      <c r="B427" s="17" t="str">
        <f t="shared" si="240"/>
        <v>Popovic et al., 2024</v>
      </c>
      <c r="C427" s="9" t="s">
        <v>84</v>
      </c>
      <c r="D427" s="7" t="s">
        <v>385</v>
      </c>
      <c r="E427" s="9" t="s">
        <v>64</v>
      </c>
      <c r="F427" s="9">
        <v>33.0</v>
      </c>
      <c r="G427" s="20">
        <v>3.0</v>
      </c>
      <c r="H427" s="21">
        <f t="shared" si="213"/>
        <v>0.6701989754</v>
      </c>
      <c r="I427" s="15"/>
      <c r="J427" s="15"/>
      <c r="K427" s="15"/>
      <c r="L427" s="15"/>
      <c r="M427" s="15"/>
      <c r="N427" s="15"/>
      <c r="O427" s="9" t="s">
        <v>101</v>
      </c>
      <c r="P427" s="9" t="s">
        <v>101</v>
      </c>
      <c r="Q427" s="9" t="s">
        <v>101</v>
      </c>
      <c r="R427" s="9" t="s">
        <v>101</v>
      </c>
      <c r="S427" s="9" t="s">
        <v>101</v>
      </c>
      <c r="T427" s="9" t="s">
        <v>101</v>
      </c>
      <c r="U427" s="9" t="s">
        <v>101</v>
      </c>
      <c r="V427" s="15"/>
      <c r="W427" s="15"/>
      <c r="X427" s="15"/>
      <c r="Y427" s="15"/>
      <c r="Z427" s="15"/>
      <c r="AA427" s="15"/>
      <c r="AB427" s="15"/>
      <c r="AC427" s="15"/>
      <c r="AD427" s="15"/>
      <c r="AE427" s="19"/>
      <c r="AF427" s="19"/>
      <c r="AG427" s="7" t="s">
        <v>109</v>
      </c>
      <c r="AH427" s="13">
        <f>iferror(VLOOKUP($B427,covariates!$B$3:$Z$1126,6,FALSE),"")</f>
        <v>27</v>
      </c>
      <c r="AI427" s="13">
        <f>iferror(VLOOKUP($B427,covariates!$B$3:$Z$1126,7,FALSE),"")</f>
        <v>6.82</v>
      </c>
      <c r="AJ427" s="9" t="str">
        <f>iferror(VLOOKUP($B427,covariates!$B$3:$Z$1126,14,FALSE),"")</f>
        <v/>
      </c>
      <c r="AK427" s="9" t="str">
        <f>iferror(VLOOKUP($B427,covariates!$B$3:$Z$1126,16,FALSE),"")</f>
        <v/>
      </c>
      <c r="AL427" s="9">
        <f>iferror(VLOOKUP($B427,covariates!$B$3:$Z$1126,18,FALSE),"")</f>
        <v>228</v>
      </c>
      <c r="AM427" s="9">
        <f>iferror(VLOOKUP($B427,covariates!$B$3:$Z$1126,19,FALSE),"")</f>
        <v>19</v>
      </c>
    </row>
    <row r="428">
      <c r="A428" s="15">
        <v>82.0</v>
      </c>
      <c r="B428" s="17" t="str">
        <f t="shared" ref="B428:B429" si="241">HYPERLINK("https://github.com/d-wkim/phd/blob/main/data/pdf/sajovic_2018.pdf","Sajovic et al., 2018")</f>
        <v>Sajovic et al., 2018</v>
      </c>
      <c r="C428" s="9" t="s">
        <v>42</v>
      </c>
      <c r="D428" s="7" t="s">
        <v>385</v>
      </c>
      <c r="E428" s="9" t="s">
        <v>64</v>
      </c>
      <c r="F428" s="9">
        <v>24.0</v>
      </c>
      <c r="G428" s="20">
        <v>6.0</v>
      </c>
      <c r="H428" s="21">
        <f t="shared" si="213"/>
        <v>1.769075925</v>
      </c>
      <c r="I428" s="15"/>
      <c r="J428" s="15"/>
      <c r="K428" s="15"/>
      <c r="L428" s="15"/>
      <c r="M428" s="15"/>
      <c r="N428" s="15"/>
      <c r="O428" s="9" t="s">
        <v>101</v>
      </c>
      <c r="P428" s="9" t="s">
        <v>101</v>
      </c>
      <c r="Q428" s="9" t="s">
        <v>101</v>
      </c>
      <c r="R428" s="9" t="s">
        <v>101</v>
      </c>
      <c r="S428" s="9" t="s">
        <v>101</v>
      </c>
      <c r="T428" s="9" t="s">
        <v>101</v>
      </c>
      <c r="U428" s="9" t="s">
        <v>101</v>
      </c>
      <c r="V428" s="15"/>
      <c r="W428" s="15"/>
      <c r="X428" s="15"/>
      <c r="Y428" s="15"/>
      <c r="Z428" s="15"/>
      <c r="AA428" s="15"/>
      <c r="AB428" s="15"/>
      <c r="AC428" s="15"/>
      <c r="AD428" s="15"/>
      <c r="AE428" s="19"/>
      <c r="AF428" s="19"/>
      <c r="AG428" s="7" t="s">
        <v>109</v>
      </c>
      <c r="AH428" s="13">
        <f>iferror(VLOOKUP($B428,covariates!$B$3:$Z$1126,6,FALSE),"")</f>
        <v>45.5</v>
      </c>
      <c r="AI428" s="13">
        <f>iferror(VLOOKUP($B428,covariates!$B$3:$Z$1126,7,FALSE),"")</f>
        <v>8.7</v>
      </c>
      <c r="AJ428" s="9">
        <f>iferror(VLOOKUP($B428,covariates!$B$3:$Z$1126,14,FALSE),"")</f>
        <v>15</v>
      </c>
      <c r="AK428" s="9">
        <f>iferror(VLOOKUP($B428,covariates!$B$3:$Z$1126,16,FALSE),"")</f>
        <v>9</v>
      </c>
      <c r="AL428" s="9">
        <f>iferror(VLOOKUP($B428,covariates!$B$3:$Z$1126,18,FALSE),"")</f>
        <v>204</v>
      </c>
      <c r="AM428" s="9">
        <f>iferror(VLOOKUP($B428,covariates!$B$3:$Z$1126,19,FALSE),"")</f>
        <v>17</v>
      </c>
    </row>
    <row r="429">
      <c r="A429" s="15">
        <v>82.0</v>
      </c>
      <c r="B429" s="17" t="str">
        <f t="shared" si="241"/>
        <v>Sajovic et al., 2018</v>
      </c>
      <c r="C429" s="9" t="s">
        <v>84</v>
      </c>
      <c r="D429" s="7" t="s">
        <v>385</v>
      </c>
      <c r="E429" s="9" t="s">
        <v>64</v>
      </c>
      <c r="F429" s="9">
        <v>24.0</v>
      </c>
      <c r="G429" s="20">
        <v>5.0</v>
      </c>
      <c r="H429" s="21">
        <f t="shared" si="213"/>
        <v>1.418125641</v>
      </c>
      <c r="I429" s="15"/>
      <c r="J429" s="15"/>
      <c r="K429" s="15"/>
      <c r="L429" s="15"/>
      <c r="M429" s="15"/>
      <c r="N429" s="15"/>
      <c r="O429" s="9" t="s">
        <v>101</v>
      </c>
      <c r="P429" s="9" t="s">
        <v>101</v>
      </c>
      <c r="Q429" s="9" t="s">
        <v>101</v>
      </c>
      <c r="R429" s="9" t="s">
        <v>101</v>
      </c>
      <c r="S429" s="9" t="s">
        <v>101</v>
      </c>
      <c r="T429" s="9" t="s">
        <v>101</v>
      </c>
      <c r="U429" s="9" t="s">
        <v>101</v>
      </c>
      <c r="V429" s="15"/>
      <c r="W429" s="15"/>
      <c r="X429" s="15"/>
      <c r="Y429" s="15"/>
      <c r="Z429" s="15"/>
      <c r="AA429" s="15"/>
      <c r="AB429" s="15"/>
      <c r="AC429" s="15"/>
      <c r="AD429" s="15"/>
      <c r="AE429" s="19"/>
      <c r="AF429" s="19"/>
      <c r="AG429" s="7" t="s">
        <v>109</v>
      </c>
      <c r="AH429" s="13">
        <f>iferror(VLOOKUP($B429,covariates!$B$3:$Z$1126,6,FALSE),"")</f>
        <v>45.5</v>
      </c>
      <c r="AI429" s="13">
        <f>iferror(VLOOKUP($B429,covariates!$B$3:$Z$1126,7,FALSE),"")</f>
        <v>8.7</v>
      </c>
      <c r="AJ429" s="9">
        <f>iferror(VLOOKUP($B429,covariates!$B$3:$Z$1126,14,FALSE),"")</f>
        <v>15</v>
      </c>
      <c r="AK429" s="9">
        <f>iferror(VLOOKUP($B429,covariates!$B$3:$Z$1126,16,FALSE),"")</f>
        <v>9</v>
      </c>
      <c r="AL429" s="9">
        <f>iferror(VLOOKUP($B429,covariates!$B$3:$Z$1126,18,FALSE),"")</f>
        <v>204</v>
      </c>
      <c r="AM429" s="9">
        <f>iferror(VLOOKUP($B429,covariates!$B$3:$Z$1126,19,FALSE),"")</f>
        <v>17</v>
      </c>
    </row>
    <row r="430">
      <c r="A430" s="15">
        <v>96.0</v>
      </c>
      <c r="B430" s="17" t="str">
        <f t="shared" ref="B430:B431" si="242">HYPERLINK("https://github.com/d-wkim/phd/blob/main/data/pdf/wipfler_2011.pdf","Wipfler et al., 2011")</f>
        <v>Wipfler et al., 2011</v>
      </c>
      <c r="C430" s="7" t="s">
        <v>42</v>
      </c>
      <c r="D430" s="7" t="s">
        <v>385</v>
      </c>
      <c r="E430" s="9" t="s">
        <v>64</v>
      </c>
      <c r="F430" s="9">
        <v>29.0</v>
      </c>
      <c r="G430" s="27"/>
      <c r="H430" s="21">
        <f t="shared" si="213"/>
        <v>0.09284766909</v>
      </c>
      <c r="I430" s="15"/>
      <c r="J430" s="15"/>
      <c r="K430" s="15"/>
      <c r="L430" s="15"/>
      <c r="M430" s="15"/>
      <c r="N430" s="15"/>
      <c r="O430" s="9" t="s">
        <v>101</v>
      </c>
      <c r="P430" s="9" t="s">
        <v>101</v>
      </c>
      <c r="Q430" s="9" t="s">
        <v>101</v>
      </c>
      <c r="R430" s="9" t="s">
        <v>101</v>
      </c>
      <c r="S430" s="9" t="s">
        <v>101</v>
      </c>
      <c r="T430" s="9" t="s">
        <v>101</v>
      </c>
      <c r="U430" s="9" t="s">
        <v>101</v>
      </c>
      <c r="V430" s="15"/>
      <c r="W430" s="15"/>
      <c r="X430" s="15"/>
      <c r="Y430" s="15"/>
      <c r="Z430" s="15"/>
      <c r="AA430" s="15"/>
      <c r="AB430" s="15"/>
      <c r="AC430" s="15"/>
      <c r="AD430" s="15"/>
      <c r="AE430" s="19"/>
      <c r="AF430" s="19"/>
      <c r="AG430" s="7" t="s">
        <v>174</v>
      </c>
      <c r="AH430" s="13">
        <f>iferror(VLOOKUP($B430,covariates!$B$3:$Z$1126,6,FALSE),"")</f>
        <v>29.87</v>
      </c>
      <c r="AI430" s="13">
        <f>iferror(VLOOKUP($B430,covariates!$B$3:$Z$1126,7,FALSE),"")</f>
        <v>7.304</v>
      </c>
      <c r="AJ430" s="9">
        <f>iferror(VLOOKUP($B430,covariates!$B$3:$Z$1126,14,FALSE),"")</f>
        <v>19</v>
      </c>
      <c r="AK430" s="9">
        <f>iferror(VLOOKUP($B430,covariates!$B$3:$Z$1126,16,FALSE),"")</f>
        <v>12</v>
      </c>
      <c r="AL430" s="9">
        <f>iferror(VLOOKUP($B430,covariates!$B$3:$Z$1126,18,FALSE),"")</f>
        <v>108</v>
      </c>
      <c r="AM430" s="9">
        <f>iferror(VLOOKUP($B430,covariates!$B$3:$Z$1126,19,FALSE),"")</f>
        <v>9</v>
      </c>
    </row>
    <row r="431">
      <c r="A431" s="15">
        <v>96.0</v>
      </c>
      <c r="B431" s="17" t="str">
        <f t="shared" si="242"/>
        <v>Wipfler et al., 2011</v>
      </c>
      <c r="C431" s="7" t="s">
        <v>84</v>
      </c>
      <c r="D431" s="7" t="s">
        <v>385</v>
      </c>
      <c r="E431" s="9" t="s">
        <v>64</v>
      </c>
      <c r="F431" s="9">
        <v>25.0</v>
      </c>
      <c r="G431" s="20"/>
      <c r="H431" s="21">
        <f t="shared" si="213"/>
        <v>0.1</v>
      </c>
      <c r="I431" s="15"/>
      <c r="J431" s="15"/>
      <c r="K431" s="15"/>
      <c r="L431" s="15"/>
      <c r="M431" s="15"/>
      <c r="N431" s="15"/>
      <c r="O431" s="9" t="s">
        <v>101</v>
      </c>
      <c r="P431" s="9" t="s">
        <v>101</v>
      </c>
      <c r="Q431" s="9" t="s">
        <v>101</v>
      </c>
      <c r="R431" s="9" t="s">
        <v>101</v>
      </c>
      <c r="S431" s="9" t="s">
        <v>101</v>
      </c>
      <c r="T431" s="9" t="s">
        <v>101</v>
      </c>
      <c r="U431" s="9" t="s">
        <v>101</v>
      </c>
      <c r="V431" s="15"/>
      <c r="W431" s="15"/>
      <c r="X431" s="15"/>
      <c r="Y431" s="15"/>
      <c r="Z431" s="15"/>
      <c r="AA431" s="15"/>
      <c r="AB431" s="15"/>
      <c r="AC431" s="15"/>
      <c r="AD431" s="15"/>
      <c r="AE431" s="19"/>
      <c r="AF431" s="19"/>
      <c r="AG431" s="7" t="s">
        <v>174</v>
      </c>
      <c r="AH431" s="13">
        <f>iferror(VLOOKUP($B431,covariates!$B$3:$Z$1126,6,FALSE),"")</f>
        <v>29.87</v>
      </c>
      <c r="AI431" s="13">
        <f>iferror(VLOOKUP($B431,covariates!$B$3:$Z$1126,7,FALSE),"")</f>
        <v>7.304</v>
      </c>
      <c r="AJ431" s="9">
        <f>iferror(VLOOKUP($B431,covariates!$B$3:$Z$1126,14,FALSE),"")</f>
        <v>19</v>
      </c>
      <c r="AK431" s="9">
        <f>iferror(VLOOKUP($B431,covariates!$B$3:$Z$1126,16,FALSE),"")</f>
        <v>12</v>
      </c>
      <c r="AL431" s="9">
        <f>iferror(VLOOKUP($B431,covariates!$B$3:$Z$1126,18,FALSE),"")</f>
        <v>108</v>
      </c>
      <c r="AM431" s="9">
        <f>iferror(VLOOKUP($B431,covariates!$B$3:$Z$1126,19,FALSE),"")</f>
        <v>9</v>
      </c>
    </row>
    <row r="432">
      <c r="A432" s="15">
        <v>97.0</v>
      </c>
      <c r="B432" s="17" t="str">
        <f t="shared" ref="B432:B433" si="243">HYPERLINK("https://github.com/d-wkim/phd/blob/main/data/pdf/yadav_2025.pdf","Yadav et al., 2025")</f>
        <v>Yadav et al., 2025</v>
      </c>
      <c r="C432" s="9" t="s">
        <v>84</v>
      </c>
      <c r="D432" s="7" t="s">
        <v>385</v>
      </c>
      <c r="E432" s="9" t="s">
        <v>64</v>
      </c>
      <c r="F432" s="9">
        <v>36.0</v>
      </c>
      <c r="G432" s="20">
        <v>5.0</v>
      </c>
      <c r="H432" s="21">
        <f t="shared" si="213"/>
        <v>1.064516129</v>
      </c>
      <c r="I432" s="15"/>
      <c r="J432" s="15"/>
      <c r="K432" s="15"/>
      <c r="L432" s="15"/>
      <c r="M432" s="15"/>
      <c r="N432" s="15"/>
      <c r="O432" s="9" t="s">
        <v>101</v>
      </c>
      <c r="P432" s="9" t="s">
        <v>101</v>
      </c>
      <c r="Q432" s="9" t="s">
        <v>101</v>
      </c>
      <c r="R432" s="9" t="s">
        <v>101</v>
      </c>
      <c r="S432" s="9" t="s">
        <v>101</v>
      </c>
      <c r="T432" s="9" t="s">
        <v>101</v>
      </c>
      <c r="U432" s="9" t="s">
        <v>101</v>
      </c>
      <c r="V432" s="15"/>
      <c r="W432" s="15"/>
      <c r="X432" s="15"/>
      <c r="Y432" s="15"/>
      <c r="Z432" s="15"/>
      <c r="AA432" s="15"/>
      <c r="AB432" s="15"/>
      <c r="AC432" s="15"/>
      <c r="AD432" s="15"/>
      <c r="AE432" s="19"/>
      <c r="AF432" s="19"/>
      <c r="AG432" s="7" t="s">
        <v>109</v>
      </c>
      <c r="AH432" s="13">
        <f>iferror(VLOOKUP($B432,covariates!$B$3:$Z$1126,6,FALSE),"")</f>
        <v>30.06</v>
      </c>
      <c r="AI432" s="13">
        <f>iferror(VLOOKUP($B432,covariates!$B$3:$Z$1126,7,FALSE),"")</f>
        <v>8.87</v>
      </c>
      <c r="AJ432" s="9">
        <f>iferror(VLOOKUP($B432,covariates!$B$3:$Z$1126,14,FALSE),"")</f>
        <v>32</v>
      </c>
      <c r="AK432" s="9">
        <f>iferror(VLOOKUP($B432,covariates!$B$3:$Z$1126,16,FALSE),"")</f>
        <v>4</v>
      </c>
      <c r="AL432" s="9">
        <f>iferror(VLOOKUP($B432,covariates!$B$3:$Z$1126,18,FALSE),"")</f>
        <v>12</v>
      </c>
      <c r="AM432" s="9">
        <f>iferror(VLOOKUP($B432,covariates!$B$3:$Z$1126,19,FALSE),"")</f>
        <v>1</v>
      </c>
    </row>
    <row r="433">
      <c r="A433" s="15">
        <v>97.0</v>
      </c>
      <c r="B433" s="17" t="str">
        <f t="shared" si="243"/>
        <v>Yadav et al., 2025</v>
      </c>
      <c r="C433" s="9" t="s">
        <v>200</v>
      </c>
      <c r="D433" s="7" t="s">
        <v>385</v>
      </c>
      <c r="E433" s="9" t="s">
        <v>64</v>
      </c>
      <c r="F433" s="9">
        <v>33.0</v>
      </c>
      <c r="G433" s="20">
        <v>0.0</v>
      </c>
      <c r="H433" s="21">
        <f t="shared" si="213"/>
        <v>0.08703882798</v>
      </c>
      <c r="I433" s="15"/>
      <c r="J433" s="15"/>
      <c r="K433" s="15"/>
      <c r="L433" s="15"/>
      <c r="M433" s="15"/>
      <c r="N433" s="66"/>
      <c r="O433" s="9" t="s">
        <v>101</v>
      </c>
      <c r="P433" s="9" t="s">
        <v>101</v>
      </c>
      <c r="Q433" s="9" t="s">
        <v>101</v>
      </c>
      <c r="R433" s="9" t="s">
        <v>101</v>
      </c>
      <c r="S433" s="9" t="s">
        <v>101</v>
      </c>
      <c r="T433" s="9" t="s">
        <v>101</v>
      </c>
      <c r="U433" s="9" t="s">
        <v>101</v>
      </c>
      <c r="V433" s="107"/>
      <c r="W433" s="107"/>
      <c r="X433" s="19"/>
      <c r="Y433" s="19"/>
      <c r="Z433" s="19"/>
      <c r="AA433" s="19"/>
      <c r="AB433" s="19"/>
      <c r="AC433" s="19"/>
      <c r="AD433" s="19"/>
      <c r="AE433" s="19"/>
      <c r="AF433" s="19"/>
      <c r="AG433" s="7" t="s">
        <v>109</v>
      </c>
      <c r="AH433" s="13">
        <f>iferror(VLOOKUP($B433,covariates!$B$3:$Z$1126,6,FALSE),"")</f>
        <v>30.06</v>
      </c>
      <c r="AI433" s="13">
        <f>iferror(VLOOKUP($B433,covariates!$B$3:$Z$1126,7,FALSE),"")</f>
        <v>8.87</v>
      </c>
      <c r="AJ433" s="9">
        <f>iferror(VLOOKUP($B433,covariates!$B$3:$Z$1126,14,FALSE),"")</f>
        <v>32</v>
      </c>
      <c r="AK433" s="9">
        <f>iferror(VLOOKUP($B433,covariates!$B$3:$Z$1126,16,FALSE),"")</f>
        <v>4</v>
      </c>
      <c r="AL433" s="9">
        <f>iferror(VLOOKUP($B433,covariates!$B$3:$Z$1126,18,FALSE),"")</f>
        <v>12</v>
      </c>
      <c r="AM433" s="9">
        <f>iferror(VLOOKUP($B433,covariates!$B$3:$Z$1126,19,FALSE),"")</f>
        <v>1</v>
      </c>
    </row>
    <row r="434">
      <c r="A434" s="15">
        <v>98.0</v>
      </c>
      <c r="B434" s="17" t="str">
        <f t="shared" ref="B434:B435" si="244">HYPERLINK("https://github.com/d-wkim/phd/blob/main/data/pdf/yoo_2017.pdf","Yoo et al., 2017")</f>
        <v>Yoo et al., 2017</v>
      </c>
      <c r="C434" s="9" t="s">
        <v>84</v>
      </c>
      <c r="D434" s="7" t="s">
        <v>385</v>
      </c>
      <c r="E434" s="9" t="s">
        <v>64</v>
      </c>
      <c r="F434" s="9">
        <v>68.0</v>
      </c>
      <c r="G434" s="20">
        <v>2.0</v>
      </c>
      <c r="H434" s="21">
        <f t="shared" si="213"/>
        <v>0.3123564868</v>
      </c>
      <c r="I434" s="15"/>
      <c r="J434" s="15"/>
      <c r="K434" s="15"/>
      <c r="L434" s="15"/>
      <c r="M434" s="15"/>
      <c r="N434" s="66"/>
      <c r="O434" s="9" t="s">
        <v>101</v>
      </c>
      <c r="P434" s="9" t="s">
        <v>101</v>
      </c>
      <c r="Q434" s="9" t="s">
        <v>101</v>
      </c>
      <c r="R434" s="9" t="s">
        <v>101</v>
      </c>
      <c r="S434" s="9" t="s">
        <v>101</v>
      </c>
      <c r="T434" s="9" t="s">
        <v>101</v>
      </c>
      <c r="U434" s="9" t="s">
        <v>101</v>
      </c>
      <c r="V434" s="66"/>
      <c r="W434" s="66"/>
      <c r="X434" s="15"/>
      <c r="Y434" s="15"/>
      <c r="Z434" s="15"/>
      <c r="AA434" s="15"/>
      <c r="AB434" s="15"/>
      <c r="AC434" s="15"/>
      <c r="AD434" s="15"/>
      <c r="AE434" s="19"/>
      <c r="AF434" s="19"/>
      <c r="AG434" s="7" t="s">
        <v>109</v>
      </c>
      <c r="AH434" s="13">
        <f>iferror(VLOOKUP($B434,covariates!$B$3:$Z$1126,6,FALSE),"")</f>
        <v>30</v>
      </c>
      <c r="AI434" s="13">
        <f>iferror(VLOOKUP($B434,covariates!$B$3:$Z$1126,7,FALSE),"")</f>
        <v>9.961</v>
      </c>
      <c r="AJ434" s="9">
        <f>iferror(VLOOKUP($B434,covariates!$B$3:$Z$1126,14,FALSE),"")</f>
        <v>61</v>
      </c>
      <c r="AK434" s="9">
        <f>iferror(VLOOKUP($B434,covariates!$B$3:$Z$1126,16,FALSE),"")</f>
        <v>7</v>
      </c>
      <c r="AL434" s="9">
        <f>iferror(VLOOKUP($B434,covariates!$B$3:$Z$1126,18,FALSE),"")</f>
        <v>32.8</v>
      </c>
      <c r="AM434" s="9">
        <f>iferror(VLOOKUP($B434,covariates!$B$3:$Z$1126,19,FALSE),"")</f>
        <v>2.7</v>
      </c>
    </row>
    <row r="435">
      <c r="A435" s="15">
        <v>98.0</v>
      </c>
      <c r="B435" s="17" t="str">
        <f t="shared" si="244"/>
        <v>Yoo et al., 2017</v>
      </c>
      <c r="C435" s="9" t="s">
        <v>205</v>
      </c>
      <c r="D435" s="7" t="s">
        <v>385</v>
      </c>
      <c r="E435" s="9" t="s">
        <v>64</v>
      </c>
      <c r="F435" s="9">
        <v>64.0</v>
      </c>
      <c r="G435" s="20">
        <v>3.0</v>
      </c>
      <c r="H435" s="21">
        <f t="shared" si="213"/>
        <v>0.4590163934</v>
      </c>
      <c r="I435" s="15"/>
      <c r="J435" s="15"/>
      <c r="K435" s="15"/>
      <c r="L435" s="15"/>
      <c r="M435" s="15"/>
      <c r="N435" s="66"/>
      <c r="O435" s="9" t="s">
        <v>101</v>
      </c>
      <c r="P435" s="9" t="s">
        <v>101</v>
      </c>
      <c r="Q435" s="9" t="s">
        <v>101</v>
      </c>
      <c r="R435" s="9" t="s">
        <v>101</v>
      </c>
      <c r="S435" s="9" t="s">
        <v>101</v>
      </c>
      <c r="T435" s="9" t="s">
        <v>101</v>
      </c>
      <c r="U435" s="9" t="s">
        <v>101</v>
      </c>
      <c r="V435" s="107"/>
      <c r="W435" s="107"/>
      <c r="X435" s="19"/>
      <c r="Y435" s="19"/>
      <c r="Z435" s="19"/>
      <c r="AA435" s="19"/>
      <c r="AB435" s="19"/>
      <c r="AC435" s="19"/>
      <c r="AD435" s="19"/>
      <c r="AE435" s="19"/>
      <c r="AF435" s="19"/>
      <c r="AG435" s="7" t="s">
        <v>109</v>
      </c>
      <c r="AH435" s="13">
        <f>iferror(VLOOKUP($B435,covariates!$B$3:$Z$1126,6,FALSE),"")</f>
        <v>30</v>
      </c>
      <c r="AI435" s="13">
        <f>iferror(VLOOKUP($B435,covariates!$B$3:$Z$1126,7,FALSE),"")</f>
        <v>9.961</v>
      </c>
      <c r="AJ435" s="9">
        <f>iferror(VLOOKUP($B435,covariates!$B$3:$Z$1126,14,FALSE),"")</f>
        <v>61</v>
      </c>
      <c r="AK435" s="9">
        <f>iferror(VLOOKUP($B435,covariates!$B$3:$Z$1126,16,FALSE),"")</f>
        <v>7</v>
      </c>
      <c r="AL435" s="9">
        <f>iferror(VLOOKUP($B435,covariates!$B$3:$Z$1126,18,FALSE),"")</f>
        <v>32.8</v>
      </c>
      <c r="AM435" s="9">
        <f>iferror(VLOOKUP($B435,covariates!$B$3:$Z$1126,19,FALSE),"")</f>
        <v>2.7</v>
      </c>
    </row>
    <row r="436">
      <c r="A436" s="15">
        <v>1.0</v>
      </c>
      <c r="B436" s="17" t="str">
        <f t="shared" ref="B436:B437" si="245">HYPERLINK("https://github.com/d-wkim/phd/blob/main/data/pdf/ageberg_2009.pdf","Ageberg et al., 2009")</f>
        <v>Ageberg et al., 2009</v>
      </c>
      <c r="C436" s="9" t="s">
        <v>42</v>
      </c>
      <c r="D436" s="19" t="s">
        <v>319</v>
      </c>
      <c r="E436" s="9" t="s">
        <v>222</v>
      </c>
      <c r="F436" s="9">
        <v>16.0</v>
      </c>
      <c r="G436" s="13">
        <f t="shared" ref="G436:G443" si="246">iferror(MEDIAN_MEAN(F436,I436,K436,M436),"")</f>
        <v>4.166666667</v>
      </c>
      <c r="H436" s="13">
        <f t="shared" ref="H436:H443" si="247">iferror(RANGE_SD(F436,I436,M436),"")</f>
        <v>1.413</v>
      </c>
      <c r="I436" s="9">
        <v>2.0</v>
      </c>
      <c r="J436" s="15"/>
      <c r="K436" s="9">
        <v>4.0</v>
      </c>
      <c r="L436" s="15"/>
      <c r="M436" s="9">
        <v>7.0</v>
      </c>
      <c r="N436" s="21">
        <v>0.41666666666666663</v>
      </c>
      <c r="O436" s="9">
        <v>32.0</v>
      </c>
      <c r="P436" s="9">
        <v>5.0</v>
      </c>
      <c r="Q436" s="9"/>
      <c r="R436" s="9"/>
      <c r="S436" s="9"/>
      <c r="T436" s="9"/>
      <c r="U436" s="9"/>
      <c r="V436" s="15">
        <v>0.353</v>
      </c>
      <c r="W436" s="15"/>
      <c r="X436" s="15"/>
      <c r="Y436" s="15">
        <v>0.125</v>
      </c>
      <c r="Z436" s="15"/>
      <c r="AA436" s="15"/>
      <c r="AB436" s="15"/>
      <c r="AC436" s="15"/>
      <c r="AD436" s="15"/>
      <c r="AE436" s="19"/>
      <c r="AF436" s="19"/>
      <c r="AG436" s="7" t="s">
        <v>109</v>
      </c>
      <c r="AH436" s="13">
        <f>iferror(VLOOKUP($B436,covariates!$B$3:$Z$1126,6,FALSE),"")</f>
        <v>32</v>
      </c>
      <c r="AI436" s="13">
        <f>iferror(VLOOKUP($B436,covariates!$B$3:$Z$1126,7,FALSE),"")</f>
        <v>5</v>
      </c>
      <c r="AJ436" s="9">
        <f>iferror(VLOOKUP($B436,covariates!$B$3:$Z$1126,14,FALSE),"")</f>
        <v>15</v>
      </c>
      <c r="AK436" s="9">
        <f>iferror(VLOOKUP($B436,covariates!$B$3:$Z$1126,16,FALSE),"")</f>
        <v>5</v>
      </c>
      <c r="AL436" s="9">
        <f>iferror(VLOOKUP($B436,covariates!$B$3:$Z$1126,18,FALSE),"")</f>
        <v>36</v>
      </c>
      <c r="AM436" s="9">
        <f>iferror(VLOOKUP($B436,covariates!$B$3:$Z$1126,19,FALSE),"")</f>
        <v>3</v>
      </c>
    </row>
    <row r="437">
      <c r="A437" s="15">
        <v>1.0</v>
      </c>
      <c r="B437" s="17" t="str">
        <f t="shared" si="245"/>
        <v>Ageberg et al., 2009</v>
      </c>
      <c r="C437" s="9" t="s">
        <v>84</v>
      </c>
      <c r="D437" s="19" t="s">
        <v>319</v>
      </c>
      <c r="E437" s="9" t="s">
        <v>222</v>
      </c>
      <c r="F437" s="9">
        <v>20.0</v>
      </c>
      <c r="G437" s="13">
        <f t="shared" si="246"/>
        <v>3.14861694</v>
      </c>
      <c r="H437" s="13">
        <f t="shared" si="247"/>
        <v>1.338</v>
      </c>
      <c r="I437" s="9">
        <v>1.0</v>
      </c>
      <c r="J437" s="15"/>
      <c r="K437" s="9">
        <v>3.0</v>
      </c>
      <c r="L437" s="15"/>
      <c r="M437" s="9">
        <v>6.0</v>
      </c>
      <c r="N437" s="21">
        <v>0.3148616940029182</v>
      </c>
      <c r="O437" s="9">
        <v>28.0</v>
      </c>
      <c r="P437" s="9">
        <v>4.4</v>
      </c>
      <c r="Q437" s="9"/>
      <c r="R437" s="9"/>
      <c r="S437" s="9"/>
      <c r="T437" s="9"/>
      <c r="U437" s="9"/>
      <c r="V437" s="15">
        <v>0.299</v>
      </c>
      <c r="W437" s="15"/>
      <c r="X437" s="15"/>
      <c r="Y437" s="15">
        <v>0.089</v>
      </c>
      <c r="Z437" s="15"/>
      <c r="AA437" s="15"/>
      <c r="AB437" s="15"/>
      <c r="AC437" s="15"/>
      <c r="AD437" s="15"/>
      <c r="AE437" s="19"/>
      <c r="AF437" s="19"/>
      <c r="AG437" s="7" t="s">
        <v>109</v>
      </c>
      <c r="AH437" s="13">
        <f>iferror(VLOOKUP($B437,covariates!$B$3:$Z$1126,6,FALSE),"")</f>
        <v>32</v>
      </c>
      <c r="AI437" s="13">
        <f>iferror(VLOOKUP($B437,covariates!$B$3:$Z$1126,7,FALSE),"")</f>
        <v>5</v>
      </c>
      <c r="AJ437" s="9">
        <f>iferror(VLOOKUP($B437,covariates!$B$3:$Z$1126,14,FALSE),"")</f>
        <v>15</v>
      </c>
      <c r="AK437" s="9">
        <f>iferror(VLOOKUP($B437,covariates!$B$3:$Z$1126,16,FALSE),"")</f>
        <v>5</v>
      </c>
      <c r="AL437" s="9">
        <f>iferror(VLOOKUP($B437,covariates!$B$3:$Z$1126,18,FALSE),"")</f>
        <v>36</v>
      </c>
      <c r="AM437" s="9">
        <f>iferror(VLOOKUP($B437,covariates!$B$3:$Z$1126,19,FALSE),"")</f>
        <v>3</v>
      </c>
    </row>
    <row r="438">
      <c r="A438" s="15">
        <v>3.0</v>
      </c>
      <c r="B438" s="17" t="str">
        <f t="shared" ref="B438:B439" si="248">HYPERLINK("https://github.com/d-wkim/phd/blob/main/data/pdf/ahldén_2009.pdf","Ahldén et al., 2009")</f>
        <v>Ahldén et al., 2009</v>
      </c>
      <c r="C438" s="9" t="s">
        <v>42</v>
      </c>
      <c r="D438" s="7" t="s">
        <v>319</v>
      </c>
      <c r="E438" s="9" t="s">
        <v>222</v>
      </c>
      <c r="F438" s="9">
        <v>25.0</v>
      </c>
      <c r="G438" s="13">
        <f t="shared" si="246"/>
        <v>4.868250644</v>
      </c>
      <c r="H438" s="13">
        <f t="shared" si="247"/>
        <v>2.291</v>
      </c>
      <c r="I438" s="9">
        <v>0.0</v>
      </c>
      <c r="J438" s="15"/>
      <c r="K438" s="9">
        <v>5.0</v>
      </c>
      <c r="L438" s="15"/>
      <c r="M438" s="9">
        <v>9.0</v>
      </c>
      <c r="N438" s="21">
        <v>0.4868250644266075</v>
      </c>
      <c r="O438" s="9" t="s">
        <v>101</v>
      </c>
      <c r="P438" s="9" t="s">
        <v>101</v>
      </c>
      <c r="Q438" s="9" t="s">
        <v>101</v>
      </c>
      <c r="R438" s="9" t="s">
        <v>101</v>
      </c>
      <c r="S438" s="9" t="s">
        <v>101</v>
      </c>
      <c r="T438" s="9" t="s">
        <v>101</v>
      </c>
      <c r="U438" s="9" t="s">
        <v>101</v>
      </c>
      <c r="V438" s="15">
        <v>0.458</v>
      </c>
      <c r="W438" s="15"/>
      <c r="X438" s="15"/>
      <c r="Y438" s="15">
        <v>0.21</v>
      </c>
      <c r="Z438" s="15"/>
      <c r="AA438" s="15"/>
      <c r="AB438" s="15"/>
      <c r="AC438" s="15"/>
      <c r="AD438" s="15"/>
      <c r="AE438" s="19"/>
      <c r="AF438" s="19"/>
      <c r="AG438" s="7" t="s">
        <v>109</v>
      </c>
      <c r="AH438" s="13">
        <f>iferror(VLOOKUP($B438,covariates!$B$3:$Z$1126,6,FALSE),"")</f>
        <v>27.41260836</v>
      </c>
      <c r="AI438" s="13">
        <f>iferror(VLOOKUP($B438,covariates!$B$3:$Z$1126,7,FALSE),"")</f>
        <v>8.902</v>
      </c>
      <c r="AJ438" s="9">
        <f>iferror(VLOOKUP($B438,covariates!$B$3:$Z$1126,14,FALSE),"")</f>
        <v>14</v>
      </c>
      <c r="AK438" s="9">
        <f>iferror(VLOOKUP($B438,covariates!$B$3:$Z$1126,16,FALSE),"")</f>
        <v>8</v>
      </c>
      <c r="AL438" s="9">
        <f>iferror(VLOOKUP($B438,covariates!$B$3:$Z$1126,18,FALSE),"")</f>
        <v>90.27134752</v>
      </c>
      <c r="AM438" s="9">
        <f>iferror(VLOOKUP($B438,covariates!$B$3:$Z$1126,19,FALSE),"")</f>
        <v>7.5</v>
      </c>
    </row>
    <row r="439">
      <c r="A439" s="15">
        <v>3.0</v>
      </c>
      <c r="B439" s="17" t="str">
        <f t="shared" si="248"/>
        <v>Ahldén et al., 2009</v>
      </c>
      <c r="C439" s="9" t="s">
        <v>84</v>
      </c>
      <c r="D439" s="7" t="s">
        <v>319</v>
      </c>
      <c r="E439" s="9" t="s">
        <v>222</v>
      </c>
      <c r="F439" s="9">
        <v>22.0</v>
      </c>
      <c r="G439" s="13">
        <f t="shared" si="246"/>
        <v>4.858739164</v>
      </c>
      <c r="H439" s="13">
        <f t="shared" si="247"/>
        <v>1.309</v>
      </c>
      <c r="I439" s="9">
        <v>2.0</v>
      </c>
      <c r="J439" s="15"/>
      <c r="K439" s="9">
        <v>5.0</v>
      </c>
      <c r="L439" s="15"/>
      <c r="M439" s="9">
        <v>7.0</v>
      </c>
      <c r="N439" s="21">
        <v>0.48587391639277955</v>
      </c>
      <c r="O439" s="9" t="s">
        <v>101</v>
      </c>
      <c r="P439" s="9" t="s">
        <v>101</v>
      </c>
      <c r="Q439" s="9" t="s">
        <v>101</v>
      </c>
      <c r="R439" s="9" t="s">
        <v>101</v>
      </c>
      <c r="S439" s="9" t="s">
        <v>101</v>
      </c>
      <c r="T439" s="9" t="s">
        <v>101</v>
      </c>
      <c r="U439" s="9" t="s">
        <v>101</v>
      </c>
      <c r="V439" s="15">
        <v>0.279</v>
      </c>
      <c r="W439" s="15"/>
      <c r="X439" s="15"/>
      <c r="Y439" s="15">
        <v>0.078</v>
      </c>
      <c r="Z439" s="15"/>
      <c r="AA439" s="15"/>
      <c r="AB439" s="15"/>
      <c r="AC439" s="15"/>
      <c r="AD439" s="15"/>
      <c r="AE439" s="19"/>
      <c r="AF439" s="19"/>
      <c r="AG439" s="7" t="s">
        <v>109</v>
      </c>
      <c r="AH439" s="13">
        <f>iferror(VLOOKUP($B439,covariates!$B$3:$Z$1126,6,FALSE),"")</f>
        <v>27.41260836</v>
      </c>
      <c r="AI439" s="13">
        <f>iferror(VLOOKUP($B439,covariates!$B$3:$Z$1126,7,FALSE),"")</f>
        <v>8.902</v>
      </c>
      <c r="AJ439" s="9">
        <f>iferror(VLOOKUP($B439,covariates!$B$3:$Z$1126,14,FALSE),"")</f>
        <v>14</v>
      </c>
      <c r="AK439" s="9">
        <f>iferror(VLOOKUP($B439,covariates!$B$3:$Z$1126,16,FALSE),"")</f>
        <v>8</v>
      </c>
      <c r="AL439" s="9">
        <f>iferror(VLOOKUP($B439,covariates!$B$3:$Z$1126,18,FALSE),"")</f>
        <v>90.27134752</v>
      </c>
      <c r="AM439" s="9">
        <f>iferror(VLOOKUP($B439,covariates!$B$3:$Z$1126,19,FALSE),"")</f>
        <v>7.5</v>
      </c>
    </row>
    <row r="440">
      <c r="A440" s="15">
        <v>9.0</v>
      </c>
      <c r="B440" s="17" t="str">
        <f t="shared" ref="B440:B441" si="249">HYPERLINK("https://github.com/d-wkim/phd/blob/main/data/pdf/barenius_2010.pdf","Barenius et al., 2010")</f>
        <v>Barenius et al., 2010</v>
      </c>
      <c r="C440" s="9" t="s">
        <v>42</v>
      </c>
      <c r="D440" s="7" t="s">
        <v>319</v>
      </c>
      <c r="E440" s="9" t="s">
        <v>222</v>
      </c>
      <c r="F440" s="9">
        <v>78.0</v>
      </c>
      <c r="G440" s="13">
        <f t="shared" si="246"/>
        <v>5.801629764</v>
      </c>
      <c r="H440" s="13">
        <f t="shared" si="247"/>
        <v>1.868</v>
      </c>
      <c r="I440" s="9">
        <v>0.0</v>
      </c>
      <c r="J440" s="15"/>
      <c r="K440" s="9">
        <v>6.0</v>
      </c>
      <c r="L440" s="15"/>
      <c r="M440" s="9">
        <v>9.0</v>
      </c>
      <c r="N440" s="21">
        <v>0.5801629763905143</v>
      </c>
      <c r="O440" s="9" t="s">
        <v>101</v>
      </c>
      <c r="P440" s="9" t="s">
        <v>101</v>
      </c>
      <c r="Q440" s="9" t="s">
        <v>101</v>
      </c>
      <c r="R440" s="9" t="s">
        <v>101</v>
      </c>
      <c r="S440" s="9" t="s">
        <v>101</v>
      </c>
      <c r="T440" s="9" t="s">
        <v>101</v>
      </c>
      <c r="U440" s="9" t="s">
        <v>101</v>
      </c>
      <c r="V440" s="15">
        <v>0.212</v>
      </c>
      <c r="W440" s="15"/>
      <c r="X440" s="15"/>
      <c r="Y440" s="15">
        <v>0.045</v>
      </c>
      <c r="Z440" s="15"/>
      <c r="AA440" s="15"/>
      <c r="AB440" s="15"/>
      <c r="AC440" s="15"/>
      <c r="AD440" s="15"/>
      <c r="AE440" s="19"/>
      <c r="AF440" s="19"/>
      <c r="AG440" s="7" t="s">
        <v>109</v>
      </c>
      <c r="AH440" s="13">
        <f>iferror(VLOOKUP($B440,covariates!$B$3:$Z$1126,6,FALSE),"")</f>
        <v>33</v>
      </c>
      <c r="AI440" s="13">
        <f>iferror(VLOOKUP($B440,covariates!$B$3:$Z$1126,7,FALSE),"")</f>
        <v>6.3</v>
      </c>
      <c r="AJ440" s="9">
        <f>iferror(VLOOKUP($B440,covariates!$B$3:$Z$1126,14,FALSE),"")</f>
        <v>38</v>
      </c>
      <c r="AK440" s="9">
        <f>iferror(VLOOKUP($B440,covariates!$B$3:$Z$1126,16,FALSE),"")</f>
        <v>40</v>
      </c>
      <c r="AL440" s="9">
        <f>iferror(VLOOKUP($B440,covariates!$B$3:$Z$1126,18,FALSE),"")</f>
        <v>96</v>
      </c>
      <c r="AM440" s="9">
        <f>iferror(VLOOKUP($B440,covariates!$B$3:$Z$1126,19,FALSE),"")</f>
        <v>8</v>
      </c>
    </row>
    <row r="441">
      <c r="A441" s="15">
        <v>9.0</v>
      </c>
      <c r="B441" s="17" t="str">
        <f t="shared" si="249"/>
        <v>Barenius et al., 2010</v>
      </c>
      <c r="C441" s="9" t="s">
        <v>84</v>
      </c>
      <c r="D441" s="7" t="s">
        <v>319</v>
      </c>
      <c r="E441" s="9" t="s">
        <v>222</v>
      </c>
      <c r="F441" s="9">
        <v>75.0</v>
      </c>
      <c r="G441" s="13">
        <f t="shared" si="246"/>
        <v>4.067829574</v>
      </c>
      <c r="H441" s="13">
        <f t="shared" si="247"/>
        <v>1.879</v>
      </c>
      <c r="I441" s="9">
        <v>0.0</v>
      </c>
      <c r="J441" s="15"/>
      <c r="K441" s="9">
        <v>4.0</v>
      </c>
      <c r="L441" s="15"/>
      <c r="M441" s="9">
        <v>9.0</v>
      </c>
      <c r="N441" s="21">
        <v>0.40678295737955966</v>
      </c>
      <c r="O441" s="9" t="s">
        <v>101</v>
      </c>
      <c r="P441" s="9" t="s">
        <v>101</v>
      </c>
      <c r="Q441" s="9" t="s">
        <v>101</v>
      </c>
      <c r="R441" s="9" t="s">
        <v>101</v>
      </c>
      <c r="S441" s="9" t="s">
        <v>101</v>
      </c>
      <c r="T441" s="9" t="s">
        <v>101</v>
      </c>
      <c r="U441" s="9" t="s">
        <v>101</v>
      </c>
      <c r="V441" s="15">
        <v>0.217</v>
      </c>
      <c r="W441" s="15"/>
      <c r="X441" s="15"/>
      <c r="Y441" s="15">
        <v>0.047</v>
      </c>
      <c r="Z441" s="15"/>
      <c r="AA441" s="15"/>
      <c r="AB441" s="15"/>
      <c r="AC441" s="15"/>
      <c r="AD441" s="15"/>
      <c r="AE441" s="19"/>
      <c r="AF441" s="19"/>
      <c r="AG441" s="7" t="s">
        <v>109</v>
      </c>
      <c r="AH441" s="13">
        <f>iferror(VLOOKUP($B441,covariates!$B$3:$Z$1126,6,FALSE),"")</f>
        <v>33</v>
      </c>
      <c r="AI441" s="13">
        <f>iferror(VLOOKUP($B441,covariates!$B$3:$Z$1126,7,FALSE),"")</f>
        <v>6.3</v>
      </c>
      <c r="AJ441" s="9">
        <f>iferror(VLOOKUP($B441,covariates!$B$3:$Z$1126,14,FALSE),"")</f>
        <v>38</v>
      </c>
      <c r="AK441" s="9">
        <f>iferror(VLOOKUP($B441,covariates!$B$3:$Z$1126,16,FALSE),"")</f>
        <v>40</v>
      </c>
      <c r="AL441" s="9">
        <f>iferror(VLOOKUP($B441,covariates!$B$3:$Z$1126,18,FALSE),"")</f>
        <v>96</v>
      </c>
      <c r="AM441" s="9">
        <f>iferror(VLOOKUP($B441,covariates!$B$3:$Z$1126,19,FALSE),"")</f>
        <v>8</v>
      </c>
    </row>
    <row r="442">
      <c r="A442" s="15">
        <v>10.0</v>
      </c>
      <c r="B442" s="17" t="str">
        <f t="shared" ref="B442:B443" si="250">HYPERLINK("https://github.com/d-wkim/phd/blob/main/data/pdf/barié_2020.pdf","Barié et al., 2020")</f>
        <v>Barié et al., 2020</v>
      </c>
      <c r="C442" s="9" t="s">
        <v>42</v>
      </c>
      <c r="D442" s="19" t="s">
        <v>319</v>
      </c>
      <c r="E442" s="9" t="s">
        <v>222</v>
      </c>
      <c r="F442" s="9">
        <v>43.0</v>
      </c>
      <c r="G442" s="13">
        <f t="shared" si="246"/>
        <v>6.096191037</v>
      </c>
      <c r="H442" s="13">
        <f t="shared" si="247"/>
        <v>1.144</v>
      </c>
      <c r="I442" s="9">
        <v>4.0</v>
      </c>
      <c r="J442" s="15"/>
      <c r="K442" s="9">
        <v>6.0</v>
      </c>
      <c r="L442" s="15"/>
      <c r="M442" s="9">
        <v>9.0</v>
      </c>
      <c r="N442" s="21">
        <v>0.6096191036515339</v>
      </c>
      <c r="O442" s="9" t="s">
        <v>101</v>
      </c>
      <c r="P442" s="9" t="s">
        <v>101</v>
      </c>
      <c r="Q442" s="9" t="s">
        <v>101</v>
      </c>
      <c r="R442" s="9" t="s">
        <v>101</v>
      </c>
      <c r="S442" s="9" t="s">
        <v>101</v>
      </c>
      <c r="T442" s="9" t="s">
        <v>101</v>
      </c>
      <c r="U442" s="9" t="s">
        <v>101</v>
      </c>
      <c r="V442" s="15">
        <v>0.174</v>
      </c>
      <c r="W442" s="15"/>
      <c r="X442" s="15"/>
      <c r="Y442" s="15">
        <v>0.03</v>
      </c>
      <c r="Z442" s="15"/>
      <c r="AA442" s="15"/>
      <c r="AB442" s="15"/>
      <c r="AC442" s="15"/>
      <c r="AD442" s="15"/>
      <c r="AE442" s="19"/>
      <c r="AF442" s="19"/>
      <c r="AG442" s="7" t="s">
        <v>109</v>
      </c>
      <c r="AH442" s="13">
        <f>iferror(VLOOKUP($B442,covariates!$B$3:$Z$1126,6,FALSE),"")</f>
        <v>30.6</v>
      </c>
      <c r="AI442" s="13">
        <f>iferror(VLOOKUP($B442,covariates!$B$3:$Z$1126,7,FALSE),"")</f>
        <v>7.5</v>
      </c>
      <c r="AJ442" s="9">
        <f>iferror(VLOOKUP($B442,covariates!$B$3:$Z$1126,14,FALSE),"")</f>
        <v>17</v>
      </c>
      <c r="AK442" s="9">
        <f>iferror(VLOOKUP($B442,covariates!$B$3:$Z$1126,16,FALSE),"")</f>
        <v>13</v>
      </c>
      <c r="AL442" s="9">
        <f>iferror(VLOOKUP($B442,covariates!$B$3:$Z$1126,18,FALSE),"")</f>
        <v>122.4</v>
      </c>
      <c r="AM442" s="9">
        <f>iferror(VLOOKUP($B442,covariates!$B$3:$Z$1126,19,FALSE),"")</f>
        <v>10.2</v>
      </c>
    </row>
    <row r="443">
      <c r="A443" s="15">
        <v>10.0</v>
      </c>
      <c r="B443" s="17" t="str">
        <f t="shared" si="250"/>
        <v>Barié et al., 2020</v>
      </c>
      <c r="C443" s="9" t="s">
        <v>200</v>
      </c>
      <c r="D443" s="19" t="s">
        <v>319</v>
      </c>
      <c r="E443" s="9" t="s">
        <v>222</v>
      </c>
      <c r="F443" s="9">
        <v>43.0</v>
      </c>
      <c r="G443" s="13">
        <f t="shared" si="246"/>
        <v>6.096191037</v>
      </c>
      <c r="H443" s="13">
        <f t="shared" si="247"/>
        <v>1.144</v>
      </c>
      <c r="I443" s="9">
        <v>4.0</v>
      </c>
      <c r="J443" s="15"/>
      <c r="K443" s="9">
        <v>6.0</v>
      </c>
      <c r="L443" s="15"/>
      <c r="M443" s="9">
        <v>9.0</v>
      </c>
      <c r="N443" s="21">
        <v>0.6096191036515339</v>
      </c>
      <c r="O443" s="9" t="s">
        <v>101</v>
      </c>
      <c r="P443" s="9" t="s">
        <v>101</v>
      </c>
      <c r="Q443" s="9" t="s">
        <v>101</v>
      </c>
      <c r="R443" s="9" t="s">
        <v>101</v>
      </c>
      <c r="S443" s="9" t="s">
        <v>101</v>
      </c>
      <c r="T443" s="9" t="s">
        <v>101</v>
      </c>
      <c r="U443" s="9" t="s">
        <v>101</v>
      </c>
      <c r="V443" s="15">
        <v>0.174</v>
      </c>
      <c r="W443" s="15"/>
      <c r="X443" s="15"/>
      <c r="Y443" s="15">
        <v>0.03</v>
      </c>
      <c r="Z443" s="19"/>
      <c r="AA443" s="19"/>
      <c r="AB443" s="19"/>
      <c r="AC443" s="19"/>
      <c r="AD443" s="19"/>
      <c r="AE443" s="19"/>
      <c r="AF443" s="19"/>
      <c r="AG443" s="7" t="s">
        <v>109</v>
      </c>
      <c r="AH443" s="13">
        <f>iferror(VLOOKUP($B443,covariates!$B$3:$Z$1126,6,FALSE),"")</f>
        <v>30.6</v>
      </c>
      <c r="AI443" s="13">
        <f>iferror(VLOOKUP($B443,covariates!$B$3:$Z$1126,7,FALSE),"")</f>
        <v>7.5</v>
      </c>
      <c r="AJ443" s="9">
        <f>iferror(VLOOKUP($B443,covariates!$B$3:$Z$1126,14,FALSE),"")</f>
        <v>17</v>
      </c>
      <c r="AK443" s="9">
        <f>iferror(VLOOKUP($B443,covariates!$B$3:$Z$1126,16,FALSE),"")</f>
        <v>13</v>
      </c>
      <c r="AL443" s="9">
        <f>iferror(VLOOKUP($B443,covariates!$B$3:$Z$1126,18,FALSE),"")</f>
        <v>122.4</v>
      </c>
      <c r="AM443" s="9">
        <f>iferror(VLOOKUP($B443,covariates!$B$3:$Z$1126,19,FALSE),"")</f>
        <v>10.2</v>
      </c>
    </row>
    <row r="444">
      <c r="A444" s="15">
        <v>11.0</v>
      </c>
      <c r="B444" s="17" t="str">
        <f t="shared" ref="B444:B445" si="251">HYPERLINK("https://github.com/d-wkim/phd/blob/main/data/pdf/beynnon_2002.pdf","Beynnon et al., 2002")</f>
        <v>Beynnon et al., 2002</v>
      </c>
      <c r="C444" s="7" t="s">
        <v>42</v>
      </c>
      <c r="D444" s="19" t="s">
        <v>319</v>
      </c>
      <c r="E444" s="9" t="s">
        <v>222</v>
      </c>
      <c r="F444" s="15"/>
      <c r="G444" s="21"/>
      <c r="H444" s="13"/>
      <c r="I444" s="15"/>
      <c r="J444" s="15"/>
      <c r="K444" s="15"/>
      <c r="L444" s="15"/>
      <c r="M444" s="15"/>
      <c r="N444" s="15"/>
      <c r="O444" s="9" t="s">
        <v>101</v>
      </c>
      <c r="P444" s="9" t="s">
        <v>101</v>
      </c>
      <c r="Q444" s="9" t="s">
        <v>101</v>
      </c>
      <c r="R444" s="9" t="s">
        <v>101</v>
      </c>
      <c r="S444" s="9" t="s">
        <v>101</v>
      </c>
      <c r="T444" s="9" t="s">
        <v>101</v>
      </c>
      <c r="U444" s="9" t="s">
        <v>101</v>
      </c>
      <c r="V444" s="15"/>
      <c r="W444" s="15"/>
      <c r="X444" s="15"/>
      <c r="Y444" s="15"/>
      <c r="Z444" s="15"/>
      <c r="AA444" s="15"/>
      <c r="AB444" s="15"/>
      <c r="AC444" s="15"/>
      <c r="AD444" s="15"/>
      <c r="AE444" s="19"/>
      <c r="AF444" s="19"/>
      <c r="AG444" s="7" t="s">
        <v>174</v>
      </c>
      <c r="AH444" s="13">
        <f>iferror(VLOOKUP($B444,covariates!$B$3:$Z$1126,6,FALSE),"")</f>
        <v>28.5</v>
      </c>
      <c r="AI444" s="13">
        <f>iferror(VLOOKUP($B444,covariates!$B$3:$Z$1126,7,FALSE),"")</f>
        <v>6.959</v>
      </c>
      <c r="AJ444" s="9">
        <f>iferror(VLOOKUP($B444,covariates!$B$3:$Z$1126,14,FALSE),"")</f>
        <v>18</v>
      </c>
      <c r="AK444" s="9">
        <f>iferror(VLOOKUP($B444,covariates!$B$3:$Z$1126,16,FALSE),"")</f>
        <v>10</v>
      </c>
      <c r="AL444" s="9">
        <f>iferror(VLOOKUP($B444,covariates!$B$3:$Z$1126,18,FALSE),"")</f>
        <v>36</v>
      </c>
      <c r="AM444" s="9">
        <f>iferror(VLOOKUP($B444,covariates!$B$3:$Z$1126,19,FALSE),"")</f>
        <v>3</v>
      </c>
    </row>
    <row r="445">
      <c r="A445" s="15">
        <v>11.0</v>
      </c>
      <c r="B445" s="17" t="str">
        <f t="shared" si="251"/>
        <v>Beynnon et al., 2002</v>
      </c>
      <c r="C445" s="7" t="s">
        <v>84</v>
      </c>
      <c r="D445" s="19" t="s">
        <v>319</v>
      </c>
      <c r="E445" s="9" t="s">
        <v>222</v>
      </c>
      <c r="F445" s="15"/>
      <c r="G445" s="21"/>
      <c r="H445" s="13"/>
      <c r="I445" s="15"/>
      <c r="J445" s="15"/>
      <c r="K445" s="15"/>
      <c r="L445" s="15"/>
      <c r="M445" s="15"/>
      <c r="N445" s="15"/>
      <c r="O445" s="9" t="s">
        <v>101</v>
      </c>
      <c r="P445" s="9" t="s">
        <v>101</v>
      </c>
      <c r="Q445" s="9" t="s">
        <v>101</v>
      </c>
      <c r="R445" s="9" t="s">
        <v>101</v>
      </c>
      <c r="S445" s="9" t="s">
        <v>101</v>
      </c>
      <c r="T445" s="9" t="s">
        <v>101</v>
      </c>
      <c r="U445" s="9" t="s">
        <v>101</v>
      </c>
      <c r="V445" s="15"/>
      <c r="W445" s="15"/>
      <c r="X445" s="15"/>
      <c r="Y445" s="15"/>
      <c r="Z445" s="15"/>
      <c r="AA445" s="15"/>
      <c r="AB445" s="15"/>
      <c r="AC445" s="15"/>
      <c r="AD445" s="15"/>
      <c r="AE445" s="19"/>
      <c r="AF445" s="19"/>
      <c r="AG445" s="7" t="s">
        <v>174</v>
      </c>
      <c r="AH445" s="13">
        <f>iferror(VLOOKUP($B445,covariates!$B$3:$Z$1126,6,FALSE),"")</f>
        <v>28.5</v>
      </c>
      <c r="AI445" s="13">
        <f>iferror(VLOOKUP($B445,covariates!$B$3:$Z$1126,7,FALSE),"")</f>
        <v>6.959</v>
      </c>
      <c r="AJ445" s="9">
        <f>iferror(VLOOKUP($B445,covariates!$B$3:$Z$1126,14,FALSE),"")</f>
        <v>18</v>
      </c>
      <c r="AK445" s="9">
        <f>iferror(VLOOKUP($B445,covariates!$B$3:$Z$1126,16,FALSE),"")</f>
        <v>10</v>
      </c>
      <c r="AL445" s="9">
        <f>iferror(VLOOKUP($B445,covariates!$B$3:$Z$1126,18,FALSE),"")</f>
        <v>36</v>
      </c>
      <c r="AM445" s="9">
        <f>iferror(VLOOKUP($B445,covariates!$B$3:$Z$1126,19,FALSE),"")</f>
        <v>3</v>
      </c>
    </row>
    <row r="446">
      <c r="A446" s="15">
        <v>13.0</v>
      </c>
      <c r="B446" s="17" t="str">
        <f t="shared" ref="B446:B447" si="252">HYPERLINK("https://github.com/d-wkim/phd/blob/main/data/pdf/björnsson_2016.pdf","Björnsson et al., 2016")</f>
        <v>Björnsson et al., 2016</v>
      </c>
      <c r="C446" s="9" t="s">
        <v>42</v>
      </c>
      <c r="D446" s="19" t="s">
        <v>319</v>
      </c>
      <c r="E446" s="9" t="s">
        <v>222</v>
      </c>
      <c r="F446" s="9">
        <v>61.0</v>
      </c>
      <c r="G446" s="13">
        <v>4.1</v>
      </c>
      <c r="H446" s="13">
        <v>1.7</v>
      </c>
      <c r="I446" s="15"/>
      <c r="J446" s="15"/>
      <c r="K446" s="15"/>
      <c r="L446" s="15"/>
      <c r="M446" s="15"/>
      <c r="N446" s="21">
        <v>0.41</v>
      </c>
      <c r="O446" s="9" t="s">
        <v>101</v>
      </c>
      <c r="P446" s="9" t="s">
        <v>101</v>
      </c>
      <c r="Q446" s="9" t="s">
        <v>101</v>
      </c>
      <c r="R446" s="9" t="s">
        <v>101</v>
      </c>
      <c r="S446" s="9" t="s">
        <v>101</v>
      </c>
      <c r="T446" s="9" t="s">
        <v>101</v>
      </c>
      <c r="U446" s="9" t="s">
        <v>101</v>
      </c>
      <c r="V446" s="15">
        <v>0.218</v>
      </c>
      <c r="W446" s="15"/>
      <c r="X446" s="15"/>
      <c r="Y446" s="15">
        <v>0.048</v>
      </c>
      <c r="Z446" s="15"/>
      <c r="AA446" s="15"/>
      <c r="AB446" s="15"/>
      <c r="AC446" s="15"/>
      <c r="AD446" s="15"/>
      <c r="AE446" s="19"/>
      <c r="AF446" s="19"/>
      <c r="AG446" s="7" t="s">
        <v>109</v>
      </c>
      <c r="AH446" s="13">
        <f>iferror(VLOOKUP($B446,covariates!$B$3:$Z$1126,6,FALSE),"")</f>
        <v>28.2</v>
      </c>
      <c r="AI446" s="13">
        <f>iferror(VLOOKUP($B446,covariates!$B$3:$Z$1126,7,FALSE),"")</f>
        <v>9.1</v>
      </c>
      <c r="AJ446" s="9">
        <f>iferror(VLOOKUP($B446,covariates!$B$3:$Z$1126,14,FALSE),"")</f>
        <v>42</v>
      </c>
      <c r="AK446" s="9">
        <f>iferror(VLOOKUP($B446,covariates!$B$3:$Z$1126,16,FALSE),"")</f>
        <v>19</v>
      </c>
      <c r="AL446" s="9">
        <f>iferror(VLOOKUP($B446,covariates!$B$3:$Z$1126,18,FALSE),"")</f>
        <v>202.6</v>
      </c>
      <c r="AM446" s="9">
        <f>iferror(VLOOKUP($B446,covariates!$B$3:$Z$1126,19,FALSE),"")</f>
        <v>16.9</v>
      </c>
    </row>
    <row r="447">
      <c r="A447" s="15">
        <v>13.0</v>
      </c>
      <c r="B447" s="17" t="str">
        <f t="shared" si="252"/>
        <v>Björnsson et al., 2016</v>
      </c>
      <c r="C447" s="9" t="s">
        <v>84</v>
      </c>
      <c r="D447" s="19" t="s">
        <v>319</v>
      </c>
      <c r="E447" s="9" t="s">
        <v>222</v>
      </c>
      <c r="F447" s="9">
        <v>86.0</v>
      </c>
      <c r="G447" s="13">
        <v>4.0</v>
      </c>
      <c r="H447" s="13">
        <v>1.7</v>
      </c>
      <c r="I447" s="15"/>
      <c r="J447" s="15"/>
      <c r="K447" s="15"/>
      <c r="L447" s="15"/>
      <c r="M447" s="15"/>
      <c r="N447" s="21">
        <v>0.4</v>
      </c>
      <c r="O447" s="9" t="s">
        <v>101</v>
      </c>
      <c r="P447" s="9" t="s">
        <v>101</v>
      </c>
      <c r="Q447" s="9" t="s">
        <v>101</v>
      </c>
      <c r="R447" s="9" t="s">
        <v>101</v>
      </c>
      <c r="S447" s="9" t="s">
        <v>101</v>
      </c>
      <c r="T447" s="9" t="s">
        <v>101</v>
      </c>
      <c r="U447" s="9" t="s">
        <v>101</v>
      </c>
      <c r="V447" s="15">
        <v>0.183</v>
      </c>
      <c r="W447" s="15"/>
      <c r="X447" s="15"/>
      <c r="Y447" s="15">
        <v>0.033</v>
      </c>
      <c r="Z447" s="15"/>
      <c r="AA447" s="15"/>
      <c r="AB447" s="15"/>
      <c r="AC447" s="15"/>
      <c r="AD447" s="15"/>
      <c r="AE447" s="19"/>
      <c r="AF447" s="19"/>
      <c r="AG447" s="7" t="s">
        <v>109</v>
      </c>
      <c r="AH447" s="13">
        <f>iferror(VLOOKUP($B447,covariates!$B$3:$Z$1126,6,FALSE),"")</f>
        <v>28.2</v>
      </c>
      <c r="AI447" s="13">
        <f>iferror(VLOOKUP($B447,covariates!$B$3:$Z$1126,7,FALSE),"")</f>
        <v>9.1</v>
      </c>
      <c r="AJ447" s="9">
        <f>iferror(VLOOKUP($B447,covariates!$B$3:$Z$1126,14,FALSE),"")</f>
        <v>42</v>
      </c>
      <c r="AK447" s="9">
        <f>iferror(VLOOKUP($B447,covariates!$B$3:$Z$1126,16,FALSE),"")</f>
        <v>19</v>
      </c>
      <c r="AL447" s="9">
        <f>iferror(VLOOKUP($B447,covariates!$B$3:$Z$1126,18,FALSE),"")</f>
        <v>202.6</v>
      </c>
      <c r="AM447" s="9">
        <f>iferror(VLOOKUP($B447,covariates!$B$3:$Z$1126,19,FALSE),"")</f>
        <v>16.9</v>
      </c>
    </row>
    <row r="448">
      <c r="A448" s="15">
        <v>14.0</v>
      </c>
      <c r="B448" s="17" t="str">
        <f t="shared" ref="B448:B449" si="253">HYPERLINK("https://github.com/d-wkim/phd/blob/main/data/pdf/bottoni_2015.pdf","Bottoni et al., 2015")</f>
        <v>Bottoni et al., 2015</v>
      </c>
      <c r="C448" s="9" t="s">
        <v>84</v>
      </c>
      <c r="D448" s="19" t="s">
        <v>319</v>
      </c>
      <c r="E448" s="9" t="s">
        <v>222</v>
      </c>
      <c r="F448" s="9">
        <v>44.0</v>
      </c>
      <c r="G448" s="13">
        <v>5.1</v>
      </c>
      <c r="H448" s="13">
        <v>2.2</v>
      </c>
      <c r="I448" s="15"/>
      <c r="J448" s="15"/>
      <c r="K448" s="15"/>
      <c r="L448" s="15"/>
      <c r="M448" s="15"/>
      <c r="N448" s="21">
        <v>0.51</v>
      </c>
      <c r="O448" s="9" t="s">
        <v>101</v>
      </c>
      <c r="P448" s="9" t="s">
        <v>101</v>
      </c>
      <c r="Q448" s="9" t="s">
        <v>101</v>
      </c>
      <c r="R448" s="9" t="s">
        <v>101</v>
      </c>
      <c r="S448" s="9" t="s">
        <v>101</v>
      </c>
      <c r="T448" s="9" t="s">
        <v>101</v>
      </c>
      <c r="U448" s="9" t="s">
        <v>101</v>
      </c>
      <c r="V448" s="15">
        <v>0.332</v>
      </c>
      <c r="W448" s="15"/>
      <c r="X448" s="15"/>
      <c r="Y448" s="15">
        <v>0.11</v>
      </c>
      <c r="Z448" s="15"/>
      <c r="AA448" s="15"/>
      <c r="AB448" s="15"/>
      <c r="AC448" s="15"/>
      <c r="AD448" s="15"/>
      <c r="AE448" s="19"/>
      <c r="AF448" s="19"/>
      <c r="AG448" s="7" t="s">
        <v>109</v>
      </c>
      <c r="AH448" s="13">
        <f>iferror(VLOOKUP($B448,covariates!$B$3:$Z$1126,6,FALSE),"")</f>
        <v>28.9</v>
      </c>
      <c r="AI448" s="13">
        <f>iferror(VLOOKUP($B448,covariates!$B$3:$Z$1126,7,FALSE),"")</f>
        <v>5.8</v>
      </c>
      <c r="AJ448" s="9">
        <f>iferror(VLOOKUP($B448,covariates!$B$3:$Z$1126,14,FALSE),"")</f>
        <v>41</v>
      </c>
      <c r="AK448" s="9">
        <f>iferror(VLOOKUP($B448,covariates!$B$3:$Z$1126,16,FALSE),"")</f>
        <v>7</v>
      </c>
      <c r="AL448" s="9">
        <f>iferror(VLOOKUP($B448,covariates!$B$3:$Z$1126,18,FALSE),"")</f>
        <v>120</v>
      </c>
      <c r="AM448" s="9">
        <f>iferror(VLOOKUP($B448,covariates!$B$3:$Z$1126,19,FALSE),"")</f>
        <v>10</v>
      </c>
    </row>
    <row r="449">
      <c r="A449" s="15">
        <v>14.0</v>
      </c>
      <c r="B449" s="17" t="str">
        <f t="shared" si="253"/>
        <v>Bottoni et al., 2015</v>
      </c>
      <c r="C449" s="9" t="s">
        <v>205</v>
      </c>
      <c r="D449" s="19" t="s">
        <v>319</v>
      </c>
      <c r="E449" s="9" t="s">
        <v>222</v>
      </c>
      <c r="F449" s="9">
        <v>36.0</v>
      </c>
      <c r="G449" s="13">
        <v>5.1</v>
      </c>
      <c r="H449" s="13">
        <v>2.0</v>
      </c>
      <c r="I449" s="15"/>
      <c r="J449" s="15"/>
      <c r="K449" s="15"/>
      <c r="L449" s="15"/>
      <c r="M449" s="15"/>
      <c r="N449" s="21">
        <v>0.51</v>
      </c>
      <c r="O449" s="9" t="s">
        <v>101</v>
      </c>
      <c r="P449" s="9" t="s">
        <v>101</v>
      </c>
      <c r="Q449" s="9" t="s">
        <v>101</v>
      </c>
      <c r="R449" s="9" t="s">
        <v>101</v>
      </c>
      <c r="S449" s="9" t="s">
        <v>101</v>
      </c>
      <c r="T449" s="9" t="s">
        <v>101</v>
      </c>
      <c r="U449" s="9" t="s">
        <v>101</v>
      </c>
      <c r="V449" s="15">
        <v>0.333</v>
      </c>
      <c r="W449" s="15"/>
      <c r="X449" s="15"/>
      <c r="Y449" s="15">
        <v>0.111</v>
      </c>
      <c r="Z449" s="19"/>
      <c r="AA449" s="19"/>
      <c r="AB449" s="19"/>
      <c r="AC449" s="19"/>
      <c r="AD449" s="19"/>
      <c r="AE449" s="19"/>
      <c r="AF449" s="19"/>
      <c r="AG449" s="7" t="s">
        <v>109</v>
      </c>
      <c r="AH449" s="13">
        <f>iferror(VLOOKUP($B449,covariates!$B$3:$Z$1126,6,FALSE),"")</f>
        <v>28.9</v>
      </c>
      <c r="AI449" s="13">
        <f>iferror(VLOOKUP($B449,covariates!$B$3:$Z$1126,7,FALSE),"")</f>
        <v>5.8</v>
      </c>
      <c r="AJ449" s="9">
        <f>iferror(VLOOKUP($B449,covariates!$B$3:$Z$1126,14,FALSE),"")</f>
        <v>41</v>
      </c>
      <c r="AK449" s="9">
        <f>iferror(VLOOKUP($B449,covariates!$B$3:$Z$1126,16,FALSE),"")</f>
        <v>7</v>
      </c>
      <c r="AL449" s="9">
        <f>iferror(VLOOKUP($B449,covariates!$B$3:$Z$1126,18,FALSE),"")</f>
        <v>120</v>
      </c>
      <c r="AM449" s="9">
        <f>iferror(VLOOKUP($B449,covariates!$B$3:$Z$1126,19,FALSE),"")</f>
        <v>10</v>
      </c>
    </row>
    <row r="450">
      <c r="A450" s="15">
        <v>23.0</v>
      </c>
      <c r="B450" s="17" t="str">
        <f t="shared" ref="B450:B451" si="254">HYPERLINK("https://github.com/d-wkim/phd/blob/main/data/pdf/ejerhed_2003.pdf","Ejerhed et al., 2003")</f>
        <v>Ejerhed et al., 2003</v>
      </c>
      <c r="C450" s="9" t="s">
        <v>42</v>
      </c>
      <c r="D450" s="19" t="s">
        <v>319</v>
      </c>
      <c r="E450" s="9" t="s">
        <v>222</v>
      </c>
      <c r="F450" s="9">
        <v>32.0</v>
      </c>
      <c r="G450" s="13">
        <f t="shared" ref="G450:G451" si="255">iferror(MEDIAN_MEAN(F450,I450,K450,M450),"")</f>
        <v>5.770830671</v>
      </c>
      <c r="H450" s="13">
        <f t="shared" ref="H450:H451" si="256">iferror(RANGE_SD(F450,I450,M450),"")</f>
        <v>1.935</v>
      </c>
      <c r="I450" s="9">
        <v>1.0</v>
      </c>
      <c r="J450" s="15"/>
      <c r="K450" s="9">
        <v>6.0</v>
      </c>
      <c r="L450" s="15"/>
      <c r="M450" s="9">
        <v>9.0</v>
      </c>
      <c r="N450" s="21">
        <v>0.577083067053451</v>
      </c>
      <c r="O450" s="9" t="s">
        <v>101</v>
      </c>
      <c r="P450" s="9" t="s">
        <v>101</v>
      </c>
      <c r="Q450" s="9" t="s">
        <v>101</v>
      </c>
      <c r="R450" s="9" t="s">
        <v>101</v>
      </c>
      <c r="S450" s="9" t="s">
        <v>101</v>
      </c>
      <c r="T450" s="9" t="s">
        <v>101</v>
      </c>
      <c r="U450" s="9" t="s">
        <v>101</v>
      </c>
      <c r="V450" s="15">
        <v>0.342</v>
      </c>
      <c r="W450" s="15"/>
      <c r="X450" s="15"/>
      <c r="Y450" s="15">
        <v>0.117</v>
      </c>
      <c r="Z450" s="15"/>
      <c r="AA450" s="15"/>
      <c r="AB450" s="15"/>
      <c r="AC450" s="15"/>
      <c r="AD450" s="15"/>
      <c r="AE450" s="19"/>
      <c r="AF450" s="19"/>
      <c r="AG450" s="7" t="s">
        <v>109</v>
      </c>
      <c r="AH450" s="13">
        <f>iferror(VLOOKUP($B450,covariates!$B$3:$Z$1126,6,FALSE),"")</f>
        <v>27.26043131</v>
      </c>
      <c r="AI450" s="13">
        <f>iferror(VLOOKUP($B450,covariates!$B$3:$Z$1126,7,FALSE),"")</f>
        <v>8.467</v>
      </c>
      <c r="AJ450" s="9">
        <f>iferror(VLOOKUP($B450,covariates!$B$3:$Z$1126,14,FALSE),"")</f>
        <v>21</v>
      </c>
      <c r="AK450" s="9">
        <f>iferror(VLOOKUP($B450,covariates!$B$3:$Z$1126,16,FALSE),"")</f>
        <v>11</v>
      </c>
      <c r="AL450" s="9">
        <f>iferror(VLOOKUP($B450,covariates!$B$3:$Z$1126,18,FALSE),"")</f>
        <v>24</v>
      </c>
      <c r="AM450" s="9">
        <f>iferror(VLOOKUP($B450,covariates!$B$3:$Z$1126,19,FALSE),"")</f>
        <v>2</v>
      </c>
    </row>
    <row r="451">
      <c r="A451" s="15">
        <v>23.0</v>
      </c>
      <c r="B451" s="17" t="str">
        <f t="shared" si="254"/>
        <v>Ejerhed et al., 2003</v>
      </c>
      <c r="C451" s="9" t="s">
        <v>84</v>
      </c>
      <c r="D451" s="19" t="s">
        <v>319</v>
      </c>
      <c r="E451" s="9" t="s">
        <v>222</v>
      </c>
      <c r="F451" s="9">
        <v>34.0</v>
      </c>
      <c r="G451" s="13">
        <f t="shared" si="255"/>
        <v>6.389381827</v>
      </c>
      <c r="H451" s="13">
        <f t="shared" si="256"/>
        <v>1.434</v>
      </c>
      <c r="I451" s="9">
        <v>3.0</v>
      </c>
      <c r="J451" s="15"/>
      <c r="K451" s="9">
        <v>6.5</v>
      </c>
      <c r="L451" s="15"/>
      <c r="M451" s="9">
        <v>9.0</v>
      </c>
      <c r="N451" s="21">
        <v>0.638938182684126</v>
      </c>
      <c r="O451" s="9" t="s">
        <v>101</v>
      </c>
      <c r="P451" s="9" t="s">
        <v>101</v>
      </c>
      <c r="Q451" s="9" t="s">
        <v>101</v>
      </c>
      <c r="R451" s="9" t="s">
        <v>101</v>
      </c>
      <c r="S451" s="9" t="s">
        <v>101</v>
      </c>
      <c r="T451" s="9" t="s">
        <v>101</v>
      </c>
      <c r="U451" s="9" t="s">
        <v>101</v>
      </c>
      <c r="V451" s="15">
        <v>0.246</v>
      </c>
      <c r="W451" s="15"/>
      <c r="X451" s="15"/>
      <c r="Y451" s="15">
        <v>0.061</v>
      </c>
      <c r="Z451" s="15"/>
      <c r="AA451" s="15"/>
      <c r="AB451" s="15"/>
      <c r="AC451" s="15"/>
      <c r="AD451" s="15"/>
      <c r="AE451" s="19"/>
      <c r="AF451" s="19"/>
      <c r="AG451" s="7" t="s">
        <v>109</v>
      </c>
      <c r="AH451" s="13">
        <f>iferror(VLOOKUP($B451,covariates!$B$3:$Z$1126,6,FALSE),"")</f>
        <v>27.26043131</v>
      </c>
      <c r="AI451" s="13">
        <f>iferror(VLOOKUP($B451,covariates!$B$3:$Z$1126,7,FALSE),"")</f>
        <v>8.467</v>
      </c>
      <c r="AJ451" s="9">
        <f>iferror(VLOOKUP($B451,covariates!$B$3:$Z$1126,14,FALSE),"")</f>
        <v>21</v>
      </c>
      <c r="AK451" s="9">
        <f>iferror(VLOOKUP($B451,covariates!$B$3:$Z$1126,16,FALSE),"")</f>
        <v>11</v>
      </c>
      <c r="AL451" s="9">
        <f>iferror(VLOOKUP($B451,covariates!$B$3:$Z$1126,18,FALSE),"")</f>
        <v>24</v>
      </c>
      <c r="AM451" s="9">
        <f>iferror(VLOOKUP($B451,covariates!$B$3:$Z$1126,19,FALSE),"")</f>
        <v>2</v>
      </c>
    </row>
    <row r="452">
      <c r="A452" s="15">
        <v>30.0</v>
      </c>
      <c r="B452" s="17" t="str">
        <f t="shared" ref="B452:B453" si="257">HYPERLINK("https://github.com/d-wkim/phd/blob/main/data/pdf/gifstad_2013.pdf","Gifstad et al., 2013")</f>
        <v>Gifstad et al., 2013</v>
      </c>
      <c r="C452" s="7" t="s">
        <v>42</v>
      </c>
      <c r="D452" s="19" t="s">
        <v>319</v>
      </c>
      <c r="E452" s="9" t="s">
        <v>222</v>
      </c>
      <c r="F452" s="9"/>
      <c r="G452" s="21"/>
      <c r="H452" s="13"/>
      <c r="I452" s="15"/>
      <c r="J452" s="15"/>
      <c r="K452" s="15"/>
      <c r="L452" s="15"/>
      <c r="M452" s="15"/>
      <c r="N452" s="66"/>
      <c r="O452" s="9" t="s">
        <v>101</v>
      </c>
      <c r="P452" s="9" t="s">
        <v>101</v>
      </c>
      <c r="Q452" s="9" t="s">
        <v>101</v>
      </c>
      <c r="R452" s="9" t="s">
        <v>101</v>
      </c>
      <c r="S452" s="9" t="s">
        <v>101</v>
      </c>
      <c r="T452" s="9" t="s">
        <v>101</v>
      </c>
      <c r="U452" s="9" t="s">
        <v>101</v>
      </c>
      <c r="V452" s="66"/>
      <c r="W452" s="66"/>
      <c r="X452" s="15"/>
      <c r="Y452" s="15"/>
      <c r="Z452" s="15"/>
      <c r="AA452" s="15"/>
      <c r="AB452" s="15"/>
      <c r="AC452" s="15"/>
      <c r="AD452" s="15"/>
      <c r="AE452" s="19"/>
      <c r="AF452" s="19"/>
      <c r="AG452" s="7" t="s">
        <v>174</v>
      </c>
      <c r="AH452" s="13">
        <f>iferror(VLOOKUP($B452,covariates!$B$3:$Z$1126,6,FALSE),"")</f>
        <v>27</v>
      </c>
      <c r="AI452" s="13">
        <f>iferror(VLOOKUP($B452,covariates!$B$3:$Z$1126,7,FALSE),"")</f>
        <v>6.74</v>
      </c>
      <c r="AJ452" s="9" t="str">
        <f>iferror(VLOOKUP($B452,covariates!$B$3:$Z$1126,14,FALSE),"")</f>
        <v/>
      </c>
      <c r="AK452" s="9" t="str">
        <f>iferror(VLOOKUP($B452,covariates!$B$3:$Z$1126,16,FALSE),"")</f>
        <v/>
      </c>
      <c r="AL452" s="9">
        <f>iferror(VLOOKUP($B452,covariates!$B$3:$Z$1126,18,FALSE),"")</f>
        <v>84</v>
      </c>
      <c r="AM452" s="9">
        <f>iferror(VLOOKUP($B452,covariates!$B$3:$Z$1126,19,FALSE),"")</f>
        <v>7</v>
      </c>
    </row>
    <row r="453">
      <c r="A453" s="15">
        <v>30.0</v>
      </c>
      <c r="B453" s="17" t="str">
        <f t="shared" si="257"/>
        <v>Gifstad et al., 2013</v>
      </c>
      <c r="C453" s="7" t="s">
        <v>84</v>
      </c>
      <c r="D453" s="19" t="s">
        <v>319</v>
      </c>
      <c r="E453" s="9" t="s">
        <v>222</v>
      </c>
      <c r="F453" s="9"/>
      <c r="G453" s="21"/>
      <c r="H453" s="13"/>
      <c r="I453" s="15"/>
      <c r="J453" s="15"/>
      <c r="K453" s="15"/>
      <c r="L453" s="15"/>
      <c r="M453" s="15"/>
      <c r="N453" s="66"/>
      <c r="O453" s="9" t="s">
        <v>101</v>
      </c>
      <c r="P453" s="9" t="s">
        <v>101</v>
      </c>
      <c r="Q453" s="9" t="s">
        <v>101</v>
      </c>
      <c r="R453" s="9" t="s">
        <v>101</v>
      </c>
      <c r="S453" s="9" t="s">
        <v>101</v>
      </c>
      <c r="T453" s="9" t="s">
        <v>101</v>
      </c>
      <c r="U453" s="9" t="s">
        <v>101</v>
      </c>
      <c r="V453" s="66"/>
      <c r="W453" s="66"/>
      <c r="X453" s="15"/>
      <c r="Y453" s="15"/>
      <c r="Z453" s="15"/>
      <c r="AA453" s="15"/>
      <c r="AB453" s="15"/>
      <c r="AC453" s="15"/>
      <c r="AD453" s="15"/>
      <c r="AE453" s="19"/>
      <c r="AF453" s="19"/>
      <c r="AG453" s="7" t="s">
        <v>174</v>
      </c>
      <c r="AH453" s="13">
        <f>iferror(VLOOKUP($B453,covariates!$B$3:$Z$1126,6,FALSE),"")</f>
        <v>27</v>
      </c>
      <c r="AI453" s="13">
        <f>iferror(VLOOKUP($B453,covariates!$B$3:$Z$1126,7,FALSE),"")</f>
        <v>6.74</v>
      </c>
      <c r="AJ453" s="9" t="str">
        <f>iferror(VLOOKUP($B453,covariates!$B$3:$Z$1126,14,FALSE),"")</f>
        <v/>
      </c>
      <c r="AK453" s="9" t="str">
        <f>iferror(VLOOKUP($B453,covariates!$B$3:$Z$1126,16,FALSE),"")</f>
        <v/>
      </c>
      <c r="AL453" s="9">
        <f>iferror(VLOOKUP($B453,covariates!$B$3:$Z$1126,18,FALSE),"")</f>
        <v>84</v>
      </c>
      <c r="AM453" s="9">
        <f>iferror(VLOOKUP($B453,covariates!$B$3:$Z$1126,19,FALSE),"")</f>
        <v>7</v>
      </c>
    </row>
    <row r="454">
      <c r="A454" s="15">
        <v>31.0</v>
      </c>
      <c r="B454" s="17" t="str">
        <f t="shared" ref="B454:B455" si="258">HYPERLINK("https://github.com/d-wkim/phd/blob/main/data/pdf/gobbi_francisco_2006.pdf","Gobbi &amp; Francisco, 2006")</f>
        <v>Gobbi &amp; Francisco, 2006</v>
      </c>
      <c r="C454" s="7" t="s">
        <v>42</v>
      </c>
      <c r="D454" s="19" t="s">
        <v>319</v>
      </c>
      <c r="E454" s="9" t="s">
        <v>222</v>
      </c>
      <c r="F454" s="15"/>
      <c r="G454" s="21"/>
      <c r="H454" s="13"/>
      <c r="I454" s="15"/>
      <c r="J454" s="15"/>
      <c r="K454" s="15"/>
      <c r="L454" s="15"/>
      <c r="M454" s="15"/>
      <c r="N454" s="15"/>
      <c r="O454" s="9" t="s">
        <v>101</v>
      </c>
      <c r="P454" s="9" t="s">
        <v>101</v>
      </c>
      <c r="Q454" s="9" t="s">
        <v>101</v>
      </c>
      <c r="R454" s="9" t="s">
        <v>101</v>
      </c>
      <c r="S454" s="9" t="s">
        <v>101</v>
      </c>
      <c r="T454" s="9" t="s">
        <v>101</v>
      </c>
      <c r="U454" s="9" t="s">
        <v>101</v>
      </c>
      <c r="V454" s="15"/>
      <c r="W454" s="15"/>
      <c r="X454" s="15"/>
      <c r="Y454" s="15"/>
      <c r="Z454" s="15"/>
      <c r="AA454" s="15"/>
      <c r="AB454" s="15"/>
      <c r="AC454" s="15"/>
      <c r="AD454" s="15"/>
      <c r="AE454" s="19"/>
      <c r="AF454" s="19"/>
      <c r="AG454" s="7" t="s">
        <v>174</v>
      </c>
      <c r="AH454" s="13" t="str">
        <f>iferror(VLOOKUP($B454,covariates!$B$3:$Z$1126,6,FALSE),"")</f>
        <v/>
      </c>
      <c r="AI454" s="13" t="str">
        <f>iferror(VLOOKUP($B454,covariates!$B$3:$Z$1126,7,FALSE),"")</f>
        <v/>
      </c>
      <c r="AJ454" s="9" t="str">
        <f>iferror(VLOOKUP($B454,covariates!$B$3:$Z$1126,14,FALSE),"")</f>
        <v/>
      </c>
      <c r="AK454" s="9" t="str">
        <f>iferror(VLOOKUP($B454,covariates!$B$3:$Z$1126,16,FALSE),"")</f>
        <v/>
      </c>
      <c r="AL454" s="9" t="str">
        <f>iferror(VLOOKUP($B454,covariates!$B$3:$Z$1126,18,FALSE),"")</f>
        <v/>
      </c>
      <c r="AM454" s="9" t="str">
        <f>iferror(VLOOKUP($B454,covariates!$B$3:$Z$1126,19,FALSE),"")</f>
        <v/>
      </c>
    </row>
    <row r="455">
      <c r="A455" s="15">
        <v>31.0</v>
      </c>
      <c r="B455" s="17" t="str">
        <f t="shared" si="258"/>
        <v>Gobbi &amp; Francisco, 2006</v>
      </c>
      <c r="C455" s="7" t="s">
        <v>84</v>
      </c>
      <c r="D455" s="19" t="s">
        <v>319</v>
      </c>
      <c r="E455" s="9" t="s">
        <v>222</v>
      </c>
      <c r="F455" s="15"/>
      <c r="G455" s="21"/>
      <c r="H455" s="13"/>
      <c r="I455" s="15"/>
      <c r="J455" s="15"/>
      <c r="K455" s="15"/>
      <c r="L455" s="15"/>
      <c r="M455" s="15"/>
      <c r="N455" s="15"/>
      <c r="O455" s="9" t="s">
        <v>101</v>
      </c>
      <c r="P455" s="9" t="s">
        <v>101</v>
      </c>
      <c r="Q455" s="9" t="s">
        <v>101</v>
      </c>
      <c r="R455" s="9" t="s">
        <v>101</v>
      </c>
      <c r="S455" s="9" t="s">
        <v>101</v>
      </c>
      <c r="T455" s="9" t="s">
        <v>101</v>
      </c>
      <c r="U455" s="9" t="s">
        <v>101</v>
      </c>
      <c r="V455" s="15"/>
      <c r="W455" s="15"/>
      <c r="X455" s="15"/>
      <c r="Y455" s="15"/>
      <c r="Z455" s="15"/>
      <c r="AA455" s="15"/>
      <c r="AB455" s="15"/>
      <c r="AC455" s="15"/>
      <c r="AD455" s="15"/>
      <c r="AE455" s="19"/>
      <c r="AF455" s="19"/>
      <c r="AG455" s="7" t="s">
        <v>174</v>
      </c>
      <c r="AH455" s="13" t="str">
        <f>iferror(VLOOKUP($B455,covariates!$B$3:$Z$1126,6,FALSE),"")</f>
        <v/>
      </c>
      <c r="AI455" s="13" t="str">
        <f>iferror(VLOOKUP($B455,covariates!$B$3:$Z$1126,7,FALSE),"")</f>
        <v/>
      </c>
      <c r="AJ455" s="9" t="str">
        <f>iferror(VLOOKUP($B455,covariates!$B$3:$Z$1126,14,FALSE),"")</f>
        <v/>
      </c>
      <c r="AK455" s="9" t="str">
        <f>iferror(VLOOKUP($B455,covariates!$B$3:$Z$1126,16,FALSE),"")</f>
        <v/>
      </c>
      <c r="AL455" s="9" t="str">
        <f>iferror(VLOOKUP($B455,covariates!$B$3:$Z$1126,18,FALSE),"")</f>
        <v/>
      </c>
      <c r="AM455" s="9" t="str">
        <f>iferror(VLOOKUP($B455,covariates!$B$3:$Z$1126,19,FALSE),"")</f>
        <v/>
      </c>
    </row>
    <row r="456">
      <c r="A456" s="15">
        <v>33.0</v>
      </c>
      <c r="B456" s="17" t="str">
        <f t="shared" ref="B456:B457" si="259">HYPERLINK("https://github.com/d-wkim/phd/blob/main/data/pdf/harilainen_2006.pdf","Harilainen et al., 2006")</f>
        <v>Harilainen et al., 2006</v>
      </c>
      <c r="C456" s="9" t="s">
        <v>42</v>
      </c>
      <c r="D456" s="19" t="s">
        <v>319</v>
      </c>
      <c r="E456" s="9" t="s">
        <v>222</v>
      </c>
      <c r="F456" s="9">
        <v>37.0</v>
      </c>
      <c r="G456" s="13">
        <f t="shared" ref="G456:G461" si="260">iferror(MEDIAN_MEAN(F456,I456,K456,M456),"")</f>
        <v>5.894748329</v>
      </c>
      <c r="H456" s="13">
        <f t="shared" ref="H456:H464" si="261">iferror(RANGE_SD(F456,I456,M456),"")</f>
        <v>2.117</v>
      </c>
      <c r="I456" s="9">
        <v>1.0</v>
      </c>
      <c r="J456" s="15"/>
      <c r="K456" s="9">
        <v>6.0</v>
      </c>
      <c r="L456" s="15"/>
      <c r="M456" s="9">
        <v>10.0</v>
      </c>
      <c r="N456" s="21">
        <v>0.5894748329184174</v>
      </c>
      <c r="O456" s="9" t="s">
        <v>101</v>
      </c>
      <c r="P456" s="9" t="s">
        <v>101</v>
      </c>
      <c r="Q456" s="9" t="s">
        <v>101</v>
      </c>
      <c r="R456" s="9" t="s">
        <v>101</v>
      </c>
      <c r="S456" s="9" t="s">
        <v>101</v>
      </c>
      <c r="T456" s="9" t="s">
        <v>101</v>
      </c>
      <c r="U456" s="9" t="s">
        <v>101</v>
      </c>
      <c r="V456" s="15">
        <v>0.348</v>
      </c>
      <c r="W456" s="15"/>
      <c r="X456" s="15"/>
      <c r="Y456" s="15">
        <v>0.121</v>
      </c>
      <c r="Z456" s="15"/>
      <c r="AA456" s="15"/>
      <c r="AB456" s="15"/>
      <c r="AC456" s="15"/>
      <c r="AD456" s="15"/>
      <c r="AE456" s="19"/>
      <c r="AF456" s="19"/>
      <c r="AG456" s="7" t="s">
        <v>109</v>
      </c>
      <c r="AH456" s="13" t="str">
        <f>iferror(VLOOKUP($B456,covariates!$B$3:$Z$1126,6,FALSE),"")</f>
        <v/>
      </c>
      <c r="AI456" s="13" t="str">
        <f>iferror(VLOOKUP($B456,covariates!$B$3:$Z$1126,7,FALSE),"")</f>
        <v/>
      </c>
      <c r="AJ456" s="9" t="str">
        <f>iferror(VLOOKUP($B456,covariates!$B$3:$Z$1126,14,FALSE),"")</f>
        <v/>
      </c>
      <c r="AK456" s="9" t="str">
        <f>iferror(VLOOKUP($B456,covariates!$B$3:$Z$1126,16,FALSE),"")</f>
        <v/>
      </c>
      <c r="AL456" s="9">
        <f>iferror(VLOOKUP($B456,covariates!$B$3:$Z$1126,18,FALSE),"")</f>
        <v>60.6</v>
      </c>
      <c r="AM456" s="9">
        <f>iferror(VLOOKUP($B456,covariates!$B$3:$Z$1126,19,FALSE),"")</f>
        <v>5.1</v>
      </c>
    </row>
    <row r="457">
      <c r="A457" s="15">
        <v>33.0</v>
      </c>
      <c r="B457" s="17" t="str">
        <f t="shared" si="259"/>
        <v>Harilainen et al., 2006</v>
      </c>
      <c r="C457" s="9" t="s">
        <v>84</v>
      </c>
      <c r="D457" s="19" t="s">
        <v>319</v>
      </c>
      <c r="E457" s="9" t="s">
        <v>222</v>
      </c>
      <c r="F457" s="9">
        <v>37.0</v>
      </c>
      <c r="G457" s="13">
        <f t="shared" si="260"/>
        <v>6</v>
      </c>
      <c r="H457" s="13">
        <f t="shared" si="261"/>
        <v>1.412</v>
      </c>
      <c r="I457" s="9">
        <v>3.0</v>
      </c>
      <c r="J457" s="15"/>
      <c r="K457" s="9">
        <v>6.0</v>
      </c>
      <c r="L457" s="15"/>
      <c r="M457" s="9">
        <v>9.0</v>
      </c>
      <c r="N457" s="21">
        <v>0.6</v>
      </c>
      <c r="O457" s="9" t="s">
        <v>101</v>
      </c>
      <c r="P457" s="9" t="s">
        <v>101</v>
      </c>
      <c r="Q457" s="9" t="s">
        <v>101</v>
      </c>
      <c r="R457" s="9" t="s">
        <v>101</v>
      </c>
      <c r="S457" s="9" t="s">
        <v>101</v>
      </c>
      <c r="T457" s="9" t="s">
        <v>101</v>
      </c>
      <c r="U457" s="9" t="s">
        <v>101</v>
      </c>
      <c r="V457" s="15">
        <v>0.232</v>
      </c>
      <c r="W457" s="15"/>
      <c r="X457" s="15"/>
      <c r="Y457" s="15">
        <v>0.054</v>
      </c>
      <c r="Z457" s="15"/>
      <c r="AA457" s="15"/>
      <c r="AB457" s="15"/>
      <c r="AC457" s="15"/>
      <c r="AD457" s="15"/>
      <c r="AE457" s="19"/>
      <c r="AF457" s="19"/>
      <c r="AG457" s="7" t="s">
        <v>109</v>
      </c>
      <c r="AH457" s="13" t="str">
        <f>iferror(VLOOKUP($B457,covariates!$B$3:$Z$1126,6,FALSE),"")</f>
        <v/>
      </c>
      <c r="AI457" s="13" t="str">
        <f>iferror(VLOOKUP($B457,covariates!$B$3:$Z$1126,7,FALSE),"")</f>
        <v/>
      </c>
      <c r="AJ457" s="9" t="str">
        <f>iferror(VLOOKUP($B457,covariates!$B$3:$Z$1126,14,FALSE),"")</f>
        <v/>
      </c>
      <c r="AK457" s="9" t="str">
        <f>iferror(VLOOKUP($B457,covariates!$B$3:$Z$1126,16,FALSE),"")</f>
        <v/>
      </c>
      <c r="AL457" s="9">
        <f>iferror(VLOOKUP($B457,covariates!$B$3:$Z$1126,18,FALSE),"")</f>
        <v>60.6</v>
      </c>
      <c r="AM457" s="9">
        <f>iferror(VLOOKUP($B457,covariates!$B$3:$Z$1126,19,FALSE),"")</f>
        <v>5.1</v>
      </c>
    </row>
    <row r="458">
      <c r="A458" s="15">
        <v>34.0</v>
      </c>
      <c r="B458" s="17" t="str">
        <f t="shared" ref="B458:B459" si="262">HYPERLINK("https://github.com/d-wkim/phd/blob/main/data/pdf/heijne_werner_2010.pdf","Heijne &amp; Werner, 2010")</f>
        <v>Heijne &amp; Werner, 2010</v>
      </c>
      <c r="C458" s="9" t="s">
        <v>42</v>
      </c>
      <c r="D458" s="19" t="s">
        <v>319</v>
      </c>
      <c r="E458" s="9" t="s">
        <v>222</v>
      </c>
      <c r="F458" s="9">
        <v>30.0</v>
      </c>
      <c r="G458" s="13">
        <f t="shared" si="260"/>
        <v>6.64325233</v>
      </c>
      <c r="H458" s="13">
        <f t="shared" si="261"/>
        <v>2.206</v>
      </c>
      <c r="I458" s="9">
        <v>1.0</v>
      </c>
      <c r="J458" s="15"/>
      <c r="K458" s="9">
        <v>7.0</v>
      </c>
      <c r="L458" s="15"/>
      <c r="M458" s="9">
        <v>10.0</v>
      </c>
      <c r="N458" s="21">
        <v>0.6643252329916398</v>
      </c>
      <c r="O458" s="9" t="s">
        <v>101</v>
      </c>
      <c r="P458" s="9" t="s">
        <v>101</v>
      </c>
      <c r="Q458" s="9" t="s">
        <v>101</v>
      </c>
      <c r="R458" s="9" t="s">
        <v>101</v>
      </c>
      <c r="S458" s="9" t="s">
        <v>101</v>
      </c>
      <c r="T458" s="9" t="s">
        <v>101</v>
      </c>
      <c r="U458" s="9" t="s">
        <v>101</v>
      </c>
      <c r="V458" s="15">
        <v>0.403</v>
      </c>
      <c r="W458" s="15"/>
      <c r="X458" s="15"/>
      <c r="Y458" s="15">
        <v>0.162</v>
      </c>
      <c r="Z458" s="15"/>
      <c r="AA458" s="15"/>
      <c r="AB458" s="15"/>
      <c r="AC458" s="15"/>
      <c r="AD458" s="15"/>
      <c r="AE458" s="19"/>
      <c r="AF458" s="19"/>
      <c r="AG458" s="7" t="s">
        <v>109</v>
      </c>
      <c r="AH458" s="13">
        <f>iferror(VLOOKUP($B458,covariates!$B$3:$Z$1126,6,FALSE),"")</f>
        <v>29</v>
      </c>
      <c r="AI458" s="13">
        <f>iferror(VLOOKUP($B458,covariates!$B$3:$Z$1126,7,FALSE),"")</f>
        <v>7</v>
      </c>
      <c r="AJ458" s="9">
        <f>iferror(VLOOKUP($B458,covariates!$B$3:$Z$1126,14,FALSE),"")</f>
        <v>22</v>
      </c>
      <c r="AK458" s="9">
        <f>iferror(VLOOKUP($B458,covariates!$B$3:$Z$1126,16,FALSE),"")</f>
        <v>12</v>
      </c>
      <c r="AL458" s="9">
        <f>iferror(VLOOKUP($B458,covariates!$B$3:$Z$1126,18,FALSE),"")</f>
        <v>24.7</v>
      </c>
      <c r="AM458" s="9">
        <f>iferror(VLOOKUP($B458,covariates!$B$3:$Z$1126,19,FALSE),"")</f>
        <v>2.1</v>
      </c>
    </row>
    <row r="459">
      <c r="A459" s="15">
        <v>34.0</v>
      </c>
      <c r="B459" s="17" t="str">
        <f t="shared" si="262"/>
        <v>Heijne &amp; Werner, 2010</v>
      </c>
      <c r="C459" s="9" t="s">
        <v>84</v>
      </c>
      <c r="D459" s="19" t="s">
        <v>319</v>
      </c>
      <c r="E459" s="9" t="s">
        <v>222</v>
      </c>
      <c r="F459" s="9">
        <v>29.0</v>
      </c>
      <c r="G459" s="13">
        <f t="shared" si="260"/>
        <v>5</v>
      </c>
      <c r="H459" s="13">
        <f t="shared" si="261"/>
        <v>1.481</v>
      </c>
      <c r="I459" s="9">
        <v>2.0</v>
      </c>
      <c r="J459" s="15"/>
      <c r="K459" s="9">
        <v>5.0</v>
      </c>
      <c r="L459" s="15"/>
      <c r="M459" s="9">
        <v>8.0</v>
      </c>
      <c r="N459" s="21">
        <v>0.5</v>
      </c>
      <c r="O459" s="9" t="s">
        <v>101</v>
      </c>
      <c r="P459" s="9" t="s">
        <v>101</v>
      </c>
      <c r="Q459" s="9" t="s">
        <v>101</v>
      </c>
      <c r="R459" s="9" t="s">
        <v>101</v>
      </c>
      <c r="S459" s="9" t="s">
        <v>101</v>
      </c>
      <c r="T459" s="9" t="s">
        <v>101</v>
      </c>
      <c r="U459" s="9" t="s">
        <v>101</v>
      </c>
      <c r="V459" s="15">
        <v>0.275</v>
      </c>
      <c r="W459" s="15"/>
      <c r="X459" s="15"/>
      <c r="Y459" s="15">
        <v>0.076</v>
      </c>
      <c r="Z459" s="15"/>
      <c r="AA459" s="15"/>
      <c r="AB459" s="15"/>
      <c r="AC459" s="15"/>
      <c r="AD459" s="15"/>
      <c r="AE459" s="19"/>
      <c r="AF459" s="19"/>
      <c r="AG459" s="7" t="s">
        <v>109</v>
      </c>
      <c r="AH459" s="13">
        <f>iferror(VLOOKUP($B459,covariates!$B$3:$Z$1126,6,FALSE),"")</f>
        <v>29</v>
      </c>
      <c r="AI459" s="13">
        <f>iferror(VLOOKUP($B459,covariates!$B$3:$Z$1126,7,FALSE),"")</f>
        <v>7</v>
      </c>
      <c r="AJ459" s="9">
        <f>iferror(VLOOKUP($B459,covariates!$B$3:$Z$1126,14,FALSE),"")</f>
        <v>22</v>
      </c>
      <c r="AK459" s="9">
        <f>iferror(VLOOKUP($B459,covariates!$B$3:$Z$1126,16,FALSE),"")</f>
        <v>12</v>
      </c>
      <c r="AL459" s="9">
        <f>iferror(VLOOKUP($B459,covariates!$B$3:$Z$1126,18,FALSE),"")</f>
        <v>24.7</v>
      </c>
      <c r="AM459" s="9">
        <f>iferror(VLOOKUP($B459,covariates!$B$3:$Z$1126,19,FALSE),"")</f>
        <v>2.1</v>
      </c>
    </row>
    <row r="460">
      <c r="A460" s="15">
        <v>41.0</v>
      </c>
      <c r="B460" s="17" t="str">
        <f t="shared" ref="B460:B461" si="263">HYPERLINK("https://github.com/d-wkim/phd/blob/main/data/pdf/jansson_2003.pdf","Jansson et al., 2003")</f>
        <v>Jansson et al., 2003</v>
      </c>
      <c r="C460" s="9" t="s">
        <v>42</v>
      </c>
      <c r="D460" s="19" t="s">
        <v>319</v>
      </c>
      <c r="E460" s="9" t="s">
        <v>222</v>
      </c>
      <c r="F460" s="9">
        <v>43.0</v>
      </c>
      <c r="G460" s="13">
        <f t="shared" si="260"/>
        <v>5.984570756</v>
      </c>
      <c r="H460" s="13">
        <f t="shared" si="261"/>
        <v>1.602</v>
      </c>
      <c r="I460" s="9">
        <v>2.0</v>
      </c>
      <c r="J460" s="15"/>
      <c r="K460" s="9">
        <v>6.1</v>
      </c>
      <c r="L460" s="15"/>
      <c r="M460" s="9">
        <v>9.0</v>
      </c>
      <c r="N460" s="21">
        <v>0.5984570756181592</v>
      </c>
      <c r="O460" s="9" t="s">
        <v>101</v>
      </c>
      <c r="P460" s="9" t="s">
        <v>101</v>
      </c>
      <c r="Q460" s="9" t="s">
        <v>101</v>
      </c>
      <c r="R460" s="9" t="s">
        <v>101</v>
      </c>
      <c r="S460" s="9" t="s">
        <v>101</v>
      </c>
      <c r="T460" s="9" t="s">
        <v>101</v>
      </c>
      <c r="U460" s="9" t="s">
        <v>101</v>
      </c>
      <c r="V460" s="15">
        <v>0.244</v>
      </c>
      <c r="W460" s="15"/>
      <c r="X460" s="15"/>
      <c r="Y460" s="15">
        <v>0.06</v>
      </c>
      <c r="Z460" s="15"/>
      <c r="AA460" s="15"/>
      <c r="AB460" s="15"/>
      <c r="AC460" s="15"/>
      <c r="AD460" s="15"/>
      <c r="AE460" s="19"/>
      <c r="AF460" s="19"/>
      <c r="AG460" s="7" t="s">
        <v>109</v>
      </c>
      <c r="AH460" s="13" t="str">
        <f>iferror(VLOOKUP($B460,covariates!$B$3:$Z$1126,6,FALSE),"")</f>
        <v/>
      </c>
      <c r="AI460" s="13" t="str">
        <f>iferror(VLOOKUP($B460,covariates!$B$3:$Z$1126,7,FALSE),"")</f>
        <v/>
      </c>
      <c r="AJ460" s="9" t="str">
        <f>iferror(VLOOKUP($B460,covariates!$B$3:$Z$1126,14,FALSE),"")</f>
        <v/>
      </c>
      <c r="AK460" s="9" t="str">
        <f>iferror(VLOOKUP($B460,covariates!$B$3:$Z$1126,16,FALSE),"")</f>
        <v/>
      </c>
      <c r="AL460" s="9">
        <f>iferror(VLOOKUP($B460,covariates!$B$3:$Z$1126,18,FALSE),"")</f>
        <v>24</v>
      </c>
      <c r="AM460" s="9">
        <f>iferror(VLOOKUP($B460,covariates!$B$3:$Z$1126,19,FALSE),"")</f>
        <v>2</v>
      </c>
    </row>
    <row r="461">
      <c r="A461" s="15">
        <v>41.0</v>
      </c>
      <c r="B461" s="17" t="str">
        <f t="shared" si="263"/>
        <v>Jansson et al., 2003</v>
      </c>
      <c r="C461" s="9" t="s">
        <v>84</v>
      </c>
      <c r="D461" s="19" t="s">
        <v>319</v>
      </c>
      <c r="E461" s="9" t="s">
        <v>222</v>
      </c>
      <c r="F461" s="9">
        <v>46.0</v>
      </c>
      <c r="G461" s="13">
        <f t="shared" si="260"/>
        <v>5.815354721</v>
      </c>
      <c r="H461" s="13">
        <f t="shared" si="261"/>
        <v>2.261</v>
      </c>
      <c r="I461" s="9">
        <v>0.0</v>
      </c>
      <c r="J461" s="15"/>
      <c r="K461" s="9">
        <v>6.0</v>
      </c>
      <c r="L461" s="15"/>
      <c r="M461" s="9">
        <v>10.0</v>
      </c>
      <c r="N461" s="21">
        <v>0.5815354721133568</v>
      </c>
      <c r="O461" s="9" t="s">
        <v>101</v>
      </c>
      <c r="P461" s="9" t="s">
        <v>101</v>
      </c>
      <c r="Q461" s="9" t="s">
        <v>101</v>
      </c>
      <c r="R461" s="9" t="s">
        <v>101</v>
      </c>
      <c r="S461" s="9" t="s">
        <v>101</v>
      </c>
      <c r="T461" s="9" t="s">
        <v>101</v>
      </c>
      <c r="U461" s="9" t="s">
        <v>101</v>
      </c>
      <c r="V461" s="15">
        <v>0.333</v>
      </c>
      <c r="W461" s="15"/>
      <c r="X461" s="15"/>
      <c r="Y461" s="15">
        <v>0.111</v>
      </c>
      <c r="Z461" s="15"/>
      <c r="AA461" s="15"/>
      <c r="AB461" s="15"/>
      <c r="AC461" s="15"/>
      <c r="AD461" s="15"/>
      <c r="AE461" s="19"/>
      <c r="AF461" s="19"/>
      <c r="AG461" s="7" t="s">
        <v>109</v>
      </c>
      <c r="AH461" s="13" t="str">
        <f>iferror(VLOOKUP($B461,covariates!$B$3:$Z$1126,6,FALSE),"")</f>
        <v/>
      </c>
      <c r="AI461" s="13" t="str">
        <f>iferror(VLOOKUP($B461,covariates!$B$3:$Z$1126,7,FALSE),"")</f>
        <v/>
      </c>
      <c r="AJ461" s="9" t="str">
        <f>iferror(VLOOKUP($B461,covariates!$B$3:$Z$1126,14,FALSE),"")</f>
        <v/>
      </c>
      <c r="AK461" s="9" t="str">
        <f>iferror(VLOOKUP($B461,covariates!$B$3:$Z$1126,16,FALSE),"")</f>
        <v/>
      </c>
      <c r="AL461" s="9">
        <f>iferror(VLOOKUP($B461,covariates!$B$3:$Z$1126,18,FALSE),"")</f>
        <v>24</v>
      </c>
      <c r="AM461" s="9">
        <f>iferror(VLOOKUP($B461,covariates!$B$3:$Z$1126,19,FALSE),"")</f>
        <v>2</v>
      </c>
    </row>
    <row r="462">
      <c r="A462" s="15">
        <v>45.0</v>
      </c>
      <c r="B462" s="17" t="str">
        <f t="shared" ref="B462:B463" si="264">HYPERLINK("https://github.com/d-wkim/phd/blob/main/data/pdf/konrads_2016.pdf","Konrads et al., 2016")</f>
        <v>Konrads et al., 2016</v>
      </c>
      <c r="C462" s="9" t="s">
        <v>42</v>
      </c>
      <c r="D462" s="19" t="s">
        <v>319</v>
      </c>
      <c r="E462" s="9" t="s">
        <v>222</v>
      </c>
      <c r="F462" s="9">
        <v>24.0</v>
      </c>
      <c r="G462" s="13">
        <v>5.9</v>
      </c>
      <c r="H462" s="13">
        <f t="shared" si="261"/>
        <v>1.284</v>
      </c>
      <c r="I462" s="9">
        <v>4.0</v>
      </c>
      <c r="J462" s="15"/>
      <c r="K462" s="15"/>
      <c r="L462" s="15"/>
      <c r="M462" s="9">
        <v>9.0</v>
      </c>
      <c r="N462" s="21">
        <v>0.5900000000000001</v>
      </c>
      <c r="O462" s="9" t="s">
        <v>101</v>
      </c>
      <c r="P462" s="9" t="s">
        <v>101</v>
      </c>
      <c r="Q462" s="9" t="s">
        <v>101</v>
      </c>
      <c r="R462" s="9" t="s">
        <v>101</v>
      </c>
      <c r="S462" s="9" t="s">
        <v>101</v>
      </c>
      <c r="T462" s="9" t="s">
        <v>101</v>
      </c>
      <c r="U462" s="9" t="s">
        <v>101</v>
      </c>
      <c r="V462" s="15">
        <v>0.262</v>
      </c>
      <c r="W462" s="15"/>
      <c r="X462" s="15"/>
      <c r="Y462" s="15">
        <v>0.069</v>
      </c>
      <c r="Z462" s="15"/>
      <c r="AA462" s="15"/>
      <c r="AB462" s="15"/>
      <c r="AC462" s="15"/>
      <c r="AD462" s="15"/>
      <c r="AE462" s="19"/>
      <c r="AF462" s="19"/>
      <c r="AG462" s="7" t="s">
        <v>109</v>
      </c>
      <c r="AH462" s="13">
        <f>iferror(VLOOKUP($B462,covariates!$B$3:$Z$1126,6,FALSE),"")</f>
        <v>29.8</v>
      </c>
      <c r="AI462" s="13">
        <f>iferror(VLOOKUP($B462,covariates!$B$3:$Z$1126,7,FALSE),"")</f>
        <v>6.33</v>
      </c>
      <c r="AJ462" s="9">
        <f>iferror(VLOOKUP($B462,covariates!$B$3:$Z$1126,14,FALSE),"")</f>
        <v>22</v>
      </c>
      <c r="AK462" s="9">
        <f>iferror(VLOOKUP($B462,covariates!$B$3:$Z$1126,16,FALSE),"")</f>
        <v>9</v>
      </c>
      <c r="AL462" s="9">
        <f>iferror(VLOOKUP($B462,covariates!$B$3:$Z$1126,18,FALSE),"")</f>
        <v>120</v>
      </c>
      <c r="AM462" s="9">
        <f>iferror(VLOOKUP($B462,covariates!$B$3:$Z$1126,19,FALSE),"")</f>
        <v>10</v>
      </c>
    </row>
    <row r="463">
      <c r="A463" s="15">
        <v>45.0</v>
      </c>
      <c r="B463" s="17" t="str">
        <f t="shared" si="264"/>
        <v>Konrads et al., 2016</v>
      </c>
      <c r="C463" s="9" t="s">
        <v>84</v>
      </c>
      <c r="D463" s="19" t="s">
        <v>319</v>
      </c>
      <c r="E463" s="9" t="s">
        <v>222</v>
      </c>
      <c r="F463" s="9">
        <v>23.0</v>
      </c>
      <c r="G463" s="13">
        <v>5.1</v>
      </c>
      <c r="H463" s="13">
        <f t="shared" si="261"/>
        <v>1.037</v>
      </c>
      <c r="I463" s="9">
        <v>3.0</v>
      </c>
      <c r="J463" s="15"/>
      <c r="K463" s="15"/>
      <c r="L463" s="15"/>
      <c r="M463" s="9">
        <v>7.0</v>
      </c>
      <c r="N463" s="21">
        <v>0.51</v>
      </c>
      <c r="O463" s="9" t="s">
        <v>101</v>
      </c>
      <c r="P463" s="9" t="s">
        <v>101</v>
      </c>
      <c r="Q463" s="9" t="s">
        <v>101</v>
      </c>
      <c r="R463" s="9" t="s">
        <v>101</v>
      </c>
      <c r="S463" s="9" t="s">
        <v>101</v>
      </c>
      <c r="T463" s="9" t="s">
        <v>101</v>
      </c>
      <c r="U463" s="9" t="s">
        <v>101</v>
      </c>
      <c r="V463" s="15">
        <v>0.216</v>
      </c>
      <c r="W463" s="15"/>
      <c r="X463" s="15"/>
      <c r="Y463" s="15">
        <v>0.047</v>
      </c>
      <c r="Z463" s="15"/>
      <c r="AA463" s="15"/>
      <c r="AB463" s="15"/>
      <c r="AC463" s="15"/>
      <c r="AD463" s="15"/>
      <c r="AE463" s="19"/>
      <c r="AF463" s="19"/>
      <c r="AG463" s="7" t="s">
        <v>109</v>
      </c>
      <c r="AH463" s="13">
        <f>iferror(VLOOKUP($B463,covariates!$B$3:$Z$1126,6,FALSE),"")</f>
        <v>29.8</v>
      </c>
      <c r="AI463" s="13">
        <f>iferror(VLOOKUP($B463,covariates!$B$3:$Z$1126,7,FALSE),"")</f>
        <v>6.33</v>
      </c>
      <c r="AJ463" s="9">
        <f>iferror(VLOOKUP($B463,covariates!$B$3:$Z$1126,14,FALSE),"")</f>
        <v>22</v>
      </c>
      <c r="AK463" s="9">
        <f>iferror(VLOOKUP($B463,covariates!$B$3:$Z$1126,16,FALSE),"")</f>
        <v>9</v>
      </c>
      <c r="AL463" s="9">
        <f>iferror(VLOOKUP($B463,covariates!$B$3:$Z$1126,18,FALSE),"")</f>
        <v>120</v>
      </c>
      <c r="AM463" s="9">
        <f>iferror(VLOOKUP($B463,covariates!$B$3:$Z$1126,19,FALSE),"")</f>
        <v>10</v>
      </c>
    </row>
    <row r="464">
      <c r="A464" s="15">
        <v>49.0</v>
      </c>
      <c r="B464" s="17" t="str">
        <f t="shared" ref="B464:B465" si="265">HYPERLINK("https://github.com/d-wkim/phd/blob/main/data/pdf/laxdal_2005.pdf","Laxdal et al., 2005")</f>
        <v>Laxdal et al., 2005</v>
      </c>
      <c r="C464" s="9" t="s">
        <v>42</v>
      </c>
      <c r="D464" s="19" t="s">
        <v>319</v>
      </c>
      <c r="E464" s="9" t="s">
        <v>222</v>
      </c>
      <c r="F464" s="9">
        <v>40.0</v>
      </c>
      <c r="G464" s="13">
        <v>6.0</v>
      </c>
      <c r="H464" s="13">
        <f t="shared" si="261"/>
        <v>1.855</v>
      </c>
      <c r="I464" s="9">
        <v>2.0</v>
      </c>
      <c r="J464" s="15"/>
      <c r="K464" s="15"/>
      <c r="L464" s="15"/>
      <c r="M464" s="9">
        <v>10.0</v>
      </c>
      <c r="N464" s="21">
        <v>0.6</v>
      </c>
      <c r="O464" s="9" t="s">
        <v>101</v>
      </c>
      <c r="P464" s="9" t="s">
        <v>101</v>
      </c>
      <c r="Q464" s="9" t="s">
        <v>101</v>
      </c>
      <c r="R464" s="9" t="s">
        <v>101</v>
      </c>
      <c r="S464" s="9" t="s">
        <v>101</v>
      </c>
      <c r="T464" s="9" t="s">
        <v>101</v>
      </c>
      <c r="U464" s="9" t="s">
        <v>101</v>
      </c>
      <c r="V464" s="15">
        <v>0.293</v>
      </c>
      <c r="W464" s="15"/>
      <c r="X464" s="15"/>
      <c r="Y464" s="15">
        <v>0.086</v>
      </c>
      <c r="Z464" s="15"/>
      <c r="AA464" s="15"/>
      <c r="AB464" s="15"/>
      <c r="AC464" s="15"/>
      <c r="AD464" s="15"/>
      <c r="AE464" s="19"/>
      <c r="AF464" s="19"/>
      <c r="AG464" s="7" t="s">
        <v>109</v>
      </c>
      <c r="AH464" s="13">
        <f>iferror(VLOOKUP($B464,covariates!$B$3:$Z$1126,6,FALSE),"")</f>
        <v>28</v>
      </c>
      <c r="AI464" s="13">
        <f>iferror(VLOOKUP($B464,covariates!$B$3:$Z$1126,7,FALSE),"")</f>
        <v>8.347</v>
      </c>
      <c r="AJ464" s="9" t="str">
        <f>iferror(VLOOKUP($B464,covariates!$B$3:$Z$1126,14,FALSE),"")</f>
        <v/>
      </c>
      <c r="AK464" s="9" t="str">
        <f>iferror(VLOOKUP($B464,covariates!$B$3:$Z$1126,16,FALSE),"")</f>
        <v/>
      </c>
      <c r="AL464" s="9">
        <f>iferror(VLOOKUP($B464,covariates!$B$3:$Z$1126,18,FALSE),"")</f>
        <v>26</v>
      </c>
      <c r="AM464" s="9">
        <f>iferror(VLOOKUP($B464,covariates!$B$3:$Z$1126,19,FALSE),"")</f>
        <v>2.2</v>
      </c>
    </row>
    <row r="465">
      <c r="A465" s="9">
        <v>49.0</v>
      </c>
      <c r="B465" s="17" t="str">
        <f t="shared" si="265"/>
        <v>Laxdal et al., 2005</v>
      </c>
      <c r="C465" s="9" t="s">
        <v>84</v>
      </c>
      <c r="D465" s="19" t="s">
        <v>319</v>
      </c>
      <c r="E465" s="9" t="s">
        <v>222</v>
      </c>
      <c r="F465" s="9">
        <v>78.0</v>
      </c>
      <c r="G465" s="13">
        <v>4.0</v>
      </c>
      <c r="H465" s="13">
        <v>1.6419284401871532</v>
      </c>
      <c r="I465" s="9"/>
      <c r="J465" s="15"/>
      <c r="K465" s="15"/>
      <c r="L465" s="15"/>
      <c r="M465" s="9"/>
      <c r="N465" s="21">
        <v>0.4</v>
      </c>
      <c r="O465" s="9" t="s">
        <v>101</v>
      </c>
      <c r="P465" s="9" t="s">
        <v>101</v>
      </c>
      <c r="Q465" s="9" t="s">
        <v>101</v>
      </c>
      <c r="R465" s="9" t="s">
        <v>101</v>
      </c>
      <c r="S465" s="9" t="s">
        <v>101</v>
      </c>
      <c r="T465" s="9" t="s">
        <v>101</v>
      </c>
      <c r="U465" s="9" t="s">
        <v>101</v>
      </c>
      <c r="V465" s="15">
        <v>0.186</v>
      </c>
      <c r="W465" s="15"/>
      <c r="X465" s="15"/>
      <c r="Y465" s="15">
        <v>0.035</v>
      </c>
      <c r="Z465" s="15"/>
      <c r="AA465" s="15"/>
      <c r="AB465" s="15"/>
      <c r="AC465" s="15"/>
      <c r="AD465" s="15"/>
      <c r="AE465" s="19"/>
      <c r="AF465" s="19"/>
      <c r="AG465" s="7" t="s">
        <v>109</v>
      </c>
      <c r="AH465" s="13">
        <f>iferror(VLOOKUP($B465,covariates!$B$3:$Z$1126,6,FALSE),"")</f>
        <v>28</v>
      </c>
      <c r="AI465" s="13">
        <f>iferror(VLOOKUP($B465,covariates!$B$3:$Z$1126,7,FALSE),"")</f>
        <v>8.347</v>
      </c>
      <c r="AJ465" s="9" t="str">
        <f>iferror(VLOOKUP($B465,covariates!$B$3:$Z$1126,14,FALSE),"")</f>
        <v/>
      </c>
      <c r="AK465" s="9" t="str">
        <f>iferror(VLOOKUP($B465,covariates!$B$3:$Z$1126,16,FALSE),"")</f>
        <v/>
      </c>
      <c r="AL465" s="9">
        <f>iferror(VLOOKUP($B465,covariates!$B$3:$Z$1126,18,FALSE),"")</f>
        <v>26</v>
      </c>
      <c r="AM465" s="9">
        <f>iferror(VLOOKUP($B465,covariates!$B$3:$Z$1126,19,FALSE),"")</f>
        <v>2.2</v>
      </c>
    </row>
    <row r="466">
      <c r="A466" s="15">
        <v>51.0</v>
      </c>
      <c r="B466" s="17" t="str">
        <f t="shared" ref="B466:B467" si="266">HYPERLINK("https://github.com/d-wkim/phd/blob/main/data/pdf/li_2015.pdf","Li et al., 2015")</f>
        <v>Li et al., 2015</v>
      </c>
      <c r="C466" s="9" t="s">
        <v>84</v>
      </c>
      <c r="D466" s="19" t="s">
        <v>319</v>
      </c>
      <c r="E466" s="9" t="s">
        <v>222</v>
      </c>
      <c r="F466" s="9">
        <v>32.0</v>
      </c>
      <c r="G466" s="13">
        <v>7.3</v>
      </c>
      <c r="H466" s="13">
        <v>1.3</v>
      </c>
      <c r="I466" s="15"/>
      <c r="J466" s="15"/>
      <c r="K466" s="15"/>
      <c r="L466" s="15"/>
      <c r="M466" s="15"/>
      <c r="N466" s="21">
        <v>0.73</v>
      </c>
      <c r="O466" s="9" t="s">
        <v>101</v>
      </c>
      <c r="P466" s="9" t="s">
        <v>101</v>
      </c>
      <c r="Q466" s="9" t="s">
        <v>101</v>
      </c>
      <c r="R466" s="9" t="s">
        <v>101</v>
      </c>
      <c r="S466" s="9" t="s">
        <v>101</v>
      </c>
      <c r="T466" s="9" t="s">
        <v>101</v>
      </c>
      <c r="U466" s="9" t="s">
        <v>101</v>
      </c>
      <c r="V466" s="15">
        <v>0.23</v>
      </c>
      <c r="W466" s="15"/>
      <c r="X466" s="15"/>
      <c r="Y466" s="15">
        <v>0.053</v>
      </c>
      <c r="Z466" s="15"/>
      <c r="AA466" s="15"/>
      <c r="AB466" s="15"/>
      <c r="AC466" s="15"/>
      <c r="AD466" s="15"/>
      <c r="AE466" s="19"/>
      <c r="AF466" s="19"/>
      <c r="AG466" s="7" t="s">
        <v>109</v>
      </c>
      <c r="AH466" s="13">
        <f>iferror(VLOOKUP($B466,covariates!$B$3:$Z$1126,6,FALSE),"")</f>
        <v>29.8</v>
      </c>
      <c r="AI466" s="13">
        <f>iferror(VLOOKUP($B466,covariates!$B$3:$Z$1126,7,FALSE),"")</f>
        <v>7.9</v>
      </c>
      <c r="AJ466" s="9">
        <f>iferror(VLOOKUP($B466,covariates!$B$3:$Z$1126,14,FALSE),"")</f>
        <v>17</v>
      </c>
      <c r="AK466" s="9">
        <f>iferror(VLOOKUP($B466,covariates!$B$3:$Z$1126,16,FALSE),"")</f>
        <v>15</v>
      </c>
      <c r="AL466" s="9">
        <f>iferror(VLOOKUP($B466,covariates!$B$3:$Z$1126,18,FALSE),"")</f>
        <v>69.6</v>
      </c>
      <c r="AM466" s="9">
        <f>iferror(VLOOKUP($B466,covariates!$B$3:$Z$1126,19,FALSE),"")</f>
        <v>5.8</v>
      </c>
    </row>
    <row r="467">
      <c r="A467" s="15">
        <v>51.0</v>
      </c>
      <c r="B467" s="17" t="str">
        <f t="shared" si="266"/>
        <v>Li et al., 2015</v>
      </c>
      <c r="C467" s="9" t="s">
        <v>205</v>
      </c>
      <c r="D467" s="19" t="s">
        <v>319</v>
      </c>
      <c r="E467" s="9" t="s">
        <v>222</v>
      </c>
      <c r="F467" s="9">
        <v>32.0</v>
      </c>
      <c r="G467" s="13">
        <v>7.0</v>
      </c>
      <c r="H467" s="13">
        <v>2.1</v>
      </c>
      <c r="I467" s="15"/>
      <c r="J467" s="15"/>
      <c r="K467" s="15"/>
      <c r="L467" s="15"/>
      <c r="M467" s="15"/>
      <c r="N467" s="21">
        <v>0.7</v>
      </c>
      <c r="O467" s="9" t="s">
        <v>101</v>
      </c>
      <c r="P467" s="9" t="s">
        <v>101</v>
      </c>
      <c r="Q467" s="9" t="s">
        <v>101</v>
      </c>
      <c r="R467" s="9" t="s">
        <v>101</v>
      </c>
      <c r="S467" s="9" t="s">
        <v>101</v>
      </c>
      <c r="T467" s="9" t="s">
        <v>101</v>
      </c>
      <c r="U467" s="9" t="s">
        <v>101</v>
      </c>
      <c r="V467" s="15">
        <v>0.371</v>
      </c>
      <c r="W467" s="15"/>
      <c r="X467" s="15"/>
      <c r="Y467" s="15">
        <v>0.138</v>
      </c>
      <c r="Z467" s="19"/>
      <c r="AA467" s="19"/>
      <c r="AB467" s="19"/>
      <c r="AC467" s="19"/>
      <c r="AD467" s="19"/>
      <c r="AE467" s="19"/>
      <c r="AF467" s="19"/>
      <c r="AG467" s="7" t="s">
        <v>109</v>
      </c>
      <c r="AH467" s="13">
        <f>iferror(VLOOKUP($B467,covariates!$B$3:$Z$1126,6,FALSE),"")</f>
        <v>29.8</v>
      </c>
      <c r="AI467" s="13">
        <f>iferror(VLOOKUP($B467,covariates!$B$3:$Z$1126,7,FALSE),"")</f>
        <v>7.9</v>
      </c>
      <c r="AJ467" s="9">
        <f>iferror(VLOOKUP($B467,covariates!$B$3:$Z$1126,14,FALSE),"")</f>
        <v>17</v>
      </c>
      <c r="AK467" s="9">
        <f>iferror(VLOOKUP($B467,covariates!$B$3:$Z$1126,16,FALSE),"")</f>
        <v>15</v>
      </c>
      <c r="AL467" s="9">
        <f>iferror(VLOOKUP($B467,covariates!$B$3:$Z$1126,18,FALSE),"")</f>
        <v>69.6</v>
      </c>
      <c r="AM467" s="9">
        <f>iferror(VLOOKUP($B467,covariates!$B$3:$Z$1126,19,FALSE),"")</f>
        <v>5.8</v>
      </c>
    </row>
    <row r="468">
      <c r="A468" s="15">
        <v>52.0</v>
      </c>
      <c r="B468" s="17" t="str">
        <f t="shared" ref="B468:B469" si="267">HYPERLINK("https://github.com/d-wkim/phd/blob/main/data/pdf/lidén_2007.pdf","Lidén et al., 2007")</f>
        <v>Lidén et al., 2007</v>
      </c>
      <c r="C468" s="9" t="s">
        <v>42</v>
      </c>
      <c r="D468" s="19" t="s">
        <v>319</v>
      </c>
      <c r="E468" s="9" t="s">
        <v>222</v>
      </c>
      <c r="F468" s="9">
        <v>30.0</v>
      </c>
      <c r="G468" s="13">
        <v>5.0</v>
      </c>
      <c r="H468" s="13">
        <f t="shared" ref="H468:H469" si="268">iferror(RANGE_SD(F468,I468,M468),"")</f>
        <v>1.715</v>
      </c>
      <c r="I468" s="9">
        <v>0.0</v>
      </c>
      <c r="J468" s="15"/>
      <c r="K468" s="15"/>
      <c r="L468" s="15"/>
      <c r="M468" s="9">
        <v>7.0</v>
      </c>
      <c r="N468" s="21">
        <v>0.5</v>
      </c>
      <c r="O468" s="9" t="s">
        <v>101</v>
      </c>
      <c r="P468" s="9" t="s">
        <v>101</v>
      </c>
      <c r="Q468" s="9" t="s">
        <v>101</v>
      </c>
      <c r="R468" s="9" t="s">
        <v>101</v>
      </c>
      <c r="S468" s="9" t="s">
        <v>101</v>
      </c>
      <c r="T468" s="9" t="s">
        <v>101</v>
      </c>
      <c r="U468" s="9" t="s">
        <v>101</v>
      </c>
      <c r="V468" s="15">
        <v>0.313</v>
      </c>
      <c r="W468" s="15"/>
      <c r="X468" s="15"/>
      <c r="Y468" s="15">
        <v>0.098</v>
      </c>
      <c r="Z468" s="15"/>
      <c r="AA468" s="15"/>
      <c r="AB468" s="15"/>
      <c r="AC468" s="15"/>
      <c r="AD468" s="15"/>
      <c r="AE468" s="19"/>
      <c r="AF468" s="19"/>
      <c r="AG468" s="7" t="s">
        <v>109</v>
      </c>
      <c r="AH468" s="13">
        <f>iferror(VLOOKUP($B468,covariates!$B$3:$Z$1126,6,FALSE),"")</f>
        <v>28</v>
      </c>
      <c r="AI468" s="13">
        <f>iferror(VLOOKUP($B468,covariates!$B$3:$Z$1126,7,FALSE),"")</f>
        <v>8.368</v>
      </c>
      <c r="AJ468" s="9">
        <f>iferror(VLOOKUP($B468,covariates!$B$3:$Z$1126,14,FALSE),"")</f>
        <v>23</v>
      </c>
      <c r="AK468" s="9">
        <f>iferror(VLOOKUP($B468,covariates!$B$3:$Z$1126,16,FALSE),"")</f>
        <v>11</v>
      </c>
      <c r="AL468" s="9">
        <f>iferror(VLOOKUP($B468,covariates!$B$3:$Z$1126,18,FALSE),"")</f>
        <v>87.10618173</v>
      </c>
      <c r="AM468" s="9">
        <f>iferror(VLOOKUP($B468,covariates!$B$3:$Z$1126,19,FALSE),"")</f>
        <v>7.3</v>
      </c>
    </row>
    <row r="469">
      <c r="A469" s="15">
        <v>52.0</v>
      </c>
      <c r="B469" s="17" t="str">
        <f t="shared" si="267"/>
        <v>Lidén et al., 2007</v>
      </c>
      <c r="C469" s="9" t="s">
        <v>84</v>
      </c>
      <c r="D469" s="19" t="s">
        <v>319</v>
      </c>
      <c r="E469" s="9" t="s">
        <v>222</v>
      </c>
      <c r="F469" s="9">
        <v>32.0</v>
      </c>
      <c r="G469" s="13">
        <v>6.0</v>
      </c>
      <c r="H469" s="13">
        <f t="shared" si="268"/>
        <v>1.693</v>
      </c>
      <c r="I469" s="9">
        <v>2.0</v>
      </c>
      <c r="J469" s="15"/>
      <c r="K469" s="15"/>
      <c r="L469" s="15"/>
      <c r="M469" s="9">
        <v>9.0</v>
      </c>
      <c r="N469" s="21">
        <v>0.6</v>
      </c>
      <c r="O469" s="9" t="s">
        <v>101</v>
      </c>
      <c r="P469" s="9" t="s">
        <v>101</v>
      </c>
      <c r="Q469" s="9" t="s">
        <v>101</v>
      </c>
      <c r="R469" s="9" t="s">
        <v>101</v>
      </c>
      <c r="S469" s="9" t="s">
        <v>101</v>
      </c>
      <c r="T469" s="9" t="s">
        <v>101</v>
      </c>
      <c r="U469" s="9" t="s">
        <v>101</v>
      </c>
      <c r="V469" s="15">
        <v>0.299</v>
      </c>
      <c r="W469" s="15"/>
      <c r="X469" s="15"/>
      <c r="Y469" s="15">
        <v>0.089</v>
      </c>
      <c r="Z469" s="15"/>
      <c r="AA469" s="15"/>
      <c r="AB469" s="15"/>
      <c r="AC469" s="15"/>
      <c r="AD469" s="15"/>
      <c r="AE469" s="19"/>
      <c r="AF469" s="19"/>
      <c r="AG469" s="7" t="s">
        <v>109</v>
      </c>
      <c r="AH469" s="13">
        <f>iferror(VLOOKUP($B469,covariates!$B$3:$Z$1126,6,FALSE),"")</f>
        <v>28</v>
      </c>
      <c r="AI469" s="13">
        <f>iferror(VLOOKUP($B469,covariates!$B$3:$Z$1126,7,FALSE),"")</f>
        <v>8.368</v>
      </c>
      <c r="AJ469" s="9">
        <f>iferror(VLOOKUP($B469,covariates!$B$3:$Z$1126,14,FALSE),"")</f>
        <v>23</v>
      </c>
      <c r="AK469" s="9">
        <f>iferror(VLOOKUP($B469,covariates!$B$3:$Z$1126,16,FALSE),"")</f>
        <v>11</v>
      </c>
      <c r="AL469" s="9">
        <f>iferror(VLOOKUP($B469,covariates!$B$3:$Z$1126,18,FALSE),"")</f>
        <v>87.10618173</v>
      </c>
      <c r="AM469" s="9">
        <f>iferror(VLOOKUP($B469,covariates!$B$3:$Z$1126,19,FALSE),"")</f>
        <v>7.3</v>
      </c>
    </row>
    <row r="470">
      <c r="A470" s="15">
        <v>53.0</v>
      </c>
      <c r="B470" s="17" t="str">
        <f t="shared" ref="B470:B471" si="269">HYPERLINK("https://github.com/d-wkim/phd/blob/main/data/pdf/lind_2020.pdf","Lind et al., 2020")</f>
        <v>Lind et al., 2020</v>
      </c>
      <c r="C470" s="9" t="s">
        <v>84</v>
      </c>
      <c r="D470" s="19" t="s">
        <v>319</v>
      </c>
      <c r="E470" s="9" t="s">
        <v>222</v>
      </c>
      <c r="F470" s="9">
        <v>49.0</v>
      </c>
      <c r="G470" s="13">
        <v>5.9</v>
      </c>
      <c r="H470" s="13">
        <v>1.3</v>
      </c>
      <c r="I470" s="15"/>
      <c r="J470" s="15"/>
      <c r="K470" s="15"/>
      <c r="L470" s="15"/>
      <c r="M470" s="15"/>
      <c r="N470" s="21">
        <v>0.5900000000000001</v>
      </c>
      <c r="O470" s="9" t="s">
        <v>101</v>
      </c>
      <c r="P470" s="9" t="s">
        <v>101</v>
      </c>
      <c r="Q470" s="9" t="s">
        <v>101</v>
      </c>
      <c r="R470" s="9" t="s">
        <v>101</v>
      </c>
      <c r="S470" s="9" t="s">
        <v>101</v>
      </c>
      <c r="T470" s="9" t="s">
        <v>101</v>
      </c>
      <c r="U470" s="9" t="s">
        <v>101</v>
      </c>
      <c r="V470" s="15">
        <v>0.186</v>
      </c>
      <c r="W470" s="15"/>
      <c r="X470" s="15"/>
      <c r="Y470" s="15">
        <v>0.035</v>
      </c>
      <c r="Z470" s="15"/>
      <c r="AA470" s="15"/>
      <c r="AB470" s="15"/>
      <c r="AC470" s="15"/>
      <c r="AD470" s="15"/>
      <c r="AE470" s="19"/>
      <c r="AF470" s="19"/>
      <c r="AG470" s="7" t="s">
        <v>109</v>
      </c>
      <c r="AH470" s="13">
        <f>iferror(VLOOKUP($B470,covariates!$B$3:$Z$1126,6,FALSE),"")</f>
        <v>27.1</v>
      </c>
      <c r="AI470" s="13">
        <f>iferror(VLOOKUP($B470,covariates!$B$3:$Z$1126,7,FALSE),"")</f>
        <v>6.1</v>
      </c>
      <c r="AJ470" s="9">
        <f>iferror(VLOOKUP($B470,covariates!$B$3:$Z$1126,14,FALSE),"")</f>
        <v>25</v>
      </c>
      <c r="AK470" s="9">
        <f>iferror(VLOOKUP($B470,covariates!$B$3:$Z$1126,16,FALSE),"")</f>
        <v>24</v>
      </c>
      <c r="AL470" s="9">
        <f>iferror(VLOOKUP($B470,covariates!$B$3:$Z$1126,18,FALSE),"")</f>
        <v>24</v>
      </c>
      <c r="AM470" s="9">
        <f>iferror(VLOOKUP($B470,covariates!$B$3:$Z$1126,19,FALSE),"")</f>
        <v>2</v>
      </c>
    </row>
    <row r="471">
      <c r="A471" s="15">
        <v>53.0</v>
      </c>
      <c r="B471" s="17" t="str">
        <f t="shared" si="269"/>
        <v>Lind et al., 2020</v>
      </c>
      <c r="C471" s="9" t="s">
        <v>200</v>
      </c>
      <c r="D471" s="19" t="s">
        <v>319</v>
      </c>
      <c r="E471" s="9" t="s">
        <v>222</v>
      </c>
      <c r="F471" s="9">
        <v>47.0</v>
      </c>
      <c r="G471" s="13">
        <v>6.0</v>
      </c>
      <c r="H471" s="13">
        <v>1.5</v>
      </c>
      <c r="I471" s="15"/>
      <c r="J471" s="15"/>
      <c r="K471" s="15"/>
      <c r="L471" s="15"/>
      <c r="M471" s="15"/>
      <c r="N471" s="21">
        <v>0.6</v>
      </c>
      <c r="O471" s="9" t="s">
        <v>101</v>
      </c>
      <c r="P471" s="9" t="s">
        <v>101</v>
      </c>
      <c r="Q471" s="9" t="s">
        <v>101</v>
      </c>
      <c r="R471" s="9" t="s">
        <v>101</v>
      </c>
      <c r="S471" s="9" t="s">
        <v>101</v>
      </c>
      <c r="T471" s="9" t="s">
        <v>101</v>
      </c>
      <c r="U471" s="9" t="s">
        <v>101</v>
      </c>
      <c r="V471" s="15">
        <v>0.219</v>
      </c>
      <c r="W471" s="15"/>
      <c r="X471" s="15"/>
      <c r="Y471" s="15">
        <v>0.048</v>
      </c>
      <c r="Z471" s="19"/>
      <c r="AA471" s="19"/>
      <c r="AB471" s="19"/>
      <c r="AC471" s="19"/>
      <c r="AD471" s="19"/>
      <c r="AE471" s="19"/>
      <c r="AF471" s="19"/>
      <c r="AG471" s="7" t="s">
        <v>109</v>
      </c>
      <c r="AH471" s="13">
        <f>iferror(VLOOKUP($B471,covariates!$B$3:$Z$1126,6,FALSE),"")</f>
        <v>27.1</v>
      </c>
      <c r="AI471" s="13">
        <f>iferror(VLOOKUP($B471,covariates!$B$3:$Z$1126,7,FALSE),"")</f>
        <v>6.1</v>
      </c>
      <c r="AJ471" s="9">
        <f>iferror(VLOOKUP($B471,covariates!$B$3:$Z$1126,14,FALSE),"")</f>
        <v>25</v>
      </c>
      <c r="AK471" s="9">
        <f>iferror(VLOOKUP($B471,covariates!$B$3:$Z$1126,16,FALSE),"")</f>
        <v>24</v>
      </c>
      <c r="AL471" s="9">
        <f>iferror(VLOOKUP($B471,covariates!$B$3:$Z$1126,18,FALSE),"")</f>
        <v>24</v>
      </c>
      <c r="AM471" s="9">
        <f>iferror(VLOOKUP($B471,covariates!$B$3:$Z$1126,19,FALSE),"")</f>
        <v>2</v>
      </c>
    </row>
    <row r="472">
      <c r="A472" s="15">
        <v>54.0</v>
      </c>
      <c r="B472" s="17" t="str">
        <f t="shared" ref="B472:B473" si="270">HYPERLINK("https://github.com/d-wkim/phd/blob/main/data/pdf/lucidi_2025.pdf","Lucidi et al., 2025")</f>
        <v>Lucidi et al., 2025</v>
      </c>
      <c r="C472" s="9" t="s">
        <v>42</v>
      </c>
      <c r="D472" s="19" t="s">
        <v>319</v>
      </c>
      <c r="E472" s="9" t="s">
        <v>222</v>
      </c>
      <c r="F472" s="9">
        <v>19.0</v>
      </c>
      <c r="G472" s="13">
        <v>3.0</v>
      </c>
      <c r="H472" s="13">
        <f t="shared" ref="H472:H473" si="271">iferror(RANGE_SD(F472,I472,M472),"")</f>
        <v>1.084</v>
      </c>
      <c r="I472" s="9">
        <v>1.0</v>
      </c>
      <c r="J472" s="15"/>
      <c r="K472" s="15"/>
      <c r="L472" s="15"/>
      <c r="M472" s="9">
        <v>5.0</v>
      </c>
      <c r="N472" s="21">
        <v>0.3</v>
      </c>
      <c r="O472" s="9" t="s">
        <v>101</v>
      </c>
      <c r="P472" s="9" t="s">
        <v>101</v>
      </c>
      <c r="Q472" s="9" t="s">
        <v>101</v>
      </c>
      <c r="R472" s="9" t="s">
        <v>101</v>
      </c>
      <c r="S472" s="9" t="s">
        <v>101</v>
      </c>
      <c r="T472" s="9" t="s">
        <v>101</v>
      </c>
      <c r="U472" s="9" t="s">
        <v>101</v>
      </c>
      <c r="V472" s="15">
        <v>0.249</v>
      </c>
      <c r="W472" s="15"/>
      <c r="X472" s="15"/>
      <c r="Y472" s="15">
        <v>0.062</v>
      </c>
      <c r="Z472" s="15"/>
      <c r="AA472" s="15"/>
      <c r="AB472" s="15"/>
      <c r="AC472" s="15"/>
      <c r="AD472" s="15"/>
      <c r="AE472" s="19"/>
      <c r="AF472" s="19"/>
      <c r="AG472" s="7" t="s">
        <v>109</v>
      </c>
      <c r="AH472" s="13">
        <f>iferror(VLOOKUP($B472,covariates!$B$3:$Z$1126,6,FALSE),"")</f>
        <v>52.8</v>
      </c>
      <c r="AI472" s="13">
        <f>iferror(VLOOKUP($B472,covariates!$B$3:$Z$1126,7,FALSE),"")</f>
        <v>7.3</v>
      </c>
      <c r="AJ472" s="9" t="str">
        <f>iferror(VLOOKUP($B472,covariates!$B$3:$Z$1126,14,FALSE),"")</f>
        <v/>
      </c>
      <c r="AK472" s="9" t="str">
        <f>iferror(VLOOKUP($B472,covariates!$B$3:$Z$1126,16,FALSE),"")</f>
        <v/>
      </c>
      <c r="AL472" s="9">
        <f>iferror(VLOOKUP($B472,covariates!$B$3:$Z$1126,18,FALSE),"")</f>
        <v>240</v>
      </c>
      <c r="AM472" s="9">
        <f>iferror(VLOOKUP($B472,covariates!$B$3:$Z$1126,19,FALSE),"")</f>
        <v>20</v>
      </c>
    </row>
    <row r="473">
      <c r="A473" s="15">
        <v>54.0</v>
      </c>
      <c r="B473" s="17" t="str">
        <f t="shared" si="270"/>
        <v>Lucidi et al., 2025</v>
      </c>
      <c r="C473" s="9" t="s">
        <v>84</v>
      </c>
      <c r="D473" s="19" t="s">
        <v>319</v>
      </c>
      <c r="E473" s="9" t="s">
        <v>222</v>
      </c>
      <c r="F473" s="9">
        <v>20.0</v>
      </c>
      <c r="G473" s="13">
        <v>4.0</v>
      </c>
      <c r="H473" s="13">
        <f t="shared" si="271"/>
        <v>0.803</v>
      </c>
      <c r="I473" s="9">
        <v>3.0</v>
      </c>
      <c r="J473" s="15"/>
      <c r="K473" s="15"/>
      <c r="L473" s="15"/>
      <c r="M473" s="9">
        <v>6.0</v>
      </c>
      <c r="N473" s="21">
        <v>0.4</v>
      </c>
      <c r="O473" s="9" t="s">
        <v>101</v>
      </c>
      <c r="P473" s="9" t="s">
        <v>101</v>
      </c>
      <c r="Q473" s="9" t="s">
        <v>101</v>
      </c>
      <c r="R473" s="9" t="s">
        <v>101</v>
      </c>
      <c r="S473" s="9" t="s">
        <v>101</v>
      </c>
      <c r="T473" s="9" t="s">
        <v>101</v>
      </c>
      <c r="U473" s="9" t="s">
        <v>101</v>
      </c>
      <c r="V473" s="15">
        <v>0.18</v>
      </c>
      <c r="W473" s="15"/>
      <c r="X473" s="15"/>
      <c r="Y473" s="15">
        <v>0.032</v>
      </c>
      <c r="Z473" s="15"/>
      <c r="AA473" s="15"/>
      <c r="AB473" s="15"/>
      <c r="AC473" s="15"/>
      <c r="AD473" s="15"/>
      <c r="AE473" s="19"/>
      <c r="AF473" s="19"/>
      <c r="AG473" s="7" t="s">
        <v>109</v>
      </c>
      <c r="AH473" s="13">
        <f>iferror(VLOOKUP($B473,covariates!$B$3:$Z$1126,6,FALSE),"")</f>
        <v>52.8</v>
      </c>
      <c r="AI473" s="13">
        <f>iferror(VLOOKUP($B473,covariates!$B$3:$Z$1126,7,FALSE),"")</f>
        <v>7.3</v>
      </c>
      <c r="AJ473" s="9" t="str">
        <f>iferror(VLOOKUP($B473,covariates!$B$3:$Z$1126,14,FALSE),"")</f>
        <v/>
      </c>
      <c r="AK473" s="9" t="str">
        <f>iferror(VLOOKUP($B473,covariates!$B$3:$Z$1126,16,FALSE),"")</f>
        <v/>
      </c>
      <c r="AL473" s="9">
        <f>iferror(VLOOKUP($B473,covariates!$B$3:$Z$1126,18,FALSE),"")</f>
        <v>240</v>
      </c>
      <c r="AM473" s="9">
        <f>iferror(VLOOKUP($B473,covariates!$B$3:$Z$1126,19,FALSE),"")</f>
        <v>20</v>
      </c>
    </row>
    <row r="474">
      <c r="A474" s="15">
        <v>57.0</v>
      </c>
      <c r="B474" s="17" t="str">
        <f t="shared" ref="B474:B475" si="272">HYPERLINK("https://github.com/d-wkim/phd/blob/main/data/pdf/maletis_2007.pdf","Maletis et al., 2007")</f>
        <v>Maletis et al., 2007</v>
      </c>
      <c r="C474" s="7" t="s">
        <v>42</v>
      </c>
      <c r="D474" s="19" t="s">
        <v>319</v>
      </c>
      <c r="E474" s="9" t="s">
        <v>222</v>
      </c>
      <c r="F474" s="9"/>
      <c r="G474" s="21"/>
      <c r="H474" s="13"/>
      <c r="I474" s="15"/>
      <c r="J474" s="15"/>
      <c r="K474" s="15"/>
      <c r="L474" s="15"/>
      <c r="M474" s="15"/>
      <c r="N474" s="15"/>
      <c r="O474" s="9" t="s">
        <v>101</v>
      </c>
      <c r="P474" s="9" t="s">
        <v>101</v>
      </c>
      <c r="Q474" s="9" t="s">
        <v>101</v>
      </c>
      <c r="R474" s="9" t="s">
        <v>101</v>
      </c>
      <c r="S474" s="9" t="s">
        <v>101</v>
      </c>
      <c r="T474" s="9" t="s">
        <v>101</v>
      </c>
      <c r="U474" s="9" t="s">
        <v>101</v>
      </c>
      <c r="V474" s="15"/>
      <c r="W474" s="15"/>
      <c r="X474" s="15"/>
      <c r="Y474" s="15"/>
      <c r="Z474" s="15"/>
      <c r="AA474" s="15"/>
      <c r="AB474" s="15"/>
      <c r="AC474" s="15"/>
      <c r="AD474" s="15"/>
      <c r="AE474" s="19"/>
      <c r="AF474" s="19"/>
      <c r="AG474" s="7" t="s">
        <v>174</v>
      </c>
      <c r="AH474" s="13" t="str">
        <f>iferror(VLOOKUP($B474,covariates!$B$3:$Z$1126,6,FALSE),"")</f>
        <v/>
      </c>
      <c r="AI474" s="13" t="str">
        <f>iferror(VLOOKUP($B474,covariates!$B$3:$Z$1126,7,FALSE),"")</f>
        <v/>
      </c>
      <c r="AJ474" s="9" t="str">
        <f>iferror(VLOOKUP($B474,covariates!$B$3:$Z$1126,14,FALSE),"")</f>
        <v/>
      </c>
      <c r="AK474" s="9" t="str">
        <f>iferror(VLOOKUP($B474,covariates!$B$3:$Z$1126,16,FALSE),"")</f>
        <v/>
      </c>
      <c r="AL474" s="9" t="str">
        <f>iferror(VLOOKUP($B474,covariates!$B$3:$Z$1126,18,FALSE),"")</f>
        <v/>
      </c>
      <c r="AM474" s="9" t="str">
        <f>iferror(VLOOKUP($B474,covariates!$B$3:$Z$1126,19,FALSE),"")</f>
        <v/>
      </c>
    </row>
    <row r="475">
      <c r="A475" s="15">
        <v>57.0</v>
      </c>
      <c r="B475" s="17" t="str">
        <f t="shared" si="272"/>
        <v>Maletis et al., 2007</v>
      </c>
      <c r="C475" s="7" t="s">
        <v>84</v>
      </c>
      <c r="D475" s="19" t="s">
        <v>319</v>
      </c>
      <c r="E475" s="9" t="s">
        <v>222</v>
      </c>
      <c r="F475" s="9"/>
      <c r="G475" s="21"/>
      <c r="H475" s="13"/>
      <c r="I475" s="15"/>
      <c r="J475" s="15"/>
      <c r="K475" s="15"/>
      <c r="L475" s="15"/>
      <c r="M475" s="15"/>
      <c r="N475" s="15"/>
      <c r="O475" s="9" t="s">
        <v>101</v>
      </c>
      <c r="P475" s="9" t="s">
        <v>101</v>
      </c>
      <c r="Q475" s="9" t="s">
        <v>101</v>
      </c>
      <c r="R475" s="9" t="s">
        <v>101</v>
      </c>
      <c r="S475" s="9" t="s">
        <v>101</v>
      </c>
      <c r="T475" s="9" t="s">
        <v>101</v>
      </c>
      <c r="U475" s="9" t="s">
        <v>101</v>
      </c>
      <c r="V475" s="15"/>
      <c r="W475" s="15"/>
      <c r="X475" s="15"/>
      <c r="Y475" s="15"/>
      <c r="Z475" s="15"/>
      <c r="AA475" s="15"/>
      <c r="AB475" s="15"/>
      <c r="AC475" s="15"/>
      <c r="AD475" s="15"/>
      <c r="AE475" s="19"/>
      <c r="AF475" s="19"/>
      <c r="AG475" s="7" t="s">
        <v>174</v>
      </c>
      <c r="AH475" s="13" t="str">
        <f>iferror(VLOOKUP($B475,covariates!$B$3:$Z$1126,6,FALSE),"")</f>
        <v/>
      </c>
      <c r="AI475" s="13" t="str">
        <f>iferror(VLOOKUP($B475,covariates!$B$3:$Z$1126,7,FALSE),"")</f>
        <v/>
      </c>
      <c r="AJ475" s="9" t="str">
        <f>iferror(VLOOKUP($B475,covariates!$B$3:$Z$1126,14,FALSE),"")</f>
        <v/>
      </c>
      <c r="AK475" s="9" t="str">
        <f>iferror(VLOOKUP($B475,covariates!$B$3:$Z$1126,16,FALSE),"")</f>
        <v/>
      </c>
      <c r="AL475" s="9" t="str">
        <f>iferror(VLOOKUP($B475,covariates!$B$3:$Z$1126,18,FALSE),"")</f>
        <v/>
      </c>
      <c r="AM475" s="9" t="str">
        <f>iferror(VLOOKUP($B475,covariates!$B$3:$Z$1126,19,FALSE),"")</f>
        <v/>
      </c>
    </row>
    <row r="476">
      <c r="A476" s="15">
        <v>58.0</v>
      </c>
      <c r="B476" s="17" t="str">
        <f t="shared" ref="B476:B477" si="273">HYPERLINK("https://github.com/d-wkim/phd/blob/main/data/pdf/malik_2026.pdf","Malik et al., 2026")</f>
        <v>Malik et al., 2026</v>
      </c>
      <c r="C476" s="9" t="s">
        <v>84</v>
      </c>
      <c r="D476" s="19" t="s">
        <v>319</v>
      </c>
      <c r="E476" s="9" t="s">
        <v>222</v>
      </c>
      <c r="F476" s="9">
        <v>25.0</v>
      </c>
      <c r="G476" s="13">
        <v>5.1</v>
      </c>
      <c r="H476" s="13">
        <v>1.0</v>
      </c>
      <c r="I476" s="15"/>
      <c r="J476" s="15"/>
      <c r="K476" s="15"/>
      <c r="L476" s="15"/>
      <c r="M476" s="15"/>
      <c r="N476" s="21">
        <v>0.51</v>
      </c>
      <c r="O476" s="9" t="s">
        <v>101</v>
      </c>
      <c r="P476" s="9" t="s">
        <v>101</v>
      </c>
      <c r="Q476" s="9" t="s">
        <v>101</v>
      </c>
      <c r="R476" s="9" t="s">
        <v>101</v>
      </c>
      <c r="S476" s="9" t="s">
        <v>101</v>
      </c>
      <c r="T476" s="9" t="s">
        <v>101</v>
      </c>
      <c r="U476" s="9" t="s">
        <v>101</v>
      </c>
      <c r="V476" s="15">
        <v>0.2</v>
      </c>
      <c r="W476" s="15"/>
      <c r="X476" s="15"/>
      <c r="Y476" s="15">
        <v>0.04</v>
      </c>
      <c r="Z476" s="15"/>
      <c r="AA476" s="15"/>
      <c r="AB476" s="15"/>
      <c r="AC476" s="15"/>
      <c r="AD476" s="15"/>
      <c r="AE476" s="19"/>
      <c r="AF476" s="19"/>
      <c r="AG476" s="7" t="s">
        <v>109</v>
      </c>
      <c r="AH476" s="13">
        <f>iferror(VLOOKUP($B476,covariates!$B$3:$Z$1126,6,FALSE),"")</f>
        <v>28.12</v>
      </c>
      <c r="AI476" s="13">
        <f>iferror(VLOOKUP($B476,covariates!$B$3:$Z$1126,7,FALSE),"")</f>
        <v>5.21</v>
      </c>
      <c r="AJ476" s="9">
        <f>iferror(VLOOKUP($B476,covariates!$B$3:$Z$1126,14,FALSE),"")</f>
        <v>18</v>
      </c>
      <c r="AK476" s="9">
        <f>iferror(VLOOKUP($B476,covariates!$B$3:$Z$1126,16,FALSE),"")</f>
        <v>7</v>
      </c>
      <c r="AL476" s="9">
        <f>iferror(VLOOKUP($B476,covariates!$B$3:$Z$1126,18,FALSE),"")</f>
        <v>6</v>
      </c>
      <c r="AM476" s="9">
        <f>iferror(VLOOKUP($B476,covariates!$B$3:$Z$1126,19,FALSE),"")</f>
        <v>0.5</v>
      </c>
    </row>
    <row r="477">
      <c r="A477" s="15">
        <v>58.0</v>
      </c>
      <c r="B477" s="17" t="str">
        <f t="shared" si="273"/>
        <v>Malik et al., 2026</v>
      </c>
      <c r="C477" s="9" t="s">
        <v>186</v>
      </c>
      <c r="D477" s="19" t="s">
        <v>319</v>
      </c>
      <c r="E477" s="9" t="s">
        <v>222</v>
      </c>
      <c r="F477" s="9">
        <v>25.0</v>
      </c>
      <c r="G477" s="13">
        <v>5.6</v>
      </c>
      <c r="H477" s="13">
        <v>0.9</v>
      </c>
      <c r="I477" s="15"/>
      <c r="J477" s="15"/>
      <c r="K477" s="15"/>
      <c r="L477" s="15"/>
      <c r="M477" s="15"/>
      <c r="N477" s="21">
        <v>0.5599999999999999</v>
      </c>
      <c r="O477" s="9" t="s">
        <v>101</v>
      </c>
      <c r="P477" s="9" t="s">
        <v>101</v>
      </c>
      <c r="Q477" s="9" t="s">
        <v>101</v>
      </c>
      <c r="R477" s="9" t="s">
        <v>101</v>
      </c>
      <c r="S477" s="9" t="s">
        <v>101</v>
      </c>
      <c r="T477" s="9" t="s">
        <v>101</v>
      </c>
      <c r="U477" s="9" t="s">
        <v>101</v>
      </c>
      <c r="V477" s="15">
        <v>0.18</v>
      </c>
      <c r="W477" s="15"/>
      <c r="X477" s="15"/>
      <c r="Y477" s="15">
        <v>0.032</v>
      </c>
      <c r="Z477" s="19"/>
      <c r="AA477" s="19"/>
      <c r="AB477" s="19"/>
      <c r="AC477" s="19"/>
      <c r="AD477" s="19"/>
      <c r="AE477" s="19"/>
      <c r="AF477" s="19"/>
      <c r="AG477" s="7" t="s">
        <v>109</v>
      </c>
      <c r="AH477" s="13">
        <f>iferror(VLOOKUP($B477,covariates!$B$3:$Z$1126,6,FALSE),"")</f>
        <v>28.12</v>
      </c>
      <c r="AI477" s="13">
        <f>iferror(VLOOKUP($B477,covariates!$B$3:$Z$1126,7,FALSE),"")</f>
        <v>5.21</v>
      </c>
      <c r="AJ477" s="9">
        <f>iferror(VLOOKUP($B477,covariates!$B$3:$Z$1126,14,FALSE),"")</f>
        <v>18</v>
      </c>
      <c r="AK477" s="9">
        <f>iferror(VLOOKUP($B477,covariates!$B$3:$Z$1126,16,FALSE),"")</f>
        <v>7</v>
      </c>
      <c r="AL477" s="9">
        <f>iferror(VLOOKUP($B477,covariates!$B$3:$Z$1126,18,FALSE),"")</f>
        <v>6</v>
      </c>
      <c r="AM477" s="9">
        <f>iferror(VLOOKUP($B477,covariates!$B$3:$Z$1126,19,FALSE),"")</f>
        <v>0.5</v>
      </c>
    </row>
    <row r="478">
      <c r="A478" s="15">
        <v>68.0</v>
      </c>
      <c r="B478" s="17" t="str">
        <f t="shared" ref="B478:B479" si="274">HYPERLINK("https://github.com/d-wkim/phd/blob/main/data/pdf/moraiti_2010.pdf","Moraiti et al., 2010")</f>
        <v>Moraiti et al., 2010</v>
      </c>
      <c r="C478" s="7" t="s">
        <v>42</v>
      </c>
      <c r="D478" s="19" t="s">
        <v>319</v>
      </c>
      <c r="E478" s="9" t="s">
        <v>222</v>
      </c>
      <c r="F478" s="15"/>
      <c r="G478" s="21"/>
      <c r="H478" s="13"/>
      <c r="I478" s="15"/>
      <c r="J478" s="15"/>
      <c r="K478" s="15"/>
      <c r="L478" s="15"/>
      <c r="M478" s="15"/>
      <c r="N478" s="66"/>
      <c r="O478" s="9" t="s">
        <v>101</v>
      </c>
      <c r="P478" s="9" t="s">
        <v>101</v>
      </c>
      <c r="Q478" s="9" t="s">
        <v>101</v>
      </c>
      <c r="R478" s="9" t="s">
        <v>101</v>
      </c>
      <c r="S478" s="9" t="s">
        <v>101</v>
      </c>
      <c r="T478" s="9" t="s">
        <v>101</v>
      </c>
      <c r="U478" s="9" t="s">
        <v>101</v>
      </c>
      <c r="V478" s="66"/>
      <c r="W478" s="66"/>
      <c r="X478" s="15"/>
      <c r="Y478" s="15"/>
      <c r="Z478" s="15"/>
      <c r="AA478" s="15"/>
      <c r="AB478" s="15"/>
      <c r="AC478" s="15"/>
      <c r="AD478" s="15"/>
      <c r="AE478" s="19"/>
      <c r="AF478" s="19"/>
      <c r="AG478" s="7" t="s">
        <v>174</v>
      </c>
      <c r="AH478" s="13">
        <f>iferror(VLOOKUP($B478,covariates!$B$3:$Z$1126,6,FALSE),"")</f>
        <v>23</v>
      </c>
      <c r="AI478" s="13">
        <f>iferror(VLOOKUP($B478,covariates!$B$3:$Z$1126,7,FALSE),"")</f>
        <v>2</v>
      </c>
      <c r="AJ478" s="9">
        <f>iferror(VLOOKUP($B478,covariates!$B$3:$Z$1126,14,FALSE),"")</f>
        <v>6</v>
      </c>
      <c r="AK478" s="9">
        <f>iferror(VLOOKUP($B478,covariates!$B$3:$Z$1126,16,FALSE),"")</f>
        <v>0</v>
      </c>
      <c r="AL478" s="9">
        <f>iferror(VLOOKUP($B478,covariates!$B$3:$Z$1126,18,FALSE),"")</f>
        <v>21</v>
      </c>
      <c r="AM478" s="9">
        <f>iferror(VLOOKUP($B478,covariates!$B$3:$Z$1126,19,FALSE),"")</f>
        <v>1.8</v>
      </c>
    </row>
    <row r="479">
      <c r="A479" s="15">
        <v>68.0</v>
      </c>
      <c r="B479" s="17" t="str">
        <f t="shared" si="274"/>
        <v>Moraiti et al., 2010</v>
      </c>
      <c r="C479" s="7" t="s">
        <v>84</v>
      </c>
      <c r="D479" s="19" t="s">
        <v>319</v>
      </c>
      <c r="E479" s="9" t="s">
        <v>222</v>
      </c>
      <c r="F479" s="15"/>
      <c r="G479" s="21"/>
      <c r="H479" s="13"/>
      <c r="I479" s="15"/>
      <c r="J479" s="15"/>
      <c r="K479" s="15"/>
      <c r="L479" s="15"/>
      <c r="M479" s="15"/>
      <c r="N479" s="66"/>
      <c r="O479" s="9" t="s">
        <v>101</v>
      </c>
      <c r="P479" s="9" t="s">
        <v>101</v>
      </c>
      <c r="Q479" s="9" t="s">
        <v>101</v>
      </c>
      <c r="R479" s="9" t="s">
        <v>101</v>
      </c>
      <c r="S479" s="9" t="s">
        <v>101</v>
      </c>
      <c r="T479" s="9" t="s">
        <v>101</v>
      </c>
      <c r="U479" s="9" t="s">
        <v>101</v>
      </c>
      <c r="V479" s="66"/>
      <c r="W479" s="66"/>
      <c r="X479" s="15"/>
      <c r="Y479" s="15"/>
      <c r="Z479" s="15"/>
      <c r="AA479" s="15"/>
      <c r="AB479" s="15"/>
      <c r="AC479" s="15"/>
      <c r="AD479" s="15"/>
      <c r="AE479" s="19"/>
      <c r="AF479" s="19"/>
      <c r="AG479" s="7" t="s">
        <v>174</v>
      </c>
      <c r="AH479" s="13">
        <f>iferror(VLOOKUP($B479,covariates!$B$3:$Z$1126,6,FALSE),"")</f>
        <v>23</v>
      </c>
      <c r="AI479" s="13">
        <f>iferror(VLOOKUP($B479,covariates!$B$3:$Z$1126,7,FALSE),"")</f>
        <v>2</v>
      </c>
      <c r="AJ479" s="9">
        <f>iferror(VLOOKUP($B479,covariates!$B$3:$Z$1126,14,FALSE),"")</f>
        <v>6</v>
      </c>
      <c r="AK479" s="9">
        <f>iferror(VLOOKUP($B479,covariates!$B$3:$Z$1126,16,FALSE),"")</f>
        <v>0</v>
      </c>
      <c r="AL479" s="9">
        <f>iferror(VLOOKUP($B479,covariates!$B$3:$Z$1126,18,FALSE),"")</f>
        <v>21</v>
      </c>
      <c r="AM479" s="9">
        <f>iferror(VLOOKUP($B479,covariates!$B$3:$Z$1126,19,FALSE),"")</f>
        <v>1.8</v>
      </c>
    </row>
    <row r="480">
      <c r="A480" s="15">
        <v>70.0</v>
      </c>
      <c r="B480" s="17" t="str">
        <f t="shared" ref="B480:B481" si="275">HYPERLINK("https://github.com/d-wkim/phd/blob/main/data/pdf/noh_2011.pdf","Noh et al., 2011")</f>
        <v>Noh et al., 2011</v>
      </c>
      <c r="C480" s="9" t="s">
        <v>84</v>
      </c>
      <c r="D480" s="19" t="s">
        <v>319</v>
      </c>
      <c r="E480" s="9" t="s">
        <v>222</v>
      </c>
      <c r="F480" s="9">
        <v>33.0</v>
      </c>
      <c r="G480" s="13">
        <v>6.0</v>
      </c>
      <c r="H480" s="13">
        <f t="shared" ref="H480:H483" si="276">iferror(RANGE_SD(F480,I480,M480),"")</f>
        <v>0.962</v>
      </c>
      <c r="I480" s="9">
        <v>5.0</v>
      </c>
      <c r="J480" s="15"/>
      <c r="K480" s="15"/>
      <c r="L480" s="15"/>
      <c r="M480" s="9">
        <v>9.0</v>
      </c>
      <c r="N480" s="21">
        <v>0.6</v>
      </c>
      <c r="O480" s="9" t="s">
        <v>101</v>
      </c>
      <c r="P480" s="9" t="s">
        <v>101</v>
      </c>
      <c r="Q480" s="9" t="s">
        <v>101</v>
      </c>
      <c r="R480" s="9" t="s">
        <v>101</v>
      </c>
      <c r="S480" s="9" t="s">
        <v>101</v>
      </c>
      <c r="T480" s="9" t="s">
        <v>101</v>
      </c>
      <c r="U480" s="9" t="s">
        <v>101</v>
      </c>
      <c r="V480" s="15">
        <v>0.167</v>
      </c>
      <c r="W480" s="15"/>
      <c r="X480" s="15"/>
      <c r="Y480" s="15">
        <v>0.028</v>
      </c>
      <c r="Z480" s="15"/>
      <c r="AA480" s="15"/>
      <c r="AB480" s="15"/>
      <c r="AC480" s="15"/>
      <c r="AD480" s="15"/>
      <c r="AE480" s="19"/>
      <c r="AF480" s="19"/>
      <c r="AG480" s="7" t="s">
        <v>109</v>
      </c>
      <c r="AH480" s="13">
        <f>iferror(VLOOKUP($B480,covariates!$B$3:$Z$1126,6,FALSE),"")</f>
        <v>25.81397443</v>
      </c>
      <c r="AI480" s="13">
        <f>iferror(VLOOKUP($B480,covariates!$B$3:$Z$1126,7,FALSE),"")</f>
        <v>7.455</v>
      </c>
      <c r="AJ480" s="9">
        <f>iferror(VLOOKUP($B480,covariates!$B$3:$Z$1126,14,FALSE),"")</f>
        <v>30</v>
      </c>
      <c r="AK480" s="9">
        <f>iferror(VLOOKUP($B480,covariates!$B$3:$Z$1126,16,FALSE),"")</f>
        <v>3</v>
      </c>
      <c r="AL480" s="9">
        <f>iferror(VLOOKUP($B480,covariates!$B$3:$Z$1126,18,FALSE),"")</f>
        <v>28.1</v>
      </c>
      <c r="AM480" s="9">
        <f>iferror(VLOOKUP($B480,covariates!$B$3:$Z$1126,19,FALSE),"")</f>
        <v>2.3</v>
      </c>
    </row>
    <row r="481">
      <c r="A481" s="15">
        <v>70.0</v>
      </c>
      <c r="B481" s="17" t="str">
        <f t="shared" si="275"/>
        <v>Noh et al., 2011</v>
      </c>
      <c r="C481" s="9" t="s">
        <v>246</v>
      </c>
      <c r="D481" s="19" t="s">
        <v>319</v>
      </c>
      <c r="E481" s="9" t="s">
        <v>222</v>
      </c>
      <c r="F481" s="9">
        <v>32.0</v>
      </c>
      <c r="G481" s="13">
        <v>6.0</v>
      </c>
      <c r="H481" s="13">
        <f t="shared" si="276"/>
        <v>1.21</v>
      </c>
      <c r="I481" s="9">
        <v>4.0</v>
      </c>
      <c r="J481" s="15"/>
      <c r="K481" s="15"/>
      <c r="L481" s="15"/>
      <c r="M481" s="9">
        <v>9.0</v>
      </c>
      <c r="N481" s="21">
        <v>0.6</v>
      </c>
      <c r="O481" s="9" t="s">
        <v>101</v>
      </c>
      <c r="P481" s="9" t="s">
        <v>101</v>
      </c>
      <c r="Q481" s="9" t="s">
        <v>101</v>
      </c>
      <c r="R481" s="9" t="s">
        <v>101</v>
      </c>
      <c r="S481" s="9" t="s">
        <v>101</v>
      </c>
      <c r="T481" s="9" t="s">
        <v>101</v>
      </c>
      <c r="U481" s="9" t="s">
        <v>101</v>
      </c>
      <c r="V481" s="15">
        <v>0.214</v>
      </c>
      <c r="W481" s="15"/>
      <c r="X481" s="15"/>
      <c r="Y481" s="15">
        <v>0.046</v>
      </c>
      <c r="Z481" s="15"/>
      <c r="AA481" s="15"/>
      <c r="AB481" s="15"/>
      <c r="AC481" s="15"/>
      <c r="AD481" s="15"/>
      <c r="AE481" s="19"/>
      <c r="AF481" s="19"/>
      <c r="AG481" s="7" t="s">
        <v>109</v>
      </c>
      <c r="AH481" s="13">
        <f>iferror(VLOOKUP($B481,covariates!$B$3:$Z$1126,6,FALSE),"")</f>
        <v>25.81397443</v>
      </c>
      <c r="AI481" s="13">
        <f>iferror(VLOOKUP($B481,covariates!$B$3:$Z$1126,7,FALSE),"")</f>
        <v>7.455</v>
      </c>
      <c r="AJ481" s="9">
        <f>iferror(VLOOKUP($B481,covariates!$B$3:$Z$1126,14,FALSE),"")</f>
        <v>30</v>
      </c>
      <c r="AK481" s="9">
        <f>iferror(VLOOKUP($B481,covariates!$B$3:$Z$1126,16,FALSE),"")</f>
        <v>3</v>
      </c>
      <c r="AL481" s="9">
        <f>iferror(VLOOKUP($B481,covariates!$B$3:$Z$1126,18,FALSE),"")</f>
        <v>28.1</v>
      </c>
      <c r="AM481" s="9">
        <f>iferror(VLOOKUP($B481,covariates!$B$3:$Z$1126,19,FALSE),"")</f>
        <v>2.3</v>
      </c>
    </row>
    <row r="482">
      <c r="A482" s="15">
        <v>77.0</v>
      </c>
      <c r="B482" s="17" t="str">
        <f t="shared" ref="B482:B483" si="277">HYPERLINK("https://github.com/d-wkim/phd/blob/main/data/pdf/popovic_2024.pdf","Popovic et al., 2024")</f>
        <v>Popovic et al., 2024</v>
      </c>
      <c r="C482" s="9" t="s">
        <v>42</v>
      </c>
      <c r="D482" s="19" t="s">
        <v>319</v>
      </c>
      <c r="E482" s="9" t="s">
        <v>222</v>
      </c>
      <c r="F482" s="9">
        <v>38.0</v>
      </c>
      <c r="G482" s="13">
        <v>4.0</v>
      </c>
      <c r="H482" s="13">
        <f t="shared" si="276"/>
        <v>1.639</v>
      </c>
      <c r="I482" s="9">
        <v>0.0</v>
      </c>
      <c r="J482" s="15"/>
      <c r="K482" s="15"/>
      <c r="L482" s="15"/>
      <c r="M482" s="9">
        <v>7.0</v>
      </c>
      <c r="N482" s="21">
        <v>0.4</v>
      </c>
      <c r="O482" s="9" t="s">
        <v>101</v>
      </c>
      <c r="P482" s="9" t="s">
        <v>101</v>
      </c>
      <c r="Q482" s="9" t="s">
        <v>101</v>
      </c>
      <c r="R482" s="9" t="s">
        <v>101</v>
      </c>
      <c r="S482" s="9" t="s">
        <v>101</v>
      </c>
      <c r="T482" s="9" t="s">
        <v>101</v>
      </c>
      <c r="U482" s="9" t="s">
        <v>101</v>
      </c>
      <c r="V482" s="15">
        <v>0.266</v>
      </c>
      <c r="W482" s="15"/>
      <c r="X482" s="15"/>
      <c r="Y482" s="15">
        <v>0.071</v>
      </c>
      <c r="Z482" s="15"/>
      <c r="AA482" s="15"/>
      <c r="AB482" s="15"/>
      <c r="AC482" s="15"/>
      <c r="AD482" s="15"/>
      <c r="AE482" s="19"/>
      <c r="AF482" s="19"/>
      <c r="AG482" s="7" t="s">
        <v>109</v>
      </c>
      <c r="AH482" s="13">
        <f>iferror(VLOOKUP($B482,covariates!$B$3:$Z$1126,6,FALSE),"")</f>
        <v>27</v>
      </c>
      <c r="AI482" s="13">
        <f>iferror(VLOOKUP($B482,covariates!$B$3:$Z$1126,7,FALSE),"")</f>
        <v>6.82</v>
      </c>
      <c r="AJ482" s="9" t="str">
        <f>iferror(VLOOKUP($B482,covariates!$B$3:$Z$1126,14,FALSE),"")</f>
        <v/>
      </c>
      <c r="AK482" s="9" t="str">
        <f>iferror(VLOOKUP($B482,covariates!$B$3:$Z$1126,16,FALSE),"")</f>
        <v/>
      </c>
      <c r="AL482" s="9">
        <f>iferror(VLOOKUP($B482,covariates!$B$3:$Z$1126,18,FALSE),"")</f>
        <v>228</v>
      </c>
      <c r="AM482" s="9">
        <f>iferror(VLOOKUP($B482,covariates!$B$3:$Z$1126,19,FALSE),"")</f>
        <v>19</v>
      </c>
    </row>
    <row r="483">
      <c r="A483" s="15">
        <v>77.0</v>
      </c>
      <c r="B483" s="17" t="str">
        <f t="shared" si="277"/>
        <v>Popovic et al., 2024</v>
      </c>
      <c r="C483" s="9" t="s">
        <v>84</v>
      </c>
      <c r="D483" s="19" t="s">
        <v>319</v>
      </c>
      <c r="E483" s="9" t="s">
        <v>222</v>
      </c>
      <c r="F483" s="9">
        <v>33.0</v>
      </c>
      <c r="G483" s="13">
        <v>5.0</v>
      </c>
      <c r="H483" s="13">
        <f t="shared" si="276"/>
        <v>2.164</v>
      </c>
      <c r="I483" s="9">
        <v>0.0</v>
      </c>
      <c r="J483" s="15"/>
      <c r="K483" s="15"/>
      <c r="L483" s="15"/>
      <c r="M483" s="9">
        <v>9.0</v>
      </c>
      <c r="N483" s="21">
        <v>0.5</v>
      </c>
      <c r="O483" s="9" t="s">
        <v>101</v>
      </c>
      <c r="P483" s="9" t="s">
        <v>101</v>
      </c>
      <c r="Q483" s="9" t="s">
        <v>101</v>
      </c>
      <c r="R483" s="9" t="s">
        <v>101</v>
      </c>
      <c r="S483" s="9" t="s">
        <v>101</v>
      </c>
      <c r="T483" s="9" t="s">
        <v>101</v>
      </c>
      <c r="U483" s="9" t="s">
        <v>101</v>
      </c>
      <c r="V483" s="15">
        <v>0.377</v>
      </c>
      <c r="W483" s="15"/>
      <c r="X483" s="15"/>
      <c r="Y483" s="15">
        <v>0.142</v>
      </c>
      <c r="Z483" s="15"/>
      <c r="AA483" s="15"/>
      <c r="AB483" s="15"/>
      <c r="AC483" s="15"/>
      <c r="AD483" s="15"/>
      <c r="AE483" s="19"/>
      <c r="AF483" s="19"/>
      <c r="AG483" s="7" t="s">
        <v>109</v>
      </c>
      <c r="AH483" s="13">
        <f>iferror(VLOOKUP($B483,covariates!$B$3:$Z$1126,6,FALSE),"")</f>
        <v>27</v>
      </c>
      <c r="AI483" s="13">
        <f>iferror(VLOOKUP($B483,covariates!$B$3:$Z$1126,7,FALSE),"")</f>
        <v>6.82</v>
      </c>
      <c r="AJ483" s="9" t="str">
        <f>iferror(VLOOKUP($B483,covariates!$B$3:$Z$1126,14,FALSE),"")</f>
        <v/>
      </c>
      <c r="AK483" s="9" t="str">
        <f>iferror(VLOOKUP($B483,covariates!$B$3:$Z$1126,16,FALSE),"")</f>
        <v/>
      </c>
      <c r="AL483" s="9">
        <f>iferror(VLOOKUP($B483,covariates!$B$3:$Z$1126,18,FALSE),"")</f>
        <v>228</v>
      </c>
      <c r="AM483" s="9">
        <f>iferror(VLOOKUP($B483,covariates!$B$3:$Z$1126,19,FALSE),"")</f>
        <v>19</v>
      </c>
    </row>
    <row r="484">
      <c r="A484" s="15">
        <v>87.0</v>
      </c>
      <c r="B484" s="17" t="str">
        <f t="shared" ref="B484:B485" si="278">HYPERLINK("https://github.com/d-wkim/phd/blob/main/data/pdf/sonnery-cottet_2026.pdf","Sonnery-cottet et al., 2026")</f>
        <v>Sonnery-cottet et al., 2026</v>
      </c>
      <c r="C484" s="9" t="s">
        <v>42</v>
      </c>
      <c r="D484" s="7" t="s">
        <v>319</v>
      </c>
      <c r="E484" s="9" t="s">
        <v>222</v>
      </c>
      <c r="F484" s="9">
        <v>296.0</v>
      </c>
      <c r="G484" s="13">
        <v>6.6</v>
      </c>
      <c r="H484" s="13">
        <v>1.6</v>
      </c>
      <c r="I484" s="15"/>
      <c r="J484" s="15"/>
      <c r="K484" s="15"/>
      <c r="L484" s="15"/>
      <c r="M484" s="15"/>
      <c r="N484" s="21">
        <v>0.6599999999999999</v>
      </c>
      <c r="O484" s="9" t="s">
        <v>101</v>
      </c>
      <c r="P484" s="9" t="s">
        <v>101</v>
      </c>
      <c r="Q484" s="9" t="s">
        <v>101</v>
      </c>
      <c r="R484" s="9" t="s">
        <v>101</v>
      </c>
      <c r="S484" s="9" t="s">
        <v>101</v>
      </c>
      <c r="T484" s="9" t="s">
        <v>101</v>
      </c>
      <c r="U484" s="9" t="s">
        <v>101</v>
      </c>
      <c r="V484" s="15">
        <v>0.093</v>
      </c>
      <c r="W484" s="15"/>
      <c r="X484" s="15"/>
      <c r="Y484" s="15">
        <v>0.009</v>
      </c>
      <c r="Z484" s="15"/>
      <c r="AA484" s="15"/>
      <c r="AB484" s="15"/>
      <c r="AC484" s="15"/>
      <c r="AD484" s="15"/>
      <c r="AE484" s="19"/>
      <c r="AF484" s="19"/>
      <c r="AG484" s="7" t="s">
        <v>109</v>
      </c>
      <c r="AH484" s="13">
        <f>iferror(VLOOKUP($B484,covariates!$B$3:$Z$1126,6,FALSE),"")</f>
        <v>24.8</v>
      </c>
      <c r="AI484" s="13">
        <f>iferror(VLOOKUP($B484,covariates!$B$3:$Z$1126,7,FALSE),"")</f>
        <v>4.4</v>
      </c>
      <c r="AJ484" s="9">
        <f>iferror(VLOOKUP($B484,covariates!$B$3:$Z$1126,14,FALSE),"")</f>
        <v>214</v>
      </c>
      <c r="AK484" s="9">
        <f>iferror(VLOOKUP($B484,covariates!$B$3:$Z$1126,16,FALSE),"")</f>
        <v>69</v>
      </c>
      <c r="AL484" s="9">
        <f>iferror(VLOOKUP($B484,covariates!$B$3:$Z$1126,18,FALSE),"")</f>
        <v>61.5</v>
      </c>
      <c r="AM484" s="9">
        <f>iferror(VLOOKUP($B484,covariates!$B$3:$Z$1126,19,FALSE),"")</f>
        <v>5.1</v>
      </c>
    </row>
    <row r="485">
      <c r="A485" s="15">
        <v>87.0</v>
      </c>
      <c r="B485" s="17" t="str">
        <f t="shared" si="278"/>
        <v>Sonnery-cottet et al., 2026</v>
      </c>
      <c r="C485" s="9" t="s">
        <v>84</v>
      </c>
      <c r="D485" s="7" t="s">
        <v>319</v>
      </c>
      <c r="E485" s="9" t="s">
        <v>222</v>
      </c>
      <c r="F485" s="9">
        <v>297.0</v>
      </c>
      <c r="G485" s="13">
        <v>6.7</v>
      </c>
      <c r="H485" s="13">
        <v>1.7</v>
      </c>
      <c r="I485" s="15"/>
      <c r="J485" s="15"/>
      <c r="K485" s="15"/>
      <c r="L485" s="15"/>
      <c r="M485" s="15"/>
      <c r="N485" s="21">
        <v>0.67</v>
      </c>
      <c r="O485" s="9" t="s">
        <v>101</v>
      </c>
      <c r="P485" s="9" t="s">
        <v>101</v>
      </c>
      <c r="Q485" s="9" t="s">
        <v>101</v>
      </c>
      <c r="R485" s="9" t="s">
        <v>101</v>
      </c>
      <c r="S485" s="9" t="s">
        <v>101</v>
      </c>
      <c r="T485" s="9" t="s">
        <v>101</v>
      </c>
      <c r="U485" s="9" t="s">
        <v>101</v>
      </c>
      <c r="V485" s="15">
        <v>0.099</v>
      </c>
      <c r="W485" s="15"/>
      <c r="X485" s="15"/>
      <c r="Y485" s="15">
        <v>0.01</v>
      </c>
      <c r="Z485" s="15"/>
      <c r="AA485" s="15"/>
      <c r="AB485" s="15"/>
      <c r="AC485" s="15"/>
      <c r="AD485" s="15"/>
      <c r="AE485" s="19"/>
      <c r="AF485" s="19"/>
      <c r="AG485" s="7" t="s">
        <v>109</v>
      </c>
      <c r="AH485" s="13">
        <f>iferror(VLOOKUP($B485,covariates!$B$3:$Z$1126,6,FALSE),"")</f>
        <v>24.8</v>
      </c>
      <c r="AI485" s="13">
        <f>iferror(VLOOKUP($B485,covariates!$B$3:$Z$1126,7,FALSE),"")</f>
        <v>4.4</v>
      </c>
      <c r="AJ485" s="9">
        <f>iferror(VLOOKUP($B485,covariates!$B$3:$Z$1126,14,FALSE),"")</f>
        <v>214</v>
      </c>
      <c r="AK485" s="9">
        <f>iferror(VLOOKUP($B485,covariates!$B$3:$Z$1126,16,FALSE),"")</f>
        <v>69</v>
      </c>
      <c r="AL485" s="9">
        <f>iferror(VLOOKUP($B485,covariates!$B$3:$Z$1126,18,FALSE),"")</f>
        <v>61.5</v>
      </c>
      <c r="AM485" s="9">
        <f>iferror(VLOOKUP($B485,covariates!$B$3:$Z$1126,19,FALSE),"")</f>
        <v>5.1</v>
      </c>
    </row>
    <row r="486">
      <c r="A486" s="15">
        <v>90.0</v>
      </c>
      <c r="B486" s="17" t="str">
        <f t="shared" ref="B486:B487" si="279">HYPERLINK("https://github.com/d-wkim/phd/blob/main/data/pdf/taylor_2009.pdf","Taylor et al., 2009")</f>
        <v>Taylor et al., 2009</v>
      </c>
      <c r="C486" s="9" t="s">
        <v>42</v>
      </c>
      <c r="D486" s="19" t="s">
        <v>319</v>
      </c>
      <c r="E486" s="9" t="s">
        <v>222</v>
      </c>
      <c r="F486" s="9">
        <v>20.0</v>
      </c>
      <c r="G486" s="13">
        <v>6.8</v>
      </c>
      <c r="H486" s="13">
        <v>3.27</v>
      </c>
      <c r="I486" s="15"/>
      <c r="J486" s="15"/>
      <c r="K486" s="15"/>
      <c r="L486" s="15"/>
      <c r="M486" s="15"/>
      <c r="N486" s="21">
        <v>0.6799999999999999</v>
      </c>
      <c r="O486" s="9" t="s">
        <v>101</v>
      </c>
      <c r="P486" s="9" t="s">
        <v>101</v>
      </c>
      <c r="Q486" s="9" t="s">
        <v>101</v>
      </c>
      <c r="R486" s="9" t="s">
        <v>101</v>
      </c>
      <c r="S486" s="9" t="s">
        <v>101</v>
      </c>
      <c r="T486" s="9" t="s">
        <v>101</v>
      </c>
      <c r="U486" s="9" t="s">
        <v>101</v>
      </c>
      <c r="V486" s="15">
        <v>0.731</v>
      </c>
      <c r="W486" s="15"/>
      <c r="X486" s="15"/>
      <c r="Y486" s="15">
        <v>0.534</v>
      </c>
      <c r="Z486" s="15"/>
      <c r="AA486" s="15"/>
      <c r="AB486" s="15"/>
      <c r="AC486" s="15"/>
      <c r="AD486" s="15"/>
      <c r="AE486" s="19"/>
      <c r="AF486" s="19"/>
      <c r="AG486" s="7" t="s">
        <v>109</v>
      </c>
      <c r="AH486" s="13">
        <f>iferror(VLOOKUP($B486,covariates!$B$3:$Z$1126,6,FALSE),"")</f>
        <v>21.7</v>
      </c>
      <c r="AI486" s="13">
        <f>iferror(VLOOKUP($B486,covariates!$B$3:$Z$1126,7,FALSE),"")</f>
        <v>4.597</v>
      </c>
      <c r="AJ486" s="9">
        <f>iferror(VLOOKUP($B486,covariates!$B$3:$Z$1126,14,FALSE),"")</f>
        <v>25</v>
      </c>
      <c r="AK486" s="9">
        <f>iferror(VLOOKUP($B486,covariates!$B$3:$Z$1126,16,FALSE),"")</f>
        <v>7</v>
      </c>
      <c r="AL486" s="9">
        <f>iferror(VLOOKUP($B486,covariates!$B$3:$Z$1126,18,FALSE),"")</f>
        <v>32.4</v>
      </c>
      <c r="AM486" s="9">
        <f>iferror(VLOOKUP($B486,covariates!$B$3:$Z$1126,19,FALSE),"")</f>
        <v>2.7</v>
      </c>
    </row>
    <row r="487">
      <c r="A487" s="15">
        <v>90.0</v>
      </c>
      <c r="B487" s="17" t="str">
        <f t="shared" si="279"/>
        <v>Taylor et al., 2009</v>
      </c>
      <c r="C487" s="9" t="s">
        <v>84</v>
      </c>
      <c r="D487" s="19" t="s">
        <v>319</v>
      </c>
      <c r="E487" s="9" t="s">
        <v>222</v>
      </c>
      <c r="F487" s="9">
        <v>24.0</v>
      </c>
      <c r="G487" s="13">
        <v>5.3</v>
      </c>
      <c r="H487" s="13">
        <v>3.58</v>
      </c>
      <c r="I487" s="15"/>
      <c r="J487" s="15"/>
      <c r="K487" s="15"/>
      <c r="L487" s="15"/>
      <c r="M487" s="15"/>
      <c r="N487" s="21">
        <v>0.53</v>
      </c>
      <c r="O487" s="9" t="s">
        <v>101</v>
      </c>
      <c r="P487" s="9" t="s">
        <v>101</v>
      </c>
      <c r="Q487" s="9" t="s">
        <v>101</v>
      </c>
      <c r="R487" s="9" t="s">
        <v>101</v>
      </c>
      <c r="S487" s="9" t="s">
        <v>101</v>
      </c>
      <c r="T487" s="9" t="s">
        <v>101</v>
      </c>
      <c r="U487" s="9" t="s">
        <v>101</v>
      </c>
      <c r="V487" s="15">
        <v>0.731</v>
      </c>
      <c r="W487" s="15"/>
      <c r="X487" s="15"/>
      <c r="Y487" s="15">
        <v>0.534</v>
      </c>
      <c r="Z487" s="15"/>
      <c r="AA487" s="15"/>
      <c r="AB487" s="15"/>
      <c r="AC487" s="15"/>
      <c r="AD487" s="15"/>
      <c r="AE487" s="19"/>
      <c r="AF487" s="19"/>
      <c r="AG487" s="7" t="s">
        <v>109</v>
      </c>
      <c r="AH487" s="13">
        <f>iferror(VLOOKUP($B487,covariates!$B$3:$Z$1126,6,FALSE),"")</f>
        <v>21.7</v>
      </c>
      <c r="AI487" s="13">
        <f>iferror(VLOOKUP($B487,covariates!$B$3:$Z$1126,7,FALSE),"")</f>
        <v>4.597</v>
      </c>
      <c r="AJ487" s="9">
        <f>iferror(VLOOKUP($B487,covariates!$B$3:$Z$1126,14,FALSE),"")</f>
        <v>25</v>
      </c>
      <c r="AK487" s="9">
        <f>iferror(VLOOKUP($B487,covariates!$B$3:$Z$1126,16,FALSE),"")</f>
        <v>7</v>
      </c>
      <c r="AL487" s="9">
        <f>iferror(VLOOKUP($B487,covariates!$B$3:$Z$1126,18,FALSE),"")</f>
        <v>32.4</v>
      </c>
      <c r="AM487" s="9">
        <f>iferror(VLOOKUP($B487,covariates!$B$3:$Z$1126,19,FALSE),"")</f>
        <v>2.7</v>
      </c>
    </row>
    <row r="488">
      <c r="A488" s="15">
        <v>93.0</v>
      </c>
      <c r="B488" s="17" t="str">
        <f t="shared" ref="B488:B489" si="280">HYPERLINK("https://github.com/d-wkim/phd/blob/main/data/pdf/vilchez-cavazos_2020.pdf","Vilchez-cavazos et al., 2020")</f>
        <v>Vilchez-cavazos et al., 2020</v>
      </c>
      <c r="C488" s="7" t="s">
        <v>42</v>
      </c>
      <c r="D488" s="7" t="s">
        <v>319</v>
      </c>
      <c r="E488" s="9" t="s">
        <v>222</v>
      </c>
      <c r="F488" s="9"/>
      <c r="G488" s="15"/>
      <c r="H488" s="13"/>
      <c r="I488" s="15"/>
      <c r="J488" s="15"/>
      <c r="K488" s="21"/>
      <c r="L488" s="15"/>
      <c r="M488" s="15"/>
      <c r="N488" s="66"/>
      <c r="O488" s="9" t="s">
        <v>101</v>
      </c>
      <c r="P488" s="9" t="s">
        <v>101</v>
      </c>
      <c r="Q488" s="9" t="s">
        <v>101</v>
      </c>
      <c r="R488" s="9" t="s">
        <v>101</v>
      </c>
      <c r="S488" s="9" t="s">
        <v>101</v>
      </c>
      <c r="T488" s="9" t="s">
        <v>101</v>
      </c>
      <c r="U488" s="9" t="s">
        <v>101</v>
      </c>
      <c r="V488" s="66"/>
      <c r="W488" s="66"/>
      <c r="X488" s="15"/>
      <c r="Y488" s="15"/>
      <c r="Z488" s="15"/>
      <c r="AA488" s="15"/>
      <c r="AB488" s="15"/>
      <c r="AC488" s="15"/>
      <c r="AD488" s="15"/>
      <c r="AE488" s="19"/>
      <c r="AF488" s="19"/>
      <c r="AG488" s="7" t="s">
        <v>174</v>
      </c>
      <c r="AH488" s="13">
        <f>iferror(VLOOKUP($B488,covariates!$B$3:$Z$1126,6,FALSE),"")</f>
        <v>24.4557</v>
      </c>
      <c r="AI488" s="13">
        <f>iferror(VLOOKUP($B488,covariates!$B$3:$Z$1126,7,FALSE),"")</f>
        <v>8.2374</v>
      </c>
      <c r="AJ488" s="9">
        <f>iferror(VLOOKUP($B488,covariates!$B$3:$Z$1126,14,FALSE),"")</f>
        <v>12</v>
      </c>
      <c r="AK488" s="9">
        <f>iferror(VLOOKUP($B488,covariates!$B$3:$Z$1126,16,FALSE),"")</f>
        <v>3</v>
      </c>
      <c r="AL488" s="9">
        <f>iferror(VLOOKUP($B488,covariates!$B$3:$Z$1126,18,FALSE),"")</f>
        <v>12</v>
      </c>
      <c r="AM488" s="9">
        <f>iferror(VLOOKUP($B488,covariates!$B$3:$Z$1126,19,FALSE),"")</f>
        <v>1</v>
      </c>
    </row>
    <row r="489">
      <c r="A489" s="15">
        <v>93.0</v>
      </c>
      <c r="B489" s="17" t="str">
        <f t="shared" si="280"/>
        <v>Vilchez-cavazos et al., 2020</v>
      </c>
      <c r="C489" s="7" t="s">
        <v>200</v>
      </c>
      <c r="D489" s="7" t="s">
        <v>319</v>
      </c>
      <c r="E489" s="9" t="s">
        <v>222</v>
      </c>
      <c r="F489" s="9"/>
      <c r="G489" s="13"/>
      <c r="H489" s="13"/>
      <c r="I489" s="15"/>
      <c r="J489" s="15"/>
      <c r="K489" s="15"/>
      <c r="L489" s="15"/>
      <c r="M489" s="15"/>
      <c r="N489" s="66"/>
      <c r="O489" s="9" t="s">
        <v>101</v>
      </c>
      <c r="P489" s="9" t="s">
        <v>101</v>
      </c>
      <c r="Q489" s="9" t="s">
        <v>101</v>
      </c>
      <c r="R489" s="9" t="s">
        <v>101</v>
      </c>
      <c r="S489" s="9" t="s">
        <v>101</v>
      </c>
      <c r="T489" s="9" t="s">
        <v>101</v>
      </c>
      <c r="U489" s="9" t="s">
        <v>101</v>
      </c>
      <c r="V489" s="107"/>
      <c r="W489" s="107"/>
      <c r="X489" s="19"/>
      <c r="Y489" s="19"/>
      <c r="Z489" s="19"/>
      <c r="AA489" s="19"/>
      <c r="AB489" s="19"/>
      <c r="AC489" s="19"/>
      <c r="AD489" s="19"/>
      <c r="AE489" s="19"/>
      <c r="AF489" s="19"/>
      <c r="AG489" s="7" t="s">
        <v>174</v>
      </c>
      <c r="AH489" s="13">
        <f>iferror(VLOOKUP($B489,covariates!$B$3:$Z$1126,6,FALSE),"")</f>
        <v>24.4557</v>
      </c>
      <c r="AI489" s="13">
        <f>iferror(VLOOKUP($B489,covariates!$B$3:$Z$1126,7,FALSE),"")</f>
        <v>8.2374</v>
      </c>
      <c r="AJ489" s="9">
        <f>iferror(VLOOKUP($B489,covariates!$B$3:$Z$1126,14,FALSE),"")</f>
        <v>12</v>
      </c>
      <c r="AK489" s="9">
        <f>iferror(VLOOKUP($B489,covariates!$B$3:$Z$1126,16,FALSE),"")</f>
        <v>3</v>
      </c>
      <c r="AL489" s="9">
        <f>iferror(VLOOKUP($B489,covariates!$B$3:$Z$1126,18,FALSE),"")</f>
        <v>12</v>
      </c>
      <c r="AM489" s="9">
        <f>iferror(VLOOKUP($B489,covariates!$B$3:$Z$1126,19,FALSE),"")</f>
        <v>1</v>
      </c>
    </row>
    <row r="490">
      <c r="A490" s="15">
        <v>96.0</v>
      </c>
      <c r="B490" s="17" t="str">
        <f t="shared" ref="B490:B491" si="281">HYPERLINK("https://github.com/d-wkim/phd/blob/main/data/pdf/wipfler_2011.pdf","Wipfler et al., 2011")</f>
        <v>Wipfler et al., 2011</v>
      </c>
      <c r="C490" s="9" t="s">
        <v>42</v>
      </c>
      <c r="D490" s="7" t="s">
        <v>319</v>
      </c>
      <c r="E490" s="9" t="s">
        <v>222</v>
      </c>
      <c r="F490" s="9">
        <v>29.0</v>
      </c>
      <c r="G490" s="13">
        <v>6.2</v>
      </c>
      <c r="H490" s="13">
        <v>0.346</v>
      </c>
      <c r="I490" s="15"/>
      <c r="J490" s="15"/>
      <c r="K490" s="15"/>
      <c r="L490" s="15"/>
      <c r="M490" s="15"/>
      <c r="N490" s="21">
        <v>0.62</v>
      </c>
      <c r="O490" s="9" t="s">
        <v>101</v>
      </c>
      <c r="P490" s="9" t="s">
        <v>101</v>
      </c>
      <c r="Q490" s="9" t="s">
        <v>101</v>
      </c>
      <c r="R490" s="9" t="s">
        <v>101</v>
      </c>
      <c r="S490" s="9" t="s">
        <v>101</v>
      </c>
      <c r="T490" s="9" t="s">
        <v>101</v>
      </c>
      <c r="U490" s="9" t="s">
        <v>101</v>
      </c>
      <c r="V490" s="15">
        <v>0.064</v>
      </c>
      <c r="W490" s="15"/>
      <c r="X490" s="15"/>
      <c r="Y490" s="15">
        <v>0.004</v>
      </c>
      <c r="Z490" s="15"/>
      <c r="AA490" s="15"/>
      <c r="AB490" s="15"/>
      <c r="AC490" s="15"/>
      <c r="AD490" s="15"/>
      <c r="AE490" s="19"/>
      <c r="AF490" s="19"/>
      <c r="AG490" s="7" t="s">
        <v>109</v>
      </c>
      <c r="AH490" s="13">
        <f>iferror(VLOOKUP($B490,covariates!$B$3:$Z$1126,6,FALSE),"")</f>
        <v>29.87</v>
      </c>
      <c r="AI490" s="13">
        <f>iferror(VLOOKUP($B490,covariates!$B$3:$Z$1126,7,FALSE),"")</f>
        <v>7.304</v>
      </c>
      <c r="AJ490" s="9">
        <f>iferror(VLOOKUP($B490,covariates!$B$3:$Z$1126,14,FALSE),"")</f>
        <v>19</v>
      </c>
      <c r="AK490" s="9">
        <f>iferror(VLOOKUP($B490,covariates!$B$3:$Z$1126,16,FALSE),"")</f>
        <v>12</v>
      </c>
      <c r="AL490" s="9">
        <f>iferror(VLOOKUP($B490,covariates!$B$3:$Z$1126,18,FALSE),"")</f>
        <v>108</v>
      </c>
      <c r="AM490" s="9">
        <f>iferror(VLOOKUP($B490,covariates!$B$3:$Z$1126,19,FALSE),"")</f>
        <v>9</v>
      </c>
    </row>
    <row r="491">
      <c r="A491" s="15">
        <v>96.0</v>
      </c>
      <c r="B491" s="17" t="str">
        <f t="shared" si="281"/>
        <v>Wipfler et al., 2011</v>
      </c>
      <c r="C491" s="9" t="s">
        <v>84</v>
      </c>
      <c r="D491" s="7" t="s">
        <v>319</v>
      </c>
      <c r="E491" s="9" t="s">
        <v>222</v>
      </c>
      <c r="F491" s="9">
        <v>25.0</v>
      </c>
      <c r="G491" s="13">
        <v>6.14</v>
      </c>
      <c r="H491" s="13">
        <v>0.368</v>
      </c>
      <c r="I491" s="15"/>
      <c r="J491" s="15"/>
      <c r="K491" s="15"/>
      <c r="L491" s="15"/>
      <c r="M491" s="15"/>
      <c r="N491" s="21">
        <v>0.614</v>
      </c>
      <c r="O491" s="9" t="s">
        <v>101</v>
      </c>
      <c r="P491" s="9" t="s">
        <v>101</v>
      </c>
      <c r="Q491" s="9" t="s">
        <v>101</v>
      </c>
      <c r="R491" s="9" t="s">
        <v>101</v>
      </c>
      <c r="S491" s="9" t="s">
        <v>101</v>
      </c>
      <c r="T491" s="9" t="s">
        <v>101</v>
      </c>
      <c r="U491" s="9" t="s">
        <v>101</v>
      </c>
      <c r="V491" s="15">
        <v>0.074</v>
      </c>
      <c r="W491" s="15"/>
      <c r="X491" s="15"/>
      <c r="Y491" s="15">
        <v>0.005</v>
      </c>
      <c r="Z491" s="15"/>
      <c r="AA491" s="15"/>
      <c r="AB491" s="15"/>
      <c r="AC491" s="15"/>
      <c r="AD491" s="15"/>
      <c r="AE491" s="19"/>
      <c r="AF491" s="19"/>
      <c r="AG491" s="7" t="s">
        <v>109</v>
      </c>
      <c r="AH491" s="13">
        <f>iferror(VLOOKUP($B491,covariates!$B$3:$Z$1126,6,FALSE),"")</f>
        <v>29.87</v>
      </c>
      <c r="AI491" s="13">
        <f>iferror(VLOOKUP($B491,covariates!$B$3:$Z$1126,7,FALSE),"")</f>
        <v>7.304</v>
      </c>
      <c r="AJ491" s="9">
        <f>iferror(VLOOKUP($B491,covariates!$B$3:$Z$1126,14,FALSE),"")</f>
        <v>19</v>
      </c>
      <c r="AK491" s="9">
        <f>iferror(VLOOKUP($B491,covariates!$B$3:$Z$1126,16,FALSE),"")</f>
        <v>12</v>
      </c>
      <c r="AL491" s="9">
        <f>iferror(VLOOKUP($B491,covariates!$B$3:$Z$1126,18,FALSE),"")</f>
        <v>108</v>
      </c>
      <c r="AM491" s="9">
        <f>iferror(VLOOKUP($B491,covariates!$B$3:$Z$1126,19,FALSE),"")</f>
        <v>9</v>
      </c>
    </row>
    <row r="492">
      <c r="A492" s="15">
        <v>98.0</v>
      </c>
      <c r="B492" s="17" t="str">
        <f t="shared" ref="B492:B493" si="282">HYPERLINK("https://github.com/d-wkim/phd/blob/main/data/pdf/yoo_2017.pdf","Yoo et al., 2017")</f>
        <v>Yoo et al., 2017</v>
      </c>
      <c r="C492" s="9" t="s">
        <v>84</v>
      </c>
      <c r="D492" s="19" t="s">
        <v>319</v>
      </c>
      <c r="E492" s="9" t="s">
        <v>222</v>
      </c>
      <c r="F492" s="9">
        <v>68.0</v>
      </c>
      <c r="G492" s="13">
        <v>5.0</v>
      </c>
      <c r="H492" s="13">
        <f t="shared" ref="H492:H493" si="283">iferror(RANGE_SD(F492,I492,M492),"")</f>
        <v>1.484</v>
      </c>
      <c r="I492" s="9">
        <v>2.0</v>
      </c>
      <c r="J492" s="15"/>
      <c r="K492" s="15"/>
      <c r="L492" s="15"/>
      <c r="M492" s="9">
        <v>9.0</v>
      </c>
      <c r="N492" s="21">
        <v>0.5</v>
      </c>
      <c r="O492" s="9" t="s">
        <v>101</v>
      </c>
      <c r="P492" s="9" t="s">
        <v>101</v>
      </c>
      <c r="Q492" s="9" t="s">
        <v>101</v>
      </c>
      <c r="R492" s="9" t="s">
        <v>101</v>
      </c>
      <c r="S492" s="9" t="s">
        <v>101</v>
      </c>
      <c r="T492" s="9" t="s">
        <v>101</v>
      </c>
      <c r="U492" s="9" t="s">
        <v>101</v>
      </c>
      <c r="V492" s="15">
        <v>0.18</v>
      </c>
      <c r="W492" s="15"/>
      <c r="X492" s="15"/>
      <c r="Y492" s="15">
        <v>0.032</v>
      </c>
      <c r="Z492" s="15"/>
      <c r="AA492" s="15"/>
      <c r="AB492" s="15"/>
      <c r="AC492" s="15"/>
      <c r="AD492" s="15"/>
      <c r="AE492" s="19"/>
      <c r="AF492" s="19"/>
      <c r="AG492" s="7" t="s">
        <v>109</v>
      </c>
      <c r="AH492" s="13">
        <f>iferror(VLOOKUP($B492,covariates!$B$3:$Z$1126,6,FALSE),"")</f>
        <v>30</v>
      </c>
      <c r="AI492" s="13">
        <f>iferror(VLOOKUP($B492,covariates!$B$3:$Z$1126,7,FALSE),"")</f>
        <v>9.961</v>
      </c>
      <c r="AJ492" s="9">
        <f>iferror(VLOOKUP($B492,covariates!$B$3:$Z$1126,14,FALSE),"")</f>
        <v>61</v>
      </c>
      <c r="AK492" s="9">
        <f>iferror(VLOOKUP($B492,covariates!$B$3:$Z$1126,16,FALSE),"")</f>
        <v>7</v>
      </c>
      <c r="AL492" s="9">
        <f>iferror(VLOOKUP($B492,covariates!$B$3:$Z$1126,18,FALSE),"")</f>
        <v>32.8</v>
      </c>
      <c r="AM492" s="9">
        <f>iferror(VLOOKUP($B492,covariates!$B$3:$Z$1126,19,FALSE),"")</f>
        <v>2.7</v>
      </c>
    </row>
    <row r="493">
      <c r="A493" s="15">
        <v>98.0</v>
      </c>
      <c r="B493" s="17" t="str">
        <f t="shared" si="282"/>
        <v>Yoo et al., 2017</v>
      </c>
      <c r="C493" s="9" t="s">
        <v>205</v>
      </c>
      <c r="D493" s="19" t="s">
        <v>319</v>
      </c>
      <c r="E493" s="9" t="s">
        <v>222</v>
      </c>
      <c r="F493" s="9">
        <v>64.0</v>
      </c>
      <c r="G493" s="13">
        <v>5.0</v>
      </c>
      <c r="H493" s="13">
        <f t="shared" si="283"/>
        <v>1.07</v>
      </c>
      <c r="I493" s="9">
        <v>3.0</v>
      </c>
      <c r="J493" s="15"/>
      <c r="K493" s="15"/>
      <c r="L493" s="15"/>
      <c r="M493" s="9">
        <v>8.0</v>
      </c>
      <c r="N493" s="21">
        <v>0.5</v>
      </c>
      <c r="O493" s="9" t="s">
        <v>101</v>
      </c>
      <c r="P493" s="9" t="s">
        <v>101</v>
      </c>
      <c r="Q493" s="9" t="s">
        <v>101</v>
      </c>
      <c r="R493" s="9" t="s">
        <v>101</v>
      </c>
      <c r="S493" s="9" t="s">
        <v>101</v>
      </c>
      <c r="T493" s="9" t="s">
        <v>101</v>
      </c>
      <c r="U493" s="9" t="s">
        <v>101</v>
      </c>
      <c r="V493" s="15">
        <v>0.134</v>
      </c>
      <c r="W493" s="15"/>
      <c r="X493" s="15"/>
      <c r="Y493" s="15">
        <v>0.018</v>
      </c>
      <c r="Z493" s="19"/>
      <c r="AA493" s="19"/>
      <c r="AB493" s="19"/>
      <c r="AC493" s="19"/>
      <c r="AD493" s="19"/>
      <c r="AE493" s="19"/>
      <c r="AF493" s="19"/>
      <c r="AG493" s="7" t="s">
        <v>109</v>
      </c>
      <c r="AH493" s="13">
        <f>iferror(VLOOKUP($B493,covariates!$B$3:$Z$1126,6,FALSE),"")</f>
        <v>30</v>
      </c>
      <c r="AI493" s="13">
        <f>iferror(VLOOKUP($B493,covariates!$B$3:$Z$1126,7,FALSE),"")</f>
        <v>9.961</v>
      </c>
      <c r="AJ493" s="9">
        <f>iferror(VLOOKUP($B493,covariates!$B$3:$Z$1126,14,FALSE),"")</f>
        <v>61</v>
      </c>
      <c r="AK493" s="9">
        <f>iferror(VLOOKUP($B493,covariates!$B$3:$Z$1126,16,FALSE),"")</f>
        <v>7</v>
      </c>
      <c r="AL493" s="9">
        <f>iferror(VLOOKUP($B493,covariates!$B$3:$Z$1126,18,FALSE),"")</f>
        <v>32.8</v>
      </c>
      <c r="AM493" s="9">
        <f>iferror(VLOOKUP($B493,covariates!$B$3:$Z$1126,19,FALSE),"")</f>
        <v>2.7</v>
      </c>
    </row>
    <row r="494">
      <c r="A494" s="74"/>
      <c r="B494" s="12"/>
      <c r="C494" s="74"/>
      <c r="D494" s="12"/>
      <c r="E494" s="12"/>
      <c r="F494" s="74"/>
      <c r="G494" s="74"/>
      <c r="H494" s="179"/>
      <c r="I494" s="74"/>
      <c r="J494" s="74"/>
      <c r="K494" s="74"/>
      <c r="L494" s="74"/>
      <c r="M494" s="74"/>
      <c r="N494" s="179"/>
      <c r="O494" s="74"/>
      <c r="P494" s="74"/>
      <c r="Q494" s="74"/>
      <c r="R494" s="74"/>
      <c r="S494" s="74"/>
      <c r="T494" s="74"/>
      <c r="U494" s="74"/>
      <c r="V494" s="74"/>
      <c r="W494" s="74"/>
      <c r="X494" s="74"/>
      <c r="Y494" s="74"/>
      <c r="Z494" s="74"/>
      <c r="AA494" s="74"/>
      <c r="AB494" s="74"/>
      <c r="AC494" s="74"/>
      <c r="AD494" s="74"/>
      <c r="AE494" s="12"/>
      <c r="AF494" s="12"/>
      <c r="AG494" s="12"/>
      <c r="AH494" s="180"/>
      <c r="AI494" s="180"/>
      <c r="AJ494" s="12"/>
      <c r="AK494" s="12"/>
      <c r="AL494" s="12"/>
      <c r="AM494" s="12"/>
    </row>
    <row r="495">
      <c r="A495" s="74"/>
      <c r="B495" s="12"/>
      <c r="C495" s="74"/>
      <c r="D495" s="12"/>
      <c r="E495" s="12"/>
      <c r="F495" s="74"/>
      <c r="G495" s="74"/>
      <c r="H495" s="179"/>
      <c r="I495" s="74"/>
      <c r="J495" s="74"/>
      <c r="K495" s="74"/>
      <c r="L495" s="74"/>
      <c r="M495" s="74"/>
      <c r="N495" s="179"/>
      <c r="O495" s="74"/>
      <c r="P495" s="74"/>
      <c r="Q495" s="74"/>
      <c r="R495" s="74"/>
      <c r="S495" s="74"/>
      <c r="T495" s="74"/>
      <c r="U495" s="74"/>
      <c r="V495" s="74"/>
      <c r="W495" s="74"/>
      <c r="X495" s="74"/>
      <c r="Y495" s="74"/>
      <c r="Z495" s="74"/>
      <c r="AA495" s="74"/>
      <c r="AB495" s="74"/>
      <c r="AC495" s="74"/>
      <c r="AD495" s="74"/>
      <c r="AE495" s="12"/>
      <c r="AF495" s="12"/>
      <c r="AG495" s="12"/>
      <c r="AH495" s="180"/>
      <c r="AI495" s="180"/>
      <c r="AJ495" s="12"/>
      <c r="AK495" s="12"/>
      <c r="AL495" s="12"/>
      <c r="AM495" s="12"/>
    </row>
    <row r="496">
      <c r="A496" s="74"/>
      <c r="B496" s="12"/>
      <c r="C496" s="74"/>
      <c r="D496" s="12"/>
      <c r="E496" s="12"/>
      <c r="F496" s="74"/>
      <c r="G496" s="74"/>
      <c r="H496" s="179"/>
      <c r="I496" s="74"/>
      <c r="J496" s="74"/>
      <c r="K496" s="74"/>
      <c r="L496" s="74"/>
      <c r="M496" s="74"/>
      <c r="N496" s="179"/>
      <c r="O496" s="74"/>
      <c r="P496" s="74"/>
      <c r="Q496" s="74"/>
      <c r="R496" s="74"/>
      <c r="S496" s="74"/>
      <c r="T496" s="74"/>
      <c r="U496" s="74"/>
      <c r="V496" s="74"/>
      <c r="W496" s="74"/>
      <c r="X496" s="74"/>
      <c r="Y496" s="74"/>
      <c r="Z496" s="74"/>
      <c r="AA496" s="74"/>
      <c r="AB496" s="74"/>
      <c r="AC496" s="74"/>
      <c r="AD496" s="74"/>
      <c r="AE496" s="12"/>
      <c r="AF496" s="12"/>
      <c r="AG496" s="12"/>
      <c r="AH496" s="180"/>
      <c r="AI496" s="180"/>
      <c r="AJ496" s="12"/>
      <c r="AK496" s="12"/>
      <c r="AL496" s="12"/>
      <c r="AM496" s="12"/>
    </row>
    <row r="497">
      <c r="A497" s="74"/>
      <c r="B497" s="12"/>
      <c r="C497" s="74"/>
      <c r="D497" s="12"/>
      <c r="E497" s="12"/>
      <c r="F497" s="74"/>
      <c r="G497" s="74"/>
      <c r="H497" s="179"/>
      <c r="I497" s="74"/>
      <c r="J497" s="74"/>
      <c r="K497" s="74"/>
      <c r="L497" s="74"/>
      <c r="M497" s="74"/>
      <c r="N497" s="179"/>
      <c r="O497" s="74"/>
      <c r="P497" s="74"/>
      <c r="Q497" s="74"/>
      <c r="R497" s="74"/>
      <c r="S497" s="74"/>
      <c r="T497" s="74"/>
      <c r="U497" s="74"/>
      <c r="V497" s="74"/>
      <c r="W497" s="74"/>
      <c r="X497" s="74"/>
      <c r="Y497" s="74"/>
      <c r="Z497" s="74"/>
      <c r="AA497" s="74"/>
      <c r="AB497" s="74"/>
      <c r="AC497" s="74"/>
      <c r="AD497" s="74"/>
      <c r="AE497" s="12"/>
      <c r="AF497" s="12"/>
      <c r="AG497" s="12"/>
      <c r="AH497" s="180"/>
      <c r="AI497" s="180"/>
      <c r="AJ497" s="12"/>
      <c r="AK497" s="12"/>
      <c r="AL497" s="12"/>
      <c r="AM497" s="12"/>
    </row>
    <row r="498">
      <c r="A498" s="74"/>
      <c r="B498" s="12"/>
      <c r="C498" s="74"/>
      <c r="D498" s="12"/>
      <c r="E498" s="12"/>
      <c r="F498" s="74"/>
      <c r="G498" s="74"/>
      <c r="H498" s="179"/>
      <c r="I498" s="74"/>
      <c r="J498" s="74"/>
      <c r="K498" s="74"/>
      <c r="L498" s="74"/>
      <c r="M498" s="74"/>
      <c r="N498" s="179"/>
      <c r="O498" s="74"/>
      <c r="P498" s="74"/>
      <c r="Q498" s="74"/>
      <c r="R498" s="74"/>
      <c r="S498" s="74"/>
      <c r="T498" s="74"/>
      <c r="U498" s="74"/>
      <c r="V498" s="74"/>
      <c r="W498" s="74"/>
      <c r="X498" s="74"/>
      <c r="Y498" s="74"/>
      <c r="Z498" s="74"/>
      <c r="AA498" s="74"/>
      <c r="AB498" s="74"/>
      <c r="AC498" s="74"/>
      <c r="AD498" s="74"/>
      <c r="AE498" s="12"/>
      <c r="AF498" s="12"/>
      <c r="AG498" s="12"/>
      <c r="AH498" s="180"/>
      <c r="AI498" s="180"/>
      <c r="AJ498" s="12"/>
      <c r="AK498" s="12"/>
      <c r="AL498" s="12"/>
      <c r="AM498" s="12"/>
    </row>
    <row r="499">
      <c r="A499" s="74"/>
      <c r="B499" s="12"/>
      <c r="C499" s="74"/>
      <c r="D499" s="12"/>
      <c r="E499" s="12"/>
      <c r="F499" s="74"/>
      <c r="G499" s="74"/>
      <c r="H499" s="179"/>
      <c r="I499" s="74"/>
      <c r="J499" s="74"/>
      <c r="K499" s="74"/>
      <c r="L499" s="74"/>
      <c r="M499" s="74"/>
      <c r="N499" s="179"/>
      <c r="O499" s="74"/>
      <c r="P499" s="74"/>
      <c r="Q499" s="74"/>
      <c r="R499" s="74"/>
      <c r="S499" s="74"/>
      <c r="T499" s="74"/>
      <c r="U499" s="74"/>
      <c r="V499" s="74"/>
      <c r="W499" s="74"/>
      <c r="X499" s="74"/>
      <c r="Y499" s="74"/>
      <c r="Z499" s="74"/>
      <c r="AA499" s="74"/>
      <c r="AB499" s="74"/>
      <c r="AC499" s="74"/>
      <c r="AD499" s="74"/>
      <c r="AE499" s="12"/>
      <c r="AF499" s="12"/>
      <c r="AG499" s="12"/>
      <c r="AH499" s="180"/>
      <c r="AI499" s="180"/>
      <c r="AJ499" s="12"/>
      <c r="AK499" s="12"/>
      <c r="AL499" s="12"/>
      <c r="AM499" s="12"/>
    </row>
    <row r="500">
      <c r="A500" s="74"/>
      <c r="B500" s="12"/>
      <c r="C500" s="74"/>
      <c r="D500" s="12"/>
      <c r="E500" s="12"/>
      <c r="F500" s="74"/>
      <c r="G500" s="74"/>
      <c r="H500" s="179"/>
      <c r="I500" s="74"/>
      <c r="J500" s="74"/>
      <c r="K500" s="74"/>
      <c r="L500" s="74"/>
      <c r="M500" s="74"/>
      <c r="N500" s="179"/>
      <c r="O500" s="74"/>
      <c r="P500" s="74"/>
      <c r="Q500" s="74"/>
      <c r="R500" s="74"/>
      <c r="S500" s="74"/>
      <c r="T500" s="74"/>
      <c r="U500" s="74"/>
      <c r="V500" s="74"/>
      <c r="W500" s="74"/>
      <c r="X500" s="74"/>
      <c r="Y500" s="74"/>
      <c r="Z500" s="74"/>
      <c r="AA500" s="74"/>
      <c r="AB500" s="74"/>
      <c r="AC500" s="74"/>
      <c r="AD500" s="74"/>
      <c r="AE500" s="12"/>
      <c r="AF500" s="12"/>
      <c r="AG500" s="12"/>
      <c r="AH500" s="180"/>
      <c r="AI500" s="180"/>
      <c r="AJ500" s="12"/>
      <c r="AK500" s="12"/>
      <c r="AL500" s="12"/>
      <c r="AM500" s="12"/>
    </row>
    <row r="501">
      <c r="A501" s="74"/>
      <c r="B501" s="12"/>
      <c r="C501" s="74"/>
      <c r="D501" s="12"/>
      <c r="E501" s="12"/>
      <c r="F501" s="74"/>
      <c r="G501" s="74"/>
      <c r="H501" s="179"/>
      <c r="I501" s="74"/>
      <c r="J501" s="74"/>
      <c r="K501" s="74"/>
      <c r="L501" s="74"/>
      <c r="M501" s="74"/>
      <c r="N501" s="179"/>
      <c r="O501" s="74"/>
      <c r="P501" s="74"/>
      <c r="Q501" s="74"/>
      <c r="R501" s="74"/>
      <c r="S501" s="74"/>
      <c r="T501" s="74"/>
      <c r="U501" s="74"/>
      <c r="V501" s="74"/>
      <c r="W501" s="74"/>
      <c r="X501" s="74"/>
      <c r="Y501" s="74"/>
      <c r="Z501" s="74"/>
      <c r="AA501" s="74"/>
      <c r="AB501" s="74"/>
      <c r="AC501" s="74"/>
      <c r="AD501" s="74"/>
      <c r="AE501" s="12"/>
      <c r="AF501" s="12"/>
      <c r="AG501" s="12"/>
      <c r="AH501" s="180"/>
      <c r="AI501" s="180"/>
      <c r="AJ501" s="12"/>
      <c r="AK501" s="12"/>
      <c r="AL501" s="12"/>
      <c r="AM501" s="12"/>
    </row>
    <row r="502">
      <c r="A502" s="74"/>
      <c r="B502" s="12"/>
      <c r="C502" s="74"/>
      <c r="D502" s="12"/>
      <c r="E502" s="12"/>
      <c r="F502" s="74"/>
      <c r="G502" s="74"/>
      <c r="H502" s="179"/>
      <c r="I502" s="74"/>
      <c r="J502" s="74"/>
      <c r="K502" s="74"/>
      <c r="L502" s="74"/>
      <c r="M502" s="74"/>
      <c r="N502" s="179"/>
      <c r="O502" s="74"/>
      <c r="P502" s="74"/>
      <c r="Q502" s="74"/>
      <c r="R502" s="74"/>
      <c r="S502" s="74"/>
      <c r="T502" s="74"/>
      <c r="U502" s="74"/>
      <c r="V502" s="74"/>
      <c r="W502" s="74"/>
      <c r="X502" s="74"/>
      <c r="Y502" s="74"/>
      <c r="Z502" s="74"/>
      <c r="AA502" s="74"/>
      <c r="AB502" s="74"/>
      <c r="AC502" s="74"/>
      <c r="AD502" s="74"/>
      <c r="AE502" s="12"/>
      <c r="AF502" s="12"/>
      <c r="AG502" s="12"/>
      <c r="AH502" s="180"/>
      <c r="AI502" s="180"/>
      <c r="AJ502" s="12"/>
      <c r="AK502" s="12"/>
      <c r="AL502" s="12"/>
      <c r="AM502" s="12"/>
    </row>
    <row r="503">
      <c r="A503" s="74"/>
      <c r="B503" s="12"/>
      <c r="C503" s="74"/>
      <c r="D503" s="12"/>
      <c r="E503" s="12"/>
      <c r="F503" s="74"/>
      <c r="G503" s="74"/>
      <c r="H503" s="179"/>
      <c r="I503" s="74"/>
      <c r="J503" s="74"/>
      <c r="K503" s="74"/>
      <c r="L503" s="74"/>
      <c r="M503" s="74"/>
      <c r="N503" s="179"/>
      <c r="O503" s="74"/>
      <c r="P503" s="74"/>
      <c r="Q503" s="74"/>
      <c r="R503" s="74"/>
      <c r="S503" s="74"/>
      <c r="T503" s="74"/>
      <c r="U503" s="74"/>
      <c r="V503" s="74"/>
      <c r="W503" s="74"/>
      <c r="X503" s="74"/>
      <c r="Y503" s="74"/>
      <c r="Z503" s="74"/>
      <c r="AA503" s="74"/>
      <c r="AB503" s="74"/>
      <c r="AC503" s="74"/>
      <c r="AD503" s="74"/>
      <c r="AE503" s="12"/>
      <c r="AF503" s="12"/>
      <c r="AG503" s="12"/>
      <c r="AH503" s="180"/>
      <c r="AI503" s="180"/>
      <c r="AJ503" s="12"/>
      <c r="AK503" s="12"/>
      <c r="AL503" s="12"/>
      <c r="AM503" s="12"/>
    </row>
    <row r="504">
      <c r="A504" s="74"/>
      <c r="B504" s="12"/>
      <c r="C504" s="74"/>
      <c r="D504" s="12"/>
      <c r="E504" s="12"/>
      <c r="F504" s="74"/>
      <c r="G504" s="74"/>
      <c r="H504" s="179"/>
      <c r="I504" s="74"/>
      <c r="J504" s="74"/>
      <c r="K504" s="74"/>
      <c r="L504" s="74"/>
      <c r="M504" s="74"/>
      <c r="N504" s="179"/>
      <c r="O504" s="74"/>
      <c r="P504" s="74"/>
      <c r="Q504" s="74"/>
      <c r="R504" s="74"/>
      <c r="S504" s="74"/>
      <c r="T504" s="74"/>
      <c r="U504" s="74"/>
      <c r="V504" s="74"/>
      <c r="W504" s="74"/>
      <c r="X504" s="74"/>
      <c r="Y504" s="74"/>
      <c r="Z504" s="74"/>
      <c r="AA504" s="74"/>
      <c r="AB504" s="74"/>
      <c r="AC504" s="74"/>
      <c r="AD504" s="74"/>
      <c r="AE504" s="12"/>
      <c r="AF504" s="12"/>
      <c r="AG504" s="12"/>
      <c r="AH504" s="180"/>
      <c r="AI504" s="180"/>
      <c r="AJ504" s="12"/>
      <c r="AK504" s="12"/>
      <c r="AL504" s="12"/>
      <c r="AM504" s="12"/>
    </row>
    <row r="505">
      <c r="A505" s="74"/>
      <c r="B505" s="12"/>
      <c r="C505" s="74"/>
      <c r="D505" s="12"/>
      <c r="E505" s="12"/>
      <c r="F505" s="74"/>
      <c r="G505" s="74"/>
      <c r="H505" s="179"/>
      <c r="I505" s="74"/>
      <c r="J505" s="74"/>
      <c r="K505" s="74"/>
      <c r="L505" s="74"/>
      <c r="M505" s="74"/>
      <c r="N505" s="179"/>
      <c r="O505" s="74"/>
      <c r="P505" s="74"/>
      <c r="Q505" s="74"/>
      <c r="R505" s="74"/>
      <c r="S505" s="74"/>
      <c r="T505" s="74"/>
      <c r="U505" s="74"/>
      <c r="V505" s="74"/>
      <c r="W505" s="74"/>
      <c r="X505" s="74"/>
      <c r="Y505" s="74"/>
      <c r="Z505" s="74"/>
      <c r="AA505" s="74"/>
      <c r="AB505" s="74"/>
      <c r="AC505" s="74"/>
      <c r="AD505" s="74"/>
      <c r="AE505" s="12"/>
      <c r="AF505" s="12"/>
      <c r="AG505" s="12"/>
      <c r="AH505" s="180"/>
      <c r="AI505" s="180"/>
      <c r="AJ505" s="12"/>
      <c r="AK505" s="12"/>
      <c r="AL505" s="12"/>
      <c r="AM505" s="12"/>
    </row>
    <row r="506">
      <c r="A506" s="74"/>
      <c r="B506" s="12"/>
      <c r="C506" s="74"/>
      <c r="D506" s="12"/>
      <c r="E506" s="12"/>
      <c r="F506" s="74"/>
      <c r="G506" s="74"/>
      <c r="H506" s="179"/>
      <c r="I506" s="74"/>
      <c r="J506" s="74"/>
      <c r="K506" s="74"/>
      <c r="L506" s="74"/>
      <c r="M506" s="74"/>
      <c r="N506" s="179"/>
      <c r="O506" s="74"/>
      <c r="P506" s="74"/>
      <c r="Q506" s="74"/>
      <c r="R506" s="74"/>
      <c r="S506" s="74"/>
      <c r="T506" s="74"/>
      <c r="U506" s="74"/>
      <c r="V506" s="74"/>
      <c r="W506" s="74"/>
      <c r="X506" s="74"/>
      <c r="Y506" s="74"/>
      <c r="Z506" s="74"/>
      <c r="AA506" s="74"/>
      <c r="AB506" s="74"/>
      <c r="AC506" s="74"/>
      <c r="AD506" s="74"/>
      <c r="AE506" s="12"/>
      <c r="AF506" s="12"/>
      <c r="AG506" s="12"/>
      <c r="AH506" s="180"/>
      <c r="AI506" s="180"/>
      <c r="AJ506" s="12"/>
      <c r="AK506" s="12"/>
      <c r="AL506" s="12"/>
      <c r="AM506" s="12"/>
    </row>
    <row r="507">
      <c r="A507" s="74"/>
      <c r="B507" s="12"/>
      <c r="C507" s="74"/>
      <c r="D507" s="12"/>
      <c r="E507" s="12"/>
      <c r="F507" s="74"/>
      <c r="G507" s="74"/>
      <c r="H507" s="179"/>
      <c r="I507" s="74"/>
      <c r="J507" s="74"/>
      <c r="K507" s="74"/>
      <c r="L507" s="74"/>
      <c r="M507" s="74"/>
      <c r="N507" s="179"/>
      <c r="O507" s="74"/>
      <c r="P507" s="74"/>
      <c r="Q507" s="74"/>
      <c r="R507" s="74"/>
      <c r="S507" s="74"/>
      <c r="T507" s="74"/>
      <c r="U507" s="74"/>
      <c r="V507" s="74"/>
      <c r="W507" s="74"/>
      <c r="X507" s="74"/>
      <c r="Y507" s="74"/>
      <c r="Z507" s="74"/>
      <c r="AA507" s="74"/>
      <c r="AB507" s="74"/>
      <c r="AC507" s="74"/>
      <c r="AD507" s="74"/>
      <c r="AE507" s="12"/>
      <c r="AF507" s="12"/>
      <c r="AG507" s="12"/>
      <c r="AH507" s="180"/>
      <c r="AI507" s="180"/>
      <c r="AJ507" s="12"/>
      <c r="AK507" s="12"/>
      <c r="AL507" s="12"/>
      <c r="AM507" s="12"/>
    </row>
    <row r="508">
      <c r="A508" s="74"/>
      <c r="B508" s="12"/>
      <c r="C508" s="74"/>
      <c r="D508" s="12"/>
      <c r="E508" s="12"/>
      <c r="F508" s="74"/>
      <c r="G508" s="74"/>
      <c r="H508" s="179"/>
      <c r="I508" s="74"/>
      <c r="J508" s="74"/>
      <c r="K508" s="74"/>
      <c r="L508" s="74"/>
      <c r="M508" s="74"/>
      <c r="N508" s="179"/>
      <c r="O508" s="74"/>
      <c r="P508" s="74"/>
      <c r="Q508" s="74"/>
      <c r="R508" s="74"/>
      <c r="S508" s="74"/>
      <c r="T508" s="74"/>
      <c r="U508" s="74"/>
      <c r="V508" s="74"/>
      <c r="W508" s="74"/>
      <c r="X508" s="74"/>
      <c r="Y508" s="74"/>
      <c r="Z508" s="74"/>
      <c r="AA508" s="74"/>
      <c r="AB508" s="74"/>
      <c r="AC508" s="74"/>
      <c r="AD508" s="74"/>
      <c r="AE508" s="12"/>
      <c r="AF508" s="12"/>
      <c r="AG508" s="12"/>
      <c r="AH508" s="180"/>
      <c r="AI508" s="180"/>
      <c r="AJ508" s="12"/>
      <c r="AK508" s="12"/>
      <c r="AL508" s="12"/>
      <c r="AM508" s="12"/>
    </row>
    <row r="509">
      <c r="A509" s="74"/>
      <c r="B509" s="12"/>
      <c r="C509" s="74"/>
      <c r="D509" s="12"/>
      <c r="E509" s="12"/>
      <c r="F509" s="74"/>
      <c r="G509" s="74"/>
      <c r="H509" s="179"/>
      <c r="I509" s="74"/>
      <c r="J509" s="74"/>
      <c r="K509" s="74"/>
      <c r="L509" s="74"/>
      <c r="M509" s="74"/>
      <c r="N509" s="179"/>
      <c r="O509" s="74"/>
      <c r="P509" s="74"/>
      <c r="Q509" s="74"/>
      <c r="R509" s="74"/>
      <c r="S509" s="74"/>
      <c r="T509" s="74"/>
      <c r="U509" s="74"/>
      <c r="V509" s="74"/>
      <c r="W509" s="74"/>
      <c r="X509" s="74"/>
      <c r="Y509" s="74"/>
      <c r="Z509" s="74"/>
      <c r="AA509" s="74"/>
      <c r="AB509" s="74"/>
      <c r="AC509" s="74"/>
      <c r="AD509" s="74"/>
      <c r="AE509" s="12"/>
      <c r="AF509" s="12"/>
      <c r="AG509" s="12"/>
      <c r="AH509" s="180"/>
      <c r="AI509" s="180"/>
      <c r="AJ509" s="12"/>
      <c r="AK509" s="12"/>
      <c r="AL509" s="12"/>
      <c r="AM509" s="12"/>
    </row>
    <row r="510">
      <c r="A510" s="74"/>
      <c r="B510" s="12"/>
      <c r="C510" s="74"/>
      <c r="D510" s="12"/>
      <c r="E510" s="12"/>
      <c r="F510" s="74"/>
      <c r="G510" s="74"/>
      <c r="H510" s="179"/>
      <c r="I510" s="74"/>
      <c r="J510" s="74"/>
      <c r="K510" s="74"/>
      <c r="L510" s="74"/>
      <c r="M510" s="74"/>
      <c r="N510" s="179"/>
      <c r="O510" s="74"/>
      <c r="P510" s="74"/>
      <c r="Q510" s="74"/>
      <c r="R510" s="74"/>
      <c r="S510" s="74"/>
      <c r="T510" s="74"/>
      <c r="U510" s="74"/>
      <c r="V510" s="74"/>
      <c r="W510" s="74"/>
      <c r="X510" s="74"/>
      <c r="Y510" s="74"/>
      <c r="Z510" s="74"/>
      <c r="AA510" s="74"/>
      <c r="AB510" s="74"/>
      <c r="AC510" s="74"/>
      <c r="AD510" s="74"/>
      <c r="AE510" s="12"/>
      <c r="AF510" s="12"/>
      <c r="AG510" s="12"/>
      <c r="AH510" s="180"/>
      <c r="AI510" s="180"/>
      <c r="AJ510" s="12"/>
      <c r="AK510" s="12"/>
      <c r="AL510" s="12"/>
      <c r="AM510" s="12"/>
    </row>
    <row r="511">
      <c r="A511" s="74"/>
      <c r="B511" s="12"/>
      <c r="C511" s="74"/>
      <c r="D511" s="12"/>
      <c r="E511" s="12"/>
      <c r="F511" s="74"/>
      <c r="G511" s="74"/>
      <c r="H511" s="179"/>
      <c r="I511" s="74"/>
      <c r="J511" s="74"/>
      <c r="K511" s="74"/>
      <c r="L511" s="74"/>
      <c r="M511" s="74"/>
      <c r="N511" s="179"/>
      <c r="O511" s="74"/>
      <c r="P511" s="74"/>
      <c r="Q511" s="74"/>
      <c r="R511" s="74"/>
      <c r="S511" s="74"/>
      <c r="T511" s="74"/>
      <c r="U511" s="74"/>
      <c r="V511" s="74"/>
      <c r="W511" s="74"/>
      <c r="X511" s="74"/>
      <c r="Y511" s="74"/>
      <c r="Z511" s="74"/>
      <c r="AA511" s="74"/>
      <c r="AB511" s="74"/>
      <c r="AC511" s="74"/>
      <c r="AD511" s="74"/>
      <c r="AE511" s="12"/>
      <c r="AF511" s="12"/>
      <c r="AG511" s="12"/>
      <c r="AH511" s="180"/>
      <c r="AI511" s="180"/>
      <c r="AJ511" s="12"/>
      <c r="AK511" s="12"/>
      <c r="AL511" s="12"/>
      <c r="AM511" s="12"/>
    </row>
    <row r="512">
      <c r="A512" s="74"/>
      <c r="B512" s="12"/>
      <c r="C512" s="74"/>
      <c r="D512" s="12"/>
      <c r="E512" s="12"/>
      <c r="F512" s="74"/>
      <c r="G512" s="74"/>
      <c r="H512" s="179"/>
      <c r="I512" s="74"/>
      <c r="J512" s="74"/>
      <c r="K512" s="74"/>
      <c r="L512" s="74"/>
      <c r="M512" s="74"/>
      <c r="N512" s="179"/>
      <c r="O512" s="74"/>
      <c r="P512" s="74"/>
      <c r="Q512" s="74"/>
      <c r="R512" s="74"/>
      <c r="S512" s="74"/>
      <c r="T512" s="74"/>
      <c r="U512" s="74"/>
      <c r="V512" s="74"/>
      <c r="W512" s="74"/>
      <c r="X512" s="74"/>
      <c r="Y512" s="74"/>
      <c r="Z512" s="74"/>
      <c r="AA512" s="74"/>
      <c r="AB512" s="74"/>
      <c r="AC512" s="74"/>
      <c r="AD512" s="74"/>
      <c r="AE512" s="12"/>
      <c r="AF512" s="12"/>
      <c r="AG512" s="12"/>
      <c r="AH512" s="180"/>
      <c r="AI512" s="180"/>
      <c r="AJ512" s="12"/>
      <c r="AK512" s="12"/>
      <c r="AL512" s="12"/>
      <c r="AM512" s="12"/>
    </row>
    <row r="513">
      <c r="A513" s="74"/>
      <c r="B513" s="12"/>
      <c r="C513" s="74"/>
      <c r="D513" s="12"/>
      <c r="E513" s="12"/>
      <c r="F513" s="74"/>
      <c r="G513" s="74"/>
      <c r="H513" s="179"/>
      <c r="I513" s="74"/>
      <c r="J513" s="74"/>
      <c r="K513" s="74"/>
      <c r="L513" s="74"/>
      <c r="M513" s="74"/>
      <c r="N513" s="179"/>
      <c r="O513" s="74"/>
      <c r="P513" s="74"/>
      <c r="Q513" s="74"/>
      <c r="R513" s="74"/>
      <c r="S513" s="74"/>
      <c r="T513" s="74"/>
      <c r="U513" s="74"/>
      <c r="V513" s="74"/>
      <c r="W513" s="74"/>
      <c r="X513" s="74"/>
      <c r="Y513" s="74"/>
      <c r="Z513" s="74"/>
      <c r="AA513" s="74"/>
      <c r="AB513" s="74"/>
      <c r="AC513" s="74"/>
      <c r="AD513" s="74"/>
      <c r="AE513" s="12"/>
      <c r="AF513" s="12"/>
      <c r="AG513" s="12"/>
      <c r="AH513" s="180"/>
      <c r="AI513" s="180"/>
      <c r="AJ513" s="12"/>
      <c r="AK513" s="12"/>
      <c r="AL513" s="12"/>
      <c r="AM513" s="12"/>
    </row>
    <row r="514">
      <c r="A514" s="74"/>
      <c r="B514" s="12"/>
      <c r="C514" s="74"/>
      <c r="D514" s="12"/>
      <c r="E514" s="12"/>
      <c r="F514" s="74"/>
      <c r="G514" s="74"/>
      <c r="H514" s="179"/>
      <c r="I514" s="74"/>
      <c r="J514" s="74"/>
      <c r="K514" s="74"/>
      <c r="L514" s="74"/>
      <c r="M514" s="74"/>
      <c r="N514" s="179"/>
      <c r="O514" s="74"/>
      <c r="P514" s="74"/>
      <c r="Q514" s="74"/>
      <c r="R514" s="74"/>
      <c r="S514" s="74"/>
      <c r="T514" s="74"/>
      <c r="U514" s="74"/>
      <c r="V514" s="74"/>
      <c r="W514" s="74"/>
      <c r="X514" s="74"/>
      <c r="Y514" s="74"/>
      <c r="Z514" s="74"/>
      <c r="AA514" s="74"/>
      <c r="AB514" s="74"/>
      <c r="AC514" s="74"/>
      <c r="AD514" s="74"/>
      <c r="AE514" s="12"/>
      <c r="AF514" s="12"/>
      <c r="AG514" s="12"/>
      <c r="AH514" s="180"/>
      <c r="AI514" s="180"/>
      <c r="AJ514" s="12"/>
      <c r="AK514" s="12"/>
      <c r="AL514" s="12"/>
      <c r="AM514" s="12"/>
    </row>
    <row r="515">
      <c r="A515" s="74"/>
      <c r="B515" s="12"/>
      <c r="C515" s="74"/>
      <c r="D515" s="12"/>
      <c r="E515" s="12"/>
      <c r="F515" s="74"/>
      <c r="G515" s="74"/>
      <c r="H515" s="179"/>
      <c r="I515" s="74"/>
      <c r="J515" s="74"/>
      <c r="K515" s="74"/>
      <c r="L515" s="74"/>
      <c r="M515" s="74"/>
      <c r="N515" s="179"/>
      <c r="O515" s="74"/>
      <c r="P515" s="74"/>
      <c r="Q515" s="74"/>
      <c r="R515" s="74"/>
      <c r="S515" s="74"/>
      <c r="T515" s="74"/>
      <c r="U515" s="74"/>
      <c r="V515" s="74"/>
      <c r="W515" s="74"/>
      <c r="X515" s="74"/>
      <c r="Y515" s="74"/>
      <c r="Z515" s="74"/>
      <c r="AA515" s="74"/>
      <c r="AB515" s="74"/>
      <c r="AC515" s="74"/>
      <c r="AD515" s="74"/>
      <c r="AE515" s="12"/>
      <c r="AF515" s="12"/>
      <c r="AG515" s="12"/>
      <c r="AH515" s="180"/>
      <c r="AI515" s="180"/>
      <c r="AJ515" s="12"/>
      <c r="AK515" s="12"/>
      <c r="AL515" s="12"/>
      <c r="AM515" s="12"/>
    </row>
    <row r="516">
      <c r="A516" s="74"/>
      <c r="B516" s="12"/>
      <c r="C516" s="74"/>
      <c r="D516" s="12"/>
      <c r="E516" s="12"/>
      <c r="F516" s="74"/>
      <c r="G516" s="74"/>
      <c r="H516" s="179"/>
      <c r="I516" s="74"/>
      <c r="J516" s="74"/>
      <c r="K516" s="74"/>
      <c r="L516" s="74"/>
      <c r="M516" s="74"/>
      <c r="N516" s="179"/>
      <c r="O516" s="74"/>
      <c r="P516" s="74"/>
      <c r="Q516" s="74"/>
      <c r="R516" s="74"/>
      <c r="S516" s="74"/>
      <c r="T516" s="74"/>
      <c r="U516" s="74"/>
      <c r="V516" s="74"/>
      <c r="W516" s="74"/>
      <c r="X516" s="74"/>
      <c r="Y516" s="74"/>
      <c r="Z516" s="74"/>
      <c r="AA516" s="74"/>
      <c r="AB516" s="74"/>
      <c r="AC516" s="74"/>
      <c r="AD516" s="74"/>
      <c r="AE516" s="12"/>
      <c r="AF516" s="12"/>
      <c r="AG516" s="12"/>
      <c r="AH516" s="180"/>
      <c r="AI516" s="180"/>
      <c r="AJ516" s="12"/>
      <c r="AK516" s="12"/>
      <c r="AL516" s="12"/>
      <c r="AM516" s="12"/>
    </row>
    <row r="517">
      <c r="A517" s="74"/>
      <c r="B517" s="12"/>
      <c r="C517" s="74"/>
      <c r="D517" s="12"/>
      <c r="E517" s="12"/>
      <c r="F517" s="74"/>
      <c r="G517" s="74"/>
      <c r="H517" s="179"/>
      <c r="I517" s="74"/>
      <c r="J517" s="74"/>
      <c r="K517" s="74"/>
      <c r="L517" s="74"/>
      <c r="M517" s="74"/>
      <c r="N517" s="179"/>
      <c r="O517" s="74"/>
      <c r="P517" s="74"/>
      <c r="Q517" s="74"/>
      <c r="R517" s="74"/>
      <c r="S517" s="74"/>
      <c r="T517" s="74"/>
      <c r="U517" s="74"/>
      <c r="V517" s="74"/>
      <c r="W517" s="74"/>
      <c r="X517" s="74"/>
      <c r="Y517" s="74"/>
      <c r="Z517" s="74"/>
      <c r="AA517" s="74"/>
      <c r="AB517" s="74"/>
      <c r="AC517" s="74"/>
      <c r="AD517" s="74"/>
      <c r="AE517" s="12"/>
      <c r="AF517" s="12"/>
      <c r="AG517" s="12"/>
      <c r="AH517" s="180"/>
      <c r="AI517" s="180"/>
      <c r="AJ517" s="12"/>
      <c r="AK517" s="12"/>
      <c r="AL517" s="12"/>
      <c r="AM517" s="12"/>
    </row>
    <row r="518">
      <c r="A518" s="74"/>
      <c r="B518" s="12"/>
      <c r="C518" s="74"/>
      <c r="D518" s="12"/>
      <c r="E518" s="12"/>
      <c r="F518" s="74"/>
      <c r="G518" s="74"/>
      <c r="H518" s="179"/>
      <c r="I518" s="74"/>
      <c r="J518" s="74"/>
      <c r="K518" s="74"/>
      <c r="L518" s="74"/>
      <c r="M518" s="74"/>
      <c r="N518" s="179"/>
      <c r="O518" s="74"/>
      <c r="P518" s="74"/>
      <c r="Q518" s="74"/>
      <c r="R518" s="74"/>
      <c r="S518" s="74"/>
      <c r="T518" s="74"/>
      <c r="U518" s="74"/>
      <c r="V518" s="74"/>
      <c r="W518" s="74"/>
      <c r="X518" s="74"/>
      <c r="Y518" s="74"/>
      <c r="Z518" s="74"/>
      <c r="AA518" s="74"/>
      <c r="AB518" s="74"/>
      <c r="AC518" s="74"/>
      <c r="AD518" s="74"/>
      <c r="AE518" s="12"/>
      <c r="AF518" s="12"/>
      <c r="AG518" s="12"/>
      <c r="AH518" s="180"/>
      <c r="AI518" s="180"/>
      <c r="AJ518" s="12"/>
      <c r="AK518" s="12"/>
      <c r="AL518" s="12"/>
      <c r="AM518" s="12"/>
    </row>
    <row r="519">
      <c r="A519" s="74"/>
      <c r="B519" s="12"/>
      <c r="C519" s="74"/>
      <c r="D519" s="12"/>
      <c r="E519" s="12"/>
      <c r="F519" s="74"/>
      <c r="G519" s="74"/>
      <c r="H519" s="179"/>
      <c r="I519" s="74"/>
      <c r="J519" s="74"/>
      <c r="K519" s="74"/>
      <c r="L519" s="74"/>
      <c r="M519" s="74"/>
      <c r="N519" s="179"/>
      <c r="O519" s="74"/>
      <c r="P519" s="74"/>
      <c r="Q519" s="74"/>
      <c r="R519" s="74"/>
      <c r="S519" s="74"/>
      <c r="T519" s="74"/>
      <c r="U519" s="74"/>
      <c r="V519" s="74"/>
      <c r="W519" s="74"/>
      <c r="X519" s="74"/>
      <c r="Y519" s="74"/>
      <c r="Z519" s="74"/>
      <c r="AA519" s="74"/>
      <c r="AB519" s="74"/>
      <c r="AC519" s="74"/>
      <c r="AD519" s="74"/>
      <c r="AE519" s="12"/>
      <c r="AF519" s="12"/>
      <c r="AG519" s="12"/>
      <c r="AH519" s="180"/>
      <c r="AI519" s="180"/>
      <c r="AJ519" s="12"/>
      <c r="AK519" s="12"/>
      <c r="AL519" s="12"/>
      <c r="AM519" s="12"/>
    </row>
    <row r="520">
      <c r="A520" s="74"/>
      <c r="B520" s="12"/>
      <c r="C520" s="74"/>
      <c r="D520" s="12"/>
      <c r="E520" s="12"/>
      <c r="F520" s="74"/>
      <c r="G520" s="74"/>
      <c r="H520" s="179"/>
      <c r="I520" s="74"/>
      <c r="J520" s="74"/>
      <c r="K520" s="74"/>
      <c r="L520" s="74"/>
      <c r="M520" s="74"/>
      <c r="N520" s="179"/>
      <c r="O520" s="74"/>
      <c r="P520" s="74"/>
      <c r="Q520" s="74"/>
      <c r="R520" s="74"/>
      <c r="S520" s="74"/>
      <c r="T520" s="74"/>
      <c r="U520" s="74"/>
      <c r="V520" s="74"/>
      <c r="W520" s="74"/>
      <c r="X520" s="74"/>
      <c r="Y520" s="74"/>
      <c r="Z520" s="74"/>
      <c r="AA520" s="74"/>
      <c r="AB520" s="74"/>
      <c r="AC520" s="74"/>
      <c r="AD520" s="74"/>
      <c r="AE520" s="12"/>
      <c r="AF520" s="12"/>
      <c r="AG520" s="12"/>
      <c r="AH520" s="180"/>
      <c r="AI520" s="180"/>
      <c r="AJ520" s="12"/>
      <c r="AK520" s="12"/>
      <c r="AL520" s="12"/>
      <c r="AM520" s="12"/>
    </row>
    <row r="521">
      <c r="A521" s="74"/>
      <c r="B521" s="12"/>
      <c r="C521" s="74"/>
      <c r="D521" s="12"/>
      <c r="E521" s="12"/>
      <c r="F521" s="74"/>
      <c r="G521" s="74"/>
      <c r="H521" s="179"/>
      <c r="I521" s="74"/>
      <c r="J521" s="74"/>
      <c r="K521" s="74"/>
      <c r="L521" s="74"/>
      <c r="M521" s="74"/>
      <c r="N521" s="179"/>
      <c r="O521" s="74"/>
      <c r="P521" s="74"/>
      <c r="Q521" s="74"/>
      <c r="R521" s="74"/>
      <c r="S521" s="74"/>
      <c r="T521" s="74"/>
      <c r="U521" s="74"/>
      <c r="V521" s="74"/>
      <c r="W521" s="74"/>
      <c r="X521" s="74"/>
      <c r="Y521" s="74"/>
      <c r="Z521" s="74"/>
      <c r="AA521" s="74"/>
      <c r="AB521" s="74"/>
      <c r="AC521" s="74"/>
      <c r="AD521" s="74"/>
      <c r="AE521" s="12"/>
      <c r="AF521" s="12"/>
      <c r="AG521" s="12"/>
      <c r="AH521" s="180"/>
      <c r="AI521" s="180"/>
      <c r="AJ521" s="12"/>
      <c r="AK521" s="12"/>
      <c r="AL521" s="12"/>
      <c r="AM521" s="12"/>
    </row>
    <row r="522">
      <c r="A522" s="74"/>
      <c r="B522" s="12"/>
      <c r="C522" s="74"/>
      <c r="D522" s="12"/>
      <c r="E522" s="12"/>
      <c r="F522" s="74"/>
      <c r="G522" s="74"/>
      <c r="H522" s="179"/>
      <c r="I522" s="74"/>
      <c r="J522" s="74"/>
      <c r="K522" s="74"/>
      <c r="L522" s="74"/>
      <c r="M522" s="74"/>
      <c r="N522" s="179"/>
      <c r="O522" s="74"/>
      <c r="P522" s="74"/>
      <c r="Q522" s="74"/>
      <c r="R522" s="74"/>
      <c r="S522" s="74"/>
      <c r="T522" s="74"/>
      <c r="U522" s="74"/>
      <c r="V522" s="74"/>
      <c r="W522" s="74"/>
      <c r="X522" s="74"/>
      <c r="Y522" s="74"/>
      <c r="Z522" s="74"/>
      <c r="AA522" s="74"/>
      <c r="AB522" s="74"/>
      <c r="AC522" s="74"/>
      <c r="AD522" s="74"/>
      <c r="AE522" s="12"/>
      <c r="AF522" s="12"/>
      <c r="AG522" s="12"/>
      <c r="AH522" s="180"/>
      <c r="AI522" s="180"/>
      <c r="AJ522" s="12"/>
      <c r="AK522" s="12"/>
      <c r="AL522" s="12"/>
      <c r="AM522" s="12"/>
    </row>
    <row r="523">
      <c r="A523" s="74"/>
      <c r="B523" s="12"/>
      <c r="C523" s="74"/>
      <c r="D523" s="12"/>
      <c r="E523" s="12"/>
      <c r="F523" s="74"/>
      <c r="G523" s="74"/>
      <c r="H523" s="179"/>
      <c r="I523" s="74"/>
      <c r="J523" s="74"/>
      <c r="K523" s="74"/>
      <c r="L523" s="74"/>
      <c r="M523" s="74"/>
      <c r="N523" s="179"/>
      <c r="O523" s="74"/>
      <c r="P523" s="74"/>
      <c r="Q523" s="74"/>
      <c r="R523" s="74"/>
      <c r="S523" s="74"/>
      <c r="T523" s="74"/>
      <c r="U523" s="74"/>
      <c r="V523" s="74"/>
      <c r="W523" s="74"/>
      <c r="X523" s="74"/>
      <c r="Y523" s="74"/>
      <c r="Z523" s="74"/>
      <c r="AA523" s="74"/>
      <c r="AB523" s="74"/>
      <c r="AC523" s="74"/>
      <c r="AD523" s="74"/>
      <c r="AE523" s="12"/>
      <c r="AF523" s="12"/>
      <c r="AG523" s="12"/>
      <c r="AH523" s="180"/>
      <c r="AI523" s="180"/>
      <c r="AJ523" s="12"/>
      <c r="AK523" s="12"/>
      <c r="AL523" s="12"/>
      <c r="AM523" s="12"/>
    </row>
    <row r="524">
      <c r="A524" s="74"/>
      <c r="B524" s="12"/>
      <c r="C524" s="74"/>
      <c r="D524" s="12"/>
      <c r="E524" s="12"/>
      <c r="F524" s="74"/>
      <c r="G524" s="74"/>
      <c r="H524" s="179"/>
      <c r="I524" s="74"/>
      <c r="J524" s="74"/>
      <c r="K524" s="74"/>
      <c r="L524" s="74"/>
      <c r="M524" s="74"/>
      <c r="N524" s="179"/>
      <c r="O524" s="74"/>
      <c r="P524" s="74"/>
      <c r="Q524" s="74"/>
      <c r="R524" s="74"/>
      <c r="S524" s="74"/>
      <c r="T524" s="74"/>
      <c r="U524" s="74"/>
      <c r="V524" s="74"/>
      <c r="W524" s="74"/>
      <c r="X524" s="74"/>
      <c r="Y524" s="74"/>
      <c r="Z524" s="74"/>
      <c r="AA524" s="74"/>
      <c r="AB524" s="74"/>
      <c r="AC524" s="74"/>
      <c r="AD524" s="74"/>
      <c r="AE524" s="12"/>
      <c r="AF524" s="12"/>
      <c r="AG524" s="12"/>
      <c r="AH524" s="180"/>
      <c r="AI524" s="180"/>
      <c r="AJ524" s="12"/>
      <c r="AK524" s="12"/>
      <c r="AL524" s="12"/>
      <c r="AM524" s="12"/>
    </row>
    <row r="525">
      <c r="A525" s="74"/>
      <c r="B525" s="12"/>
      <c r="C525" s="74"/>
      <c r="D525" s="12"/>
      <c r="E525" s="12"/>
      <c r="F525" s="74"/>
      <c r="G525" s="74"/>
      <c r="H525" s="179"/>
      <c r="I525" s="74"/>
      <c r="J525" s="74"/>
      <c r="K525" s="74"/>
      <c r="L525" s="74"/>
      <c r="M525" s="74"/>
      <c r="N525" s="179"/>
      <c r="O525" s="74"/>
      <c r="P525" s="74"/>
      <c r="Q525" s="74"/>
      <c r="R525" s="74"/>
      <c r="S525" s="74"/>
      <c r="T525" s="74"/>
      <c r="U525" s="74"/>
      <c r="V525" s="74"/>
      <c r="W525" s="74"/>
      <c r="X525" s="74"/>
      <c r="Y525" s="74"/>
      <c r="Z525" s="74"/>
      <c r="AA525" s="74"/>
      <c r="AB525" s="74"/>
      <c r="AC525" s="74"/>
      <c r="AD525" s="74"/>
      <c r="AE525" s="12"/>
      <c r="AF525" s="12"/>
      <c r="AG525" s="12"/>
      <c r="AH525" s="180"/>
      <c r="AI525" s="180"/>
      <c r="AJ525" s="12"/>
      <c r="AK525" s="12"/>
      <c r="AL525" s="12"/>
      <c r="AM525" s="12"/>
    </row>
    <row r="526">
      <c r="A526" s="74"/>
      <c r="B526" s="12"/>
      <c r="C526" s="74"/>
      <c r="D526" s="12"/>
      <c r="E526" s="12"/>
      <c r="F526" s="74"/>
      <c r="G526" s="74"/>
      <c r="H526" s="179"/>
      <c r="I526" s="74"/>
      <c r="J526" s="74"/>
      <c r="K526" s="74"/>
      <c r="L526" s="74"/>
      <c r="M526" s="74"/>
      <c r="N526" s="179"/>
      <c r="O526" s="74"/>
      <c r="P526" s="74"/>
      <c r="Q526" s="74"/>
      <c r="R526" s="74"/>
      <c r="S526" s="74"/>
      <c r="T526" s="74"/>
      <c r="U526" s="74"/>
      <c r="V526" s="74"/>
      <c r="W526" s="74"/>
      <c r="X526" s="74"/>
      <c r="Y526" s="74"/>
      <c r="Z526" s="74"/>
      <c r="AA526" s="74"/>
      <c r="AB526" s="74"/>
      <c r="AC526" s="74"/>
      <c r="AD526" s="74"/>
      <c r="AE526" s="12"/>
      <c r="AF526" s="12"/>
      <c r="AG526" s="12"/>
      <c r="AH526" s="180"/>
      <c r="AI526" s="180"/>
      <c r="AJ526" s="12"/>
      <c r="AK526" s="12"/>
      <c r="AL526" s="12"/>
      <c r="AM526" s="12"/>
    </row>
    <row r="527">
      <c r="A527" s="74"/>
      <c r="B527" s="12"/>
      <c r="C527" s="74"/>
      <c r="D527" s="12"/>
      <c r="E527" s="12"/>
      <c r="F527" s="74"/>
      <c r="G527" s="74"/>
      <c r="H527" s="179"/>
      <c r="I527" s="74"/>
      <c r="J527" s="74"/>
      <c r="K527" s="74"/>
      <c r="L527" s="74"/>
      <c r="M527" s="74"/>
      <c r="N527" s="179"/>
      <c r="O527" s="74"/>
      <c r="P527" s="74"/>
      <c r="Q527" s="74"/>
      <c r="R527" s="74"/>
      <c r="S527" s="74"/>
      <c r="T527" s="74"/>
      <c r="U527" s="74"/>
      <c r="V527" s="74"/>
      <c r="W527" s="74"/>
      <c r="X527" s="74"/>
      <c r="Y527" s="74"/>
      <c r="Z527" s="74"/>
      <c r="AA527" s="74"/>
      <c r="AB527" s="74"/>
      <c r="AC527" s="74"/>
      <c r="AD527" s="74"/>
      <c r="AE527" s="12"/>
      <c r="AF527" s="12"/>
      <c r="AG527" s="12"/>
      <c r="AH527" s="180"/>
      <c r="AI527" s="180"/>
      <c r="AJ527" s="12"/>
      <c r="AK527" s="12"/>
      <c r="AL527" s="12"/>
      <c r="AM527" s="12"/>
    </row>
    <row r="528">
      <c r="A528" s="74"/>
      <c r="B528" s="12"/>
      <c r="C528" s="74"/>
      <c r="D528" s="12"/>
      <c r="E528" s="12"/>
      <c r="F528" s="74"/>
      <c r="G528" s="74"/>
      <c r="H528" s="179"/>
      <c r="I528" s="74"/>
      <c r="J528" s="74"/>
      <c r="K528" s="74"/>
      <c r="L528" s="74"/>
      <c r="M528" s="74"/>
      <c r="N528" s="179"/>
      <c r="O528" s="74"/>
      <c r="P528" s="74"/>
      <c r="Q528" s="74"/>
      <c r="R528" s="74"/>
      <c r="S528" s="74"/>
      <c r="T528" s="74"/>
      <c r="U528" s="74"/>
      <c r="V528" s="74"/>
      <c r="W528" s="74"/>
      <c r="X528" s="74"/>
      <c r="Y528" s="74"/>
      <c r="Z528" s="74"/>
      <c r="AA528" s="74"/>
      <c r="AB528" s="74"/>
      <c r="AC528" s="74"/>
      <c r="AD528" s="74"/>
      <c r="AE528" s="12"/>
      <c r="AF528" s="12"/>
      <c r="AG528" s="12"/>
      <c r="AH528" s="180"/>
      <c r="AI528" s="180"/>
      <c r="AJ528" s="12"/>
      <c r="AK528" s="12"/>
      <c r="AL528" s="12"/>
      <c r="AM528" s="12"/>
    </row>
    <row r="529">
      <c r="A529" s="74"/>
      <c r="B529" s="12"/>
      <c r="C529" s="74"/>
      <c r="D529" s="12"/>
      <c r="E529" s="12"/>
      <c r="F529" s="74"/>
      <c r="G529" s="74"/>
      <c r="H529" s="179"/>
      <c r="I529" s="74"/>
      <c r="J529" s="74"/>
      <c r="K529" s="74"/>
      <c r="L529" s="74"/>
      <c r="M529" s="74"/>
      <c r="N529" s="179"/>
      <c r="O529" s="74"/>
      <c r="P529" s="74"/>
      <c r="Q529" s="74"/>
      <c r="R529" s="74"/>
      <c r="S529" s="74"/>
      <c r="T529" s="74"/>
      <c r="U529" s="74"/>
      <c r="V529" s="74"/>
      <c r="W529" s="74"/>
      <c r="X529" s="74"/>
      <c r="Y529" s="74"/>
      <c r="Z529" s="74"/>
      <c r="AA529" s="74"/>
      <c r="AB529" s="74"/>
      <c r="AC529" s="74"/>
      <c r="AD529" s="74"/>
      <c r="AE529" s="12"/>
      <c r="AF529" s="12"/>
      <c r="AG529" s="12"/>
      <c r="AH529" s="180"/>
      <c r="AI529" s="180"/>
      <c r="AJ529" s="12"/>
      <c r="AK529" s="12"/>
      <c r="AL529" s="12"/>
      <c r="AM529" s="12"/>
    </row>
    <row r="530">
      <c r="A530" s="74"/>
      <c r="B530" s="12"/>
      <c r="C530" s="74"/>
      <c r="D530" s="12"/>
      <c r="E530" s="12"/>
      <c r="F530" s="74"/>
      <c r="G530" s="74"/>
      <c r="H530" s="179"/>
      <c r="I530" s="74"/>
      <c r="J530" s="74"/>
      <c r="K530" s="74"/>
      <c r="L530" s="74"/>
      <c r="M530" s="74"/>
      <c r="N530" s="179"/>
      <c r="O530" s="74"/>
      <c r="P530" s="74"/>
      <c r="Q530" s="74"/>
      <c r="R530" s="74"/>
      <c r="S530" s="74"/>
      <c r="T530" s="74"/>
      <c r="U530" s="74"/>
      <c r="V530" s="74"/>
      <c r="W530" s="74"/>
      <c r="X530" s="74"/>
      <c r="Y530" s="74"/>
      <c r="Z530" s="74"/>
      <c r="AA530" s="74"/>
      <c r="AB530" s="74"/>
      <c r="AC530" s="74"/>
      <c r="AD530" s="74"/>
      <c r="AE530" s="12"/>
      <c r="AF530" s="12"/>
      <c r="AG530" s="12"/>
      <c r="AH530" s="180"/>
      <c r="AI530" s="180"/>
      <c r="AJ530" s="12"/>
      <c r="AK530" s="12"/>
      <c r="AL530" s="12"/>
      <c r="AM530" s="12"/>
    </row>
    <row r="531">
      <c r="A531" s="74"/>
      <c r="B531" s="12"/>
      <c r="C531" s="74"/>
      <c r="D531" s="12"/>
      <c r="E531" s="12"/>
      <c r="F531" s="74"/>
      <c r="G531" s="74"/>
      <c r="H531" s="179"/>
      <c r="I531" s="74"/>
      <c r="J531" s="74"/>
      <c r="K531" s="74"/>
      <c r="L531" s="74"/>
      <c r="M531" s="74"/>
      <c r="N531" s="179"/>
      <c r="O531" s="74"/>
      <c r="P531" s="74"/>
      <c r="Q531" s="74"/>
      <c r="R531" s="74"/>
      <c r="S531" s="74"/>
      <c r="T531" s="74"/>
      <c r="U531" s="74"/>
      <c r="V531" s="74"/>
      <c r="W531" s="74"/>
      <c r="X531" s="74"/>
      <c r="Y531" s="74"/>
      <c r="Z531" s="74"/>
      <c r="AA531" s="74"/>
      <c r="AB531" s="74"/>
      <c r="AC531" s="74"/>
      <c r="AD531" s="74"/>
      <c r="AE531" s="12"/>
      <c r="AF531" s="12"/>
      <c r="AG531" s="12"/>
      <c r="AH531" s="180"/>
      <c r="AI531" s="180"/>
      <c r="AJ531" s="12"/>
      <c r="AK531" s="12"/>
      <c r="AL531" s="12"/>
      <c r="AM531" s="12"/>
    </row>
    <row r="532">
      <c r="A532" s="74"/>
      <c r="B532" s="12"/>
      <c r="C532" s="74"/>
      <c r="D532" s="12"/>
      <c r="E532" s="12"/>
      <c r="F532" s="74"/>
      <c r="G532" s="74"/>
      <c r="H532" s="179"/>
      <c r="I532" s="74"/>
      <c r="J532" s="74"/>
      <c r="K532" s="74"/>
      <c r="L532" s="74"/>
      <c r="M532" s="74"/>
      <c r="N532" s="179"/>
      <c r="O532" s="74"/>
      <c r="P532" s="74"/>
      <c r="Q532" s="74"/>
      <c r="R532" s="74"/>
      <c r="S532" s="74"/>
      <c r="T532" s="74"/>
      <c r="U532" s="74"/>
      <c r="V532" s="74"/>
      <c r="W532" s="74"/>
      <c r="X532" s="74"/>
      <c r="Y532" s="74"/>
      <c r="Z532" s="74"/>
      <c r="AA532" s="74"/>
      <c r="AB532" s="74"/>
      <c r="AC532" s="74"/>
      <c r="AD532" s="74"/>
      <c r="AE532" s="12"/>
      <c r="AF532" s="12"/>
      <c r="AG532" s="12"/>
      <c r="AH532" s="180"/>
      <c r="AI532" s="180"/>
      <c r="AJ532" s="12"/>
      <c r="AK532" s="12"/>
      <c r="AL532" s="12"/>
      <c r="AM532" s="12"/>
    </row>
    <row r="533">
      <c r="A533" s="74"/>
      <c r="B533" s="12"/>
      <c r="C533" s="74"/>
      <c r="D533" s="12"/>
      <c r="E533" s="12"/>
      <c r="F533" s="74"/>
      <c r="G533" s="74"/>
      <c r="H533" s="179"/>
      <c r="I533" s="74"/>
      <c r="J533" s="74"/>
      <c r="K533" s="74"/>
      <c r="L533" s="74"/>
      <c r="M533" s="74"/>
      <c r="N533" s="179"/>
      <c r="O533" s="74"/>
      <c r="P533" s="74"/>
      <c r="Q533" s="74"/>
      <c r="R533" s="74"/>
      <c r="S533" s="74"/>
      <c r="T533" s="74"/>
      <c r="U533" s="74"/>
      <c r="V533" s="74"/>
      <c r="W533" s="74"/>
      <c r="X533" s="74"/>
      <c r="Y533" s="74"/>
      <c r="Z533" s="74"/>
      <c r="AA533" s="74"/>
      <c r="AB533" s="74"/>
      <c r="AC533" s="74"/>
      <c r="AD533" s="74"/>
      <c r="AE533" s="12"/>
      <c r="AF533" s="12"/>
      <c r="AG533" s="12"/>
      <c r="AH533" s="180"/>
      <c r="AI533" s="180"/>
      <c r="AJ533" s="12"/>
      <c r="AK533" s="12"/>
      <c r="AL533" s="12"/>
      <c r="AM533" s="12"/>
    </row>
    <row r="534">
      <c r="A534" s="74"/>
      <c r="B534" s="12"/>
      <c r="C534" s="74"/>
      <c r="D534" s="12"/>
      <c r="E534" s="12"/>
      <c r="F534" s="74"/>
      <c r="G534" s="74"/>
      <c r="H534" s="179"/>
      <c r="I534" s="74"/>
      <c r="J534" s="74"/>
      <c r="K534" s="74"/>
      <c r="L534" s="74"/>
      <c r="M534" s="74"/>
      <c r="N534" s="179"/>
      <c r="O534" s="74"/>
      <c r="P534" s="74"/>
      <c r="Q534" s="74"/>
      <c r="R534" s="74"/>
      <c r="S534" s="74"/>
      <c r="T534" s="74"/>
      <c r="U534" s="74"/>
      <c r="V534" s="74"/>
      <c r="W534" s="74"/>
      <c r="X534" s="74"/>
      <c r="Y534" s="74"/>
      <c r="Z534" s="74"/>
      <c r="AA534" s="74"/>
      <c r="AB534" s="74"/>
      <c r="AC534" s="74"/>
      <c r="AD534" s="74"/>
      <c r="AE534" s="12"/>
      <c r="AF534" s="12"/>
      <c r="AG534" s="12"/>
      <c r="AH534" s="180"/>
      <c r="AI534" s="180"/>
      <c r="AJ534" s="12"/>
      <c r="AK534" s="12"/>
      <c r="AL534" s="12"/>
      <c r="AM534" s="12"/>
    </row>
    <row r="535">
      <c r="A535" s="74"/>
      <c r="B535" s="12"/>
      <c r="C535" s="74"/>
      <c r="D535" s="12"/>
      <c r="E535" s="12"/>
      <c r="F535" s="74"/>
      <c r="G535" s="74"/>
      <c r="H535" s="179"/>
      <c r="I535" s="74"/>
      <c r="J535" s="74"/>
      <c r="K535" s="74"/>
      <c r="L535" s="74"/>
      <c r="M535" s="74"/>
      <c r="N535" s="179"/>
      <c r="O535" s="74"/>
      <c r="P535" s="74"/>
      <c r="Q535" s="74"/>
      <c r="R535" s="74"/>
      <c r="S535" s="74"/>
      <c r="T535" s="74"/>
      <c r="U535" s="74"/>
      <c r="V535" s="74"/>
      <c r="W535" s="74"/>
      <c r="X535" s="74"/>
      <c r="Y535" s="74"/>
      <c r="Z535" s="74"/>
      <c r="AA535" s="74"/>
      <c r="AB535" s="74"/>
      <c r="AC535" s="74"/>
      <c r="AD535" s="74"/>
      <c r="AE535" s="12"/>
      <c r="AF535" s="12"/>
      <c r="AG535" s="12"/>
      <c r="AH535" s="180"/>
      <c r="AI535" s="180"/>
      <c r="AJ535" s="12"/>
      <c r="AK535" s="12"/>
      <c r="AL535" s="12"/>
      <c r="AM535" s="12"/>
    </row>
    <row r="536">
      <c r="A536" s="74"/>
      <c r="B536" s="12"/>
      <c r="C536" s="74"/>
      <c r="D536" s="12"/>
      <c r="E536" s="12"/>
      <c r="F536" s="74"/>
      <c r="G536" s="74"/>
      <c r="H536" s="179"/>
      <c r="I536" s="74"/>
      <c r="J536" s="74"/>
      <c r="K536" s="74"/>
      <c r="L536" s="74"/>
      <c r="M536" s="74"/>
      <c r="N536" s="179"/>
      <c r="O536" s="74"/>
      <c r="P536" s="74"/>
      <c r="Q536" s="74"/>
      <c r="R536" s="74"/>
      <c r="S536" s="74"/>
      <c r="T536" s="74"/>
      <c r="U536" s="74"/>
      <c r="V536" s="74"/>
      <c r="W536" s="74"/>
      <c r="X536" s="74"/>
      <c r="Y536" s="74"/>
      <c r="Z536" s="74"/>
      <c r="AA536" s="74"/>
      <c r="AB536" s="74"/>
      <c r="AC536" s="74"/>
      <c r="AD536" s="74"/>
      <c r="AE536" s="12"/>
      <c r="AF536" s="12"/>
      <c r="AG536" s="12"/>
      <c r="AH536" s="180"/>
      <c r="AI536" s="180"/>
      <c r="AJ536" s="12"/>
      <c r="AK536" s="12"/>
      <c r="AL536" s="12"/>
      <c r="AM536" s="12"/>
    </row>
    <row r="537">
      <c r="A537" s="74"/>
      <c r="B537" s="12"/>
      <c r="C537" s="74"/>
      <c r="D537" s="12"/>
      <c r="E537" s="12"/>
      <c r="F537" s="74"/>
      <c r="G537" s="74"/>
      <c r="H537" s="179"/>
      <c r="I537" s="74"/>
      <c r="J537" s="74"/>
      <c r="K537" s="74"/>
      <c r="L537" s="74"/>
      <c r="M537" s="74"/>
      <c r="N537" s="179"/>
      <c r="O537" s="74"/>
      <c r="P537" s="74"/>
      <c r="Q537" s="74"/>
      <c r="R537" s="74"/>
      <c r="S537" s="74"/>
      <c r="T537" s="74"/>
      <c r="U537" s="74"/>
      <c r="V537" s="74"/>
      <c r="W537" s="74"/>
      <c r="X537" s="74"/>
      <c r="Y537" s="74"/>
      <c r="Z537" s="74"/>
      <c r="AA537" s="74"/>
      <c r="AB537" s="74"/>
      <c r="AC537" s="74"/>
      <c r="AD537" s="74"/>
      <c r="AE537" s="12"/>
      <c r="AF537" s="12"/>
      <c r="AG537" s="12"/>
      <c r="AH537" s="180"/>
      <c r="AI537" s="180"/>
      <c r="AJ537" s="12"/>
      <c r="AK537" s="12"/>
      <c r="AL537" s="12"/>
      <c r="AM537" s="12"/>
    </row>
    <row r="538">
      <c r="A538" s="74"/>
      <c r="B538" s="12"/>
      <c r="C538" s="74"/>
      <c r="D538" s="12"/>
      <c r="E538" s="12"/>
      <c r="F538" s="74"/>
      <c r="G538" s="74"/>
      <c r="H538" s="179"/>
      <c r="I538" s="74"/>
      <c r="J538" s="74"/>
      <c r="K538" s="74"/>
      <c r="L538" s="74"/>
      <c r="M538" s="74"/>
      <c r="N538" s="179"/>
      <c r="O538" s="74"/>
      <c r="P538" s="74"/>
      <c r="Q538" s="74"/>
      <c r="R538" s="74"/>
      <c r="S538" s="74"/>
      <c r="T538" s="74"/>
      <c r="U538" s="74"/>
      <c r="V538" s="74"/>
      <c r="W538" s="74"/>
      <c r="X538" s="74"/>
      <c r="Y538" s="74"/>
      <c r="Z538" s="74"/>
      <c r="AA538" s="74"/>
      <c r="AB538" s="74"/>
      <c r="AC538" s="74"/>
      <c r="AD538" s="74"/>
      <c r="AE538" s="12"/>
      <c r="AF538" s="12"/>
      <c r="AG538" s="12"/>
      <c r="AH538" s="180"/>
      <c r="AI538" s="180"/>
      <c r="AJ538" s="12"/>
      <c r="AK538" s="12"/>
      <c r="AL538" s="12"/>
      <c r="AM538" s="12"/>
    </row>
    <row r="539">
      <c r="A539" s="74"/>
      <c r="B539" s="12"/>
      <c r="C539" s="74"/>
      <c r="D539" s="12"/>
      <c r="E539" s="12"/>
      <c r="F539" s="74"/>
      <c r="G539" s="74"/>
      <c r="H539" s="179"/>
      <c r="I539" s="74"/>
      <c r="J539" s="74"/>
      <c r="K539" s="74"/>
      <c r="L539" s="74"/>
      <c r="M539" s="74"/>
      <c r="N539" s="179"/>
      <c r="O539" s="74"/>
      <c r="P539" s="74"/>
      <c r="Q539" s="74"/>
      <c r="R539" s="74"/>
      <c r="S539" s="74"/>
      <c r="T539" s="74"/>
      <c r="U539" s="74"/>
      <c r="V539" s="74"/>
      <c r="W539" s="74"/>
      <c r="X539" s="74"/>
      <c r="Y539" s="74"/>
      <c r="Z539" s="74"/>
      <c r="AA539" s="74"/>
      <c r="AB539" s="74"/>
      <c r="AC539" s="74"/>
      <c r="AD539" s="74"/>
      <c r="AE539" s="12"/>
      <c r="AF539" s="12"/>
      <c r="AG539" s="12"/>
      <c r="AH539" s="180"/>
      <c r="AI539" s="180"/>
      <c r="AJ539" s="12"/>
      <c r="AK539" s="12"/>
      <c r="AL539" s="12"/>
      <c r="AM539" s="12"/>
    </row>
    <row r="540">
      <c r="A540" s="74"/>
      <c r="B540" s="12"/>
      <c r="C540" s="74"/>
      <c r="D540" s="12"/>
      <c r="E540" s="12"/>
      <c r="F540" s="74"/>
      <c r="G540" s="74"/>
      <c r="H540" s="179"/>
      <c r="I540" s="74"/>
      <c r="J540" s="74"/>
      <c r="K540" s="74"/>
      <c r="L540" s="74"/>
      <c r="M540" s="74"/>
      <c r="N540" s="179"/>
      <c r="O540" s="74"/>
      <c r="P540" s="74"/>
      <c r="Q540" s="74"/>
      <c r="R540" s="74"/>
      <c r="S540" s="74"/>
      <c r="T540" s="74"/>
      <c r="U540" s="74"/>
      <c r="V540" s="74"/>
      <c r="W540" s="74"/>
      <c r="X540" s="74"/>
      <c r="Y540" s="74"/>
      <c r="Z540" s="74"/>
      <c r="AA540" s="74"/>
      <c r="AB540" s="74"/>
      <c r="AC540" s="74"/>
      <c r="AD540" s="74"/>
      <c r="AE540" s="12"/>
      <c r="AF540" s="12"/>
      <c r="AG540" s="12"/>
      <c r="AH540" s="180"/>
      <c r="AI540" s="180"/>
      <c r="AJ540" s="12"/>
      <c r="AK540" s="12"/>
      <c r="AL540" s="12"/>
      <c r="AM540" s="12"/>
    </row>
    <row r="541">
      <c r="A541" s="74"/>
      <c r="B541" s="12"/>
      <c r="C541" s="74"/>
      <c r="D541" s="12"/>
      <c r="E541" s="12"/>
      <c r="F541" s="74"/>
      <c r="G541" s="74"/>
      <c r="H541" s="179"/>
      <c r="I541" s="74"/>
      <c r="J541" s="74"/>
      <c r="K541" s="74"/>
      <c r="L541" s="74"/>
      <c r="M541" s="74"/>
      <c r="N541" s="179"/>
      <c r="O541" s="74"/>
      <c r="P541" s="74"/>
      <c r="Q541" s="74"/>
      <c r="R541" s="74"/>
      <c r="S541" s="74"/>
      <c r="T541" s="74"/>
      <c r="U541" s="74"/>
      <c r="V541" s="74"/>
      <c r="W541" s="74"/>
      <c r="X541" s="74"/>
      <c r="Y541" s="74"/>
      <c r="Z541" s="74"/>
      <c r="AA541" s="74"/>
      <c r="AB541" s="74"/>
      <c r="AC541" s="74"/>
      <c r="AD541" s="74"/>
      <c r="AE541" s="12"/>
      <c r="AF541" s="12"/>
      <c r="AG541" s="12"/>
      <c r="AH541" s="180"/>
      <c r="AI541" s="180"/>
      <c r="AJ541" s="12"/>
      <c r="AK541" s="12"/>
      <c r="AL541" s="12"/>
      <c r="AM541" s="12"/>
    </row>
    <row r="542">
      <c r="A542" s="74"/>
      <c r="B542" s="12"/>
      <c r="C542" s="74"/>
      <c r="D542" s="12"/>
      <c r="E542" s="12"/>
      <c r="F542" s="74"/>
      <c r="G542" s="74"/>
      <c r="H542" s="179"/>
      <c r="I542" s="74"/>
      <c r="J542" s="74"/>
      <c r="K542" s="74"/>
      <c r="L542" s="74"/>
      <c r="M542" s="74"/>
      <c r="N542" s="179"/>
      <c r="O542" s="74"/>
      <c r="P542" s="74"/>
      <c r="Q542" s="74"/>
      <c r="R542" s="74"/>
      <c r="S542" s="74"/>
      <c r="T542" s="74"/>
      <c r="U542" s="74"/>
      <c r="V542" s="74"/>
      <c r="W542" s="74"/>
      <c r="X542" s="74"/>
      <c r="Y542" s="74"/>
      <c r="Z542" s="74"/>
      <c r="AA542" s="74"/>
      <c r="AB542" s="74"/>
      <c r="AC542" s="74"/>
      <c r="AD542" s="74"/>
      <c r="AE542" s="12"/>
      <c r="AF542" s="12"/>
      <c r="AG542" s="12"/>
      <c r="AH542" s="180"/>
      <c r="AI542" s="180"/>
      <c r="AJ542" s="12"/>
      <c r="AK542" s="12"/>
      <c r="AL542" s="12"/>
      <c r="AM542" s="12"/>
    </row>
    <row r="543">
      <c r="A543" s="74"/>
      <c r="B543" s="12"/>
      <c r="C543" s="74"/>
      <c r="D543" s="12"/>
      <c r="E543" s="12"/>
      <c r="F543" s="74"/>
      <c r="G543" s="74"/>
      <c r="H543" s="179"/>
      <c r="I543" s="74"/>
      <c r="J543" s="74"/>
      <c r="K543" s="74"/>
      <c r="L543" s="74"/>
      <c r="M543" s="74"/>
      <c r="N543" s="179"/>
      <c r="O543" s="74"/>
      <c r="P543" s="74"/>
      <c r="Q543" s="74"/>
      <c r="R543" s="74"/>
      <c r="S543" s="74"/>
      <c r="T543" s="74"/>
      <c r="U543" s="74"/>
      <c r="V543" s="74"/>
      <c r="W543" s="74"/>
      <c r="X543" s="74"/>
      <c r="Y543" s="74"/>
      <c r="Z543" s="74"/>
      <c r="AA543" s="74"/>
      <c r="AB543" s="74"/>
      <c r="AC543" s="74"/>
      <c r="AD543" s="74"/>
      <c r="AE543" s="12"/>
      <c r="AF543" s="12"/>
      <c r="AG543" s="12"/>
      <c r="AH543" s="180"/>
      <c r="AI543" s="180"/>
      <c r="AJ543" s="12"/>
      <c r="AK543" s="12"/>
      <c r="AL543" s="12"/>
      <c r="AM543" s="12"/>
    </row>
    <row r="544">
      <c r="A544" s="74"/>
      <c r="B544" s="12"/>
      <c r="C544" s="74"/>
      <c r="D544" s="12"/>
      <c r="E544" s="12"/>
      <c r="F544" s="74"/>
      <c r="G544" s="74"/>
      <c r="H544" s="179"/>
      <c r="I544" s="74"/>
      <c r="J544" s="74"/>
      <c r="K544" s="74"/>
      <c r="L544" s="74"/>
      <c r="M544" s="74"/>
      <c r="N544" s="179"/>
      <c r="O544" s="74"/>
      <c r="P544" s="74"/>
      <c r="Q544" s="74"/>
      <c r="R544" s="74"/>
      <c r="S544" s="74"/>
      <c r="T544" s="74"/>
      <c r="U544" s="74"/>
      <c r="V544" s="74"/>
      <c r="W544" s="74"/>
      <c r="X544" s="74"/>
      <c r="Y544" s="74"/>
      <c r="Z544" s="74"/>
      <c r="AA544" s="74"/>
      <c r="AB544" s="74"/>
      <c r="AC544" s="74"/>
      <c r="AD544" s="74"/>
      <c r="AE544" s="12"/>
      <c r="AF544" s="12"/>
      <c r="AG544" s="12"/>
      <c r="AH544" s="180"/>
      <c r="AI544" s="180"/>
      <c r="AJ544" s="12"/>
      <c r="AK544" s="12"/>
      <c r="AL544" s="12"/>
      <c r="AM544" s="12"/>
    </row>
    <row r="545">
      <c r="A545" s="74"/>
      <c r="B545" s="12"/>
      <c r="C545" s="74"/>
      <c r="D545" s="12"/>
      <c r="E545" s="12"/>
      <c r="F545" s="74"/>
      <c r="G545" s="74"/>
      <c r="H545" s="179"/>
      <c r="I545" s="74"/>
      <c r="J545" s="74"/>
      <c r="K545" s="74"/>
      <c r="L545" s="74"/>
      <c r="M545" s="74"/>
      <c r="N545" s="179"/>
      <c r="O545" s="74"/>
      <c r="P545" s="74"/>
      <c r="Q545" s="74"/>
      <c r="R545" s="74"/>
      <c r="S545" s="74"/>
      <c r="T545" s="74"/>
      <c r="U545" s="74"/>
      <c r="V545" s="74"/>
      <c r="W545" s="74"/>
      <c r="X545" s="74"/>
      <c r="Y545" s="74"/>
      <c r="Z545" s="74"/>
      <c r="AA545" s="74"/>
      <c r="AB545" s="74"/>
      <c r="AC545" s="74"/>
      <c r="AD545" s="74"/>
      <c r="AE545" s="12"/>
      <c r="AF545" s="12"/>
      <c r="AG545" s="12"/>
      <c r="AH545" s="180"/>
      <c r="AI545" s="180"/>
      <c r="AJ545" s="12"/>
      <c r="AK545" s="12"/>
      <c r="AL545" s="12"/>
      <c r="AM545" s="12"/>
    </row>
    <row r="546">
      <c r="A546" s="74"/>
      <c r="B546" s="12"/>
      <c r="C546" s="74"/>
      <c r="D546" s="12"/>
      <c r="E546" s="12"/>
      <c r="F546" s="74"/>
      <c r="G546" s="74"/>
      <c r="H546" s="179"/>
      <c r="I546" s="74"/>
      <c r="J546" s="74"/>
      <c r="K546" s="74"/>
      <c r="L546" s="74"/>
      <c r="M546" s="74"/>
      <c r="N546" s="179"/>
      <c r="O546" s="74"/>
      <c r="P546" s="74"/>
      <c r="Q546" s="74"/>
      <c r="R546" s="74"/>
      <c r="S546" s="74"/>
      <c r="T546" s="74"/>
      <c r="U546" s="74"/>
      <c r="V546" s="74"/>
      <c r="W546" s="74"/>
      <c r="X546" s="74"/>
      <c r="Y546" s="74"/>
      <c r="Z546" s="74"/>
      <c r="AA546" s="74"/>
      <c r="AB546" s="74"/>
      <c r="AC546" s="74"/>
      <c r="AD546" s="74"/>
      <c r="AE546" s="12"/>
      <c r="AF546" s="12"/>
      <c r="AG546" s="12"/>
      <c r="AH546" s="180"/>
      <c r="AI546" s="180"/>
      <c r="AJ546" s="12"/>
      <c r="AK546" s="12"/>
      <c r="AL546" s="12"/>
      <c r="AM546" s="12"/>
    </row>
    <row r="547">
      <c r="A547" s="74"/>
      <c r="B547" s="12"/>
      <c r="C547" s="74"/>
      <c r="D547" s="12"/>
      <c r="E547" s="12"/>
      <c r="F547" s="74"/>
      <c r="G547" s="74"/>
      <c r="H547" s="179"/>
      <c r="I547" s="74"/>
      <c r="J547" s="74"/>
      <c r="K547" s="74"/>
      <c r="L547" s="74"/>
      <c r="M547" s="74"/>
      <c r="N547" s="179"/>
      <c r="O547" s="74"/>
      <c r="P547" s="74"/>
      <c r="Q547" s="74"/>
      <c r="R547" s="74"/>
      <c r="S547" s="74"/>
      <c r="T547" s="74"/>
      <c r="U547" s="74"/>
      <c r="V547" s="74"/>
      <c r="W547" s="74"/>
      <c r="X547" s="74"/>
      <c r="Y547" s="74"/>
      <c r="Z547" s="74"/>
      <c r="AA547" s="74"/>
      <c r="AB547" s="74"/>
      <c r="AC547" s="74"/>
      <c r="AD547" s="74"/>
      <c r="AE547" s="12"/>
      <c r="AF547" s="12"/>
      <c r="AG547" s="12"/>
      <c r="AH547" s="180"/>
      <c r="AI547" s="180"/>
      <c r="AJ547" s="12"/>
      <c r="AK547" s="12"/>
      <c r="AL547" s="12"/>
      <c r="AM547" s="12"/>
    </row>
    <row r="548">
      <c r="A548" s="74"/>
      <c r="B548" s="12"/>
      <c r="C548" s="74"/>
      <c r="D548" s="12"/>
      <c r="E548" s="12"/>
      <c r="F548" s="74"/>
      <c r="G548" s="74"/>
      <c r="H548" s="179"/>
      <c r="I548" s="74"/>
      <c r="J548" s="74"/>
      <c r="K548" s="74"/>
      <c r="L548" s="74"/>
      <c r="M548" s="74"/>
      <c r="N548" s="179"/>
      <c r="O548" s="74"/>
      <c r="P548" s="74"/>
      <c r="Q548" s="74"/>
      <c r="R548" s="74"/>
      <c r="S548" s="74"/>
      <c r="T548" s="74"/>
      <c r="U548" s="74"/>
      <c r="V548" s="74"/>
      <c r="W548" s="74"/>
      <c r="X548" s="74"/>
      <c r="Y548" s="74"/>
      <c r="Z548" s="74"/>
      <c r="AA548" s="74"/>
      <c r="AB548" s="74"/>
      <c r="AC548" s="74"/>
      <c r="AD548" s="74"/>
      <c r="AE548" s="12"/>
      <c r="AF548" s="12"/>
      <c r="AG548" s="12"/>
      <c r="AH548" s="180"/>
      <c r="AI548" s="180"/>
      <c r="AJ548" s="12"/>
      <c r="AK548" s="12"/>
      <c r="AL548" s="12"/>
      <c r="AM548" s="12"/>
    </row>
    <row r="549">
      <c r="A549" s="74"/>
      <c r="B549" s="12"/>
      <c r="C549" s="74"/>
      <c r="D549" s="12"/>
      <c r="E549" s="12"/>
      <c r="F549" s="74"/>
      <c r="G549" s="74"/>
      <c r="H549" s="179"/>
      <c r="I549" s="74"/>
      <c r="J549" s="74"/>
      <c r="K549" s="74"/>
      <c r="L549" s="74"/>
      <c r="M549" s="74"/>
      <c r="N549" s="179"/>
      <c r="O549" s="74"/>
      <c r="P549" s="74"/>
      <c r="Q549" s="74"/>
      <c r="R549" s="74"/>
      <c r="S549" s="74"/>
      <c r="T549" s="74"/>
      <c r="U549" s="74"/>
      <c r="V549" s="74"/>
      <c r="W549" s="74"/>
      <c r="X549" s="74"/>
      <c r="Y549" s="74"/>
      <c r="Z549" s="74"/>
      <c r="AA549" s="74"/>
      <c r="AB549" s="74"/>
      <c r="AC549" s="74"/>
      <c r="AD549" s="74"/>
      <c r="AE549" s="12"/>
      <c r="AF549" s="12"/>
      <c r="AG549" s="12"/>
      <c r="AH549" s="180"/>
      <c r="AI549" s="180"/>
      <c r="AJ549" s="12"/>
      <c r="AK549" s="12"/>
      <c r="AL549" s="12"/>
      <c r="AM549" s="12"/>
    </row>
    <row r="550">
      <c r="A550" s="74"/>
      <c r="B550" s="12"/>
      <c r="C550" s="74"/>
      <c r="D550" s="12"/>
      <c r="E550" s="12"/>
      <c r="F550" s="74"/>
      <c r="G550" s="74"/>
      <c r="H550" s="179"/>
      <c r="I550" s="74"/>
      <c r="J550" s="74"/>
      <c r="K550" s="74"/>
      <c r="L550" s="74"/>
      <c r="M550" s="74"/>
      <c r="N550" s="179"/>
      <c r="O550" s="74"/>
      <c r="P550" s="74"/>
      <c r="Q550" s="74"/>
      <c r="R550" s="74"/>
      <c r="S550" s="74"/>
      <c r="T550" s="74"/>
      <c r="U550" s="74"/>
      <c r="V550" s="74"/>
      <c r="W550" s="74"/>
      <c r="X550" s="74"/>
      <c r="Y550" s="74"/>
      <c r="Z550" s="74"/>
      <c r="AA550" s="74"/>
      <c r="AB550" s="74"/>
      <c r="AC550" s="74"/>
      <c r="AD550" s="74"/>
      <c r="AE550" s="12"/>
      <c r="AF550" s="12"/>
      <c r="AG550" s="12"/>
      <c r="AH550" s="180"/>
      <c r="AI550" s="180"/>
      <c r="AJ550" s="12"/>
      <c r="AK550" s="12"/>
      <c r="AL550" s="12"/>
      <c r="AM550" s="12"/>
    </row>
    <row r="551">
      <c r="A551" s="74"/>
      <c r="B551" s="12"/>
      <c r="C551" s="74"/>
      <c r="D551" s="12"/>
      <c r="E551" s="12"/>
      <c r="F551" s="74"/>
      <c r="G551" s="74"/>
      <c r="H551" s="179"/>
      <c r="I551" s="74"/>
      <c r="J551" s="74"/>
      <c r="K551" s="74"/>
      <c r="L551" s="74"/>
      <c r="M551" s="74"/>
      <c r="N551" s="179"/>
      <c r="O551" s="74"/>
      <c r="P551" s="74"/>
      <c r="Q551" s="74"/>
      <c r="R551" s="74"/>
      <c r="S551" s="74"/>
      <c r="T551" s="74"/>
      <c r="U551" s="74"/>
      <c r="V551" s="74"/>
      <c r="W551" s="74"/>
      <c r="X551" s="74"/>
      <c r="Y551" s="74"/>
      <c r="Z551" s="74"/>
      <c r="AA551" s="74"/>
      <c r="AB551" s="74"/>
      <c r="AC551" s="74"/>
      <c r="AD551" s="74"/>
      <c r="AE551" s="12"/>
      <c r="AF551" s="12"/>
      <c r="AG551" s="12"/>
      <c r="AH551" s="180"/>
      <c r="AI551" s="180"/>
      <c r="AJ551" s="12"/>
      <c r="AK551" s="12"/>
      <c r="AL551" s="12"/>
      <c r="AM551" s="12"/>
    </row>
    <row r="552">
      <c r="A552" s="74"/>
      <c r="B552" s="12"/>
      <c r="C552" s="74"/>
      <c r="D552" s="12"/>
      <c r="E552" s="12"/>
      <c r="F552" s="74"/>
      <c r="G552" s="74"/>
      <c r="H552" s="179"/>
      <c r="I552" s="74"/>
      <c r="J552" s="74"/>
      <c r="K552" s="74"/>
      <c r="L552" s="74"/>
      <c r="M552" s="74"/>
      <c r="N552" s="179"/>
      <c r="O552" s="74"/>
      <c r="P552" s="74"/>
      <c r="Q552" s="74"/>
      <c r="R552" s="74"/>
      <c r="S552" s="74"/>
      <c r="T552" s="74"/>
      <c r="U552" s="74"/>
      <c r="V552" s="74"/>
      <c r="W552" s="74"/>
      <c r="X552" s="74"/>
      <c r="Y552" s="74"/>
      <c r="Z552" s="74"/>
      <c r="AA552" s="74"/>
      <c r="AB552" s="74"/>
      <c r="AC552" s="74"/>
      <c r="AD552" s="74"/>
      <c r="AE552" s="12"/>
      <c r="AF552" s="12"/>
      <c r="AG552" s="12"/>
      <c r="AH552" s="180"/>
      <c r="AI552" s="180"/>
      <c r="AJ552" s="12"/>
      <c r="AK552" s="12"/>
      <c r="AL552" s="12"/>
      <c r="AM552" s="12"/>
    </row>
    <row r="553">
      <c r="A553" s="74"/>
      <c r="B553" s="12"/>
      <c r="C553" s="74"/>
      <c r="D553" s="12"/>
      <c r="E553" s="12"/>
      <c r="F553" s="74"/>
      <c r="G553" s="74"/>
      <c r="H553" s="179"/>
      <c r="I553" s="74"/>
      <c r="J553" s="74"/>
      <c r="K553" s="74"/>
      <c r="L553" s="74"/>
      <c r="M553" s="74"/>
      <c r="N553" s="179"/>
      <c r="O553" s="74"/>
      <c r="P553" s="74"/>
      <c r="Q553" s="74"/>
      <c r="R553" s="74"/>
      <c r="S553" s="74"/>
      <c r="T553" s="74"/>
      <c r="U553" s="74"/>
      <c r="V553" s="74"/>
      <c r="W553" s="74"/>
      <c r="X553" s="74"/>
      <c r="Y553" s="74"/>
      <c r="Z553" s="74"/>
      <c r="AA553" s="74"/>
      <c r="AB553" s="74"/>
      <c r="AC553" s="74"/>
      <c r="AD553" s="74"/>
      <c r="AE553" s="12"/>
      <c r="AF553" s="12"/>
      <c r="AG553" s="12"/>
      <c r="AH553" s="180"/>
      <c r="AI553" s="180"/>
      <c r="AJ553" s="12"/>
      <c r="AK553" s="12"/>
      <c r="AL553" s="12"/>
      <c r="AM553" s="12"/>
    </row>
    <row r="554">
      <c r="A554" s="74"/>
      <c r="B554" s="12"/>
      <c r="C554" s="74"/>
      <c r="D554" s="12"/>
      <c r="E554" s="12"/>
      <c r="F554" s="74"/>
      <c r="G554" s="74"/>
      <c r="H554" s="179"/>
      <c r="I554" s="74"/>
      <c r="J554" s="74"/>
      <c r="K554" s="74"/>
      <c r="L554" s="74"/>
      <c r="M554" s="74"/>
      <c r="N554" s="179"/>
      <c r="O554" s="74"/>
      <c r="P554" s="74"/>
      <c r="Q554" s="74"/>
      <c r="R554" s="74"/>
      <c r="S554" s="74"/>
      <c r="T554" s="74"/>
      <c r="U554" s="74"/>
      <c r="V554" s="74"/>
      <c r="W554" s="74"/>
      <c r="X554" s="74"/>
      <c r="Y554" s="74"/>
      <c r="Z554" s="74"/>
      <c r="AA554" s="74"/>
      <c r="AB554" s="74"/>
      <c r="AC554" s="74"/>
      <c r="AD554" s="74"/>
      <c r="AE554" s="12"/>
      <c r="AF554" s="12"/>
      <c r="AG554" s="12"/>
      <c r="AH554" s="180"/>
      <c r="AI554" s="180"/>
      <c r="AJ554" s="12"/>
      <c r="AK554" s="12"/>
      <c r="AL554" s="12"/>
      <c r="AM554" s="12"/>
    </row>
    <row r="555">
      <c r="A555" s="74"/>
      <c r="B555" s="12"/>
      <c r="C555" s="74"/>
      <c r="D555" s="12"/>
      <c r="E555" s="12"/>
      <c r="F555" s="74"/>
      <c r="G555" s="74"/>
      <c r="H555" s="179"/>
      <c r="I555" s="74"/>
      <c r="J555" s="74"/>
      <c r="K555" s="74"/>
      <c r="L555" s="74"/>
      <c r="M555" s="74"/>
      <c r="N555" s="179"/>
      <c r="O555" s="74"/>
      <c r="P555" s="74"/>
      <c r="Q555" s="74"/>
      <c r="R555" s="74"/>
      <c r="S555" s="74"/>
      <c r="T555" s="74"/>
      <c r="U555" s="74"/>
      <c r="V555" s="74"/>
      <c r="W555" s="74"/>
      <c r="X555" s="74"/>
      <c r="Y555" s="74"/>
      <c r="Z555" s="74"/>
      <c r="AA555" s="74"/>
      <c r="AB555" s="74"/>
      <c r="AC555" s="74"/>
      <c r="AD555" s="74"/>
      <c r="AE555" s="12"/>
      <c r="AF555" s="12"/>
      <c r="AG555" s="12"/>
      <c r="AH555" s="180"/>
      <c r="AI555" s="180"/>
      <c r="AJ555" s="12"/>
      <c r="AK555" s="12"/>
      <c r="AL555" s="12"/>
      <c r="AM555" s="12"/>
    </row>
    <row r="556">
      <c r="A556" s="74"/>
      <c r="B556" s="12"/>
      <c r="C556" s="74"/>
      <c r="D556" s="12"/>
      <c r="E556" s="12"/>
      <c r="F556" s="74"/>
      <c r="G556" s="74"/>
      <c r="H556" s="179"/>
      <c r="I556" s="74"/>
      <c r="J556" s="74"/>
      <c r="K556" s="74"/>
      <c r="L556" s="74"/>
      <c r="M556" s="74"/>
      <c r="N556" s="179"/>
      <c r="O556" s="74"/>
      <c r="P556" s="74"/>
      <c r="Q556" s="74"/>
      <c r="R556" s="74"/>
      <c r="S556" s="74"/>
      <c r="T556" s="74"/>
      <c r="U556" s="74"/>
      <c r="V556" s="74"/>
      <c r="W556" s="74"/>
      <c r="X556" s="74"/>
      <c r="Y556" s="74"/>
      <c r="Z556" s="74"/>
      <c r="AA556" s="74"/>
      <c r="AB556" s="74"/>
      <c r="AC556" s="74"/>
      <c r="AD556" s="74"/>
      <c r="AE556" s="12"/>
      <c r="AF556" s="12"/>
      <c r="AG556" s="12"/>
      <c r="AH556" s="180"/>
      <c r="AI556" s="180"/>
      <c r="AJ556" s="12"/>
      <c r="AK556" s="12"/>
      <c r="AL556" s="12"/>
      <c r="AM556" s="12"/>
    </row>
    <row r="557">
      <c r="A557" s="74"/>
      <c r="B557" s="12"/>
      <c r="C557" s="74"/>
      <c r="D557" s="12"/>
      <c r="E557" s="12"/>
      <c r="F557" s="74"/>
      <c r="G557" s="74"/>
      <c r="H557" s="179"/>
      <c r="I557" s="74"/>
      <c r="J557" s="74"/>
      <c r="K557" s="74"/>
      <c r="L557" s="74"/>
      <c r="M557" s="74"/>
      <c r="N557" s="179"/>
      <c r="O557" s="74"/>
      <c r="P557" s="74"/>
      <c r="Q557" s="74"/>
      <c r="R557" s="74"/>
      <c r="S557" s="74"/>
      <c r="T557" s="74"/>
      <c r="U557" s="74"/>
      <c r="V557" s="74"/>
      <c r="W557" s="74"/>
      <c r="X557" s="74"/>
      <c r="Y557" s="74"/>
      <c r="Z557" s="74"/>
      <c r="AA557" s="74"/>
      <c r="AB557" s="74"/>
      <c r="AC557" s="74"/>
      <c r="AD557" s="74"/>
      <c r="AE557" s="12"/>
      <c r="AF557" s="12"/>
      <c r="AG557" s="12"/>
      <c r="AH557" s="180"/>
      <c r="AI557" s="180"/>
      <c r="AJ557" s="12"/>
      <c r="AK557" s="12"/>
      <c r="AL557" s="12"/>
      <c r="AM557" s="12"/>
    </row>
    <row r="558">
      <c r="A558" s="74"/>
      <c r="B558" s="12"/>
      <c r="C558" s="74"/>
      <c r="D558" s="12"/>
      <c r="E558" s="12"/>
      <c r="F558" s="74"/>
      <c r="G558" s="74"/>
      <c r="H558" s="179"/>
      <c r="I558" s="74"/>
      <c r="J558" s="74"/>
      <c r="K558" s="74"/>
      <c r="L558" s="74"/>
      <c r="M558" s="74"/>
      <c r="N558" s="179"/>
      <c r="O558" s="74"/>
      <c r="P558" s="74"/>
      <c r="Q558" s="74"/>
      <c r="R558" s="74"/>
      <c r="S558" s="74"/>
      <c r="T558" s="74"/>
      <c r="U558" s="74"/>
      <c r="V558" s="74"/>
      <c r="W558" s="74"/>
      <c r="X558" s="74"/>
      <c r="Y558" s="74"/>
      <c r="Z558" s="74"/>
      <c r="AA558" s="74"/>
      <c r="AB558" s="74"/>
      <c r="AC558" s="74"/>
      <c r="AD558" s="74"/>
      <c r="AE558" s="12"/>
      <c r="AF558" s="12"/>
      <c r="AG558" s="12"/>
      <c r="AH558" s="180"/>
      <c r="AI558" s="180"/>
      <c r="AJ558" s="12"/>
      <c r="AK558" s="12"/>
      <c r="AL558" s="12"/>
      <c r="AM558" s="12"/>
    </row>
    <row r="559">
      <c r="A559" s="74"/>
      <c r="B559" s="12"/>
      <c r="C559" s="74"/>
      <c r="D559" s="12"/>
      <c r="E559" s="12"/>
      <c r="F559" s="74"/>
      <c r="G559" s="74"/>
      <c r="H559" s="179"/>
      <c r="I559" s="74"/>
      <c r="J559" s="74"/>
      <c r="K559" s="74"/>
      <c r="L559" s="74"/>
      <c r="M559" s="74"/>
      <c r="N559" s="179"/>
      <c r="O559" s="74"/>
      <c r="P559" s="74"/>
      <c r="Q559" s="74"/>
      <c r="R559" s="74"/>
      <c r="S559" s="74"/>
      <c r="T559" s="74"/>
      <c r="U559" s="74"/>
      <c r="V559" s="74"/>
      <c r="W559" s="74"/>
      <c r="X559" s="74"/>
      <c r="Y559" s="74"/>
      <c r="Z559" s="74"/>
      <c r="AA559" s="74"/>
      <c r="AB559" s="74"/>
      <c r="AC559" s="74"/>
      <c r="AD559" s="74"/>
      <c r="AE559" s="12"/>
      <c r="AF559" s="12"/>
      <c r="AG559" s="12"/>
      <c r="AH559" s="180"/>
      <c r="AI559" s="180"/>
      <c r="AJ559" s="12"/>
      <c r="AK559" s="12"/>
      <c r="AL559" s="12"/>
      <c r="AM559" s="12"/>
    </row>
    <row r="560">
      <c r="A560" s="74"/>
      <c r="B560" s="12"/>
      <c r="C560" s="74"/>
      <c r="D560" s="12"/>
      <c r="E560" s="12"/>
      <c r="F560" s="74"/>
      <c r="G560" s="74"/>
      <c r="H560" s="179"/>
      <c r="I560" s="74"/>
      <c r="J560" s="74"/>
      <c r="K560" s="74"/>
      <c r="L560" s="74"/>
      <c r="M560" s="74"/>
      <c r="N560" s="179"/>
      <c r="O560" s="74"/>
      <c r="P560" s="74"/>
      <c r="Q560" s="74"/>
      <c r="R560" s="74"/>
      <c r="S560" s="74"/>
      <c r="T560" s="74"/>
      <c r="U560" s="74"/>
      <c r="V560" s="74"/>
      <c r="W560" s="74"/>
      <c r="X560" s="74"/>
      <c r="Y560" s="74"/>
      <c r="Z560" s="74"/>
      <c r="AA560" s="74"/>
      <c r="AB560" s="74"/>
      <c r="AC560" s="74"/>
      <c r="AD560" s="74"/>
      <c r="AE560" s="12"/>
      <c r="AF560" s="12"/>
      <c r="AG560" s="12"/>
      <c r="AH560" s="180"/>
      <c r="AI560" s="180"/>
      <c r="AJ560" s="12"/>
      <c r="AK560" s="12"/>
      <c r="AL560" s="12"/>
      <c r="AM560" s="12"/>
    </row>
    <row r="561">
      <c r="A561" s="74"/>
      <c r="B561" s="12"/>
      <c r="C561" s="74"/>
      <c r="D561" s="12"/>
      <c r="E561" s="12"/>
      <c r="F561" s="74"/>
      <c r="G561" s="74"/>
      <c r="H561" s="179"/>
      <c r="I561" s="74"/>
      <c r="J561" s="74"/>
      <c r="K561" s="74"/>
      <c r="L561" s="74"/>
      <c r="M561" s="74"/>
      <c r="N561" s="179"/>
      <c r="O561" s="74"/>
      <c r="P561" s="74"/>
      <c r="Q561" s="74"/>
      <c r="R561" s="74"/>
      <c r="S561" s="74"/>
      <c r="T561" s="74"/>
      <c r="U561" s="74"/>
      <c r="V561" s="74"/>
      <c r="W561" s="74"/>
      <c r="X561" s="74"/>
      <c r="Y561" s="74"/>
      <c r="Z561" s="74"/>
      <c r="AA561" s="74"/>
      <c r="AB561" s="74"/>
      <c r="AC561" s="74"/>
      <c r="AD561" s="74"/>
      <c r="AE561" s="12"/>
      <c r="AF561" s="12"/>
      <c r="AG561" s="12"/>
      <c r="AH561" s="180"/>
      <c r="AI561" s="180"/>
      <c r="AJ561" s="12"/>
      <c r="AK561" s="12"/>
      <c r="AL561" s="12"/>
      <c r="AM561" s="12"/>
    </row>
    <row r="562">
      <c r="A562" s="74"/>
      <c r="B562" s="12"/>
      <c r="C562" s="74"/>
      <c r="D562" s="12"/>
      <c r="E562" s="12"/>
      <c r="F562" s="74"/>
      <c r="G562" s="74"/>
      <c r="H562" s="179"/>
      <c r="I562" s="74"/>
      <c r="J562" s="74"/>
      <c r="K562" s="74"/>
      <c r="L562" s="74"/>
      <c r="M562" s="74"/>
      <c r="N562" s="179"/>
      <c r="O562" s="74"/>
      <c r="P562" s="74"/>
      <c r="Q562" s="74"/>
      <c r="R562" s="74"/>
      <c r="S562" s="74"/>
      <c r="T562" s="74"/>
      <c r="U562" s="74"/>
      <c r="V562" s="74"/>
      <c r="W562" s="74"/>
      <c r="X562" s="74"/>
      <c r="Y562" s="74"/>
      <c r="Z562" s="74"/>
      <c r="AA562" s="74"/>
      <c r="AB562" s="74"/>
      <c r="AC562" s="74"/>
      <c r="AD562" s="74"/>
      <c r="AE562" s="12"/>
      <c r="AF562" s="12"/>
      <c r="AG562" s="12"/>
      <c r="AH562" s="180"/>
      <c r="AI562" s="180"/>
      <c r="AJ562" s="12"/>
      <c r="AK562" s="12"/>
      <c r="AL562" s="12"/>
      <c r="AM562" s="12"/>
    </row>
    <row r="563">
      <c r="A563" s="74"/>
      <c r="B563" s="12"/>
      <c r="C563" s="74"/>
      <c r="D563" s="12"/>
      <c r="E563" s="12"/>
      <c r="F563" s="74"/>
      <c r="G563" s="74"/>
      <c r="H563" s="179"/>
      <c r="I563" s="74"/>
      <c r="J563" s="74"/>
      <c r="K563" s="74"/>
      <c r="L563" s="74"/>
      <c r="M563" s="74"/>
      <c r="N563" s="179"/>
      <c r="O563" s="74"/>
      <c r="P563" s="74"/>
      <c r="Q563" s="74"/>
      <c r="R563" s="74"/>
      <c r="S563" s="74"/>
      <c r="T563" s="74"/>
      <c r="U563" s="74"/>
      <c r="V563" s="74"/>
      <c r="W563" s="74"/>
      <c r="X563" s="74"/>
      <c r="Y563" s="74"/>
      <c r="Z563" s="74"/>
      <c r="AA563" s="74"/>
      <c r="AB563" s="74"/>
      <c r="AC563" s="74"/>
      <c r="AD563" s="74"/>
      <c r="AE563" s="12"/>
      <c r="AF563" s="12"/>
      <c r="AG563" s="12"/>
      <c r="AH563" s="180"/>
      <c r="AI563" s="180"/>
      <c r="AJ563" s="12"/>
      <c r="AK563" s="12"/>
      <c r="AL563" s="12"/>
      <c r="AM563" s="12"/>
    </row>
    <row r="564">
      <c r="A564" s="74"/>
      <c r="B564" s="12"/>
      <c r="C564" s="74"/>
      <c r="D564" s="12"/>
      <c r="E564" s="12"/>
      <c r="F564" s="74"/>
      <c r="G564" s="74"/>
      <c r="H564" s="179"/>
      <c r="I564" s="74"/>
      <c r="J564" s="74"/>
      <c r="K564" s="74"/>
      <c r="L564" s="74"/>
      <c r="M564" s="74"/>
      <c r="N564" s="179"/>
      <c r="O564" s="74"/>
      <c r="P564" s="74"/>
      <c r="Q564" s="74"/>
      <c r="R564" s="74"/>
      <c r="S564" s="74"/>
      <c r="T564" s="74"/>
      <c r="U564" s="74"/>
      <c r="V564" s="74"/>
      <c r="W564" s="74"/>
      <c r="X564" s="74"/>
      <c r="Y564" s="74"/>
      <c r="Z564" s="74"/>
      <c r="AA564" s="74"/>
      <c r="AB564" s="74"/>
      <c r="AC564" s="74"/>
      <c r="AD564" s="74"/>
      <c r="AE564" s="12"/>
      <c r="AF564" s="12"/>
      <c r="AG564" s="12"/>
      <c r="AH564" s="180"/>
      <c r="AI564" s="180"/>
      <c r="AJ564" s="12"/>
      <c r="AK564" s="12"/>
      <c r="AL564" s="12"/>
      <c r="AM564" s="12"/>
    </row>
    <row r="565">
      <c r="A565" s="74"/>
      <c r="B565" s="12"/>
      <c r="C565" s="74"/>
      <c r="D565" s="12"/>
      <c r="E565" s="12"/>
      <c r="F565" s="74"/>
      <c r="G565" s="74"/>
      <c r="H565" s="179"/>
      <c r="I565" s="74"/>
      <c r="J565" s="74"/>
      <c r="K565" s="74"/>
      <c r="L565" s="74"/>
      <c r="M565" s="74"/>
      <c r="N565" s="179"/>
      <c r="O565" s="74"/>
      <c r="P565" s="74"/>
      <c r="Q565" s="74"/>
      <c r="R565" s="74"/>
      <c r="S565" s="74"/>
      <c r="T565" s="74"/>
      <c r="U565" s="74"/>
      <c r="V565" s="74"/>
      <c r="W565" s="74"/>
      <c r="X565" s="74"/>
      <c r="Y565" s="74"/>
      <c r="Z565" s="74"/>
      <c r="AA565" s="74"/>
      <c r="AB565" s="74"/>
      <c r="AC565" s="74"/>
      <c r="AD565" s="74"/>
      <c r="AE565" s="12"/>
      <c r="AF565" s="12"/>
      <c r="AG565" s="12"/>
      <c r="AH565" s="180"/>
      <c r="AI565" s="180"/>
      <c r="AJ565" s="12"/>
      <c r="AK565" s="12"/>
      <c r="AL565" s="12"/>
      <c r="AM565" s="12"/>
    </row>
    <row r="566">
      <c r="A566" s="74"/>
      <c r="B566" s="12"/>
      <c r="C566" s="74"/>
      <c r="D566" s="12"/>
      <c r="E566" s="12"/>
      <c r="F566" s="74"/>
      <c r="G566" s="74"/>
      <c r="H566" s="179"/>
      <c r="I566" s="74"/>
      <c r="J566" s="74"/>
      <c r="K566" s="74"/>
      <c r="L566" s="74"/>
      <c r="M566" s="74"/>
      <c r="N566" s="179"/>
      <c r="O566" s="74"/>
      <c r="P566" s="74"/>
      <c r="Q566" s="74"/>
      <c r="R566" s="74"/>
      <c r="S566" s="74"/>
      <c r="T566" s="74"/>
      <c r="U566" s="74"/>
      <c r="V566" s="74"/>
      <c r="W566" s="74"/>
      <c r="X566" s="74"/>
      <c r="Y566" s="74"/>
      <c r="Z566" s="74"/>
      <c r="AA566" s="74"/>
      <c r="AB566" s="74"/>
      <c r="AC566" s="74"/>
      <c r="AD566" s="74"/>
      <c r="AE566" s="12"/>
      <c r="AF566" s="12"/>
      <c r="AG566" s="12"/>
      <c r="AH566" s="180"/>
      <c r="AI566" s="180"/>
      <c r="AJ566" s="12"/>
      <c r="AK566" s="12"/>
      <c r="AL566" s="12"/>
      <c r="AM566" s="12"/>
    </row>
    <row r="567">
      <c r="A567" s="74"/>
      <c r="B567" s="12"/>
      <c r="C567" s="74"/>
      <c r="D567" s="12"/>
      <c r="E567" s="12"/>
      <c r="F567" s="74"/>
      <c r="G567" s="74"/>
      <c r="H567" s="179"/>
      <c r="I567" s="74"/>
      <c r="J567" s="74"/>
      <c r="K567" s="74"/>
      <c r="L567" s="74"/>
      <c r="M567" s="74"/>
      <c r="N567" s="179"/>
      <c r="O567" s="74"/>
      <c r="P567" s="74"/>
      <c r="Q567" s="74"/>
      <c r="R567" s="74"/>
      <c r="S567" s="74"/>
      <c r="T567" s="74"/>
      <c r="U567" s="74"/>
      <c r="V567" s="74"/>
      <c r="W567" s="74"/>
      <c r="X567" s="74"/>
      <c r="Y567" s="74"/>
      <c r="Z567" s="74"/>
      <c r="AA567" s="74"/>
      <c r="AB567" s="74"/>
      <c r="AC567" s="74"/>
      <c r="AD567" s="74"/>
      <c r="AE567" s="12"/>
      <c r="AF567" s="12"/>
      <c r="AG567" s="12"/>
      <c r="AH567" s="180"/>
      <c r="AI567" s="180"/>
      <c r="AJ567" s="12"/>
      <c r="AK567" s="12"/>
      <c r="AL567" s="12"/>
      <c r="AM567" s="12"/>
    </row>
    <row r="568">
      <c r="A568" s="74"/>
      <c r="B568" s="12"/>
      <c r="C568" s="74"/>
      <c r="D568" s="12"/>
      <c r="E568" s="12"/>
      <c r="F568" s="74"/>
      <c r="G568" s="74"/>
      <c r="H568" s="179"/>
      <c r="I568" s="74"/>
      <c r="J568" s="74"/>
      <c r="K568" s="74"/>
      <c r="L568" s="74"/>
      <c r="M568" s="74"/>
      <c r="N568" s="179"/>
      <c r="O568" s="74"/>
      <c r="P568" s="74"/>
      <c r="Q568" s="74"/>
      <c r="R568" s="74"/>
      <c r="S568" s="74"/>
      <c r="T568" s="74"/>
      <c r="U568" s="74"/>
      <c r="V568" s="74"/>
      <c r="W568" s="74"/>
      <c r="X568" s="74"/>
      <c r="Y568" s="74"/>
      <c r="Z568" s="74"/>
      <c r="AA568" s="74"/>
      <c r="AB568" s="74"/>
      <c r="AC568" s="74"/>
      <c r="AD568" s="74"/>
      <c r="AE568" s="12"/>
      <c r="AF568" s="12"/>
      <c r="AG568" s="12"/>
      <c r="AH568" s="180"/>
      <c r="AI568" s="180"/>
      <c r="AJ568" s="12"/>
      <c r="AK568" s="12"/>
      <c r="AL568" s="12"/>
      <c r="AM568" s="12"/>
    </row>
    <row r="569">
      <c r="A569" s="74"/>
      <c r="B569" s="12"/>
      <c r="C569" s="74"/>
      <c r="D569" s="12"/>
      <c r="E569" s="12"/>
      <c r="F569" s="74"/>
      <c r="G569" s="74"/>
      <c r="H569" s="179"/>
      <c r="I569" s="74"/>
      <c r="J569" s="74"/>
      <c r="K569" s="74"/>
      <c r="L569" s="74"/>
      <c r="M569" s="74"/>
      <c r="N569" s="179"/>
      <c r="O569" s="74"/>
      <c r="P569" s="74"/>
      <c r="Q569" s="74"/>
      <c r="R569" s="74"/>
      <c r="S569" s="74"/>
      <c r="T569" s="74"/>
      <c r="U569" s="74"/>
      <c r="V569" s="74"/>
      <c r="W569" s="74"/>
      <c r="X569" s="74"/>
      <c r="Y569" s="74"/>
      <c r="Z569" s="74"/>
      <c r="AA569" s="74"/>
      <c r="AB569" s="74"/>
      <c r="AC569" s="74"/>
      <c r="AD569" s="74"/>
      <c r="AE569" s="12"/>
      <c r="AF569" s="12"/>
      <c r="AG569" s="12"/>
      <c r="AH569" s="180"/>
      <c r="AI569" s="180"/>
      <c r="AJ569" s="12"/>
      <c r="AK569" s="12"/>
      <c r="AL569" s="12"/>
      <c r="AM569" s="12"/>
    </row>
    <row r="570">
      <c r="A570" s="74"/>
      <c r="B570" s="12"/>
      <c r="C570" s="74"/>
      <c r="D570" s="12"/>
      <c r="E570" s="12"/>
      <c r="F570" s="74"/>
      <c r="G570" s="74"/>
      <c r="H570" s="179"/>
      <c r="I570" s="74"/>
      <c r="J570" s="74"/>
      <c r="K570" s="74"/>
      <c r="L570" s="74"/>
      <c r="M570" s="74"/>
      <c r="N570" s="179"/>
      <c r="O570" s="74"/>
      <c r="P570" s="74"/>
      <c r="Q570" s="74"/>
      <c r="R570" s="74"/>
      <c r="S570" s="74"/>
      <c r="T570" s="74"/>
      <c r="U570" s="74"/>
      <c r="V570" s="74"/>
      <c r="W570" s="74"/>
      <c r="X570" s="74"/>
      <c r="Y570" s="74"/>
      <c r="Z570" s="74"/>
      <c r="AA570" s="74"/>
      <c r="AB570" s="74"/>
      <c r="AC570" s="74"/>
      <c r="AD570" s="74"/>
      <c r="AE570" s="12"/>
      <c r="AF570" s="12"/>
      <c r="AG570" s="12"/>
      <c r="AH570" s="180"/>
      <c r="AI570" s="180"/>
      <c r="AJ570" s="12"/>
      <c r="AK570" s="12"/>
      <c r="AL570" s="12"/>
      <c r="AM570" s="12"/>
    </row>
    <row r="571">
      <c r="A571" s="74"/>
      <c r="B571" s="12"/>
      <c r="C571" s="74"/>
      <c r="D571" s="12"/>
      <c r="E571" s="12"/>
      <c r="F571" s="74"/>
      <c r="G571" s="74"/>
      <c r="H571" s="179"/>
      <c r="I571" s="74"/>
      <c r="J571" s="74"/>
      <c r="K571" s="74"/>
      <c r="L571" s="74"/>
      <c r="M571" s="74"/>
      <c r="N571" s="179"/>
      <c r="O571" s="74"/>
      <c r="P571" s="74"/>
      <c r="Q571" s="74"/>
      <c r="R571" s="74"/>
      <c r="S571" s="74"/>
      <c r="T571" s="74"/>
      <c r="U571" s="74"/>
      <c r="V571" s="74"/>
      <c r="W571" s="74"/>
      <c r="X571" s="74"/>
      <c r="Y571" s="74"/>
      <c r="Z571" s="74"/>
      <c r="AA571" s="74"/>
      <c r="AB571" s="74"/>
      <c r="AC571" s="74"/>
      <c r="AD571" s="74"/>
      <c r="AE571" s="12"/>
      <c r="AF571" s="12"/>
      <c r="AG571" s="12"/>
      <c r="AH571" s="180"/>
      <c r="AI571" s="180"/>
      <c r="AJ571" s="12"/>
      <c r="AK571" s="12"/>
      <c r="AL571" s="12"/>
      <c r="AM571" s="12"/>
    </row>
    <row r="572">
      <c r="A572" s="74"/>
      <c r="B572" s="12"/>
      <c r="C572" s="74"/>
      <c r="D572" s="12"/>
      <c r="E572" s="12"/>
      <c r="F572" s="74"/>
      <c r="G572" s="74"/>
      <c r="H572" s="179"/>
      <c r="I572" s="74"/>
      <c r="J572" s="74"/>
      <c r="K572" s="74"/>
      <c r="L572" s="74"/>
      <c r="M572" s="74"/>
      <c r="N572" s="179"/>
      <c r="O572" s="74"/>
      <c r="P572" s="74"/>
      <c r="Q572" s="74"/>
      <c r="R572" s="74"/>
      <c r="S572" s="74"/>
      <c r="T572" s="74"/>
      <c r="U572" s="74"/>
      <c r="V572" s="74"/>
      <c r="W572" s="74"/>
      <c r="X572" s="74"/>
      <c r="Y572" s="74"/>
      <c r="Z572" s="74"/>
      <c r="AA572" s="74"/>
      <c r="AB572" s="74"/>
      <c r="AC572" s="74"/>
      <c r="AD572" s="74"/>
      <c r="AE572" s="12"/>
      <c r="AF572" s="12"/>
      <c r="AG572" s="12"/>
      <c r="AH572" s="180"/>
      <c r="AI572" s="180"/>
      <c r="AJ572" s="12"/>
      <c r="AK572" s="12"/>
      <c r="AL572" s="12"/>
      <c r="AM572" s="12"/>
    </row>
    <row r="573">
      <c r="A573" s="74"/>
      <c r="B573" s="12"/>
      <c r="C573" s="74"/>
      <c r="D573" s="12"/>
      <c r="E573" s="12"/>
      <c r="F573" s="74"/>
      <c r="G573" s="74"/>
      <c r="H573" s="179"/>
      <c r="I573" s="74"/>
      <c r="J573" s="74"/>
      <c r="K573" s="74"/>
      <c r="L573" s="74"/>
      <c r="M573" s="74"/>
      <c r="N573" s="179"/>
      <c r="O573" s="74"/>
      <c r="P573" s="74"/>
      <c r="Q573" s="74"/>
      <c r="R573" s="74"/>
      <c r="S573" s="74"/>
      <c r="T573" s="74"/>
      <c r="U573" s="74"/>
      <c r="V573" s="74"/>
      <c r="W573" s="74"/>
      <c r="X573" s="74"/>
      <c r="Y573" s="74"/>
      <c r="Z573" s="74"/>
      <c r="AA573" s="74"/>
      <c r="AB573" s="74"/>
      <c r="AC573" s="74"/>
      <c r="AD573" s="74"/>
      <c r="AE573" s="12"/>
      <c r="AF573" s="12"/>
      <c r="AG573" s="12"/>
      <c r="AH573" s="180"/>
      <c r="AI573" s="180"/>
      <c r="AJ573" s="12"/>
      <c r="AK573" s="12"/>
      <c r="AL573" s="12"/>
      <c r="AM573" s="12"/>
    </row>
    <row r="574">
      <c r="A574" s="74"/>
      <c r="B574" s="12"/>
      <c r="C574" s="74"/>
      <c r="D574" s="12"/>
      <c r="E574" s="12"/>
      <c r="F574" s="74"/>
      <c r="G574" s="74"/>
      <c r="H574" s="179"/>
      <c r="I574" s="74"/>
      <c r="J574" s="74"/>
      <c r="K574" s="74"/>
      <c r="L574" s="74"/>
      <c r="M574" s="74"/>
      <c r="N574" s="179"/>
      <c r="O574" s="74"/>
      <c r="P574" s="74"/>
      <c r="Q574" s="74"/>
      <c r="R574" s="74"/>
      <c r="S574" s="74"/>
      <c r="T574" s="74"/>
      <c r="U574" s="74"/>
      <c r="V574" s="74"/>
      <c r="W574" s="74"/>
      <c r="X574" s="74"/>
      <c r="Y574" s="74"/>
      <c r="Z574" s="74"/>
      <c r="AA574" s="74"/>
      <c r="AB574" s="74"/>
      <c r="AC574" s="74"/>
      <c r="AD574" s="74"/>
      <c r="AE574" s="12"/>
      <c r="AF574" s="12"/>
      <c r="AG574" s="12"/>
      <c r="AH574" s="180"/>
      <c r="AI574" s="180"/>
      <c r="AJ574" s="12"/>
      <c r="AK574" s="12"/>
      <c r="AL574" s="12"/>
      <c r="AM574" s="12"/>
    </row>
    <row r="575">
      <c r="A575" s="74"/>
      <c r="B575" s="12"/>
      <c r="C575" s="74"/>
      <c r="D575" s="12"/>
      <c r="E575" s="12"/>
      <c r="F575" s="74"/>
      <c r="G575" s="74"/>
      <c r="H575" s="179"/>
      <c r="I575" s="74"/>
      <c r="J575" s="74"/>
      <c r="K575" s="74"/>
      <c r="L575" s="74"/>
      <c r="M575" s="74"/>
      <c r="N575" s="179"/>
      <c r="O575" s="74"/>
      <c r="P575" s="74"/>
      <c r="Q575" s="74"/>
      <c r="R575" s="74"/>
      <c r="S575" s="74"/>
      <c r="T575" s="74"/>
      <c r="U575" s="74"/>
      <c r="V575" s="74"/>
      <c r="W575" s="74"/>
      <c r="X575" s="74"/>
      <c r="Y575" s="74"/>
      <c r="Z575" s="74"/>
      <c r="AA575" s="74"/>
      <c r="AB575" s="74"/>
      <c r="AC575" s="74"/>
      <c r="AD575" s="74"/>
      <c r="AE575" s="12"/>
      <c r="AF575" s="12"/>
      <c r="AG575" s="12"/>
      <c r="AH575" s="180"/>
      <c r="AI575" s="180"/>
      <c r="AJ575" s="12"/>
      <c r="AK575" s="12"/>
      <c r="AL575" s="12"/>
      <c r="AM575" s="12"/>
    </row>
    <row r="576">
      <c r="A576" s="74"/>
      <c r="B576" s="12"/>
      <c r="C576" s="74"/>
      <c r="D576" s="12"/>
      <c r="E576" s="12"/>
      <c r="F576" s="74"/>
      <c r="G576" s="74"/>
      <c r="H576" s="179"/>
      <c r="I576" s="74"/>
      <c r="J576" s="74"/>
      <c r="K576" s="74"/>
      <c r="L576" s="74"/>
      <c r="M576" s="74"/>
      <c r="N576" s="179"/>
      <c r="O576" s="74"/>
      <c r="P576" s="74"/>
      <c r="Q576" s="74"/>
      <c r="R576" s="74"/>
      <c r="S576" s="74"/>
      <c r="T576" s="74"/>
      <c r="U576" s="74"/>
      <c r="V576" s="74"/>
      <c r="W576" s="74"/>
      <c r="X576" s="74"/>
      <c r="Y576" s="74"/>
      <c r="Z576" s="74"/>
      <c r="AA576" s="74"/>
      <c r="AB576" s="74"/>
      <c r="AC576" s="74"/>
      <c r="AD576" s="74"/>
      <c r="AE576" s="12"/>
      <c r="AF576" s="12"/>
      <c r="AG576" s="12"/>
      <c r="AH576" s="180"/>
      <c r="AI576" s="180"/>
      <c r="AJ576" s="12"/>
      <c r="AK576" s="12"/>
      <c r="AL576" s="12"/>
      <c r="AM576" s="12"/>
    </row>
    <row r="577">
      <c r="A577" s="74"/>
      <c r="B577" s="12"/>
      <c r="C577" s="74"/>
      <c r="D577" s="12"/>
      <c r="E577" s="12"/>
      <c r="F577" s="74"/>
      <c r="G577" s="74"/>
      <c r="H577" s="179"/>
      <c r="I577" s="74"/>
      <c r="J577" s="74"/>
      <c r="K577" s="74"/>
      <c r="L577" s="74"/>
      <c r="M577" s="74"/>
      <c r="N577" s="179"/>
      <c r="O577" s="74"/>
      <c r="P577" s="74"/>
      <c r="Q577" s="74"/>
      <c r="R577" s="74"/>
      <c r="S577" s="74"/>
      <c r="T577" s="74"/>
      <c r="U577" s="74"/>
      <c r="V577" s="74"/>
      <c r="W577" s="74"/>
      <c r="X577" s="74"/>
      <c r="Y577" s="74"/>
      <c r="Z577" s="74"/>
      <c r="AA577" s="74"/>
      <c r="AB577" s="74"/>
      <c r="AC577" s="74"/>
      <c r="AD577" s="74"/>
      <c r="AE577" s="12"/>
      <c r="AF577" s="12"/>
      <c r="AG577" s="12"/>
      <c r="AH577" s="180"/>
      <c r="AI577" s="180"/>
      <c r="AJ577" s="12"/>
      <c r="AK577" s="12"/>
      <c r="AL577" s="12"/>
      <c r="AM577" s="12"/>
    </row>
    <row r="578">
      <c r="A578" s="74"/>
      <c r="B578" s="12"/>
      <c r="C578" s="74"/>
      <c r="D578" s="12"/>
      <c r="E578" s="12"/>
      <c r="F578" s="74"/>
      <c r="G578" s="74"/>
      <c r="H578" s="179"/>
      <c r="I578" s="74"/>
      <c r="J578" s="74"/>
      <c r="K578" s="74"/>
      <c r="L578" s="74"/>
      <c r="M578" s="74"/>
      <c r="N578" s="179"/>
      <c r="O578" s="74"/>
      <c r="P578" s="74"/>
      <c r="Q578" s="74"/>
      <c r="R578" s="74"/>
      <c r="S578" s="74"/>
      <c r="T578" s="74"/>
      <c r="U578" s="74"/>
      <c r="V578" s="74"/>
      <c r="W578" s="74"/>
      <c r="X578" s="74"/>
      <c r="Y578" s="74"/>
      <c r="Z578" s="74"/>
      <c r="AA578" s="74"/>
      <c r="AB578" s="74"/>
      <c r="AC578" s="74"/>
      <c r="AD578" s="74"/>
      <c r="AE578" s="12"/>
      <c r="AF578" s="12"/>
      <c r="AG578" s="12"/>
      <c r="AH578" s="180"/>
      <c r="AI578" s="180"/>
      <c r="AJ578" s="12"/>
      <c r="AK578" s="12"/>
      <c r="AL578" s="12"/>
      <c r="AM578" s="12"/>
    </row>
    <row r="579">
      <c r="A579" s="74"/>
      <c r="B579" s="12"/>
      <c r="C579" s="74"/>
      <c r="D579" s="12"/>
      <c r="E579" s="12"/>
      <c r="F579" s="74"/>
      <c r="G579" s="74"/>
      <c r="H579" s="179"/>
      <c r="I579" s="74"/>
      <c r="J579" s="74"/>
      <c r="K579" s="74"/>
      <c r="L579" s="74"/>
      <c r="M579" s="74"/>
      <c r="N579" s="179"/>
      <c r="O579" s="74"/>
      <c r="P579" s="74"/>
      <c r="Q579" s="74"/>
      <c r="R579" s="74"/>
      <c r="S579" s="74"/>
      <c r="T579" s="74"/>
      <c r="U579" s="74"/>
      <c r="V579" s="74"/>
      <c r="W579" s="74"/>
      <c r="X579" s="74"/>
      <c r="Y579" s="74"/>
      <c r="Z579" s="74"/>
      <c r="AA579" s="74"/>
      <c r="AB579" s="74"/>
      <c r="AC579" s="74"/>
      <c r="AD579" s="74"/>
      <c r="AE579" s="12"/>
      <c r="AF579" s="12"/>
      <c r="AG579" s="12"/>
      <c r="AH579" s="180"/>
      <c r="AI579" s="180"/>
      <c r="AJ579" s="12"/>
      <c r="AK579" s="12"/>
      <c r="AL579" s="12"/>
      <c r="AM579" s="12"/>
    </row>
    <row r="580">
      <c r="A580" s="74"/>
      <c r="B580" s="12"/>
      <c r="C580" s="74"/>
      <c r="D580" s="12"/>
      <c r="E580" s="12"/>
      <c r="F580" s="74"/>
      <c r="G580" s="74"/>
      <c r="H580" s="179"/>
      <c r="I580" s="74"/>
      <c r="J580" s="74"/>
      <c r="K580" s="74"/>
      <c r="L580" s="74"/>
      <c r="M580" s="74"/>
      <c r="N580" s="179"/>
      <c r="O580" s="74"/>
      <c r="P580" s="74"/>
      <c r="Q580" s="74"/>
      <c r="R580" s="74"/>
      <c r="S580" s="74"/>
      <c r="T580" s="74"/>
      <c r="U580" s="74"/>
      <c r="V580" s="74"/>
      <c r="W580" s="74"/>
      <c r="X580" s="74"/>
      <c r="Y580" s="74"/>
      <c r="Z580" s="74"/>
      <c r="AA580" s="74"/>
      <c r="AB580" s="74"/>
      <c r="AC580" s="74"/>
      <c r="AD580" s="74"/>
      <c r="AE580" s="12"/>
      <c r="AF580" s="12"/>
      <c r="AG580" s="12"/>
      <c r="AH580" s="180"/>
      <c r="AI580" s="180"/>
      <c r="AJ580" s="12"/>
      <c r="AK580" s="12"/>
      <c r="AL580" s="12"/>
      <c r="AM580" s="12"/>
    </row>
    <row r="581">
      <c r="A581" s="74"/>
      <c r="B581" s="12"/>
      <c r="C581" s="74"/>
      <c r="D581" s="12"/>
      <c r="E581" s="12"/>
      <c r="F581" s="74"/>
      <c r="G581" s="74"/>
      <c r="H581" s="179"/>
      <c r="I581" s="74"/>
      <c r="J581" s="74"/>
      <c r="K581" s="74"/>
      <c r="L581" s="74"/>
      <c r="M581" s="74"/>
      <c r="N581" s="179"/>
      <c r="O581" s="74"/>
      <c r="P581" s="74"/>
      <c r="Q581" s="74"/>
      <c r="R581" s="74"/>
      <c r="S581" s="74"/>
      <c r="T581" s="74"/>
      <c r="U581" s="74"/>
      <c r="V581" s="74"/>
      <c r="W581" s="74"/>
      <c r="X581" s="74"/>
      <c r="Y581" s="74"/>
      <c r="Z581" s="74"/>
      <c r="AA581" s="74"/>
      <c r="AB581" s="74"/>
      <c r="AC581" s="74"/>
      <c r="AD581" s="74"/>
      <c r="AE581" s="12"/>
      <c r="AF581" s="12"/>
      <c r="AG581" s="12"/>
      <c r="AH581" s="180"/>
      <c r="AI581" s="180"/>
      <c r="AJ581" s="12"/>
      <c r="AK581" s="12"/>
      <c r="AL581" s="12"/>
      <c r="AM581" s="12"/>
    </row>
    <row r="582">
      <c r="A582" s="74"/>
      <c r="B582" s="12"/>
      <c r="C582" s="74"/>
      <c r="D582" s="12"/>
      <c r="E582" s="12"/>
      <c r="F582" s="74"/>
      <c r="G582" s="74"/>
      <c r="H582" s="179"/>
      <c r="I582" s="74"/>
      <c r="J582" s="74"/>
      <c r="K582" s="74"/>
      <c r="L582" s="74"/>
      <c r="M582" s="74"/>
      <c r="N582" s="179"/>
      <c r="O582" s="74"/>
      <c r="P582" s="74"/>
      <c r="Q582" s="74"/>
      <c r="R582" s="74"/>
      <c r="S582" s="74"/>
      <c r="T582" s="74"/>
      <c r="U582" s="74"/>
      <c r="V582" s="74"/>
      <c r="W582" s="74"/>
      <c r="X582" s="74"/>
      <c r="Y582" s="74"/>
      <c r="Z582" s="74"/>
      <c r="AA582" s="74"/>
      <c r="AB582" s="74"/>
      <c r="AC582" s="74"/>
      <c r="AD582" s="74"/>
      <c r="AE582" s="12"/>
      <c r="AF582" s="12"/>
      <c r="AG582" s="12"/>
      <c r="AH582" s="180"/>
      <c r="AI582" s="180"/>
      <c r="AJ582" s="12"/>
      <c r="AK582" s="12"/>
      <c r="AL582" s="12"/>
      <c r="AM582" s="12"/>
    </row>
    <row r="583">
      <c r="A583" s="74"/>
      <c r="B583" s="12"/>
      <c r="C583" s="74"/>
      <c r="D583" s="12"/>
      <c r="E583" s="12"/>
      <c r="F583" s="74"/>
      <c r="G583" s="74"/>
      <c r="H583" s="179"/>
      <c r="I583" s="74"/>
      <c r="J583" s="74"/>
      <c r="K583" s="74"/>
      <c r="L583" s="74"/>
      <c r="M583" s="74"/>
      <c r="N583" s="179"/>
      <c r="O583" s="74"/>
      <c r="P583" s="74"/>
      <c r="Q583" s="74"/>
      <c r="R583" s="74"/>
      <c r="S583" s="74"/>
      <c r="T583" s="74"/>
      <c r="U583" s="74"/>
      <c r="V583" s="74"/>
      <c r="W583" s="74"/>
      <c r="X583" s="74"/>
      <c r="Y583" s="74"/>
      <c r="Z583" s="74"/>
      <c r="AA583" s="74"/>
      <c r="AB583" s="74"/>
      <c r="AC583" s="74"/>
      <c r="AD583" s="74"/>
      <c r="AE583" s="12"/>
      <c r="AF583" s="12"/>
      <c r="AG583" s="12"/>
      <c r="AH583" s="180"/>
      <c r="AI583" s="180"/>
      <c r="AJ583" s="12"/>
      <c r="AK583" s="12"/>
      <c r="AL583" s="12"/>
      <c r="AM583" s="12"/>
    </row>
    <row r="584">
      <c r="A584" s="74"/>
      <c r="B584" s="12"/>
      <c r="C584" s="74"/>
      <c r="D584" s="12"/>
      <c r="E584" s="12"/>
      <c r="F584" s="74"/>
      <c r="G584" s="74"/>
      <c r="H584" s="179"/>
      <c r="I584" s="74"/>
      <c r="J584" s="74"/>
      <c r="K584" s="74"/>
      <c r="L584" s="74"/>
      <c r="M584" s="74"/>
      <c r="N584" s="179"/>
      <c r="O584" s="74"/>
      <c r="P584" s="74"/>
      <c r="Q584" s="74"/>
      <c r="R584" s="74"/>
      <c r="S584" s="74"/>
      <c r="T584" s="74"/>
      <c r="U584" s="74"/>
      <c r="V584" s="74"/>
      <c r="W584" s="74"/>
      <c r="X584" s="74"/>
      <c r="Y584" s="74"/>
      <c r="Z584" s="74"/>
      <c r="AA584" s="74"/>
      <c r="AB584" s="74"/>
      <c r="AC584" s="74"/>
      <c r="AD584" s="74"/>
      <c r="AE584" s="12"/>
      <c r="AF584" s="12"/>
      <c r="AG584" s="12"/>
      <c r="AH584" s="180"/>
      <c r="AI584" s="180"/>
      <c r="AJ584" s="12"/>
      <c r="AK584" s="12"/>
      <c r="AL584" s="12"/>
      <c r="AM584" s="12"/>
    </row>
    <row r="585">
      <c r="A585" s="74"/>
      <c r="B585" s="12"/>
      <c r="C585" s="74"/>
      <c r="D585" s="12"/>
      <c r="E585" s="12"/>
      <c r="F585" s="74"/>
      <c r="G585" s="74"/>
      <c r="H585" s="179"/>
      <c r="I585" s="74"/>
      <c r="J585" s="74"/>
      <c r="K585" s="74"/>
      <c r="L585" s="74"/>
      <c r="M585" s="74"/>
      <c r="N585" s="179"/>
      <c r="O585" s="74"/>
      <c r="P585" s="74"/>
      <c r="Q585" s="74"/>
      <c r="R585" s="74"/>
      <c r="S585" s="74"/>
      <c r="T585" s="74"/>
      <c r="U585" s="74"/>
      <c r="V585" s="74"/>
      <c r="W585" s="74"/>
      <c r="X585" s="74"/>
      <c r="Y585" s="74"/>
      <c r="Z585" s="74"/>
      <c r="AA585" s="74"/>
      <c r="AB585" s="74"/>
      <c r="AC585" s="74"/>
      <c r="AD585" s="74"/>
      <c r="AE585" s="12"/>
      <c r="AF585" s="12"/>
      <c r="AG585" s="12"/>
      <c r="AH585" s="180"/>
      <c r="AI585" s="180"/>
      <c r="AJ585" s="12"/>
      <c r="AK585" s="12"/>
      <c r="AL585" s="12"/>
      <c r="AM585" s="12"/>
    </row>
    <row r="586">
      <c r="A586" s="74"/>
      <c r="B586" s="12"/>
      <c r="C586" s="74"/>
      <c r="D586" s="12"/>
      <c r="E586" s="12"/>
      <c r="F586" s="74"/>
      <c r="G586" s="74"/>
      <c r="H586" s="179"/>
      <c r="I586" s="74"/>
      <c r="J586" s="74"/>
      <c r="K586" s="74"/>
      <c r="L586" s="74"/>
      <c r="M586" s="74"/>
      <c r="N586" s="179"/>
      <c r="O586" s="74"/>
      <c r="P586" s="74"/>
      <c r="Q586" s="74"/>
      <c r="R586" s="74"/>
      <c r="S586" s="74"/>
      <c r="T586" s="74"/>
      <c r="U586" s="74"/>
      <c r="V586" s="74"/>
      <c r="W586" s="74"/>
      <c r="X586" s="74"/>
      <c r="Y586" s="74"/>
      <c r="Z586" s="74"/>
      <c r="AA586" s="74"/>
      <c r="AB586" s="74"/>
      <c r="AC586" s="74"/>
      <c r="AD586" s="74"/>
      <c r="AE586" s="12"/>
      <c r="AF586" s="12"/>
      <c r="AG586" s="12"/>
      <c r="AH586" s="180"/>
      <c r="AI586" s="180"/>
      <c r="AJ586" s="12"/>
      <c r="AK586" s="12"/>
      <c r="AL586" s="12"/>
      <c r="AM586" s="12"/>
    </row>
    <row r="587">
      <c r="A587" s="74"/>
      <c r="B587" s="12"/>
      <c r="C587" s="74"/>
      <c r="D587" s="12"/>
      <c r="E587" s="12"/>
      <c r="F587" s="74"/>
      <c r="G587" s="74"/>
      <c r="H587" s="179"/>
      <c r="I587" s="74"/>
      <c r="J587" s="74"/>
      <c r="K587" s="74"/>
      <c r="L587" s="74"/>
      <c r="M587" s="74"/>
      <c r="N587" s="179"/>
      <c r="O587" s="74"/>
      <c r="P587" s="74"/>
      <c r="Q587" s="74"/>
      <c r="R587" s="74"/>
      <c r="S587" s="74"/>
      <c r="T587" s="74"/>
      <c r="U587" s="74"/>
      <c r="V587" s="74"/>
      <c r="W587" s="74"/>
      <c r="X587" s="74"/>
      <c r="Y587" s="74"/>
      <c r="Z587" s="74"/>
      <c r="AA587" s="74"/>
      <c r="AB587" s="74"/>
      <c r="AC587" s="74"/>
      <c r="AD587" s="74"/>
      <c r="AE587" s="12"/>
      <c r="AF587" s="12"/>
      <c r="AG587" s="12"/>
      <c r="AH587" s="180"/>
      <c r="AI587" s="180"/>
      <c r="AJ587" s="12"/>
      <c r="AK587" s="12"/>
      <c r="AL587" s="12"/>
      <c r="AM587" s="12"/>
    </row>
    <row r="588">
      <c r="A588" s="74"/>
      <c r="B588" s="12"/>
      <c r="C588" s="74"/>
      <c r="D588" s="12"/>
      <c r="E588" s="12"/>
      <c r="F588" s="74"/>
      <c r="G588" s="74"/>
      <c r="H588" s="179"/>
      <c r="I588" s="74"/>
      <c r="J588" s="74"/>
      <c r="K588" s="74"/>
      <c r="L588" s="74"/>
      <c r="M588" s="74"/>
      <c r="N588" s="179"/>
      <c r="O588" s="74"/>
      <c r="P588" s="74"/>
      <c r="Q588" s="74"/>
      <c r="R588" s="74"/>
      <c r="S588" s="74"/>
      <c r="T588" s="74"/>
      <c r="U588" s="74"/>
      <c r="V588" s="74"/>
      <c r="W588" s="74"/>
      <c r="X588" s="74"/>
      <c r="Y588" s="74"/>
      <c r="Z588" s="74"/>
      <c r="AA588" s="74"/>
      <c r="AB588" s="74"/>
      <c r="AC588" s="74"/>
      <c r="AD588" s="74"/>
      <c r="AE588" s="12"/>
      <c r="AF588" s="12"/>
      <c r="AG588" s="12"/>
      <c r="AH588" s="180"/>
      <c r="AI588" s="180"/>
      <c r="AJ588" s="12"/>
      <c r="AK588" s="12"/>
      <c r="AL588" s="12"/>
      <c r="AM588" s="12"/>
    </row>
    <row r="589">
      <c r="A589" s="74"/>
      <c r="B589" s="12"/>
      <c r="C589" s="74"/>
      <c r="D589" s="12"/>
      <c r="E589" s="12"/>
      <c r="F589" s="74"/>
      <c r="G589" s="74"/>
      <c r="H589" s="179"/>
      <c r="I589" s="74"/>
      <c r="J589" s="74"/>
      <c r="K589" s="74"/>
      <c r="L589" s="74"/>
      <c r="M589" s="74"/>
      <c r="N589" s="179"/>
      <c r="O589" s="74"/>
      <c r="P589" s="74"/>
      <c r="Q589" s="74"/>
      <c r="R589" s="74"/>
      <c r="S589" s="74"/>
      <c r="T589" s="74"/>
      <c r="U589" s="74"/>
      <c r="V589" s="74"/>
      <c r="W589" s="74"/>
      <c r="X589" s="74"/>
      <c r="Y589" s="74"/>
      <c r="Z589" s="74"/>
      <c r="AA589" s="74"/>
      <c r="AB589" s="74"/>
      <c r="AC589" s="74"/>
      <c r="AD589" s="74"/>
      <c r="AE589" s="12"/>
      <c r="AF589" s="12"/>
      <c r="AG589" s="12"/>
      <c r="AH589" s="180"/>
      <c r="AI589" s="180"/>
      <c r="AJ589" s="12"/>
      <c r="AK589" s="12"/>
      <c r="AL589" s="12"/>
      <c r="AM589" s="12"/>
    </row>
    <row r="590">
      <c r="A590" s="74"/>
      <c r="B590" s="12"/>
      <c r="C590" s="74"/>
      <c r="D590" s="12"/>
      <c r="E590" s="12"/>
      <c r="F590" s="74"/>
      <c r="G590" s="74"/>
      <c r="H590" s="179"/>
      <c r="I590" s="74"/>
      <c r="J590" s="74"/>
      <c r="K590" s="74"/>
      <c r="L590" s="74"/>
      <c r="M590" s="74"/>
      <c r="N590" s="179"/>
      <c r="O590" s="74"/>
      <c r="P590" s="74"/>
      <c r="Q590" s="74"/>
      <c r="R590" s="74"/>
      <c r="S590" s="74"/>
      <c r="T590" s="74"/>
      <c r="U590" s="74"/>
      <c r="V590" s="74"/>
      <c r="W590" s="74"/>
      <c r="X590" s="74"/>
      <c r="Y590" s="74"/>
      <c r="Z590" s="74"/>
      <c r="AA590" s="74"/>
      <c r="AB590" s="74"/>
      <c r="AC590" s="74"/>
      <c r="AD590" s="74"/>
      <c r="AE590" s="12"/>
      <c r="AF590" s="12"/>
      <c r="AG590" s="12"/>
      <c r="AH590" s="180"/>
      <c r="AI590" s="180"/>
      <c r="AJ590" s="12"/>
      <c r="AK590" s="12"/>
      <c r="AL590" s="12"/>
      <c r="AM590" s="12"/>
    </row>
    <row r="591">
      <c r="A591" s="74"/>
      <c r="B591" s="12"/>
      <c r="C591" s="74"/>
      <c r="D591" s="12"/>
      <c r="E591" s="12"/>
      <c r="F591" s="74"/>
      <c r="G591" s="74"/>
      <c r="H591" s="179"/>
      <c r="I591" s="74"/>
      <c r="J591" s="74"/>
      <c r="K591" s="74"/>
      <c r="L591" s="74"/>
      <c r="M591" s="74"/>
      <c r="N591" s="179"/>
      <c r="O591" s="74"/>
      <c r="P591" s="74"/>
      <c r="Q591" s="74"/>
      <c r="R591" s="74"/>
      <c r="S591" s="74"/>
      <c r="T591" s="74"/>
      <c r="U591" s="74"/>
      <c r="V591" s="74"/>
      <c r="W591" s="74"/>
      <c r="X591" s="74"/>
      <c r="Y591" s="74"/>
      <c r="Z591" s="74"/>
      <c r="AA591" s="74"/>
      <c r="AB591" s="74"/>
      <c r="AC591" s="74"/>
      <c r="AD591" s="74"/>
      <c r="AE591" s="12"/>
      <c r="AF591" s="12"/>
      <c r="AG591" s="12"/>
      <c r="AH591" s="180"/>
      <c r="AI591" s="180"/>
      <c r="AJ591" s="12"/>
      <c r="AK591" s="12"/>
      <c r="AL591" s="12"/>
      <c r="AM591" s="12"/>
    </row>
    <row r="592">
      <c r="A592" s="74"/>
      <c r="B592" s="12"/>
      <c r="C592" s="74"/>
      <c r="D592" s="12"/>
      <c r="E592" s="12"/>
      <c r="F592" s="74"/>
      <c r="G592" s="74"/>
      <c r="H592" s="179"/>
      <c r="I592" s="74"/>
      <c r="J592" s="74"/>
      <c r="K592" s="74"/>
      <c r="L592" s="74"/>
      <c r="M592" s="74"/>
      <c r="N592" s="179"/>
      <c r="O592" s="74"/>
      <c r="P592" s="74"/>
      <c r="Q592" s="74"/>
      <c r="R592" s="74"/>
      <c r="S592" s="74"/>
      <c r="T592" s="74"/>
      <c r="U592" s="74"/>
      <c r="V592" s="74"/>
      <c r="W592" s="74"/>
      <c r="X592" s="74"/>
      <c r="Y592" s="74"/>
      <c r="Z592" s="74"/>
      <c r="AA592" s="74"/>
      <c r="AB592" s="74"/>
      <c r="AC592" s="74"/>
      <c r="AD592" s="74"/>
      <c r="AE592" s="12"/>
      <c r="AF592" s="12"/>
      <c r="AG592" s="12"/>
      <c r="AH592" s="180"/>
      <c r="AI592" s="180"/>
      <c r="AJ592" s="12"/>
      <c r="AK592" s="12"/>
      <c r="AL592" s="12"/>
      <c r="AM592" s="12"/>
    </row>
    <row r="593">
      <c r="A593" s="74"/>
      <c r="B593" s="12"/>
      <c r="C593" s="74"/>
      <c r="D593" s="12"/>
      <c r="E593" s="12"/>
      <c r="F593" s="74"/>
      <c r="G593" s="74"/>
      <c r="H593" s="179"/>
      <c r="I593" s="74"/>
      <c r="J593" s="74"/>
      <c r="K593" s="74"/>
      <c r="L593" s="74"/>
      <c r="M593" s="74"/>
      <c r="N593" s="179"/>
      <c r="O593" s="74"/>
      <c r="P593" s="74"/>
      <c r="Q593" s="74"/>
      <c r="R593" s="74"/>
      <c r="S593" s="74"/>
      <c r="T593" s="74"/>
      <c r="U593" s="74"/>
      <c r="V593" s="74"/>
      <c r="W593" s="74"/>
      <c r="X593" s="74"/>
      <c r="Y593" s="74"/>
      <c r="Z593" s="74"/>
      <c r="AA593" s="74"/>
      <c r="AB593" s="74"/>
      <c r="AC593" s="74"/>
      <c r="AD593" s="74"/>
      <c r="AE593" s="12"/>
      <c r="AF593" s="12"/>
      <c r="AG593" s="12"/>
      <c r="AH593" s="180"/>
      <c r="AI593" s="180"/>
      <c r="AJ593" s="12"/>
      <c r="AK593" s="12"/>
      <c r="AL593" s="12"/>
      <c r="AM593" s="12"/>
    </row>
    <row r="594">
      <c r="A594" s="74"/>
      <c r="B594" s="12"/>
      <c r="C594" s="74"/>
      <c r="D594" s="12"/>
      <c r="E594" s="12"/>
      <c r="F594" s="74"/>
      <c r="G594" s="74"/>
      <c r="H594" s="179"/>
      <c r="I594" s="74"/>
      <c r="J594" s="74"/>
      <c r="K594" s="74"/>
      <c r="L594" s="74"/>
      <c r="M594" s="74"/>
      <c r="N594" s="179"/>
      <c r="O594" s="74"/>
      <c r="P594" s="74"/>
      <c r="Q594" s="74"/>
      <c r="R594" s="74"/>
      <c r="S594" s="74"/>
      <c r="T594" s="74"/>
      <c r="U594" s="74"/>
      <c r="V594" s="74"/>
      <c r="W594" s="74"/>
      <c r="X594" s="74"/>
      <c r="Y594" s="74"/>
      <c r="Z594" s="74"/>
      <c r="AA594" s="74"/>
      <c r="AB594" s="74"/>
      <c r="AC594" s="74"/>
      <c r="AD594" s="74"/>
      <c r="AE594" s="12"/>
      <c r="AF594" s="12"/>
      <c r="AG594" s="12"/>
      <c r="AH594" s="180"/>
      <c r="AI594" s="180"/>
      <c r="AJ594" s="12"/>
      <c r="AK594" s="12"/>
      <c r="AL594" s="12"/>
      <c r="AM594" s="12"/>
    </row>
    <row r="595">
      <c r="A595" s="74"/>
      <c r="B595" s="12"/>
      <c r="C595" s="74"/>
      <c r="D595" s="12"/>
      <c r="E595" s="12"/>
      <c r="F595" s="74"/>
      <c r="G595" s="74"/>
      <c r="H595" s="179"/>
      <c r="I595" s="74"/>
      <c r="J595" s="74"/>
      <c r="K595" s="74"/>
      <c r="L595" s="74"/>
      <c r="M595" s="74"/>
      <c r="N595" s="179"/>
      <c r="O595" s="74"/>
      <c r="P595" s="74"/>
      <c r="Q595" s="74"/>
      <c r="R595" s="74"/>
      <c r="S595" s="74"/>
      <c r="T595" s="74"/>
      <c r="U595" s="74"/>
      <c r="V595" s="74"/>
      <c r="W595" s="74"/>
      <c r="X595" s="74"/>
      <c r="Y595" s="74"/>
      <c r="Z595" s="74"/>
      <c r="AA595" s="74"/>
      <c r="AB595" s="74"/>
      <c r="AC595" s="74"/>
      <c r="AD595" s="74"/>
      <c r="AE595" s="12"/>
      <c r="AF595" s="12"/>
      <c r="AG595" s="12"/>
      <c r="AH595" s="180"/>
      <c r="AI595" s="180"/>
      <c r="AJ595" s="12"/>
      <c r="AK595" s="12"/>
      <c r="AL595" s="12"/>
      <c r="AM595" s="12"/>
    </row>
    <row r="596">
      <c r="A596" s="74"/>
      <c r="B596" s="12"/>
      <c r="C596" s="74"/>
      <c r="D596" s="12"/>
      <c r="E596" s="12"/>
      <c r="F596" s="74"/>
      <c r="G596" s="74"/>
      <c r="H596" s="179"/>
      <c r="I596" s="74"/>
      <c r="J596" s="74"/>
      <c r="K596" s="74"/>
      <c r="L596" s="74"/>
      <c r="M596" s="74"/>
      <c r="N596" s="179"/>
      <c r="O596" s="74"/>
      <c r="P596" s="74"/>
      <c r="Q596" s="74"/>
      <c r="R596" s="74"/>
      <c r="S596" s="74"/>
      <c r="T596" s="74"/>
      <c r="U596" s="74"/>
      <c r="V596" s="74"/>
      <c r="W596" s="74"/>
      <c r="X596" s="74"/>
      <c r="Y596" s="74"/>
      <c r="Z596" s="74"/>
      <c r="AA596" s="74"/>
      <c r="AB596" s="74"/>
      <c r="AC596" s="74"/>
      <c r="AD596" s="74"/>
      <c r="AE596" s="12"/>
      <c r="AF596" s="12"/>
      <c r="AG596" s="12"/>
      <c r="AH596" s="180"/>
      <c r="AI596" s="180"/>
      <c r="AJ596" s="12"/>
      <c r="AK596" s="12"/>
      <c r="AL596" s="12"/>
      <c r="AM596" s="12"/>
    </row>
    <row r="597">
      <c r="A597" s="74"/>
      <c r="B597" s="12"/>
      <c r="C597" s="74"/>
      <c r="D597" s="12"/>
      <c r="E597" s="12"/>
      <c r="F597" s="74"/>
      <c r="G597" s="74"/>
      <c r="H597" s="179"/>
      <c r="I597" s="74"/>
      <c r="J597" s="74"/>
      <c r="K597" s="74"/>
      <c r="L597" s="74"/>
      <c r="M597" s="74"/>
      <c r="N597" s="179"/>
      <c r="O597" s="74"/>
      <c r="P597" s="74"/>
      <c r="Q597" s="74"/>
      <c r="R597" s="74"/>
      <c r="S597" s="74"/>
      <c r="T597" s="74"/>
      <c r="U597" s="74"/>
      <c r="V597" s="74"/>
      <c r="W597" s="74"/>
      <c r="X597" s="74"/>
      <c r="Y597" s="74"/>
      <c r="Z597" s="74"/>
      <c r="AA597" s="74"/>
      <c r="AB597" s="74"/>
      <c r="AC597" s="74"/>
      <c r="AD597" s="74"/>
      <c r="AE597" s="12"/>
      <c r="AF597" s="12"/>
      <c r="AG597" s="12"/>
      <c r="AH597" s="180"/>
      <c r="AI597" s="180"/>
      <c r="AJ597" s="12"/>
      <c r="AK597" s="12"/>
      <c r="AL597" s="12"/>
      <c r="AM597" s="12"/>
    </row>
    <row r="598">
      <c r="A598" s="74"/>
      <c r="B598" s="12"/>
      <c r="C598" s="74"/>
      <c r="D598" s="12"/>
      <c r="E598" s="12"/>
      <c r="F598" s="74"/>
      <c r="G598" s="74"/>
      <c r="H598" s="179"/>
      <c r="I598" s="74"/>
      <c r="J598" s="74"/>
      <c r="K598" s="74"/>
      <c r="L598" s="74"/>
      <c r="M598" s="74"/>
      <c r="N598" s="179"/>
      <c r="O598" s="74"/>
      <c r="P598" s="74"/>
      <c r="Q598" s="74"/>
      <c r="R598" s="74"/>
      <c r="S598" s="74"/>
      <c r="T598" s="74"/>
      <c r="U598" s="74"/>
      <c r="V598" s="74"/>
      <c r="W598" s="74"/>
      <c r="X598" s="74"/>
      <c r="Y598" s="74"/>
      <c r="Z598" s="74"/>
      <c r="AA598" s="74"/>
      <c r="AB598" s="74"/>
      <c r="AC598" s="74"/>
      <c r="AD598" s="74"/>
      <c r="AE598" s="12"/>
      <c r="AF598" s="12"/>
      <c r="AG598" s="12"/>
      <c r="AH598" s="180"/>
      <c r="AI598" s="180"/>
      <c r="AJ598" s="12"/>
      <c r="AK598" s="12"/>
      <c r="AL598" s="12"/>
      <c r="AM598" s="12"/>
    </row>
    <row r="599">
      <c r="A599" s="74"/>
      <c r="B599" s="12"/>
      <c r="C599" s="74"/>
      <c r="D599" s="12"/>
      <c r="E599" s="12"/>
      <c r="F599" s="74"/>
      <c r="G599" s="74"/>
      <c r="H599" s="179"/>
      <c r="I599" s="74"/>
      <c r="J599" s="74"/>
      <c r="K599" s="74"/>
      <c r="L599" s="74"/>
      <c r="M599" s="74"/>
      <c r="N599" s="179"/>
      <c r="O599" s="74"/>
      <c r="P599" s="74"/>
      <c r="Q599" s="74"/>
      <c r="R599" s="74"/>
      <c r="S599" s="74"/>
      <c r="T599" s="74"/>
      <c r="U599" s="74"/>
      <c r="V599" s="74"/>
      <c r="W599" s="74"/>
      <c r="X599" s="74"/>
      <c r="Y599" s="74"/>
      <c r="Z599" s="74"/>
      <c r="AA599" s="74"/>
      <c r="AB599" s="74"/>
      <c r="AC599" s="74"/>
      <c r="AD599" s="74"/>
      <c r="AE599" s="12"/>
      <c r="AF599" s="12"/>
      <c r="AG599" s="12"/>
      <c r="AH599" s="180"/>
      <c r="AI599" s="180"/>
      <c r="AJ599" s="12"/>
      <c r="AK599" s="12"/>
      <c r="AL599" s="12"/>
      <c r="AM599" s="12"/>
    </row>
    <row r="600">
      <c r="A600" s="74"/>
      <c r="B600" s="12"/>
      <c r="C600" s="74"/>
      <c r="D600" s="12"/>
      <c r="E600" s="12"/>
      <c r="F600" s="74"/>
      <c r="G600" s="74"/>
      <c r="H600" s="179"/>
      <c r="I600" s="74"/>
      <c r="J600" s="74"/>
      <c r="K600" s="74"/>
      <c r="L600" s="74"/>
      <c r="M600" s="74"/>
      <c r="N600" s="179"/>
      <c r="O600" s="74"/>
      <c r="P600" s="74"/>
      <c r="Q600" s="74"/>
      <c r="R600" s="74"/>
      <c r="S600" s="74"/>
      <c r="T600" s="74"/>
      <c r="U600" s="74"/>
      <c r="V600" s="74"/>
      <c r="W600" s="74"/>
      <c r="X600" s="74"/>
      <c r="Y600" s="74"/>
      <c r="Z600" s="74"/>
      <c r="AA600" s="74"/>
      <c r="AB600" s="74"/>
      <c r="AC600" s="74"/>
      <c r="AD600" s="74"/>
      <c r="AE600" s="12"/>
      <c r="AF600" s="12"/>
      <c r="AG600" s="12"/>
      <c r="AH600" s="180"/>
      <c r="AI600" s="180"/>
      <c r="AJ600" s="12"/>
      <c r="AK600" s="12"/>
      <c r="AL600" s="12"/>
      <c r="AM600" s="12"/>
    </row>
    <row r="601">
      <c r="A601" s="74"/>
      <c r="B601" s="12"/>
      <c r="C601" s="74"/>
      <c r="D601" s="12"/>
      <c r="E601" s="12"/>
      <c r="F601" s="74"/>
      <c r="G601" s="74"/>
      <c r="H601" s="179"/>
      <c r="I601" s="74"/>
      <c r="J601" s="74"/>
      <c r="K601" s="74"/>
      <c r="L601" s="74"/>
      <c r="M601" s="74"/>
      <c r="N601" s="179"/>
      <c r="O601" s="74"/>
      <c r="P601" s="74"/>
      <c r="Q601" s="74"/>
      <c r="R601" s="74"/>
      <c r="S601" s="74"/>
      <c r="T601" s="74"/>
      <c r="U601" s="74"/>
      <c r="V601" s="74"/>
      <c r="W601" s="74"/>
      <c r="X601" s="74"/>
      <c r="Y601" s="74"/>
      <c r="Z601" s="74"/>
      <c r="AA601" s="74"/>
      <c r="AB601" s="74"/>
      <c r="AC601" s="74"/>
      <c r="AD601" s="74"/>
      <c r="AE601" s="12"/>
      <c r="AF601" s="12"/>
      <c r="AG601" s="12"/>
      <c r="AH601" s="180"/>
      <c r="AI601" s="180"/>
      <c r="AJ601" s="12"/>
      <c r="AK601" s="12"/>
      <c r="AL601" s="12"/>
      <c r="AM601" s="12"/>
    </row>
    <row r="602">
      <c r="A602" s="74"/>
      <c r="B602" s="12"/>
      <c r="C602" s="74"/>
      <c r="D602" s="12"/>
      <c r="E602" s="12"/>
      <c r="F602" s="74"/>
      <c r="G602" s="74"/>
      <c r="H602" s="179"/>
      <c r="I602" s="74"/>
      <c r="J602" s="74"/>
      <c r="K602" s="74"/>
      <c r="L602" s="74"/>
      <c r="M602" s="74"/>
      <c r="N602" s="179"/>
      <c r="O602" s="74"/>
      <c r="P602" s="74"/>
      <c r="Q602" s="74"/>
      <c r="R602" s="74"/>
      <c r="S602" s="74"/>
      <c r="T602" s="74"/>
      <c r="U602" s="74"/>
      <c r="V602" s="74"/>
      <c r="W602" s="74"/>
      <c r="X602" s="74"/>
      <c r="Y602" s="74"/>
      <c r="Z602" s="74"/>
      <c r="AA602" s="74"/>
      <c r="AB602" s="74"/>
      <c r="AC602" s="74"/>
      <c r="AD602" s="74"/>
      <c r="AE602" s="12"/>
      <c r="AF602" s="12"/>
      <c r="AG602" s="12"/>
      <c r="AH602" s="180"/>
      <c r="AI602" s="180"/>
      <c r="AJ602" s="12"/>
      <c r="AK602" s="12"/>
      <c r="AL602" s="12"/>
      <c r="AM602" s="12"/>
    </row>
    <row r="603">
      <c r="A603" s="74"/>
      <c r="B603" s="12"/>
      <c r="C603" s="74"/>
      <c r="D603" s="12"/>
      <c r="E603" s="12"/>
      <c r="F603" s="74"/>
      <c r="G603" s="74"/>
      <c r="H603" s="179"/>
      <c r="I603" s="74"/>
      <c r="J603" s="74"/>
      <c r="K603" s="74"/>
      <c r="L603" s="74"/>
      <c r="M603" s="74"/>
      <c r="N603" s="179"/>
      <c r="O603" s="74"/>
      <c r="P603" s="74"/>
      <c r="Q603" s="74"/>
      <c r="R603" s="74"/>
      <c r="S603" s="74"/>
      <c r="T603" s="74"/>
      <c r="U603" s="74"/>
      <c r="V603" s="74"/>
      <c r="W603" s="74"/>
      <c r="X603" s="74"/>
      <c r="Y603" s="74"/>
      <c r="Z603" s="74"/>
      <c r="AA603" s="74"/>
      <c r="AB603" s="74"/>
      <c r="AC603" s="74"/>
      <c r="AD603" s="74"/>
      <c r="AE603" s="12"/>
      <c r="AF603" s="12"/>
      <c r="AG603" s="12"/>
      <c r="AH603" s="180"/>
      <c r="AI603" s="180"/>
      <c r="AJ603" s="12"/>
      <c r="AK603" s="12"/>
      <c r="AL603" s="12"/>
      <c r="AM603" s="12"/>
    </row>
    <row r="604">
      <c r="A604" s="74"/>
      <c r="B604" s="12"/>
      <c r="C604" s="74"/>
      <c r="D604" s="12"/>
      <c r="E604" s="12"/>
      <c r="F604" s="74"/>
      <c r="G604" s="74"/>
      <c r="H604" s="179"/>
      <c r="I604" s="74"/>
      <c r="J604" s="74"/>
      <c r="K604" s="74"/>
      <c r="L604" s="74"/>
      <c r="M604" s="74"/>
      <c r="N604" s="179"/>
      <c r="O604" s="74"/>
      <c r="P604" s="74"/>
      <c r="Q604" s="74"/>
      <c r="R604" s="74"/>
      <c r="S604" s="74"/>
      <c r="T604" s="74"/>
      <c r="U604" s="74"/>
      <c r="V604" s="74"/>
      <c r="W604" s="74"/>
      <c r="X604" s="74"/>
      <c r="Y604" s="74"/>
      <c r="Z604" s="74"/>
      <c r="AA604" s="74"/>
      <c r="AB604" s="74"/>
      <c r="AC604" s="74"/>
      <c r="AD604" s="74"/>
      <c r="AE604" s="12"/>
      <c r="AF604" s="12"/>
      <c r="AG604" s="12"/>
      <c r="AH604" s="180"/>
      <c r="AI604" s="180"/>
      <c r="AJ604" s="12"/>
      <c r="AK604" s="12"/>
      <c r="AL604" s="12"/>
      <c r="AM604" s="12"/>
    </row>
    <row r="605">
      <c r="A605" s="74"/>
      <c r="B605" s="12"/>
      <c r="C605" s="74"/>
      <c r="D605" s="12"/>
      <c r="E605" s="12"/>
      <c r="F605" s="74"/>
      <c r="G605" s="74"/>
      <c r="H605" s="179"/>
      <c r="I605" s="74"/>
      <c r="J605" s="74"/>
      <c r="K605" s="74"/>
      <c r="L605" s="74"/>
      <c r="M605" s="74"/>
      <c r="N605" s="179"/>
      <c r="O605" s="74"/>
      <c r="P605" s="74"/>
      <c r="Q605" s="74"/>
      <c r="R605" s="74"/>
      <c r="S605" s="74"/>
      <c r="T605" s="74"/>
      <c r="U605" s="74"/>
      <c r="V605" s="74"/>
      <c r="W605" s="74"/>
      <c r="X605" s="74"/>
      <c r="Y605" s="74"/>
      <c r="Z605" s="74"/>
      <c r="AA605" s="74"/>
      <c r="AB605" s="74"/>
      <c r="AC605" s="74"/>
      <c r="AD605" s="74"/>
      <c r="AE605" s="12"/>
      <c r="AF605" s="12"/>
      <c r="AG605" s="12"/>
      <c r="AH605" s="180"/>
      <c r="AI605" s="180"/>
      <c r="AJ605" s="12"/>
      <c r="AK605" s="12"/>
      <c r="AL605" s="12"/>
      <c r="AM605" s="12"/>
    </row>
    <row r="606">
      <c r="A606" s="74"/>
      <c r="B606" s="12"/>
      <c r="C606" s="74"/>
      <c r="D606" s="12"/>
      <c r="E606" s="12"/>
      <c r="F606" s="74"/>
      <c r="G606" s="74"/>
      <c r="H606" s="179"/>
      <c r="I606" s="74"/>
      <c r="J606" s="74"/>
      <c r="K606" s="74"/>
      <c r="L606" s="74"/>
      <c r="M606" s="74"/>
      <c r="N606" s="179"/>
      <c r="O606" s="74"/>
      <c r="P606" s="74"/>
      <c r="Q606" s="74"/>
      <c r="R606" s="74"/>
      <c r="S606" s="74"/>
      <c r="T606" s="74"/>
      <c r="U606" s="74"/>
      <c r="V606" s="74"/>
      <c r="W606" s="74"/>
      <c r="X606" s="74"/>
      <c r="Y606" s="74"/>
      <c r="Z606" s="74"/>
      <c r="AA606" s="74"/>
      <c r="AB606" s="74"/>
      <c r="AC606" s="74"/>
      <c r="AD606" s="74"/>
      <c r="AE606" s="12"/>
      <c r="AF606" s="12"/>
      <c r="AG606" s="12"/>
      <c r="AH606" s="180"/>
      <c r="AI606" s="180"/>
      <c r="AJ606" s="12"/>
      <c r="AK606" s="12"/>
      <c r="AL606" s="12"/>
      <c r="AM606" s="12"/>
    </row>
    <row r="607">
      <c r="A607" s="74"/>
      <c r="B607" s="12"/>
      <c r="C607" s="74"/>
      <c r="D607" s="12"/>
      <c r="E607" s="12"/>
      <c r="F607" s="74"/>
      <c r="G607" s="74"/>
      <c r="H607" s="179"/>
      <c r="I607" s="74"/>
      <c r="J607" s="74"/>
      <c r="K607" s="74"/>
      <c r="L607" s="74"/>
      <c r="M607" s="74"/>
      <c r="N607" s="179"/>
      <c r="O607" s="74"/>
      <c r="P607" s="74"/>
      <c r="Q607" s="74"/>
      <c r="R607" s="74"/>
      <c r="S607" s="74"/>
      <c r="T607" s="74"/>
      <c r="U607" s="74"/>
      <c r="V607" s="74"/>
      <c r="W607" s="74"/>
      <c r="X607" s="74"/>
      <c r="Y607" s="74"/>
      <c r="Z607" s="74"/>
      <c r="AA607" s="74"/>
      <c r="AB607" s="74"/>
      <c r="AC607" s="74"/>
      <c r="AD607" s="74"/>
      <c r="AE607" s="12"/>
      <c r="AF607" s="12"/>
      <c r="AG607" s="12"/>
      <c r="AH607" s="180"/>
      <c r="AI607" s="180"/>
      <c r="AJ607" s="12"/>
      <c r="AK607" s="12"/>
      <c r="AL607" s="12"/>
      <c r="AM607" s="12"/>
    </row>
    <row r="608">
      <c r="A608" s="74"/>
      <c r="B608" s="12"/>
      <c r="C608" s="74"/>
      <c r="D608" s="12"/>
      <c r="E608" s="12"/>
      <c r="F608" s="74"/>
      <c r="G608" s="74"/>
      <c r="H608" s="179"/>
      <c r="I608" s="74"/>
      <c r="J608" s="74"/>
      <c r="K608" s="74"/>
      <c r="L608" s="74"/>
      <c r="M608" s="74"/>
      <c r="N608" s="179"/>
      <c r="O608" s="74"/>
      <c r="P608" s="74"/>
      <c r="Q608" s="74"/>
      <c r="R608" s="74"/>
      <c r="S608" s="74"/>
      <c r="T608" s="74"/>
      <c r="U608" s="74"/>
      <c r="V608" s="74"/>
      <c r="W608" s="74"/>
      <c r="X608" s="74"/>
      <c r="Y608" s="74"/>
      <c r="Z608" s="74"/>
      <c r="AA608" s="74"/>
      <c r="AB608" s="74"/>
      <c r="AC608" s="74"/>
      <c r="AD608" s="74"/>
      <c r="AE608" s="12"/>
      <c r="AF608" s="12"/>
      <c r="AG608" s="12"/>
      <c r="AH608" s="180"/>
      <c r="AI608" s="180"/>
      <c r="AJ608" s="12"/>
      <c r="AK608" s="12"/>
      <c r="AL608" s="12"/>
      <c r="AM608" s="12"/>
    </row>
    <row r="609">
      <c r="A609" s="74"/>
      <c r="B609" s="12"/>
      <c r="C609" s="74"/>
      <c r="D609" s="12"/>
      <c r="E609" s="12"/>
      <c r="F609" s="74"/>
      <c r="G609" s="74"/>
      <c r="H609" s="179"/>
      <c r="I609" s="74"/>
      <c r="J609" s="74"/>
      <c r="K609" s="74"/>
      <c r="L609" s="74"/>
      <c r="M609" s="74"/>
      <c r="N609" s="179"/>
      <c r="O609" s="74"/>
      <c r="P609" s="74"/>
      <c r="Q609" s="74"/>
      <c r="R609" s="74"/>
      <c r="S609" s="74"/>
      <c r="T609" s="74"/>
      <c r="U609" s="74"/>
      <c r="V609" s="74"/>
      <c r="W609" s="74"/>
      <c r="X609" s="74"/>
      <c r="Y609" s="74"/>
      <c r="Z609" s="74"/>
      <c r="AA609" s="74"/>
      <c r="AB609" s="74"/>
      <c r="AC609" s="74"/>
      <c r="AD609" s="74"/>
      <c r="AE609" s="12"/>
      <c r="AF609" s="12"/>
      <c r="AG609" s="12"/>
      <c r="AH609" s="180"/>
      <c r="AI609" s="180"/>
      <c r="AJ609" s="12"/>
      <c r="AK609" s="12"/>
      <c r="AL609" s="12"/>
      <c r="AM609" s="12"/>
    </row>
    <row r="610">
      <c r="A610" s="74"/>
      <c r="B610" s="12"/>
      <c r="C610" s="74"/>
      <c r="D610" s="12"/>
      <c r="E610" s="12"/>
      <c r="F610" s="74"/>
      <c r="G610" s="74"/>
      <c r="H610" s="179"/>
      <c r="I610" s="74"/>
      <c r="J610" s="74"/>
      <c r="K610" s="74"/>
      <c r="L610" s="74"/>
      <c r="M610" s="74"/>
      <c r="N610" s="179"/>
      <c r="O610" s="74"/>
      <c r="P610" s="74"/>
      <c r="Q610" s="74"/>
      <c r="R610" s="74"/>
      <c r="S610" s="74"/>
      <c r="T610" s="74"/>
      <c r="U610" s="74"/>
      <c r="V610" s="74"/>
      <c r="W610" s="74"/>
      <c r="X610" s="74"/>
      <c r="Y610" s="74"/>
      <c r="Z610" s="74"/>
      <c r="AA610" s="74"/>
      <c r="AB610" s="74"/>
      <c r="AC610" s="74"/>
      <c r="AD610" s="74"/>
      <c r="AE610" s="12"/>
      <c r="AF610" s="12"/>
      <c r="AG610" s="12"/>
      <c r="AH610" s="180"/>
      <c r="AI610" s="180"/>
      <c r="AJ610" s="12"/>
      <c r="AK610" s="12"/>
      <c r="AL610" s="12"/>
      <c r="AM610" s="12"/>
    </row>
    <row r="611">
      <c r="A611" s="74"/>
      <c r="B611" s="12"/>
      <c r="C611" s="74"/>
      <c r="D611" s="12"/>
      <c r="E611" s="12"/>
      <c r="F611" s="74"/>
      <c r="G611" s="74"/>
      <c r="H611" s="179"/>
      <c r="I611" s="74"/>
      <c r="J611" s="74"/>
      <c r="K611" s="74"/>
      <c r="L611" s="74"/>
      <c r="M611" s="74"/>
      <c r="N611" s="179"/>
      <c r="O611" s="74"/>
      <c r="P611" s="74"/>
      <c r="Q611" s="74"/>
      <c r="R611" s="74"/>
      <c r="S611" s="74"/>
      <c r="T611" s="74"/>
      <c r="U611" s="74"/>
      <c r="V611" s="74"/>
      <c r="W611" s="74"/>
      <c r="X611" s="74"/>
      <c r="Y611" s="74"/>
      <c r="Z611" s="74"/>
      <c r="AA611" s="74"/>
      <c r="AB611" s="74"/>
      <c r="AC611" s="74"/>
      <c r="AD611" s="74"/>
      <c r="AE611" s="12"/>
      <c r="AF611" s="12"/>
      <c r="AG611" s="12"/>
      <c r="AH611" s="180"/>
      <c r="AI611" s="180"/>
      <c r="AJ611" s="12"/>
      <c r="AK611" s="12"/>
      <c r="AL611" s="12"/>
      <c r="AM611" s="12"/>
    </row>
    <row r="612">
      <c r="A612" s="74"/>
      <c r="B612" s="12"/>
      <c r="C612" s="74"/>
      <c r="D612" s="12"/>
      <c r="E612" s="12"/>
      <c r="F612" s="74"/>
      <c r="G612" s="74"/>
      <c r="H612" s="179"/>
      <c r="I612" s="74"/>
      <c r="J612" s="74"/>
      <c r="K612" s="74"/>
      <c r="L612" s="74"/>
      <c r="M612" s="74"/>
      <c r="N612" s="179"/>
      <c r="O612" s="74"/>
      <c r="P612" s="74"/>
      <c r="Q612" s="74"/>
      <c r="R612" s="74"/>
      <c r="S612" s="74"/>
      <c r="T612" s="74"/>
      <c r="U612" s="74"/>
      <c r="V612" s="74"/>
      <c r="W612" s="74"/>
      <c r="X612" s="74"/>
      <c r="Y612" s="74"/>
      <c r="Z612" s="74"/>
      <c r="AA612" s="74"/>
      <c r="AB612" s="74"/>
      <c r="AC612" s="74"/>
      <c r="AD612" s="74"/>
      <c r="AE612" s="12"/>
      <c r="AF612" s="12"/>
      <c r="AG612" s="12"/>
      <c r="AH612" s="180"/>
      <c r="AI612" s="180"/>
      <c r="AJ612" s="12"/>
      <c r="AK612" s="12"/>
      <c r="AL612" s="12"/>
      <c r="AM612" s="12"/>
    </row>
    <row r="613">
      <c r="A613" s="74"/>
      <c r="B613" s="12"/>
      <c r="C613" s="74"/>
      <c r="D613" s="12"/>
      <c r="E613" s="12"/>
      <c r="F613" s="74"/>
      <c r="G613" s="74"/>
      <c r="H613" s="179"/>
      <c r="I613" s="74"/>
      <c r="J613" s="74"/>
      <c r="K613" s="74"/>
      <c r="L613" s="74"/>
      <c r="M613" s="74"/>
      <c r="N613" s="179"/>
      <c r="O613" s="74"/>
      <c r="P613" s="74"/>
      <c r="Q613" s="74"/>
      <c r="R613" s="74"/>
      <c r="S613" s="74"/>
      <c r="T613" s="74"/>
      <c r="U613" s="74"/>
      <c r="V613" s="74"/>
      <c r="W613" s="74"/>
      <c r="X613" s="74"/>
      <c r="Y613" s="74"/>
      <c r="Z613" s="74"/>
      <c r="AA613" s="74"/>
      <c r="AB613" s="74"/>
      <c r="AC613" s="74"/>
      <c r="AD613" s="74"/>
      <c r="AE613" s="12"/>
      <c r="AF613" s="12"/>
      <c r="AG613" s="12"/>
      <c r="AH613" s="180"/>
      <c r="AI613" s="180"/>
      <c r="AJ613" s="12"/>
      <c r="AK613" s="12"/>
      <c r="AL613" s="12"/>
      <c r="AM613" s="12"/>
    </row>
    <row r="614">
      <c r="A614" s="74"/>
      <c r="B614" s="12"/>
      <c r="C614" s="74"/>
      <c r="D614" s="12"/>
      <c r="E614" s="12"/>
      <c r="F614" s="74"/>
      <c r="G614" s="74"/>
      <c r="H614" s="179"/>
      <c r="I614" s="74"/>
      <c r="J614" s="74"/>
      <c r="K614" s="74"/>
      <c r="L614" s="74"/>
      <c r="M614" s="74"/>
      <c r="N614" s="179"/>
      <c r="O614" s="74"/>
      <c r="P614" s="74"/>
      <c r="Q614" s="74"/>
      <c r="R614" s="74"/>
      <c r="S614" s="74"/>
      <c r="T614" s="74"/>
      <c r="U614" s="74"/>
      <c r="V614" s="74"/>
      <c r="W614" s="74"/>
      <c r="X614" s="74"/>
      <c r="Y614" s="74"/>
      <c r="Z614" s="74"/>
      <c r="AA614" s="74"/>
      <c r="AB614" s="74"/>
      <c r="AC614" s="74"/>
      <c r="AD614" s="74"/>
      <c r="AE614" s="12"/>
      <c r="AF614" s="12"/>
      <c r="AG614" s="12"/>
      <c r="AH614" s="180"/>
      <c r="AI614" s="180"/>
      <c r="AJ614" s="12"/>
      <c r="AK614" s="12"/>
      <c r="AL614" s="12"/>
      <c r="AM614" s="12"/>
    </row>
    <row r="615">
      <c r="A615" s="74"/>
      <c r="B615" s="12"/>
      <c r="C615" s="74"/>
      <c r="D615" s="12"/>
      <c r="E615" s="12"/>
      <c r="F615" s="74"/>
      <c r="G615" s="74"/>
      <c r="H615" s="179"/>
      <c r="I615" s="74"/>
      <c r="J615" s="74"/>
      <c r="K615" s="74"/>
      <c r="L615" s="74"/>
      <c r="M615" s="74"/>
      <c r="N615" s="179"/>
      <c r="O615" s="74"/>
      <c r="P615" s="74"/>
      <c r="Q615" s="74"/>
      <c r="R615" s="74"/>
      <c r="S615" s="74"/>
      <c r="T615" s="74"/>
      <c r="U615" s="74"/>
      <c r="V615" s="74"/>
      <c r="W615" s="74"/>
      <c r="X615" s="74"/>
      <c r="Y615" s="74"/>
      <c r="Z615" s="74"/>
      <c r="AA615" s="74"/>
      <c r="AB615" s="74"/>
      <c r="AC615" s="74"/>
      <c r="AD615" s="74"/>
      <c r="AE615" s="12"/>
      <c r="AF615" s="12"/>
      <c r="AG615" s="12"/>
      <c r="AH615" s="180"/>
      <c r="AI615" s="180"/>
      <c r="AJ615" s="12"/>
      <c r="AK615" s="12"/>
      <c r="AL615" s="12"/>
      <c r="AM615" s="12"/>
    </row>
    <row r="616">
      <c r="A616" s="74"/>
      <c r="B616" s="12"/>
      <c r="C616" s="74"/>
      <c r="D616" s="12"/>
      <c r="E616" s="12"/>
      <c r="F616" s="74"/>
      <c r="G616" s="74"/>
      <c r="H616" s="179"/>
      <c r="I616" s="74"/>
      <c r="J616" s="74"/>
      <c r="K616" s="74"/>
      <c r="L616" s="74"/>
      <c r="M616" s="74"/>
      <c r="N616" s="179"/>
      <c r="O616" s="74"/>
      <c r="P616" s="74"/>
      <c r="Q616" s="74"/>
      <c r="R616" s="74"/>
      <c r="S616" s="74"/>
      <c r="T616" s="74"/>
      <c r="U616" s="74"/>
      <c r="V616" s="74"/>
      <c r="W616" s="74"/>
      <c r="X616" s="74"/>
      <c r="Y616" s="74"/>
      <c r="Z616" s="74"/>
      <c r="AA616" s="74"/>
      <c r="AB616" s="74"/>
      <c r="AC616" s="74"/>
      <c r="AD616" s="74"/>
      <c r="AE616" s="12"/>
      <c r="AF616" s="12"/>
      <c r="AG616" s="12"/>
      <c r="AH616" s="180"/>
      <c r="AI616" s="180"/>
      <c r="AJ616" s="12"/>
      <c r="AK616" s="12"/>
      <c r="AL616" s="12"/>
      <c r="AM616" s="12"/>
    </row>
    <row r="617">
      <c r="A617" s="74"/>
      <c r="B617" s="12"/>
      <c r="C617" s="74"/>
      <c r="D617" s="12"/>
      <c r="E617" s="12"/>
      <c r="F617" s="74"/>
      <c r="G617" s="74"/>
      <c r="H617" s="179"/>
      <c r="I617" s="74"/>
      <c r="J617" s="74"/>
      <c r="K617" s="74"/>
      <c r="L617" s="74"/>
      <c r="M617" s="74"/>
      <c r="N617" s="179"/>
      <c r="O617" s="74"/>
      <c r="P617" s="74"/>
      <c r="Q617" s="74"/>
      <c r="R617" s="74"/>
      <c r="S617" s="74"/>
      <c r="T617" s="74"/>
      <c r="U617" s="74"/>
      <c r="V617" s="74"/>
      <c r="W617" s="74"/>
      <c r="X617" s="74"/>
      <c r="Y617" s="74"/>
      <c r="Z617" s="74"/>
      <c r="AA617" s="74"/>
      <c r="AB617" s="74"/>
      <c r="AC617" s="74"/>
      <c r="AD617" s="74"/>
      <c r="AE617" s="12"/>
      <c r="AF617" s="12"/>
      <c r="AG617" s="12"/>
      <c r="AH617" s="180"/>
      <c r="AI617" s="180"/>
      <c r="AJ617" s="12"/>
      <c r="AK617" s="12"/>
      <c r="AL617" s="12"/>
      <c r="AM617" s="12"/>
    </row>
    <row r="618">
      <c r="A618" s="74"/>
      <c r="B618" s="12"/>
      <c r="C618" s="74"/>
      <c r="D618" s="12"/>
      <c r="E618" s="12"/>
      <c r="F618" s="74"/>
      <c r="G618" s="74"/>
      <c r="H618" s="179"/>
      <c r="I618" s="74"/>
      <c r="J618" s="74"/>
      <c r="K618" s="74"/>
      <c r="L618" s="74"/>
      <c r="M618" s="74"/>
      <c r="N618" s="179"/>
      <c r="O618" s="74"/>
      <c r="P618" s="74"/>
      <c r="Q618" s="74"/>
      <c r="R618" s="74"/>
      <c r="S618" s="74"/>
      <c r="T618" s="74"/>
      <c r="U618" s="74"/>
      <c r="V618" s="74"/>
      <c r="W618" s="74"/>
      <c r="X618" s="74"/>
      <c r="Y618" s="74"/>
      <c r="Z618" s="74"/>
      <c r="AA618" s="74"/>
      <c r="AB618" s="74"/>
      <c r="AC618" s="74"/>
      <c r="AD618" s="74"/>
      <c r="AE618" s="12"/>
      <c r="AF618" s="12"/>
      <c r="AG618" s="12"/>
      <c r="AH618" s="180"/>
      <c r="AI618" s="180"/>
      <c r="AJ618" s="12"/>
      <c r="AK618" s="12"/>
      <c r="AL618" s="12"/>
      <c r="AM618" s="12"/>
    </row>
    <row r="619">
      <c r="A619" s="74"/>
      <c r="B619" s="12"/>
      <c r="C619" s="74"/>
      <c r="D619" s="12"/>
      <c r="E619" s="12"/>
      <c r="F619" s="74"/>
      <c r="G619" s="74"/>
      <c r="H619" s="179"/>
      <c r="I619" s="74"/>
      <c r="J619" s="74"/>
      <c r="K619" s="74"/>
      <c r="L619" s="74"/>
      <c r="M619" s="74"/>
      <c r="N619" s="179"/>
      <c r="O619" s="74"/>
      <c r="P619" s="74"/>
      <c r="Q619" s="74"/>
      <c r="R619" s="74"/>
      <c r="S619" s="74"/>
      <c r="T619" s="74"/>
      <c r="U619" s="74"/>
      <c r="V619" s="74"/>
      <c r="W619" s="74"/>
      <c r="X619" s="74"/>
      <c r="Y619" s="74"/>
      <c r="Z619" s="74"/>
      <c r="AA619" s="74"/>
      <c r="AB619" s="74"/>
      <c r="AC619" s="74"/>
      <c r="AD619" s="74"/>
      <c r="AE619" s="12"/>
      <c r="AF619" s="12"/>
      <c r="AG619" s="12"/>
      <c r="AH619" s="180"/>
      <c r="AI619" s="180"/>
      <c r="AJ619" s="12"/>
      <c r="AK619" s="12"/>
      <c r="AL619" s="12"/>
      <c r="AM619" s="12"/>
    </row>
    <row r="620">
      <c r="A620" s="74"/>
      <c r="B620" s="12"/>
      <c r="C620" s="74"/>
      <c r="D620" s="12"/>
      <c r="E620" s="12"/>
      <c r="F620" s="74"/>
      <c r="G620" s="74"/>
      <c r="H620" s="179"/>
      <c r="I620" s="74"/>
      <c r="J620" s="74"/>
      <c r="K620" s="74"/>
      <c r="L620" s="74"/>
      <c r="M620" s="74"/>
      <c r="N620" s="179"/>
      <c r="O620" s="74"/>
      <c r="P620" s="74"/>
      <c r="Q620" s="74"/>
      <c r="R620" s="74"/>
      <c r="S620" s="74"/>
      <c r="T620" s="74"/>
      <c r="U620" s="74"/>
      <c r="V620" s="74"/>
      <c r="W620" s="74"/>
      <c r="X620" s="74"/>
      <c r="Y620" s="74"/>
      <c r="Z620" s="74"/>
      <c r="AA620" s="74"/>
      <c r="AB620" s="74"/>
      <c r="AC620" s="74"/>
      <c r="AD620" s="74"/>
      <c r="AE620" s="12"/>
      <c r="AF620" s="12"/>
      <c r="AG620" s="12"/>
      <c r="AH620" s="180"/>
      <c r="AI620" s="180"/>
      <c r="AJ620" s="12"/>
      <c r="AK620" s="12"/>
      <c r="AL620" s="12"/>
      <c r="AM620" s="12"/>
    </row>
    <row r="621">
      <c r="A621" s="74"/>
      <c r="B621" s="12"/>
      <c r="C621" s="74"/>
      <c r="D621" s="12"/>
      <c r="E621" s="12"/>
      <c r="F621" s="74"/>
      <c r="G621" s="74"/>
      <c r="H621" s="179"/>
      <c r="I621" s="74"/>
      <c r="J621" s="74"/>
      <c r="K621" s="74"/>
      <c r="L621" s="74"/>
      <c r="M621" s="74"/>
      <c r="N621" s="179"/>
      <c r="O621" s="74"/>
      <c r="P621" s="74"/>
      <c r="Q621" s="74"/>
      <c r="R621" s="74"/>
      <c r="S621" s="74"/>
      <c r="T621" s="74"/>
      <c r="U621" s="74"/>
      <c r="V621" s="74"/>
      <c r="W621" s="74"/>
      <c r="X621" s="74"/>
      <c r="Y621" s="74"/>
      <c r="Z621" s="74"/>
      <c r="AA621" s="74"/>
      <c r="AB621" s="74"/>
      <c r="AC621" s="74"/>
      <c r="AD621" s="74"/>
      <c r="AE621" s="12"/>
      <c r="AF621" s="12"/>
      <c r="AG621" s="12"/>
      <c r="AH621" s="180"/>
      <c r="AI621" s="180"/>
      <c r="AJ621" s="12"/>
      <c r="AK621" s="12"/>
      <c r="AL621" s="12"/>
      <c r="AM621" s="12"/>
    </row>
    <row r="622">
      <c r="A622" s="74"/>
      <c r="B622" s="12"/>
      <c r="C622" s="74"/>
      <c r="D622" s="12"/>
      <c r="E622" s="12"/>
      <c r="F622" s="74"/>
      <c r="G622" s="74"/>
      <c r="H622" s="179"/>
      <c r="I622" s="74"/>
      <c r="J622" s="74"/>
      <c r="K622" s="74"/>
      <c r="L622" s="74"/>
      <c r="M622" s="74"/>
      <c r="N622" s="179"/>
      <c r="O622" s="74"/>
      <c r="P622" s="74"/>
      <c r="Q622" s="74"/>
      <c r="R622" s="74"/>
      <c r="S622" s="74"/>
      <c r="T622" s="74"/>
      <c r="U622" s="74"/>
      <c r="V622" s="74"/>
      <c r="W622" s="74"/>
      <c r="X622" s="74"/>
      <c r="Y622" s="74"/>
      <c r="Z622" s="74"/>
      <c r="AA622" s="74"/>
      <c r="AB622" s="74"/>
      <c r="AC622" s="74"/>
      <c r="AD622" s="74"/>
      <c r="AE622" s="12"/>
      <c r="AF622" s="12"/>
      <c r="AG622" s="12"/>
      <c r="AH622" s="180"/>
      <c r="AI622" s="180"/>
      <c r="AJ622" s="12"/>
      <c r="AK622" s="12"/>
      <c r="AL622" s="12"/>
      <c r="AM622" s="12"/>
    </row>
    <row r="623">
      <c r="A623" s="74"/>
      <c r="B623" s="12"/>
      <c r="C623" s="74"/>
      <c r="D623" s="12"/>
      <c r="E623" s="12"/>
      <c r="F623" s="74"/>
      <c r="G623" s="74"/>
      <c r="H623" s="179"/>
      <c r="I623" s="74"/>
      <c r="J623" s="74"/>
      <c r="K623" s="74"/>
      <c r="L623" s="74"/>
      <c r="M623" s="74"/>
      <c r="N623" s="179"/>
      <c r="O623" s="74"/>
      <c r="P623" s="74"/>
      <c r="Q623" s="74"/>
      <c r="R623" s="74"/>
      <c r="S623" s="74"/>
      <c r="T623" s="74"/>
      <c r="U623" s="74"/>
      <c r="V623" s="74"/>
      <c r="W623" s="74"/>
      <c r="X623" s="74"/>
      <c r="Y623" s="74"/>
      <c r="Z623" s="74"/>
      <c r="AA623" s="74"/>
      <c r="AB623" s="74"/>
      <c r="AC623" s="74"/>
      <c r="AD623" s="74"/>
      <c r="AE623" s="12"/>
      <c r="AF623" s="12"/>
      <c r="AG623" s="12"/>
      <c r="AH623" s="180"/>
      <c r="AI623" s="180"/>
      <c r="AJ623" s="12"/>
      <c r="AK623" s="12"/>
      <c r="AL623" s="12"/>
      <c r="AM623" s="12"/>
    </row>
    <row r="624">
      <c r="A624" s="74"/>
      <c r="B624" s="12"/>
      <c r="C624" s="74"/>
      <c r="D624" s="12"/>
      <c r="E624" s="12"/>
      <c r="F624" s="74"/>
      <c r="G624" s="74"/>
      <c r="H624" s="179"/>
      <c r="I624" s="74"/>
      <c r="J624" s="74"/>
      <c r="K624" s="74"/>
      <c r="L624" s="74"/>
      <c r="M624" s="74"/>
      <c r="N624" s="179"/>
      <c r="O624" s="74"/>
      <c r="P624" s="74"/>
      <c r="Q624" s="74"/>
      <c r="R624" s="74"/>
      <c r="S624" s="74"/>
      <c r="T624" s="74"/>
      <c r="U624" s="74"/>
      <c r="V624" s="74"/>
      <c r="W624" s="74"/>
      <c r="X624" s="74"/>
      <c r="Y624" s="74"/>
      <c r="Z624" s="74"/>
      <c r="AA624" s="74"/>
      <c r="AB624" s="74"/>
      <c r="AC624" s="74"/>
      <c r="AD624" s="74"/>
      <c r="AE624" s="12"/>
      <c r="AF624" s="12"/>
      <c r="AG624" s="12"/>
      <c r="AH624" s="180"/>
      <c r="AI624" s="180"/>
      <c r="AJ624" s="12"/>
      <c r="AK624" s="12"/>
      <c r="AL624" s="12"/>
      <c r="AM624" s="12"/>
    </row>
    <row r="625">
      <c r="A625" s="74"/>
      <c r="B625" s="12"/>
      <c r="C625" s="74"/>
      <c r="D625" s="12"/>
      <c r="E625" s="12"/>
      <c r="F625" s="74"/>
      <c r="G625" s="74"/>
      <c r="H625" s="179"/>
      <c r="I625" s="74"/>
      <c r="J625" s="74"/>
      <c r="K625" s="74"/>
      <c r="L625" s="74"/>
      <c r="M625" s="74"/>
      <c r="N625" s="179"/>
      <c r="O625" s="74"/>
      <c r="P625" s="74"/>
      <c r="Q625" s="74"/>
      <c r="R625" s="74"/>
      <c r="S625" s="74"/>
      <c r="T625" s="74"/>
      <c r="U625" s="74"/>
      <c r="V625" s="74"/>
      <c r="W625" s="74"/>
      <c r="X625" s="74"/>
      <c r="Y625" s="74"/>
      <c r="Z625" s="74"/>
      <c r="AA625" s="74"/>
      <c r="AB625" s="74"/>
      <c r="AC625" s="74"/>
      <c r="AD625" s="74"/>
      <c r="AE625" s="12"/>
      <c r="AF625" s="12"/>
      <c r="AG625" s="12"/>
      <c r="AH625" s="180"/>
      <c r="AI625" s="180"/>
      <c r="AJ625" s="12"/>
      <c r="AK625" s="12"/>
      <c r="AL625" s="12"/>
      <c r="AM625" s="12"/>
    </row>
    <row r="626">
      <c r="A626" s="74"/>
      <c r="B626" s="12"/>
      <c r="C626" s="74"/>
      <c r="D626" s="12"/>
      <c r="E626" s="12"/>
      <c r="F626" s="74"/>
      <c r="G626" s="74"/>
      <c r="H626" s="179"/>
      <c r="I626" s="74"/>
      <c r="J626" s="74"/>
      <c r="K626" s="74"/>
      <c r="L626" s="74"/>
      <c r="M626" s="74"/>
      <c r="N626" s="179"/>
      <c r="O626" s="74"/>
      <c r="P626" s="74"/>
      <c r="Q626" s="74"/>
      <c r="R626" s="74"/>
      <c r="S626" s="74"/>
      <c r="T626" s="74"/>
      <c r="U626" s="74"/>
      <c r="V626" s="74"/>
      <c r="W626" s="74"/>
      <c r="X626" s="74"/>
      <c r="Y626" s="74"/>
      <c r="Z626" s="74"/>
      <c r="AA626" s="74"/>
      <c r="AB626" s="74"/>
      <c r="AC626" s="74"/>
      <c r="AD626" s="74"/>
      <c r="AE626" s="12"/>
      <c r="AF626" s="12"/>
      <c r="AG626" s="12"/>
      <c r="AH626" s="180"/>
      <c r="AI626" s="180"/>
      <c r="AJ626" s="12"/>
      <c r="AK626" s="12"/>
      <c r="AL626" s="12"/>
      <c r="AM626" s="12"/>
    </row>
    <row r="627">
      <c r="A627" s="74"/>
      <c r="B627" s="12"/>
      <c r="C627" s="74"/>
      <c r="D627" s="12"/>
      <c r="E627" s="12"/>
      <c r="F627" s="74"/>
      <c r="G627" s="74"/>
      <c r="H627" s="179"/>
      <c r="I627" s="74"/>
      <c r="J627" s="74"/>
      <c r="K627" s="74"/>
      <c r="L627" s="74"/>
      <c r="M627" s="74"/>
      <c r="N627" s="179"/>
      <c r="O627" s="74"/>
      <c r="P627" s="74"/>
      <c r="Q627" s="74"/>
      <c r="R627" s="74"/>
      <c r="S627" s="74"/>
      <c r="T627" s="74"/>
      <c r="U627" s="74"/>
      <c r="V627" s="74"/>
      <c r="W627" s="74"/>
      <c r="X627" s="74"/>
      <c r="Y627" s="74"/>
      <c r="Z627" s="74"/>
      <c r="AA627" s="74"/>
      <c r="AB627" s="74"/>
      <c r="AC627" s="74"/>
      <c r="AD627" s="74"/>
      <c r="AE627" s="12"/>
      <c r="AF627" s="12"/>
      <c r="AG627" s="12"/>
      <c r="AH627" s="180"/>
      <c r="AI627" s="180"/>
      <c r="AJ627" s="12"/>
      <c r="AK627" s="12"/>
      <c r="AL627" s="12"/>
      <c r="AM627" s="12"/>
    </row>
    <row r="628">
      <c r="A628" s="74"/>
      <c r="B628" s="12"/>
      <c r="C628" s="74"/>
      <c r="D628" s="12"/>
      <c r="E628" s="12"/>
      <c r="F628" s="74"/>
      <c r="G628" s="74"/>
      <c r="H628" s="179"/>
      <c r="I628" s="74"/>
      <c r="J628" s="74"/>
      <c r="K628" s="74"/>
      <c r="L628" s="74"/>
      <c r="M628" s="74"/>
      <c r="N628" s="179"/>
      <c r="O628" s="74"/>
      <c r="P628" s="74"/>
      <c r="Q628" s="74"/>
      <c r="R628" s="74"/>
      <c r="S628" s="74"/>
      <c r="T628" s="74"/>
      <c r="U628" s="74"/>
      <c r="V628" s="74"/>
      <c r="W628" s="74"/>
      <c r="X628" s="74"/>
      <c r="Y628" s="74"/>
      <c r="Z628" s="74"/>
      <c r="AA628" s="74"/>
      <c r="AB628" s="74"/>
      <c r="AC628" s="74"/>
      <c r="AD628" s="74"/>
      <c r="AE628" s="12"/>
      <c r="AF628" s="12"/>
      <c r="AG628" s="12"/>
      <c r="AH628" s="180"/>
      <c r="AI628" s="180"/>
      <c r="AJ628" s="12"/>
      <c r="AK628" s="12"/>
      <c r="AL628" s="12"/>
      <c r="AM628" s="12"/>
    </row>
    <row r="629">
      <c r="A629" s="74"/>
      <c r="B629" s="12"/>
      <c r="C629" s="74"/>
      <c r="D629" s="12"/>
      <c r="E629" s="12"/>
      <c r="F629" s="74"/>
      <c r="G629" s="74"/>
      <c r="H629" s="179"/>
      <c r="I629" s="74"/>
      <c r="J629" s="74"/>
      <c r="K629" s="74"/>
      <c r="L629" s="74"/>
      <c r="M629" s="74"/>
      <c r="N629" s="179"/>
      <c r="O629" s="74"/>
      <c r="P629" s="74"/>
      <c r="Q629" s="74"/>
      <c r="R629" s="74"/>
      <c r="S629" s="74"/>
      <c r="T629" s="74"/>
      <c r="U629" s="74"/>
      <c r="V629" s="74"/>
      <c r="W629" s="74"/>
      <c r="X629" s="74"/>
      <c r="Y629" s="74"/>
      <c r="Z629" s="74"/>
      <c r="AA629" s="74"/>
      <c r="AB629" s="74"/>
      <c r="AC629" s="74"/>
      <c r="AD629" s="74"/>
      <c r="AE629" s="12"/>
      <c r="AF629" s="12"/>
      <c r="AG629" s="12"/>
      <c r="AH629" s="180"/>
      <c r="AI629" s="180"/>
      <c r="AJ629" s="12"/>
      <c r="AK629" s="12"/>
      <c r="AL629" s="12"/>
      <c r="AM629" s="12"/>
    </row>
    <row r="630">
      <c r="A630" s="74"/>
      <c r="B630" s="12"/>
      <c r="C630" s="74"/>
      <c r="D630" s="12"/>
      <c r="E630" s="12"/>
      <c r="F630" s="74"/>
      <c r="G630" s="74"/>
      <c r="H630" s="179"/>
      <c r="I630" s="74"/>
      <c r="J630" s="74"/>
      <c r="K630" s="74"/>
      <c r="L630" s="74"/>
      <c r="M630" s="74"/>
      <c r="N630" s="179"/>
      <c r="O630" s="74"/>
      <c r="P630" s="74"/>
      <c r="Q630" s="74"/>
      <c r="R630" s="74"/>
      <c r="S630" s="74"/>
      <c r="T630" s="74"/>
      <c r="U630" s="74"/>
      <c r="V630" s="74"/>
      <c r="W630" s="74"/>
      <c r="X630" s="74"/>
      <c r="Y630" s="74"/>
      <c r="Z630" s="74"/>
      <c r="AA630" s="74"/>
      <c r="AB630" s="74"/>
      <c r="AC630" s="74"/>
      <c r="AD630" s="74"/>
      <c r="AE630" s="12"/>
      <c r="AF630" s="12"/>
      <c r="AG630" s="12"/>
      <c r="AH630" s="180"/>
      <c r="AI630" s="180"/>
      <c r="AJ630" s="12"/>
      <c r="AK630" s="12"/>
      <c r="AL630" s="12"/>
      <c r="AM630" s="12"/>
    </row>
    <row r="631">
      <c r="A631" s="74"/>
      <c r="B631" s="12"/>
      <c r="C631" s="74"/>
      <c r="D631" s="12"/>
      <c r="E631" s="12"/>
      <c r="F631" s="74"/>
      <c r="G631" s="74"/>
      <c r="H631" s="179"/>
      <c r="I631" s="74"/>
      <c r="J631" s="74"/>
      <c r="K631" s="74"/>
      <c r="L631" s="74"/>
      <c r="M631" s="74"/>
      <c r="N631" s="179"/>
      <c r="O631" s="74"/>
      <c r="P631" s="74"/>
      <c r="Q631" s="74"/>
      <c r="R631" s="74"/>
      <c r="S631" s="74"/>
      <c r="T631" s="74"/>
      <c r="U631" s="74"/>
      <c r="V631" s="74"/>
      <c r="W631" s="74"/>
      <c r="X631" s="74"/>
      <c r="Y631" s="74"/>
      <c r="Z631" s="74"/>
      <c r="AA631" s="74"/>
      <c r="AB631" s="74"/>
      <c r="AC631" s="74"/>
      <c r="AD631" s="74"/>
      <c r="AE631" s="12"/>
      <c r="AF631" s="12"/>
      <c r="AG631" s="12"/>
      <c r="AH631" s="180"/>
      <c r="AI631" s="180"/>
      <c r="AJ631" s="12"/>
      <c r="AK631" s="12"/>
      <c r="AL631" s="12"/>
      <c r="AM631" s="12"/>
    </row>
    <row r="632">
      <c r="A632" s="74"/>
      <c r="B632" s="12"/>
      <c r="C632" s="74"/>
      <c r="D632" s="12"/>
      <c r="E632" s="12"/>
      <c r="F632" s="74"/>
      <c r="G632" s="74"/>
      <c r="H632" s="179"/>
      <c r="I632" s="74"/>
      <c r="J632" s="74"/>
      <c r="K632" s="74"/>
      <c r="L632" s="74"/>
      <c r="M632" s="74"/>
      <c r="N632" s="179"/>
      <c r="O632" s="74"/>
      <c r="P632" s="74"/>
      <c r="Q632" s="74"/>
      <c r="R632" s="74"/>
      <c r="S632" s="74"/>
      <c r="T632" s="74"/>
      <c r="U632" s="74"/>
      <c r="V632" s="74"/>
      <c r="W632" s="74"/>
      <c r="X632" s="74"/>
      <c r="Y632" s="74"/>
      <c r="Z632" s="74"/>
      <c r="AA632" s="74"/>
      <c r="AB632" s="74"/>
      <c r="AC632" s="74"/>
      <c r="AD632" s="74"/>
      <c r="AE632" s="12"/>
      <c r="AF632" s="12"/>
      <c r="AG632" s="12"/>
      <c r="AH632" s="180"/>
      <c r="AI632" s="180"/>
      <c r="AJ632" s="12"/>
      <c r="AK632" s="12"/>
      <c r="AL632" s="12"/>
      <c r="AM632" s="12"/>
    </row>
    <row r="633">
      <c r="A633" s="74"/>
      <c r="B633" s="12"/>
      <c r="C633" s="74"/>
      <c r="D633" s="12"/>
      <c r="E633" s="12"/>
      <c r="F633" s="74"/>
      <c r="G633" s="74"/>
      <c r="H633" s="179"/>
      <c r="I633" s="74"/>
      <c r="J633" s="74"/>
      <c r="K633" s="74"/>
      <c r="L633" s="74"/>
      <c r="M633" s="74"/>
      <c r="N633" s="179"/>
      <c r="O633" s="74"/>
      <c r="P633" s="74"/>
      <c r="Q633" s="74"/>
      <c r="R633" s="74"/>
      <c r="S633" s="74"/>
      <c r="T633" s="74"/>
      <c r="U633" s="74"/>
      <c r="V633" s="74"/>
      <c r="W633" s="74"/>
      <c r="X633" s="74"/>
      <c r="Y633" s="74"/>
      <c r="Z633" s="74"/>
      <c r="AA633" s="74"/>
      <c r="AB633" s="74"/>
      <c r="AC633" s="74"/>
      <c r="AD633" s="74"/>
      <c r="AE633" s="12"/>
      <c r="AF633" s="12"/>
      <c r="AG633" s="12"/>
      <c r="AH633" s="180"/>
      <c r="AI633" s="180"/>
      <c r="AJ633" s="12"/>
      <c r="AK633" s="12"/>
      <c r="AL633" s="12"/>
      <c r="AM633" s="12"/>
    </row>
    <row r="634">
      <c r="A634" s="74"/>
      <c r="B634" s="12"/>
      <c r="C634" s="74"/>
      <c r="D634" s="12"/>
      <c r="E634" s="12"/>
      <c r="F634" s="74"/>
      <c r="G634" s="74"/>
      <c r="H634" s="179"/>
      <c r="I634" s="74"/>
      <c r="J634" s="74"/>
      <c r="K634" s="74"/>
      <c r="L634" s="74"/>
      <c r="M634" s="74"/>
      <c r="N634" s="179"/>
      <c r="O634" s="74"/>
      <c r="P634" s="74"/>
      <c r="Q634" s="74"/>
      <c r="R634" s="74"/>
      <c r="S634" s="74"/>
      <c r="T634" s="74"/>
      <c r="U634" s="74"/>
      <c r="V634" s="74"/>
      <c r="W634" s="74"/>
      <c r="X634" s="74"/>
      <c r="Y634" s="74"/>
      <c r="Z634" s="74"/>
      <c r="AA634" s="74"/>
      <c r="AB634" s="74"/>
      <c r="AC634" s="74"/>
      <c r="AD634" s="74"/>
      <c r="AE634" s="12"/>
      <c r="AF634" s="12"/>
      <c r="AG634" s="12"/>
      <c r="AH634" s="180"/>
      <c r="AI634" s="180"/>
      <c r="AJ634" s="12"/>
      <c r="AK634" s="12"/>
      <c r="AL634" s="12"/>
      <c r="AM634" s="12"/>
    </row>
    <row r="635">
      <c r="A635" s="74"/>
      <c r="B635" s="12"/>
      <c r="C635" s="74"/>
      <c r="D635" s="12"/>
      <c r="E635" s="12"/>
      <c r="F635" s="74"/>
      <c r="G635" s="74"/>
      <c r="H635" s="179"/>
      <c r="I635" s="74"/>
      <c r="J635" s="74"/>
      <c r="K635" s="74"/>
      <c r="L635" s="74"/>
      <c r="M635" s="74"/>
      <c r="N635" s="179"/>
      <c r="O635" s="74"/>
      <c r="P635" s="74"/>
      <c r="Q635" s="74"/>
      <c r="R635" s="74"/>
      <c r="S635" s="74"/>
      <c r="T635" s="74"/>
      <c r="U635" s="74"/>
      <c r="V635" s="74"/>
      <c r="W635" s="74"/>
      <c r="X635" s="74"/>
      <c r="Y635" s="74"/>
      <c r="Z635" s="74"/>
      <c r="AA635" s="74"/>
      <c r="AB635" s="74"/>
      <c r="AC635" s="74"/>
      <c r="AD635" s="74"/>
      <c r="AE635" s="12"/>
      <c r="AF635" s="12"/>
      <c r="AG635" s="12"/>
      <c r="AH635" s="180"/>
      <c r="AI635" s="180"/>
      <c r="AJ635" s="12"/>
      <c r="AK635" s="12"/>
      <c r="AL635" s="12"/>
      <c r="AM635" s="12"/>
    </row>
    <row r="636">
      <c r="A636" s="74"/>
      <c r="B636" s="12"/>
      <c r="C636" s="74"/>
      <c r="D636" s="12"/>
      <c r="E636" s="12"/>
      <c r="F636" s="74"/>
      <c r="G636" s="74"/>
      <c r="H636" s="179"/>
      <c r="I636" s="74"/>
      <c r="J636" s="74"/>
      <c r="K636" s="74"/>
      <c r="L636" s="74"/>
      <c r="M636" s="74"/>
      <c r="N636" s="179"/>
      <c r="O636" s="74"/>
      <c r="P636" s="74"/>
      <c r="Q636" s="74"/>
      <c r="R636" s="74"/>
      <c r="S636" s="74"/>
      <c r="T636" s="74"/>
      <c r="U636" s="74"/>
      <c r="V636" s="74"/>
      <c r="W636" s="74"/>
      <c r="X636" s="74"/>
      <c r="Y636" s="74"/>
      <c r="Z636" s="74"/>
      <c r="AA636" s="74"/>
      <c r="AB636" s="74"/>
      <c r="AC636" s="74"/>
      <c r="AD636" s="74"/>
      <c r="AE636" s="12"/>
      <c r="AF636" s="12"/>
      <c r="AG636" s="12"/>
      <c r="AH636" s="180"/>
      <c r="AI636" s="180"/>
      <c r="AJ636" s="12"/>
      <c r="AK636" s="12"/>
      <c r="AL636" s="12"/>
      <c r="AM636" s="12"/>
    </row>
    <row r="637">
      <c r="A637" s="74"/>
      <c r="B637" s="12"/>
      <c r="C637" s="74"/>
      <c r="D637" s="12"/>
      <c r="E637" s="12"/>
      <c r="F637" s="74"/>
      <c r="G637" s="74"/>
      <c r="H637" s="179"/>
      <c r="I637" s="74"/>
      <c r="J637" s="74"/>
      <c r="K637" s="74"/>
      <c r="L637" s="74"/>
      <c r="M637" s="74"/>
      <c r="N637" s="179"/>
      <c r="O637" s="74"/>
      <c r="P637" s="74"/>
      <c r="Q637" s="74"/>
      <c r="R637" s="74"/>
      <c r="S637" s="74"/>
      <c r="T637" s="74"/>
      <c r="U637" s="74"/>
      <c r="V637" s="74"/>
      <c r="W637" s="74"/>
      <c r="X637" s="74"/>
      <c r="Y637" s="74"/>
      <c r="Z637" s="74"/>
      <c r="AA637" s="74"/>
      <c r="AB637" s="74"/>
      <c r="AC637" s="74"/>
      <c r="AD637" s="74"/>
      <c r="AE637" s="12"/>
      <c r="AF637" s="12"/>
      <c r="AG637" s="12"/>
      <c r="AH637" s="180"/>
      <c r="AI637" s="180"/>
      <c r="AJ637" s="12"/>
      <c r="AK637" s="12"/>
      <c r="AL637" s="12"/>
      <c r="AM637" s="12"/>
    </row>
    <row r="638">
      <c r="A638" s="74"/>
      <c r="B638" s="12"/>
      <c r="C638" s="74"/>
      <c r="D638" s="12"/>
      <c r="E638" s="12"/>
      <c r="F638" s="74"/>
      <c r="G638" s="74"/>
      <c r="H638" s="179"/>
      <c r="I638" s="74"/>
      <c r="J638" s="74"/>
      <c r="K638" s="74"/>
      <c r="L638" s="74"/>
      <c r="M638" s="74"/>
      <c r="N638" s="179"/>
      <c r="O638" s="74"/>
      <c r="P638" s="74"/>
      <c r="Q638" s="74"/>
      <c r="R638" s="74"/>
      <c r="S638" s="74"/>
      <c r="T638" s="74"/>
      <c r="U638" s="74"/>
      <c r="V638" s="74"/>
      <c r="W638" s="74"/>
      <c r="X638" s="74"/>
      <c r="Y638" s="74"/>
      <c r="Z638" s="74"/>
      <c r="AA638" s="74"/>
      <c r="AB638" s="74"/>
      <c r="AC638" s="74"/>
      <c r="AD638" s="74"/>
      <c r="AE638" s="12"/>
      <c r="AF638" s="12"/>
      <c r="AG638" s="12"/>
      <c r="AH638" s="180"/>
      <c r="AI638" s="180"/>
      <c r="AJ638" s="12"/>
      <c r="AK638" s="12"/>
      <c r="AL638" s="12"/>
      <c r="AM638" s="12"/>
    </row>
    <row r="639">
      <c r="A639" s="74"/>
      <c r="B639" s="12"/>
      <c r="C639" s="74"/>
      <c r="D639" s="12"/>
      <c r="E639" s="12"/>
      <c r="F639" s="74"/>
      <c r="G639" s="74"/>
      <c r="H639" s="179"/>
      <c r="I639" s="74"/>
      <c r="J639" s="74"/>
      <c r="K639" s="74"/>
      <c r="L639" s="74"/>
      <c r="M639" s="74"/>
      <c r="N639" s="179"/>
      <c r="O639" s="74"/>
      <c r="P639" s="74"/>
      <c r="Q639" s="74"/>
      <c r="R639" s="74"/>
      <c r="S639" s="74"/>
      <c r="T639" s="74"/>
      <c r="U639" s="74"/>
      <c r="V639" s="74"/>
      <c r="W639" s="74"/>
      <c r="X639" s="74"/>
      <c r="Y639" s="74"/>
      <c r="Z639" s="74"/>
      <c r="AA639" s="74"/>
      <c r="AB639" s="74"/>
      <c r="AC639" s="74"/>
      <c r="AD639" s="74"/>
      <c r="AE639" s="12"/>
      <c r="AF639" s="12"/>
      <c r="AG639" s="12"/>
      <c r="AH639" s="180"/>
      <c r="AI639" s="180"/>
      <c r="AJ639" s="12"/>
      <c r="AK639" s="12"/>
      <c r="AL639" s="12"/>
      <c r="AM639" s="12"/>
    </row>
    <row r="640">
      <c r="A640" s="74"/>
      <c r="B640" s="12"/>
      <c r="C640" s="74"/>
      <c r="D640" s="12"/>
      <c r="E640" s="12"/>
      <c r="F640" s="74"/>
      <c r="G640" s="74"/>
      <c r="H640" s="179"/>
      <c r="I640" s="74"/>
      <c r="J640" s="74"/>
      <c r="K640" s="74"/>
      <c r="L640" s="74"/>
      <c r="M640" s="74"/>
      <c r="N640" s="179"/>
      <c r="O640" s="74"/>
      <c r="P640" s="74"/>
      <c r="Q640" s="74"/>
      <c r="R640" s="74"/>
      <c r="S640" s="74"/>
      <c r="T640" s="74"/>
      <c r="U640" s="74"/>
      <c r="V640" s="74"/>
      <c r="W640" s="74"/>
      <c r="X640" s="74"/>
      <c r="Y640" s="74"/>
      <c r="Z640" s="74"/>
      <c r="AA640" s="74"/>
      <c r="AB640" s="74"/>
      <c r="AC640" s="74"/>
      <c r="AD640" s="74"/>
      <c r="AE640" s="12"/>
      <c r="AF640" s="12"/>
      <c r="AG640" s="12"/>
      <c r="AH640" s="180"/>
      <c r="AI640" s="180"/>
      <c r="AJ640" s="12"/>
      <c r="AK640" s="12"/>
      <c r="AL640" s="12"/>
      <c r="AM640" s="12"/>
    </row>
    <row r="641">
      <c r="A641" s="74"/>
      <c r="B641" s="12"/>
      <c r="C641" s="74"/>
      <c r="D641" s="12"/>
      <c r="E641" s="12"/>
      <c r="F641" s="74"/>
      <c r="G641" s="74"/>
      <c r="H641" s="179"/>
      <c r="I641" s="74"/>
      <c r="J641" s="74"/>
      <c r="K641" s="74"/>
      <c r="L641" s="74"/>
      <c r="M641" s="74"/>
      <c r="N641" s="179"/>
      <c r="O641" s="74"/>
      <c r="P641" s="74"/>
      <c r="Q641" s="74"/>
      <c r="R641" s="74"/>
      <c r="S641" s="74"/>
      <c r="T641" s="74"/>
      <c r="U641" s="74"/>
      <c r="V641" s="74"/>
      <c r="W641" s="74"/>
      <c r="X641" s="74"/>
      <c r="Y641" s="74"/>
      <c r="Z641" s="74"/>
      <c r="AA641" s="74"/>
      <c r="AB641" s="74"/>
      <c r="AC641" s="74"/>
      <c r="AD641" s="74"/>
      <c r="AE641" s="12"/>
      <c r="AF641" s="12"/>
      <c r="AG641" s="12"/>
      <c r="AH641" s="180"/>
      <c r="AI641" s="180"/>
      <c r="AJ641" s="12"/>
      <c r="AK641" s="12"/>
      <c r="AL641" s="12"/>
      <c r="AM641" s="12"/>
    </row>
    <row r="642">
      <c r="A642" s="74"/>
      <c r="B642" s="12"/>
      <c r="C642" s="74"/>
      <c r="D642" s="12"/>
      <c r="E642" s="12"/>
      <c r="F642" s="74"/>
      <c r="G642" s="74"/>
      <c r="H642" s="179"/>
      <c r="I642" s="74"/>
      <c r="J642" s="74"/>
      <c r="K642" s="74"/>
      <c r="L642" s="74"/>
      <c r="M642" s="74"/>
      <c r="N642" s="179"/>
      <c r="O642" s="74"/>
      <c r="P642" s="74"/>
      <c r="Q642" s="74"/>
      <c r="R642" s="74"/>
      <c r="S642" s="74"/>
      <c r="T642" s="74"/>
      <c r="U642" s="74"/>
      <c r="V642" s="74"/>
      <c r="W642" s="74"/>
      <c r="X642" s="74"/>
      <c r="Y642" s="74"/>
      <c r="Z642" s="74"/>
      <c r="AA642" s="74"/>
      <c r="AB642" s="74"/>
      <c r="AC642" s="74"/>
      <c r="AD642" s="74"/>
      <c r="AE642" s="12"/>
      <c r="AF642" s="12"/>
      <c r="AG642" s="12"/>
      <c r="AH642" s="180"/>
      <c r="AI642" s="180"/>
      <c r="AJ642" s="12"/>
      <c r="AK642" s="12"/>
      <c r="AL642" s="12"/>
      <c r="AM642" s="12"/>
    </row>
    <row r="643">
      <c r="A643" s="74"/>
      <c r="B643" s="12"/>
      <c r="C643" s="74"/>
      <c r="D643" s="12"/>
      <c r="E643" s="12"/>
      <c r="F643" s="74"/>
      <c r="G643" s="74"/>
      <c r="H643" s="179"/>
      <c r="I643" s="74"/>
      <c r="J643" s="74"/>
      <c r="K643" s="74"/>
      <c r="L643" s="74"/>
      <c r="M643" s="74"/>
      <c r="N643" s="179"/>
      <c r="O643" s="74"/>
      <c r="P643" s="74"/>
      <c r="Q643" s="74"/>
      <c r="R643" s="74"/>
      <c r="S643" s="74"/>
      <c r="T643" s="74"/>
      <c r="U643" s="74"/>
      <c r="V643" s="74"/>
      <c r="W643" s="74"/>
      <c r="X643" s="74"/>
      <c r="Y643" s="74"/>
      <c r="Z643" s="74"/>
      <c r="AA643" s="74"/>
      <c r="AB643" s="74"/>
      <c r="AC643" s="74"/>
      <c r="AD643" s="74"/>
      <c r="AE643" s="12"/>
      <c r="AF643" s="12"/>
      <c r="AG643" s="12"/>
      <c r="AH643" s="180"/>
      <c r="AI643" s="180"/>
      <c r="AJ643" s="12"/>
      <c r="AK643" s="12"/>
      <c r="AL643" s="12"/>
      <c r="AM643" s="12"/>
    </row>
    <row r="644">
      <c r="A644" s="74"/>
      <c r="B644" s="12"/>
      <c r="C644" s="74"/>
      <c r="D644" s="12"/>
      <c r="E644" s="12"/>
      <c r="F644" s="74"/>
      <c r="G644" s="74"/>
      <c r="H644" s="179"/>
      <c r="I644" s="74"/>
      <c r="J644" s="74"/>
      <c r="K644" s="74"/>
      <c r="L644" s="74"/>
      <c r="M644" s="74"/>
      <c r="N644" s="179"/>
      <c r="O644" s="74"/>
      <c r="P644" s="74"/>
      <c r="Q644" s="74"/>
      <c r="R644" s="74"/>
      <c r="S644" s="74"/>
      <c r="T644" s="74"/>
      <c r="U644" s="74"/>
      <c r="V644" s="74"/>
      <c r="W644" s="74"/>
      <c r="X644" s="74"/>
      <c r="Y644" s="74"/>
      <c r="Z644" s="74"/>
      <c r="AA644" s="74"/>
      <c r="AB644" s="74"/>
      <c r="AC644" s="74"/>
      <c r="AD644" s="74"/>
      <c r="AE644" s="12"/>
      <c r="AF644" s="12"/>
      <c r="AG644" s="12"/>
      <c r="AH644" s="180"/>
      <c r="AI644" s="180"/>
      <c r="AJ644" s="12"/>
      <c r="AK644" s="12"/>
      <c r="AL644" s="12"/>
      <c r="AM644" s="12"/>
    </row>
    <row r="645">
      <c r="A645" s="74"/>
      <c r="B645" s="12"/>
      <c r="C645" s="74"/>
      <c r="D645" s="12"/>
      <c r="E645" s="12"/>
      <c r="F645" s="74"/>
      <c r="G645" s="74"/>
      <c r="H645" s="179"/>
      <c r="I645" s="74"/>
      <c r="J645" s="74"/>
      <c r="K645" s="74"/>
      <c r="L645" s="74"/>
      <c r="M645" s="74"/>
      <c r="N645" s="179"/>
      <c r="O645" s="74"/>
      <c r="P645" s="74"/>
      <c r="Q645" s="74"/>
      <c r="R645" s="74"/>
      <c r="S645" s="74"/>
      <c r="T645" s="74"/>
      <c r="U645" s="74"/>
      <c r="V645" s="74"/>
      <c r="W645" s="74"/>
      <c r="X645" s="74"/>
      <c r="Y645" s="74"/>
      <c r="Z645" s="74"/>
      <c r="AA645" s="74"/>
      <c r="AB645" s="74"/>
      <c r="AC645" s="74"/>
      <c r="AD645" s="74"/>
      <c r="AE645" s="12"/>
      <c r="AF645" s="12"/>
      <c r="AG645" s="12"/>
      <c r="AH645" s="180"/>
      <c r="AI645" s="180"/>
      <c r="AJ645" s="12"/>
      <c r="AK645" s="12"/>
      <c r="AL645" s="12"/>
      <c r="AM645" s="12"/>
    </row>
    <row r="646">
      <c r="A646" s="74"/>
      <c r="B646" s="12"/>
      <c r="C646" s="74"/>
      <c r="D646" s="12"/>
      <c r="E646" s="12"/>
      <c r="F646" s="74"/>
      <c r="G646" s="74"/>
      <c r="H646" s="179"/>
      <c r="I646" s="74"/>
      <c r="J646" s="74"/>
      <c r="K646" s="74"/>
      <c r="L646" s="74"/>
      <c r="M646" s="74"/>
      <c r="N646" s="179"/>
      <c r="O646" s="74"/>
      <c r="P646" s="74"/>
      <c r="Q646" s="74"/>
      <c r="R646" s="74"/>
      <c r="S646" s="74"/>
      <c r="T646" s="74"/>
      <c r="U646" s="74"/>
      <c r="V646" s="74"/>
      <c r="W646" s="74"/>
      <c r="X646" s="74"/>
      <c r="Y646" s="74"/>
      <c r="Z646" s="74"/>
      <c r="AA646" s="74"/>
      <c r="AB646" s="74"/>
      <c r="AC646" s="74"/>
      <c r="AD646" s="74"/>
      <c r="AE646" s="12"/>
      <c r="AF646" s="12"/>
      <c r="AG646" s="12"/>
      <c r="AH646" s="180"/>
      <c r="AI646" s="180"/>
      <c r="AJ646" s="12"/>
      <c r="AK646" s="12"/>
      <c r="AL646" s="12"/>
      <c r="AM646" s="12"/>
    </row>
    <row r="647">
      <c r="A647" s="74"/>
      <c r="B647" s="12"/>
      <c r="C647" s="74"/>
      <c r="D647" s="12"/>
      <c r="E647" s="12"/>
      <c r="F647" s="74"/>
      <c r="G647" s="74"/>
      <c r="H647" s="179"/>
      <c r="I647" s="74"/>
      <c r="J647" s="74"/>
      <c r="K647" s="74"/>
      <c r="L647" s="74"/>
      <c r="M647" s="74"/>
      <c r="N647" s="179"/>
      <c r="O647" s="74"/>
      <c r="P647" s="74"/>
      <c r="Q647" s="74"/>
      <c r="R647" s="74"/>
      <c r="S647" s="74"/>
      <c r="T647" s="74"/>
      <c r="U647" s="74"/>
      <c r="V647" s="74"/>
      <c r="W647" s="74"/>
      <c r="X647" s="74"/>
      <c r="Y647" s="74"/>
      <c r="Z647" s="74"/>
      <c r="AA647" s="74"/>
      <c r="AB647" s="74"/>
      <c r="AC647" s="74"/>
      <c r="AD647" s="74"/>
      <c r="AE647" s="12"/>
      <c r="AF647" s="12"/>
      <c r="AG647" s="12"/>
      <c r="AH647" s="180"/>
      <c r="AI647" s="180"/>
      <c r="AJ647" s="12"/>
      <c r="AK647" s="12"/>
      <c r="AL647" s="12"/>
      <c r="AM647" s="12"/>
    </row>
    <row r="648">
      <c r="A648" s="74"/>
      <c r="B648" s="12"/>
      <c r="C648" s="74"/>
      <c r="D648" s="12"/>
      <c r="E648" s="12"/>
      <c r="F648" s="74"/>
      <c r="G648" s="74"/>
      <c r="H648" s="179"/>
      <c r="I648" s="74"/>
      <c r="J648" s="74"/>
      <c r="K648" s="74"/>
      <c r="L648" s="74"/>
      <c r="M648" s="74"/>
      <c r="N648" s="179"/>
      <c r="O648" s="74"/>
      <c r="P648" s="74"/>
      <c r="Q648" s="74"/>
      <c r="R648" s="74"/>
      <c r="S648" s="74"/>
      <c r="T648" s="74"/>
      <c r="U648" s="74"/>
      <c r="V648" s="74"/>
      <c r="W648" s="74"/>
      <c r="X648" s="74"/>
      <c r="Y648" s="74"/>
      <c r="Z648" s="74"/>
      <c r="AA648" s="74"/>
      <c r="AB648" s="74"/>
      <c r="AC648" s="74"/>
      <c r="AD648" s="74"/>
      <c r="AE648" s="12"/>
      <c r="AF648" s="12"/>
      <c r="AG648" s="12"/>
      <c r="AH648" s="180"/>
      <c r="AI648" s="180"/>
      <c r="AJ648" s="12"/>
      <c r="AK648" s="12"/>
      <c r="AL648" s="12"/>
      <c r="AM648" s="12"/>
    </row>
    <row r="649">
      <c r="A649" s="74"/>
      <c r="B649" s="12"/>
      <c r="C649" s="74"/>
      <c r="D649" s="12"/>
      <c r="E649" s="12"/>
      <c r="F649" s="74"/>
      <c r="G649" s="74"/>
      <c r="H649" s="179"/>
      <c r="I649" s="74"/>
      <c r="J649" s="74"/>
      <c r="K649" s="74"/>
      <c r="L649" s="74"/>
      <c r="M649" s="74"/>
      <c r="N649" s="179"/>
      <c r="O649" s="74"/>
      <c r="P649" s="74"/>
      <c r="Q649" s="74"/>
      <c r="R649" s="74"/>
      <c r="S649" s="74"/>
      <c r="T649" s="74"/>
      <c r="U649" s="74"/>
      <c r="V649" s="74"/>
      <c r="W649" s="74"/>
      <c r="X649" s="74"/>
      <c r="Y649" s="74"/>
      <c r="Z649" s="74"/>
      <c r="AA649" s="74"/>
      <c r="AB649" s="74"/>
      <c r="AC649" s="74"/>
      <c r="AD649" s="74"/>
      <c r="AE649" s="12"/>
      <c r="AF649" s="12"/>
      <c r="AG649" s="12"/>
      <c r="AH649" s="180"/>
      <c r="AI649" s="180"/>
      <c r="AJ649" s="12"/>
      <c r="AK649" s="12"/>
      <c r="AL649" s="12"/>
      <c r="AM649" s="12"/>
    </row>
    <row r="650">
      <c r="A650" s="74"/>
      <c r="B650" s="12"/>
      <c r="C650" s="74"/>
      <c r="D650" s="12"/>
      <c r="E650" s="12"/>
      <c r="F650" s="74"/>
      <c r="G650" s="74"/>
      <c r="H650" s="179"/>
      <c r="I650" s="74"/>
      <c r="J650" s="74"/>
      <c r="K650" s="74"/>
      <c r="L650" s="74"/>
      <c r="M650" s="74"/>
      <c r="N650" s="179"/>
      <c r="O650" s="74"/>
      <c r="P650" s="74"/>
      <c r="Q650" s="74"/>
      <c r="R650" s="74"/>
      <c r="S650" s="74"/>
      <c r="T650" s="74"/>
      <c r="U650" s="74"/>
      <c r="V650" s="74"/>
      <c r="W650" s="74"/>
      <c r="X650" s="74"/>
      <c r="Y650" s="74"/>
      <c r="Z650" s="74"/>
      <c r="AA650" s="74"/>
      <c r="AB650" s="74"/>
      <c r="AC650" s="74"/>
      <c r="AD650" s="74"/>
      <c r="AE650" s="12"/>
      <c r="AF650" s="12"/>
      <c r="AG650" s="12"/>
      <c r="AH650" s="180"/>
      <c r="AI650" s="180"/>
      <c r="AJ650" s="12"/>
      <c r="AK650" s="12"/>
      <c r="AL650" s="12"/>
      <c r="AM650" s="12"/>
    </row>
    <row r="651">
      <c r="A651" s="74"/>
      <c r="B651" s="12"/>
      <c r="C651" s="74"/>
      <c r="D651" s="12"/>
      <c r="E651" s="12"/>
      <c r="F651" s="74"/>
      <c r="G651" s="74"/>
      <c r="H651" s="179"/>
      <c r="I651" s="74"/>
      <c r="J651" s="74"/>
      <c r="K651" s="74"/>
      <c r="L651" s="74"/>
      <c r="M651" s="74"/>
      <c r="N651" s="179"/>
      <c r="O651" s="74"/>
      <c r="P651" s="74"/>
      <c r="Q651" s="74"/>
      <c r="R651" s="74"/>
      <c r="S651" s="74"/>
      <c r="T651" s="74"/>
      <c r="U651" s="74"/>
      <c r="V651" s="74"/>
      <c r="W651" s="74"/>
      <c r="X651" s="74"/>
      <c r="Y651" s="74"/>
      <c r="Z651" s="74"/>
      <c r="AA651" s="74"/>
      <c r="AB651" s="74"/>
      <c r="AC651" s="74"/>
      <c r="AD651" s="74"/>
      <c r="AE651" s="12"/>
      <c r="AF651" s="12"/>
      <c r="AG651" s="12"/>
      <c r="AH651" s="180"/>
      <c r="AI651" s="180"/>
      <c r="AJ651" s="12"/>
      <c r="AK651" s="12"/>
      <c r="AL651" s="12"/>
      <c r="AM651" s="12"/>
    </row>
    <row r="652">
      <c r="A652" s="74"/>
      <c r="B652" s="12"/>
      <c r="C652" s="74"/>
      <c r="D652" s="12"/>
      <c r="E652" s="12"/>
      <c r="F652" s="74"/>
      <c r="G652" s="74"/>
      <c r="H652" s="179"/>
      <c r="I652" s="74"/>
      <c r="J652" s="74"/>
      <c r="K652" s="74"/>
      <c r="L652" s="74"/>
      <c r="M652" s="74"/>
      <c r="N652" s="179"/>
      <c r="O652" s="74"/>
      <c r="P652" s="74"/>
      <c r="Q652" s="74"/>
      <c r="R652" s="74"/>
      <c r="S652" s="74"/>
      <c r="T652" s="74"/>
      <c r="U652" s="74"/>
      <c r="V652" s="74"/>
      <c r="W652" s="74"/>
      <c r="X652" s="74"/>
      <c r="Y652" s="74"/>
      <c r="Z652" s="74"/>
      <c r="AA652" s="74"/>
      <c r="AB652" s="74"/>
      <c r="AC652" s="74"/>
      <c r="AD652" s="74"/>
      <c r="AE652" s="12"/>
      <c r="AF652" s="12"/>
      <c r="AG652" s="12"/>
      <c r="AH652" s="180"/>
      <c r="AI652" s="180"/>
      <c r="AJ652" s="12"/>
      <c r="AK652" s="12"/>
      <c r="AL652" s="12"/>
      <c r="AM652" s="12"/>
    </row>
    <row r="653">
      <c r="A653" s="74"/>
      <c r="B653" s="12"/>
      <c r="C653" s="74"/>
      <c r="D653" s="12"/>
      <c r="E653" s="12"/>
      <c r="F653" s="74"/>
      <c r="G653" s="74"/>
      <c r="H653" s="179"/>
      <c r="I653" s="74"/>
      <c r="J653" s="74"/>
      <c r="K653" s="74"/>
      <c r="L653" s="74"/>
      <c r="M653" s="74"/>
      <c r="N653" s="179"/>
      <c r="O653" s="74"/>
      <c r="P653" s="74"/>
      <c r="Q653" s="74"/>
      <c r="R653" s="74"/>
      <c r="S653" s="74"/>
      <c r="T653" s="74"/>
      <c r="U653" s="74"/>
      <c r="V653" s="74"/>
      <c r="W653" s="74"/>
      <c r="X653" s="74"/>
      <c r="Y653" s="74"/>
      <c r="Z653" s="74"/>
      <c r="AA653" s="74"/>
      <c r="AB653" s="74"/>
      <c r="AC653" s="74"/>
      <c r="AD653" s="74"/>
      <c r="AE653" s="12"/>
      <c r="AF653" s="12"/>
      <c r="AG653" s="12"/>
      <c r="AH653" s="180"/>
      <c r="AI653" s="180"/>
      <c r="AJ653" s="12"/>
      <c r="AK653" s="12"/>
      <c r="AL653" s="12"/>
      <c r="AM653" s="12"/>
    </row>
    <row r="654">
      <c r="A654" s="74"/>
      <c r="B654" s="12"/>
      <c r="C654" s="74"/>
      <c r="D654" s="12"/>
      <c r="E654" s="12"/>
      <c r="F654" s="74"/>
      <c r="G654" s="74"/>
      <c r="H654" s="179"/>
      <c r="I654" s="74"/>
      <c r="J654" s="74"/>
      <c r="K654" s="74"/>
      <c r="L654" s="74"/>
      <c r="M654" s="74"/>
      <c r="N654" s="179"/>
      <c r="O654" s="74"/>
      <c r="P654" s="74"/>
      <c r="Q654" s="74"/>
      <c r="R654" s="74"/>
      <c r="S654" s="74"/>
      <c r="T654" s="74"/>
      <c r="U654" s="74"/>
      <c r="V654" s="74"/>
      <c r="W654" s="74"/>
      <c r="X654" s="74"/>
      <c r="Y654" s="74"/>
      <c r="Z654" s="74"/>
      <c r="AA654" s="74"/>
      <c r="AB654" s="74"/>
      <c r="AC654" s="74"/>
      <c r="AD654" s="74"/>
      <c r="AE654" s="12"/>
      <c r="AF654" s="12"/>
      <c r="AG654" s="12"/>
      <c r="AH654" s="180"/>
      <c r="AI654" s="180"/>
      <c r="AJ654" s="12"/>
      <c r="AK654" s="12"/>
      <c r="AL654" s="12"/>
      <c r="AM654" s="12"/>
    </row>
    <row r="655">
      <c r="A655" s="74"/>
      <c r="B655" s="12"/>
      <c r="C655" s="74"/>
      <c r="D655" s="12"/>
      <c r="E655" s="12"/>
      <c r="F655" s="74"/>
      <c r="G655" s="74"/>
      <c r="H655" s="179"/>
      <c r="I655" s="74"/>
      <c r="J655" s="74"/>
      <c r="K655" s="74"/>
      <c r="L655" s="74"/>
      <c r="M655" s="74"/>
      <c r="N655" s="179"/>
      <c r="O655" s="74"/>
      <c r="P655" s="74"/>
      <c r="Q655" s="74"/>
      <c r="R655" s="74"/>
      <c r="S655" s="74"/>
      <c r="T655" s="74"/>
      <c r="U655" s="74"/>
      <c r="V655" s="74"/>
      <c r="W655" s="74"/>
      <c r="X655" s="74"/>
      <c r="Y655" s="74"/>
      <c r="Z655" s="74"/>
      <c r="AA655" s="74"/>
      <c r="AB655" s="74"/>
      <c r="AC655" s="74"/>
      <c r="AD655" s="74"/>
      <c r="AE655" s="12"/>
      <c r="AF655" s="12"/>
      <c r="AG655" s="12"/>
      <c r="AH655" s="180"/>
      <c r="AI655" s="180"/>
      <c r="AJ655" s="12"/>
      <c r="AK655" s="12"/>
      <c r="AL655" s="12"/>
      <c r="AM655" s="12"/>
    </row>
    <row r="656">
      <c r="A656" s="74"/>
      <c r="B656" s="12"/>
      <c r="C656" s="74"/>
      <c r="D656" s="12"/>
      <c r="E656" s="12"/>
      <c r="F656" s="74"/>
      <c r="G656" s="74"/>
      <c r="H656" s="179"/>
      <c r="I656" s="74"/>
      <c r="J656" s="74"/>
      <c r="K656" s="74"/>
      <c r="L656" s="74"/>
      <c r="M656" s="74"/>
      <c r="N656" s="179"/>
      <c r="O656" s="74"/>
      <c r="P656" s="74"/>
      <c r="Q656" s="74"/>
      <c r="R656" s="74"/>
      <c r="S656" s="74"/>
      <c r="T656" s="74"/>
      <c r="U656" s="74"/>
      <c r="V656" s="74"/>
      <c r="W656" s="74"/>
      <c r="X656" s="74"/>
      <c r="Y656" s="74"/>
      <c r="Z656" s="74"/>
      <c r="AA656" s="74"/>
      <c r="AB656" s="74"/>
      <c r="AC656" s="74"/>
      <c r="AD656" s="74"/>
      <c r="AE656" s="12"/>
      <c r="AF656" s="12"/>
      <c r="AG656" s="12"/>
      <c r="AH656" s="180"/>
      <c r="AI656" s="180"/>
      <c r="AJ656" s="12"/>
      <c r="AK656" s="12"/>
      <c r="AL656" s="12"/>
      <c r="AM656" s="12"/>
    </row>
    <row r="657">
      <c r="A657" s="74"/>
      <c r="B657" s="12"/>
      <c r="C657" s="74"/>
      <c r="D657" s="12"/>
      <c r="E657" s="12"/>
      <c r="F657" s="74"/>
      <c r="G657" s="74"/>
      <c r="H657" s="179"/>
      <c r="I657" s="74"/>
      <c r="J657" s="74"/>
      <c r="K657" s="74"/>
      <c r="L657" s="74"/>
      <c r="M657" s="74"/>
      <c r="N657" s="179"/>
      <c r="O657" s="74"/>
      <c r="P657" s="74"/>
      <c r="Q657" s="74"/>
      <c r="R657" s="74"/>
      <c r="S657" s="74"/>
      <c r="T657" s="74"/>
      <c r="U657" s="74"/>
      <c r="V657" s="74"/>
      <c r="W657" s="74"/>
      <c r="X657" s="74"/>
      <c r="Y657" s="74"/>
      <c r="Z657" s="74"/>
      <c r="AA657" s="74"/>
      <c r="AB657" s="74"/>
      <c r="AC657" s="74"/>
      <c r="AD657" s="74"/>
      <c r="AE657" s="12"/>
      <c r="AF657" s="12"/>
      <c r="AG657" s="12"/>
      <c r="AH657" s="180"/>
      <c r="AI657" s="180"/>
      <c r="AJ657" s="12"/>
      <c r="AK657" s="12"/>
      <c r="AL657" s="12"/>
      <c r="AM657" s="12"/>
    </row>
    <row r="658">
      <c r="A658" s="74"/>
      <c r="B658" s="12"/>
      <c r="C658" s="74"/>
      <c r="D658" s="12"/>
      <c r="E658" s="12"/>
      <c r="F658" s="74"/>
      <c r="G658" s="74"/>
      <c r="H658" s="179"/>
      <c r="I658" s="74"/>
      <c r="J658" s="74"/>
      <c r="K658" s="74"/>
      <c r="L658" s="74"/>
      <c r="M658" s="74"/>
      <c r="N658" s="179"/>
      <c r="O658" s="74"/>
      <c r="P658" s="74"/>
      <c r="Q658" s="74"/>
      <c r="R658" s="74"/>
      <c r="S658" s="74"/>
      <c r="T658" s="74"/>
      <c r="U658" s="74"/>
      <c r="V658" s="74"/>
      <c r="W658" s="74"/>
      <c r="X658" s="74"/>
      <c r="Y658" s="74"/>
      <c r="Z658" s="74"/>
      <c r="AA658" s="74"/>
      <c r="AB658" s="74"/>
      <c r="AC658" s="74"/>
      <c r="AD658" s="74"/>
      <c r="AE658" s="12"/>
      <c r="AF658" s="12"/>
      <c r="AG658" s="12"/>
      <c r="AH658" s="180"/>
      <c r="AI658" s="180"/>
      <c r="AJ658" s="12"/>
      <c r="AK658" s="12"/>
      <c r="AL658" s="12"/>
      <c r="AM658" s="12"/>
    </row>
    <row r="659">
      <c r="A659" s="74"/>
      <c r="B659" s="12"/>
      <c r="C659" s="74"/>
      <c r="D659" s="12"/>
      <c r="E659" s="12"/>
      <c r="F659" s="74"/>
      <c r="G659" s="74"/>
      <c r="H659" s="179"/>
      <c r="I659" s="74"/>
      <c r="J659" s="74"/>
      <c r="K659" s="74"/>
      <c r="L659" s="74"/>
      <c r="M659" s="74"/>
      <c r="N659" s="179"/>
      <c r="O659" s="74"/>
      <c r="P659" s="74"/>
      <c r="Q659" s="74"/>
      <c r="R659" s="74"/>
      <c r="S659" s="74"/>
      <c r="T659" s="74"/>
      <c r="U659" s="74"/>
      <c r="V659" s="74"/>
      <c r="W659" s="74"/>
      <c r="X659" s="74"/>
      <c r="Y659" s="74"/>
      <c r="Z659" s="74"/>
      <c r="AA659" s="74"/>
      <c r="AB659" s="74"/>
      <c r="AC659" s="74"/>
      <c r="AD659" s="74"/>
      <c r="AE659" s="12"/>
      <c r="AF659" s="12"/>
      <c r="AG659" s="12"/>
      <c r="AH659" s="180"/>
      <c r="AI659" s="180"/>
      <c r="AJ659" s="12"/>
      <c r="AK659" s="12"/>
      <c r="AL659" s="12"/>
      <c r="AM659" s="12"/>
    </row>
    <row r="660">
      <c r="A660" s="74"/>
      <c r="B660" s="12"/>
      <c r="C660" s="74"/>
      <c r="D660" s="12"/>
      <c r="E660" s="12"/>
      <c r="F660" s="74"/>
      <c r="G660" s="74"/>
      <c r="H660" s="179"/>
      <c r="I660" s="74"/>
      <c r="J660" s="74"/>
      <c r="K660" s="74"/>
      <c r="L660" s="74"/>
      <c r="M660" s="74"/>
      <c r="N660" s="179"/>
      <c r="O660" s="74"/>
      <c r="P660" s="74"/>
      <c r="Q660" s="74"/>
      <c r="R660" s="74"/>
      <c r="S660" s="74"/>
      <c r="T660" s="74"/>
      <c r="U660" s="74"/>
      <c r="V660" s="74"/>
      <c r="W660" s="74"/>
      <c r="X660" s="74"/>
      <c r="Y660" s="74"/>
      <c r="Z660" s="74"/>
      <c r="AA660" s="74"/>
      <c r="AB660" s="74"/>
      <c r="AC660" s="74"/>
      <c r="AD660" s="74"/>
      <c r="AE660" s="12"/>
      <c r="AF660" s="12"/>
      <c r="AG660" s="12"/>
      <c r="AH660" s="180"/>
      <c r="AI660" s="180"/>
      <c r="AJ660" s="12"/>
      <c r="AK660" s="12"/>
      <c r="AL660" s="12"/>
      <c r="AM660" s="12"/>
    </row>
    <row r="661">
      <c r="A661" s="74"/>
      <c r="B661" s="12"/>
      <c r="C661" s="74"/>
      <c r="D661" s="12"/>
      <c r="E661" s="12"/>
      <c r="F661" s="74"/>
      <c r="G661" s="74"/>
      <c r="H661" s="179"/>
      <c r="I661" s="74"/>
      <c r="J661" s="74"/>
      <c r="K661" s="74"/>
      <c r="L661" s="74"/>
      <c r="M661" s="74"/>
      <c r="N661" s="179"/>
      <c r="O661" s="74"/>
      <c r="P661" s="74"/>
      <c r="Q661" s="74"/>
      <c r="R661" s="74"/>
      <c r="S661" s="74"/>
      <c r="T661" s="74"/>
      <c r="U661" s="74"/>
      <c r="V661" s="74"/>
      <c r="W661" s="74"/>
      <c r="X661" s="74"/>
      <c r="Y661" s="74"/>
      <c r="Z661" s="74"/>
      <c r="AA661" s="74"/>
      <c r="AB661" s="74"/>
      <c r="AC661" s="74"/>
      <c r="AD661" s="74"/>
      <c r="AE661" s="12"/>
      <c r="AF661" s="12"/>
      <c r="AG661" s="12"/>
      <c r="AH661" s="180"/>
      <c r="AI661" s="180"/>
      <c r="AJ661" s="12"/>
      <c r="AK661" s="12"/>
      <c r="AL661" s="12"/>
      <c r="AM661" s="12"/>
    </row>
    <row r="662">
      <c r="A662" s="74"/>
      <c r="B662" s="12"/>
      <c r="C662" s="74"/>
      <c r="D662" s="12"/>
      <c r="E662" s="12"/>
      <c r="F662" s="74"/>
      <c r="G662" s="74"/>
      <c r="H662" s="179"/>
      <c r="I662" s="74"/>
      <c r="J662" s="74"/>
      <c r="K662" s="74"/>
      <c r="L662" s="74"/>
      <c r="M662" s="74"/>
      <c r="N662" s="179"/>
      <c r="O662" s="74"/>
      <c r="P662" s="74"/>
      <c r="Q662" s="74"/>
      <c r="R662" s="74"/>
      <c r="S662" s="74"/>
      <c r="T662" s="74"/>
      <c r="U662" s="74"/>
      <c r="V662" s="74"/>
      <c r="W662" s="74"/>
      <c r="X662" s="74"/>
      <c r="Y662" s="74"/>
      <c r="Z662" s="74"/>
      <c r="AA662" s="74"/>
      <c r="AB662" s="74"/>
      <c r="AC662" s="74"/>
      <c r="AD662" s="74"/>
      <c r="AE662" s="12"/>
      <c r="AF662" s="12"/>
      <c r="AG662" s="12"/>
      <c r="AH662" s="180"/>
      <c r="AI662" s="180"/>
      <c r="AJ662" s="12"/>
      <c r="AK662" s="12"/>
      <c r="AL662" s="12"/>
      <c r="AM662" s="12"/>
    </row>
    <row r="663">
      <c r="A663" s="74"/>
      <c r="B663" s="12"/>
      <c r="C663" s="74"/>
      <c r="D663" s="12"/>
      <c r="E663" s="12"/>
      <c r="F663" s="74"/>
      <c r="G663" s="74"/>
      <c r="H663" s="179"/>
      <c r="I663" s="74"/>
      <c r="J663" s="74"/>
      <c r="K663" s="74"/>
      <c r="L663" s="74"/>
      <c r="M663" s="74"/>
      <c r="N663" s="179"/>
      <c r="O663" s="74"/>
      <c r="P663" s="74"/>
      <c r="Q663" s="74"/>
      <c r="R663" s="74"/>
      <c r="S663" s="74"/>
      <c r="T663" s="74"/>
      <c r="U663" s="74"/>
      <c r="V663" s="74"/>
      <c r="W663" s="74"/>
      <c r="X663" s="74"/>
      <c r="Y663" s="74"/>
      <c r="Z663" s="74"/>
      <c r="AA663" s="74"/>
      <c r="AB663" s="74"/>
      <c r="AC663" s="74"/>
      <c r="AD663" s="74"/>
      <c r="AE663" s="12"/>
      <c r="AF663" s="12"/>
      <c r="AG663" s="12"/>
      <c r="AH663" s="180"/>
      <c r="AI663" s="180"/>
      <c r="AJ663" s="12"/>
      <c r="AK663" s="12"/>
      <c r="AL663" s="12"/>
      <c r="AM663" s="12"/>
    </row>
    <row r="664">
      <c r="A664" s="74"/>
      <c r="B664" s="12"/>
      <c r="C664" s="74"/>
      <c r="D664" s="12"/>
      <c r="E664" s="12"/>
      <c r="F664" s="74"/>
      <c r="G664" s="74"/>
      <c r="H664" s="179"/>
      <c r="I664" s="74"/>
      <c r="J664" s="74"/>
      <c r="K664" s="74"/>
      <c r="L664" s="74"/>
      <c r="M664" s="74"/>
      <c r="N664" s="179"/>
      <c r="O664" s="74"/>
      <c r="P664" s="74"/>
      <c r="Q664" s="74"/>
      <c r="R664" s="74"/>
      <c r="S664" s="74"/>
      <c r="T664" s="74"/>
      <c r="U664" s="74"/>
      <c r="V664" s="74"/>
      <c r="W664" s="74"/>
      <c r="X664" s="74"/>
      <c r="Y664" s="74"/>
      <c r="Z664" s="74"/>
      <c r="AA664" s="74"/>
      <c r="AB664" s="74"/>
      <c r="AC664" s="74"/>
      <c r="AD664" s="74"/>
      <c r="AE664" s="12"/>
      <c r="AF664" s="12"/>
      <c r="AG664" s="12"/>
      <c r="AH664" s="180"/>
      <c r="AI664" s="180"/>
      <c r="AJ664" s="12"/>
      <c r="AK664" s="12"/>
      <c r="AL664" s="12"/>
      <c r="AM664" s="12"/>
    </row>
    <row r="665">
      <c r="A665" s="74"/>
      <c r="B665" s="12"/>
      <c r="C665" s="74"/>
      <c r="D665" s="12"/>
      <c r="E665" s="12"/>
      <c r="F665" s="74"/>
      <c r="G665" s="74"/>
      <c r="H665" s="179"/>
      <c r="I665" s="74"/>
      <c r="J665" s="74"/>
      <c r="K665" s="74"/>
      <c r="L665" s="74"/>
      <c r="M665" s="74"/>
      <c r="N665" s="179"/>
      <c r="O665" s="74"/>
      <c r="P665" s="74"/>
      <c r="Q665" s="74"/>
      <c r="R665" s="74"/>
      <c r="S665" s="74"/>
      <c r="T665" s="74"/>
      <c r="U665" s="74"/>
      <c r="V665" s="74"/>
      <c r="W665" s="74"/>
      <c r="X665" s="74"/>
      <c r="Y665" s="74"/>
      <c r="Z665" s="74"/>
      <c r="AA665" s="74"/>
      <c r="AB665" s="74"/>
      <c r="AC665" s="74"/>
      <c r="AD665" s="74"/>
      <c r="AE665" s="12"/>
      <c r="AF665" s="12"/>
      <c r="AG665" s="12"/>
      <c r="AH665" s="180"/>
      <c r="AI665" s="180"/>
      <c r="AJ665" s="12"/>
      <c r="AK665" s="12"/>
      <c r="AL665" s="12"/>
      <c r="AM665" s="12"/>
    </row>
    <row r="666">
      <c r="A666" s="74"/>
      <c r="B666" s="12"/>
      <c r="C666" s="74"/>
      <c r="D666" s="12"/>
      <c r="E666" s="12"/>
      <c r="F666" s="74"/>
      <c r="G666" s="74"/>
      <c r="H666" s="179"/>
      <c r="I666" s="74"/>
      <c r="J666" s="74"/>
      <c r="K666" s="74"/>
      <c r="L666" s="74"/>
      <c r="M666" s="74"/>
      <c r="N666" s="179"/>
      <c r="O666" s="74"/>
      <c r="P666" s="74"/>
      <c r="Q666" s="74"/>
      <c r="R666" s="74"/>
      <c r="S666" s="74"/>
      <c r="T666" s="74"/>
      <c r="U666" s="74"/>
      <c r="V666" s="74"/>
      <c r="W666" s="74"/>
      <c r="X666" s="74"/>
      <c r="Y666" s="74"/>
      <c r="Z666" s="74"/>
      <c r="AA666" s="74"/>
      <c r="AB666" s="74"/>
      <c r="AC666" s="74"/>
      <c r="AD666" s="74"/>
      <c r="AE666" s="12"/>
      <c r="AF666" s="12"/>
      <c r="AG666" s="12"/>
      <c r="AH666" s="180"/>
      <c r="AI666" s="180"/>
      <c r="AJ666" s="12"/>
      <c r="AK666" s="12"/>
      <c r="AL666" s="12"/>
      <c r="AM666" s="12"/>
    </row>
    <row r="667">
      <c r="A667" s="74"/>
      <c r="B667" s="12"/>
      <c r="C667" s="74"/>
      <c r="D667" s="12"/>
      <c r="E667" s="12"/>
      <c r="F667" s="74"/>
      <c r="G667" s="74"/>
      <c r="H667" s="179"/>
      <c r="I667" s="74"/>
      <c r="J667" s="74"/>
      <c r="K667" s="74"/>
      <c r="L667" s="74"/>
      <c r="M667" s="74"/>
      <c r="N667" s="179"/>
      <c r="O667" s="74"/>
      <c r="P667" s="74"/>
      <c r="Q667" s="74"/>
      <c r="R667" s="74"/>
      <c r="S667" s="74"/>
      <c r="T667" s="74"/>
      <c r="U667" s="74"/>
      <c r="V667" s="74"/>
      <c r="W667" s="74"/>
      <c r="X667" s="74"/>
      <c r="Y667" s="74"/>
      <c r="Z667" s="74"/>
      <c r="AA667" s="74"/>
      <c r="AB667" s="74"/>
      <c r="AC667" s="74"/>
      <c r="AD667" s="74"/>
      <c r="AE667" s="12"/>
      <c r="AF667" s="12"/>
      <c r="AG667" s="12"/>
      <c r="AH667" s="180"/>
      <c r="AI667" s="180"/>
      <c r="AJ667" s="12"/>
      <c r="AK667" s="12"/>
      <c r="AL667" s="12"/>
      <c r="AM667" s="12"/>
    </row>
    <row r="668">
      <c r="A668" s="74"/>
      <c r="B668" s="12"/>
      <c r="C668" s="74"/>
      <c r="D668" s="12"/>
      <c r="E668" s="12"/>
      <c r="F668" s="74"/>
      <c r="G668" s="74"/>
      <c r="H668" s="179"/>
      <c r="I668" s="74"/>
      <c r="J668" s="74"/>
      <c r="K668" s="74"/>
      <c r="L668" s="74"/>
      <c r="M668" s="74"/>
      <c r="N668" s="179"/>
      <c r="O668" s="74"/>
      <c r="P668" s="74"/>
      <c r="Q668" s="74"/>
      <c r="R668" s="74"/>
      <c r="S668" s="74"/>
      <c r="T668" s="74"/>
      <c r="U668" s="74"/>
      <c r="V668" s="74"/>
      <c r="W668" s="74"/>
      <c r="X668" s="74"/>
      <c r="Y668" s="74"/>
      <c r="Z668" s="74"/>
      <c r="AA668" s="74"/>
      <c r="AB668" s="74"/>
      <c r="AC668" s="74"/>
      <c r="AD668" s="74"/>
      <c r="AE668" s="12"/>
      <c r="AF668" s="12"/>
      <c r="AG668" s="12"/>
      <c r="AH668" s="180"/>
      <c r="AI668" s="180"/>
      <c r="AJ668" s="12"/>
      <c r="AK668" s="12"/>
      <c r="AL668" s="12"/>
      <c r="AM668" s="12"/>
    </row>
    <row r="669">
      <c r="A669" s="74"/>
      <c r="B669" s="12"/>
      <c r="C669" s="74"/>
      <c r="D669" s="12"/>
      <c r="E669" s="12"/>
      <c r="F669" s="74"/>
      <c r="G669" s="74"/>
      <c r="H669" s="179"/>
      <c r="I669" s="74"/>
      <c r="J669" s="74"/>
      <c r="K669" s="74"/>
      <c r="L669" s="74"/>
      <c r="M669" s="74"/>
      <c r="N669" s="179"/>
      <c r="O669" s="74"/>
      <c r="P669" s="74"/>
      <c r="Q669" s="74"/>
      <c r="R669" s="74"/>
      <c r="S669" s="74"/>
      <c r="T669" s="74"/>
      <c r="U669" s="74"/>
      <c r="V669" s="74"/>
      <c r="W669" s="74"/>
      <c r="X669" s="74"/>
      <c r="Y669" s="74"/>
      <c r="Z669" s="74"/>
      <c r="AA669" s="74"/>
      <c r="AB669" s="74"/>
      <c r="AC669" s="74"/>
      <c r="AD669" s="74"/>
      <c r="AE669" s="12"/>
      <c r="AF669" s="12"/>
      <c r="AG669" s="12"/>
      <c r="AH669" s="180"/>
      <c r="AI669" s="180"/>
      <c r="AJ669" s="12"/>
      <c r="AK669" s="12"/>
      <c r="AL669" s="12"/>
      <c r="AM669" s="12"/>
    </row>
    <row r="670">
      <c r="A670" s="74"/>
      <c r="B670" s="12"/>
      <c r="C670" s="74"/>
      <c r="D670" s="12"/>
      <c r="E670" s="12"/>
      <c r="F670" s="74"/>
      <c r="G670" s="74"/>
      <c r="H670" s="179"/>
      <c r="I670" s="74"/>
      <c r="J670" s="74"/>
      <c r="K670" s="74"/>
      <c r="L670" s="74"/>
      <c r="M670" s="74"/>
      <c r="N670" s="179"/>
      <c r="O670" s="74"/>
      <c r="P670" s="74"/>
      <c r="Q670" s="74"/>
      <c r="R670" s="74"/>
      <c r="S670" s="74"/>
      <c r="T670" s="74"/>
      <c r="U670" s="74"/>
      <c r="V670" s="74"/>
      <c r="W670" s="74"/>
      <c r="X670" s="74"/>
      <c r="Y670" s="74"/>
      <c r="Z670" s="74"/>
      <c r="AA670" s="74"/>
      <c r="AB670" s="74"/>
      <c r="AC670" s="74"/>
      <c r="AD670" s="74"/>
      <c r="AE670" s="12"/>
      <c r="AF670" s="12"/>
      <c r="AG670" s="12"/>
      <c r="AH670" s="180"/>
      <c r="AI670" s="180"/>
      <c r="AJ670" s="12"/>
      <c r="AK670" s="12"/>
      <c r="AL670" s="12"/>
      <c r="AM670" s="12"/>
    </row>
    <row r="671">
      <c r="A671" s="74"/>
      <c r="B671" s="12"/>
      <c r="C671" s="74"/>
      <c r="D671" s="12"/>
      <c r="E671" s="12"/>
      <c r="F671" s="74"/>
      <c r="G671" s="74"/>
      <c r="H671" s="179"/>
      <c r="I671" s="74"/>
      <c r="J671" s="74"/>
      <c r="K671" s="74"/>
      <c r="L671" s="74"/>
      <c r="M671" s="74"/>
      <c r="N671" s="179"/>
      <c r="O671" s="74"/>
      <c r="P671" s="74"/>
      <c r="Q671" s="74"/>
      <c r="R671" s="74"/>
      <c r="S671" s="74"/>
      <c r="T671" s="74"/>
      <c r="U671" s="74"/>
      <c r="V671" s="74"/>
      <c r="W671" s="74"/>
      <c r="X671" s="74"/>
      <c r="Y671" s="74"/>
      <c r="Z671" s="74"/>
      <c r="AA671" s="74"/>
      <c r="AB671" s="74"/>
      <c r="AC671" s="74"/>
      <c r="AD671" s="74"/>
      <c r="AE671" s="12"/>
      <c r="AF671" s="12"/>
      <c r="AG671" s="12"/>
      <c r="AH671" s="180"/>
      <c r="AI671" s="180"/>
      <c r="AJ671" s="12"/>
      <c r="AK671" s="12"/>
      <c r="AL671" s="12"/>
      <c r="AM671" s="12"/>
    </row>
    <row r="672">
      <c r="A672" s="74"/>
      <c r="B672" s="12"/>
      <c r="C672" s="74"/>
      <c r="D672" s="12"/>
      <c r="E672" s="12"/>
      <c r="F672" s="74"/>
      <c r="G672" s="74"/>
      <c r="H672" s="179"/>
      <c r="I672" s="74"/>
      <c r="J672" s="74"/>
      <c r="K672" s="74"/>
      <c r="L672" s="74"/>
      <c r="M672" s="74"/>
      <c r="N672" s="179"/>
      <c r="O672" s="74"/>
      <c r="P672" s="74"/>
      <c r="Q672" s="74"/>
      <c r="R672" s="74"/>
      <c r="S672" s="74"/>
      <c r="T672" s="74"/>
      <c r="U672" s="74"/>
      <c r="V672" s="74"/>
      <c r="W672" s="74"/>
      <c r="X672" s="74"/>
      <c r="Y672" s="74"/>
      <c r="Z672" s="74"/>
      <c r="AA672" s="74"/>
      <c r="AB672" s="74"/>
      <c r="AC672" s="74"/>
      <c r="AD672" s="74"/>
      <c r="AE672" s="12"/>
      <c r="AF672" s="12"/>
      <c r="AG672" s="12"/>
      <c r="AH672" s="180"/>
      <c r="AI672" s="180"/>
      <c r="AJ672" s="12"/>
      <c r="AK672" s="12"/>
      <c r="AL672" s="12"/>
      <c r="AM672" s="12"/>
    </row>
    <row r="673">
      <c r="A673" s="74"/>
      <c r="B673" s="12"/>
      <c r="C673" s="74"/>
      <c r="D673" s="12"/>
      <c r="E673" s="12"/>
      <c r="F673" s="74"/>
      <c r="G673" s="74"/>
      <c r="H673" s="179"/>
      <c r="I673" s="74"/>
      <c r="J673" s="74"/>
      <c r="K673" s="74"/>
      <c r="L673" s="74"/>
      <c r="M673" s="74"/>
      <c r="N673" s="179"/>
      <c r="O673" s="74"/>
      <c r="P673" s="74"/>
      <c r="Q673" s="74"/>
      <c r="R673" s="74"/>
      <c r="S673" s="74"/>
      <c r="T673" s="74"/>
      <c r="U673" s="74"/>
      <c r="V673" s="74"/>
      <c r="W673" s="74"/>
      <c r="X673" s="74"/>
      <c r="Y673" s="74"/>
      <c r="Z673" s="74"/>
      <c r="AA673" s="74"/>
      <c r="AB673" s="74"/>
      <c r="AC673" s="74"/>
      <c r="AD673" s="74"/>
      <c r="AE673" s="12"/>
      <c r="AF673" s="12"/>
      <c r="AG673" s="12"/>
      <c r="AH673" s="180"/>
      <c r="AI673" s="180"/>
      <c r="AJ673" s="12"/>
      <c r="AK673" s="12"/>
      <c r="AL673" s="12"/>
      <c r="AM673" s="12"/>
    </row>
    <row r="674">
      <c r="A674" s="74"/>
      <c r="B674" s="12"/>
      <c r="C674" s="74"/>
      <c r="D674" s="12"/>
      <c r="E674" s="12"/>
      <c r="F674" s="74"/>
      <c r="G674" s="74"/>
      <c r="H674" s="179"/>
      <c r="I674" s="74"/>
      <c r="J674" s="74"/>
      <c r="K674" s="74"/>
      <c r="L674" s="74"/>
      <c r="M674" s="74"/>
      <c r="N674" s="179"/>
      <c r="O674" s="74"/>
      <c r="P674" s="74"/>
      <c r="Q674" s="74"/>
      <c r="R674" s="74"/>
      <c r="S674" s="74"/>
      <c r="T674" s="74"/>
      <c r="U674" s="74"/>
      <c r="V674" s="74"/>
      <c r="W674" s="74"/>
      <c r="X674" s="74"/>
      <c r="Y674" s="74"/>
      <c r="Z674" s="74"/>
      <c r="AA674" s="74"/>
      <c r="AB674" s="74"/>
      <c r="AC674" s="74"/>
      <c r="AD674" s="74"/>
      <c r="AE674" s="12"/>
      <c r="AF674" s="12"/>
      <c r="AG674" s="12"/>
      <c r="AH674" s="180"/>
      <c r="AI674" s="180"/>
      <c r="AJ674" s="12"/>
      <c r="AK674" s="12"/>
      <c r="AL674" s="12"/>
      <c r="AM674" s="12"/>
    </row>
    <row r="675">
      <c r="A675" s="74"/>
      <c r="B675" s="12"/>
      <c r="C675" s="74"/>
      <c r="D675" s="12"/>
      <c r="E675" s="12"/>
      <c r="F675" s="74"/>
      <c r="G675" s="74"/>
      <c r="H675" s="179"/>
      <c r="I675" s="74"/>
      <c r="J675" s="74"/>
      <c r="K675" s="74"/>
      <c r="L675" s="74"/>
      <c r="M675" s="74"/>
      <c r="N675" s="179"/>
      <c r="O675" s="74"/>
      <c r="P675" s="74"/>
      <c r="Q675" s="74"/>
      <c r="R675" s="74"/>
      <c r="S675" s="74"/>
      <c r="T675" s="74"/>
      <c r="U675" s="74"/>
      <c r="V675" s="74"/>
      <c r="W675" s="74"/>
      <c r="X675" s="74"/>
      <c r="Y675" s="74"/>
      <c r="Z675" s="74"/>
      <c r="AA675" s="74"/>
      <c r="AB675" s="74"/>
      <c r="AC675" s="74"/>
      <c r="AD675" s="74"/>
      <c r="AE675" s="12"/>
      <c r="AF675" s="12"/>
      <c r="AG675" s="12"/>
      <c r="AH675" s="180"/>
      <c r="AI675" s="180"/>
      <c r="AJ675" s="12"/>
      <c r="AK675" s="12"/>
      <c r="AL675" s="12"/>
      <c r="AM675" s="12"/>
    </row>
    <row r="676">
      <c r="A676" s="74"/>
      <c r="B676" s="12"/>
      <c r="C676" s="74"/>
      <c r="D676" s="12"/>
      <c r="E676" s="12"/>
      <c r="F676" s="74"/>
      <c r="G676" s="74"/>
      <c r="H676" s="179"/>
      <c r="I676" s="74"/>
      <c r="J676" s="74"/>
      <c r="K676" s="74"/>
      <c r="L676" s="74"/>
      <c r="M676" s="74"/>
      <c r="N676" s="179"/>
      <c r="O676" s="74"/>
      <c r="P676" s="74"/>
      <c r="Q676" s="74"/>
      <c r="R676" s="74"/>
      <c r="S676" s="74"/>
      <c r="T676" s="74"/>
      <c r="U676" s="74"/>
      <c r="V676" s="74"/>
      <c r="W676" s="74"/>
      <c r="X676" s="74"/>
      <c r="Y676" s="74"/>
      <c r="Z676" s="74"/>
      <c r="AA676" s="74"/>
      <c r="AB676" s="74"/>
      <c r="AC676" s="74"/>
      <c r="AD676" s="74"/>
      <c r="AE676" s="12"/>
      <c r="AF676" s="12"/>
      <c r="AG676" s="12"/>
      <c r="AH676" s="180"/>
      <c r="AI676" s="180"/>
      <c r="AJ676" s="12"/>
      <c r="AK676" s="12"/>
      <c r="AL676" s="12"/>
      <c r="AM676" s="12"/>
    </row>
    <row r="677">
      <c r="A677" s="74"/>
      <c r="B677" s="12"/>
      <c r="C677" s="74"/>
      <c r="D677" s="12"/>
      <c r="E677" s="12"/>
      <c r="F677" s="74"/>
      <c r="G677" s="74"/>
      <c r="H677" s="179"/>
      <c r="I677" s="74"/>
      <c r="J677" s="74"/>
      <c r="K677" s="74"/>
      <c r="L677" s="74"/>
      <c r="M677" s="74"/>
      <c r="N677" s="179"/>
      <c r="O677" s="74"/>
      <c r="P677" s="74"/>
      <c r="Q677" s="74"/>
      <c r="R677" s="74"/>
      <c r="S677" s="74"/>
      <c r="T677" s="74"/>
      <c r="U677" s="74"/>
      <c r="V677" s="74"/>
      <c r="W677" s="74"/>
      <c r="X677" s="74"/>
      <c r="Y677" s="74"/>
      <c r="Z677" s="74"/>
      <c r="AA677" s="74"/>
      <c r="AB677" s="74"/>
      <c r="AC677" s="74"/>
      <c r="AD677" s="74"/>
      <c r="AE677" s="12"/>
      <c r="AF677" s="12"/>
      <c r="AG677" s="12"/>
      <c r="AH677" s="180"/>
      <c r="AI677" s="180"/>
      <c r="AJ677" s="12"/>
      <c r="AK677" s="12"/>
      <c r="AL677" s="12"/>
      <c r="AM677" s="12"/>
    </row>
    <row r="678">
      <c r="A678" s="74"/>
      <c r="B678" s="12"/>
      <c r="C678" s="74"/>
      <c r="D678" s="12"/>
      <c r="E678" s="12"/>
      <c r="F678" s="74"/>
      <c r="G678" s="74"/>
      <c r="H678" s="179"/>
      <c r="I678" s="74"/>
      <c r="J678" s="74"/>
      <c r="K678" s="74"/>
      <c r="L678" s="74"/>
      <c r="M678" s="74"/>
      <c r="N678" s="179"/>
      <c r="O678" s="74"/>
      <c r="P678" s="74"/>
      <c r="Q678" s="74"/>
      <c r="R678" s="74"/>
      <c r="S678" s="74"/>
      <c r="T678" s="74"/>
      <c r="U678" s="74"/>
      <c r="V678" s="74"/>
      <c r="W678" s="74"/>
      <c r="X678" s="74"/>
      <c r="Y678" s="74"/>
      <c r="Z678" s="74"/>
      <c r="AA678" s="74"/>
      <c r="AB678" s="74"/>
      <c r="AC678" s="74"/>
      <c r="AD678" s="74"/>
      <c r="AE678" s="12"/>
      <c r="AF678" s="12"/>
      <c r="AG678" s="12"/>
      <c r="AH678" s="180"/>
      <c r="AI678" s="180"/>
      <c r="AJ678" s="12"/>
      <c r="AK678" s="12"/>
      <c r="AL678" s="12"/>
      <c r="AM678" s="12"/>
    </row>
    <row r="679">
      <c r="A679" s="74"/>
      <c r="B679" s="12"/>
      <c r="C679" s="74"/>
      <c r="D679" s="12"/>
      <c r="E679" s="12"/>
      <c r="F679" s="74"/>
      <c r="G679" s="74"/>
      <c r="H679" s="179"/>
      <c r="I679" s="74"/>
      <c r="J679" s="74"/>
      <c r="K679" s="74"/>
      <c r="L679" s="74"/>
      <c r="M679" s="74"/>
      <c r="N679" s="179"/>
      <c r="O679" s="74"/>
      <c r="P679" s="74"/>
      <c r="Q679" s="74"/>
      <c r="R679" s="74"/>
      <c r="S679" s="74"/>
      <c r="T679" s="74"/>
      <c r="U679" s="74"/>
      <c r="V679" s="74"/>
      <c r="W679" s="74"/>
      <c r="X679" s="74"/>
      <c r="Y679" s="74"/>
      <c r="Z679" s="74"/>
      <c r="AA679" s="74"/>
      <c r="AB679" s="74"/>
      <c r="AC679" s="74"/>
      <c r="AD679" s="74"/>
      <c r="AE679" s="12"/>
      <c r="AF679" s="12"/>
      <c r="AG679" s="12"/>
      <c r="AH679" s="180"/>
      <c r="AI679" s="180"/>
      <c r="AJ679" s="12"/>
      <c r="AK679" s="12"/>
      <c r="AL679" s="12"/>
      <c r="AM679" s="12"/>
    </row>
    <row r="680">
      <c r="A680" s="74"/>
      <c r="B680" s="12"/>
      <c r="C680" s="74"/>
      <c r="D680" s="12"/>
      <c r="E680" s="12"/>
      <c r="F680" s="74"/>
      <c r="G680" s="74"/>
      <c r="H680" s="179"/>
      <c r="I680" s="74"/>
      <c r="J680" s="74"/>
      <c r="K680" s="74"/>
      <c r="L680" s="74"/>
      <c r="M680" s="74"/>
      <c r="N680" s="179"/>
      <c r="O680" s="74"/>
      <c r="P680" s="74"/>
      <c r="Q680" s="74"/>
      <c r="R680" s="74"/>
      <c r="S680" s="74"/>
      <c r="T680" s="74"/>
      <c r="U680" s="74"/>
      <c r="V680" s="74"/>
      <c r="W680" s="74"/>
      <c r="X680" s="74"/>
      <c r="Y680" s="74"/>
      <c r="Z680" s="74"/>
      <c r="AA680" s="74"/>
      <c r="AB680" s="74"/>
      <c r="AC680" s="74"/>
      <c r="AD680" s="74"/>
      <c r="AE680" s="12"/>
      <c r="AF680" s="12"/>
      <c r="AG680" s="12"/>
      <c r="AH680" s="180"/>
      <c r="AI680" s="180"/>
      <c r="AJ680" s="12"/>
      <c r="AK680" s="12"/>
      <c r="AL680" s="12"/>
      <c r="AM680" s="12"/>
    </row>
    <row r="681">
      <c r="A681" s="74"/>
      <c r="B681" s="12"/>
      <c r="C681" s="74"/>
      <c r="D681" s="12"/>
      <c r="E681" s="12"/>
      <c r="F681" s="74"/>
      <c r="G681" s="74"/>
      <c r="H681" s="179"/>
      <c r="I681" s="74"/>
      <c r="J681" s="74"/>
      <c r="K681" s="74"/>
      <c r="L681" s="74"/>
      <c r="M681" s="74"/>
      <c r="N681" s="179"/>
      <c r="O681" s="74"/>
      <c r="P681" s="74"/>
      <c r="Q681" s="74"/>
      <c r="R681" s="74"/>
      <c r="S681" s="74"/>
      <c r="T681" s="74"/>
      <c r="U681" s="74"/>
      <c r="V681" s="74"/>
      <c r="W681" s="74"/>
      <c r="X681" s="74"/>
      <c r="Y681" s="74"/>
      <c r="Z681" s="74"/>
      <c r="AA681" s="74"/>
      <c r="AB681" s="74"/>
      <c r="AC681" s="74"/>
      <c r="AD681" s="74"/>
      <c r="AE681" s="12"/>
      <c r="AF681" s="12"/>
      <c r="AG681" s="12"/>
      <c r="AH681" s="180"/>
      <c r="AI681" s="180"/>
      <c r="AJ681" s="12"/>
      <c r="AK681" s="12"/>
      <c r="AL681" s="12"/>
      <c r="AM681" s="12"/>
    </row>
    <row r="682">
      <c r="A682" s="74"/>
      <c r="B682" s="12"/>
      <c r="C682" s="74"/>
      <c r="D682" s="12"/>
      <c r="E682" s="12"/>
      <c r="F682" s="74"/>
      <c r="G682" s="74"/>
      <c r="H682" s="179"/>
      <c r="I682" s="74"/>
      <c r="J682" s="74"/>
      <c r="K682" s="74"/>
      <c r="L682" s="74"/>
      <c r="M682" s="74"/>
      <c r="N682" s="179"/>
      <c r="O682" s="74"/>
      <c r="P682" s="74"/>
      <c r="Q682" s="74"/>
      <c r="R682" s="74"/>
      <c r="S682" s="74"/>
      <c r="T682" s="74"/>
      <c r="U682" s="74"/>
      <c r="V682" s="74"/>
      <c r="W682" s="74"/>
      <c r="X682" s="74"/>
      <c r="Y682" s="74"/>
      <c r="Z682" s="74"/>
      <c r="AA682" s="74"/>
      <c r="AB682" s="74"/>
      <c r="AC682" s="74"/>
      <c r="AD682" s="74"/>
      <c r="AE682" s="12"/>
      <c r="AF682" s="12"/>
      <c r="AG682" s="12"/>
      <c r="AH682" s="180"/>
      <c r="AI682" s="180"/>
      <c r="AJ682" s="12"/>
      <c r="AK682" s="12"/>
      <c r="AL682" s="12"/>
      <c r="AM682" s="12"/>
    </row>
    <row r="683">
      <c r="A683" s="74"/>
      <c r="B683" s="12"/>
      <c r="C683" s="74"/>
      <c r="D683" s="12"/>
      <c r="E683" s="12"/>
      <c r="F683" s="74"/>
      <c r="G683" s="74"/>
      <c r="H683" s="179"/>
      <c r="I683" s="74"/>
      <c r="J683" s="74"/>
      <c r="K683" s="74"/>
      <c r="L683" s="74"/>
      <c r="M683" s="74"/>
      <c r="N683" s="179"/>
      <c r="O683" s="74"/>
      <c r="P683" s="74"/>
      <c r="Q683" s="74"/>
      <c r="R683" s="74"/>
      <c r="S683" s="74"/>
      <c r="T683" s="74"/>
      <c r="U683" s="74"/>
      <c r="V683" s="74"/>
      <c r="W683" s="74"/>
      <c r="X683" s="74"/>
      <c r="Y683" s="74"/>
      <c r="Z683" s="74"/>
      <c r="AA683" s="74"/>
      <c r="AB683" s="74"/>
      <c r="AC683" s="74"/>
      <c r="AD683" s="74"/>
      <c r="AE683" s="12"/>
      <c r="AF683" s="12"/>
      <c r="AG683" s="12"/>
      <c r="AH683" s="180"/>
      <c r="AI683" s="180"/>
      <c r="AJ683" s="12"/>
      <c r="AK683" s="12"/>
      <c r="AL683" s="12"/>
      <c r="AM683" s="12"/>
    </row>
    <row r="684">
      <c r="A684" s="74"/>
      <c r="B684" s="12"/>
      <c r="C684" s="74"/>
      <c r="D684" s="12"/>
      <c r="E684" s="12"/>
      <c r="F684" s="74"/>
      <c r="G684" s="74"/>
      <c r="H684" s="179"/>
      <c r="I684" s="74"/>
      <c r="J684" s="74"/>
      <c r="K684" s="74"/>
      <c r="L684" s="74"/>
      <c r="M684" s="74"/>
      <c r="N684" s="179"/>
      <c r="O684" s="74"/>
      <c r="P684" s="74"/>
      <c r="Q684" s="74"/>
      <c r="R684" s="74"/>
      <c r="S684" s="74"/>
      <c r="T684" s="74"/>
      <c r="U684" s="74"/>
      <c r="V684" s="74"/>
      <c r="W684" s="74"/>
      <c r="X684" s="74"/>
      <c r="Y684" s="74"/>
      <c r="Z684" s="74"/>
      <c r="AA684" s="74"/>
      <c r="AB684" s="74"/>
      <c r="AC684" s="74"/>
      <c r="AD684" s="74"/>
      <c r="AE684" s="12"/>
      <c r="AF684" s="12"/>
      <c r="AG684" s="12"/>
      <c r="AH684" s="180"/>
      <c r="AI684" s="180"/>
      <c r="AJ684" s="12"/>
      <c r="AK684" s="12"/>
      <c r="AL684" s="12"/>
      <c r="AM684" s="12"/>
    </row>
    <row r="685">
      <c r="A685" s="74"/>
      <c r="B685" s="12"/>
      <c r="C685" s="74"/>
      <c r="D685" s="12"/>
      <c r="E685" s="12"/>
      <c r="F685" s="74"/>
      <c r="G685" s="74"/>
      <c r="H685" s="179"/>
      <c r="I685" s="74"/>
      <c r="J685" s="74"/>
      <c r="K685" s="74"/>
      <c r="L685" s="74"/>
      <c r="M685" s="74"/>
      <c r="N685" s="179"/>
      <c r="O685" s="74"/>
      <c r="P685" s="74"/>
      <c r="Q685" s="74"/>
      <c r="R685" s="74"/>
      <c r="S685" s="74"/>
      <c r="T685" s="74"/>
      <c r="U685" s="74"/>
      <c r="V685" s="74"/>
      <c r="W685" s="74"/>
      <c r="X685" s="74"/>
      <c r="Y685" s="74"/>
      <c r="Z685" s="74"/>
      <c r="AA685" s="74"/>
      <c r="AB685" s="74"/>
      <c r="AC685" s="74"/>
      <c r="AD685" s="74"/>
      <c r="AE685" s="12"/>
      <c r="AF685" s="12"/>
      <c r="AG685" s="12"/>
      <c r="AH685" s="180"/>
      <c r="AI685" s="180"/>
      <c r="AJ685" s="12"/>
      <c r="AK685" s="12"/>
      <c r="AL685" s="12"/>
      <c r="AM685" s="12"/>
    </row>
    <row r="686">
      <c r="A686" s="74"/>
      <c r="B686" s="12"/>
      <c r="C686" s="74"/>
      <c r="D686" s="12"/>
      <c r="E686" s="12"/>
      <c r="F686" s="74"/>
      <c r="G686" s="74"/>
      <c r="H686" s="179"/>
      <c r="I686" s="74"/>
      <c r="J686" s="74"/>
      <c r="K686" s="74"/>
      <c r="L686" s="74"/>
      <c r="M686" s="74"/>
      <c r="N686" s="179"/>
      <c r="O686" s="74"/>
      <c r="P686" s="74"/>
      <c r="Q686" s="74"/>
      <c r="R686" s="74"/>
      <c r="S686" s="74"/>
      <c r="T686" s="74"/>
      <c r="U686" s="74"/>
      <c r="V686" s="74"/>
      <c r="W686" s="74"/>
      <c r="X686" s="74"/>
      <c r="Y686" s="74"/>
      <c r="Z686" s="74"/>
      <c r="AA686" s="74"/>
      <c r="AB686" s="74"/>
      <c r="AC686" s="74"/>
      <c r="AD686" s="74"/>
      <c r="AE686" s="12"/>
      <c r="AF686" s="12"/>
      <c r="AG686" s="12"/>
      <c r="AH686" s="180"/>
      <c r="AI686" s="180"/>
      <c r="AJ686" s="12"/>
      <c r="AK686" s="12"/>
      <c r="AL686" s="12"/>
      <c r="AM686" s="12"/>
    </row>
    <row r="687">
      <c r="A687" s="74"/>
      <c r="B687" s="12"/>
      <c r="C687" s="74"/>
      <c r="D687" s="12"/>
      <c r="E687" s="12"/>
      <c r="F687" s="74"/>
      <c r="G687" s="74"/>
      <c r="H687" s="179"/>
      <c r="I687" s="74"/>
      <c r="J687" s="74"/>
      <c r="K687" s="74"/>
      <c r="L687" s="74"/>
      <c r="M687" s="74"/>
      <c r="N687" s="179"/>
      <c r="O687" s="74"/>
      <c r="P687" s="74"/>
      <c r="Q687" s="74"/>
      <c r="R687" s="74"/>
      <c r="S687" s="74"/>
      <c r="T687" s="74"/>
      <c r="U687" s="74"/>
      <c r="V687" s="74"/>
      <c r="W687" s="74"/>
      <c r="X687" s="74"/>
      <c r="Y687" s="74"/>
      <c r="Z687" s="74"/>
      <c r="AA687" s="74"/>
      <c r="AB687" s="74"/>
      <c r="AC687" s="74"/>
      <c r="AD687" s="74"/>
      <c r="AE687" s="12"/>
      <c r="AF687" s="12"/>
      <c r="AG687" s="12"/>
      <c r="AH687" s="180"/>
      <c r="AI687" s="180"/>
      <c r="AJ687" s="12"/>
      <c r="AK687" s="12"/>
      <c r="AL687" s="12"/>
      <c r="AM687" s="12"/>
    </row>
    <row r="688">
      <c r="A688" s="74"/>
      <c r="B688" s="12"/>
      <c r="C688" s="74"/>
      <c r="D688" s="12"/>
      <c r="E688" s="12"/>
      <c r="F688" s="74"/>
      <c r="G688" s="74"/>
      <c r="H688" s="179"/>
      <c r="I688" s="74"/>
      <c r="J688" s="74"/>
      <c r="K688" s="74"/>
      <c r="L688" s="74"/>
      <c r="M688" s="74"/>
      <c r="N688" s="179"/>
      <c r="O688" s="74"/>
      <c r="P688" s="74"/>
      <c r="Q688" s="74"/>
      <c r="R688" s="74"/>
      <c r="S688" s="74"/>
      <c r="T688" s="74"/>
      <c r="U688" s="74"/>
      <c r="V688" s="74"/>
      <c r="W688" s="74"/>
      <c r="X688" s="74"/>
      <c r="Y688" s="74"/>
      <c r="Z688" s="74"/>
      <c r="AA688" s="74"/>
      <c r="AB688" s="74"/>
      <c r="AC688" s="74"/>
      <c r="AD688" s="74"/>
      <c r="AE688" s="12"/>
      <c r="AF688" s="12"/>
      <c r="AG688" s="12"/>
      <c r="AH688" s="180"/>
      <c r="AI688" s="180"/>
      <c r="AJ688" s="12"/>
      <c r="AK688" s="12"/>
      <c r="AL688" s="12"/>
      <c r="AM688" s="12"/>
    </row>
    <row r="689">
      <c r="A689" s="74"/>
      <c r="B689" s="12"/>
      <c r="C689" s="74"/>
      <c r="D689" s="12"/>
      <c r="E689" s="12"/>
      <c r="F689" s="74"/>
      <c r="G689" s="74"/>
      <c r="H689" s="179"/>
      <c r="I689" s="74"/>
      <c r="J689" s="74"/>
      <c r="K689" s="74"/>
      <c r="L689" s="74"/>
      <c r="M689" s="74"/>
      <c r="N689" s="179"/>
      <c r="O689" s="74"/>
      <c r="P689" s="74"/>
      <c r="Q689" s="74"/>
      <c r="R689" s="74"/>
      <c r="S689" s="74"/>
      <c r="T689" s="74"/>
      <c r="U689" s="74"/>
      <c r="V689" s="74"/>
      <c r="W689" s="74"/>
      <c r="X689" s="74"/>
      <c r="Y689" s="74"/>
      <c r="Z689" s="74"/>
      <c r="AA689" s="74"/>
      <c r="AB689" s="74"/>
      <c r="AC689" s="74"/>
      <c r="AD689" s="74"/>
      <c r="AE689" s="12"/>
      <c r="AF689" s="12"/>
      <c r="AG689" s="12"/>
      <c r="AH689" s="180"/>
      <c r="AI689" s="180"/>
      <c r="AJ689" s="12"/>
      <c r="AK689" s="12"/>
      <c r="AL689" s="12"/>
      <c r="AM689" s="12"/>
    </row>
    <row r="690">
      <c r="A690" s="74"/>
      <c r="B690" s="12"/>
      <c r="C690" s="74"/>
      <c r="D690" s="12"/>
      <c r="E690" s="12"/>
      <c r="F690" s="74"/>
      <c r="G690" s="74"/>
      <c r="H690" s="179"/>
      <c r="I690" s="74"/>
      <c r="J690" s="74"/>
      <c r="K690" s="74"/>
      <c r="L690" s="74"/>
      <c r="M690" s="74"/>
      <c r="N690" s="179"/>
      <c r="O690" s="74"/>
      <c r="P690" s="74"/>
      <c r="Q690" s="74"/>
      <c r="R690" s="74"/>
      <c r="S690" s="74"/>
      <c r="T690" s="74"/>
      <c r="U690" s="74"/>
      <c r="V690" s="74"/>
      <c r="W690" s="74"/>
      <c r="X690" s="74"/>
      <c r="Y690" s="74"/>
      <c r="Z690" s="74"/>
      <c r="AA690" s="74"/>
      <c r="AB690" s="74"/>
      <c r="AC690" s="74"/>
      <c r="AD690" s="74"/>
      <c r="AE690" s="12"/>
      <c r="AF690" s="12"/>
      <c r="AG690" s="12"/>
      <c r="AH690" s="180"/>
      <c r="AI690" s="180"/>
      <c r="AJ690" s="12"/>
      <c r="AK690" s="12"/>
      <c r="AL690" s="12"/>
      <c r="AM690" s="12"/>
    </row>
    <row r="691">
      <c r="A691" s="74"/>
      <c r="B691" s="12"/>
      <c r="C691" s="74"/>
      <c r="D691" s="12"/>
      <c r="E691" s="12"/>
      <c r="F691" s="74"/>
      <c r="G691" s="74"/>
      <c r="H691" s="179"/>
      <c r="I691" s="74"/>
      <c r="J691" s="74"/>
      <c r="K691" s="74"/>
      <c r="L691" s="74"/>
      <c r="M691" s="74"/>
      <c r="N691" s="179"/>
      <c r="O691" s="74"/>
      <c r="P691" s="74"/>
      <c r="Q691" s="74"/>
      <c r="R691" s="74"/>
      <c r="S691" s="74"/>
      <c r="T691" s="74"/>
      <c r="U691" s="74"/>
      <c r="V691" s="74"/>
      <c r="W691" s="74"/>
      <c r="X691" s="74"/>
      <c r="Y691" s="74"/>
      <c r="Z691" s="74"/>
      <c r="AA691" s="74"/>
      <c r="AB691" s="74"/>
      <c r="AC691" s="74"/>
      <c r="AD691" s="74"/>
      <c r="AE691" s="12"/>
      <c r="AF691" s="12"/>
      <c r="AG691" s="12"/>
      <c r="AH691" s="180"/>
      <c r="AI691" s="180"/>
      <c r="AJ691" s="12"/>
      <c r="AK691" s="12"/>
      <c r="AL691" s="12"/>
      <c r="AM691" s="12"/>
    </row>
    <row r="692">
      <c r="A692" s="74"/>
      <c r="B692" s="12"/>
      <c r="C692" s="74"/>
      <c r="D692" s="12"/>
      <c r="E692" s="12"/>
      <c r="F692" s="74"/>
      <c r="G692" s="74"/>
      <c r="H692" s="179"/>
      <c r="I692" s="74"/>
      <c r="J692" s="74"/>
      <c r="K692" s="74"/>
      <c r="L692" s="74"/>
      <c r="M692" s="74"/>
      <c r="N692" s="179"/>
      <c r="O692" s="74"/>
      <c r="P692" s="74"/>
      <c r="Q692" s="74"/>
      <c r="R692" s="74"/>
      <c r="S692" s="74"/>
      <c r="T692" s="74"/>
      <c r="U692" s="74"/>
      <c r="V692" s="74"/>
      <c r="W692" s="74"/>
      <c r="X692" s="74"/>
      <c r="Y692" s="74"/>
      <c r="Z692" s="74"/>
      <c r="AA692" s="74"/>
      <c r="AB692" s="74"/>
      <c r="AC692" s="74"/>
      <c r="AD692" s="74"/>
      <c r="AE692" s="12"/>
      <c r="AF692" s="12"/>
      <c r="AG692" s="12"/>
      <c r="AH692" s="180"/>
      <c r="AI692" s="180"/>
      <c r="AJ692" s="12"/>
      <c r="AK692" s="12"/>
      <c r="AL692" s="12"/>
      <c r="AM692" s="12"/>
    </row>
    <row r="693">
      <c r="A693" s="74"/>
      <c r="B693" s="12"/>
      <c r="C693" s="74"/>
      <c r="D693" s="12"/>
      <c r="E693" s="12"/>
      <c r="F693" s="74"/>
      <c r="G693" s="74"/>
      <c r="H693" s="179"/>
      <c r="I693" s="74"/>
      <c r="J693" s="74"/>
      <c r="K693" s="74"/>
      <c r="L693" s="74"/>
      <c r="M693" s="74"/>
      <c r="N693" s="179"/>
      <c r="O693" s="74"/>
      <c r="P693" s="74"/>
      <c r="Q693" s="74"/>
      <c r="R693" s="74"/>
      <c r="S693" s="74"/>
      <c r="T693" s="74"/>
      <c r="U693" s="74"/>
      <c r="V693" s="74"/>
      <c r="W693" s="74"/>
      <c r="X693" s="74"/>
      <c r="Y693" s="74"/>
      <c r="Z693" s="74"/>
      <c r="AA693" s="74"/>
      <c r="AB693" s="74"/>
      <c r="AC693" s="74"/>
      <c r="AD693" s="74"/>
      <c r="AE693" s="12"/>
      <c r="AF693" s="12"/>
      <c r="AG693" s="12"/>
      <c r="AH693" s="180"/>
      <c r="AI693" s="180"/>
      <c r="AJ693" s="12"/>
      <c r="AK693" s="12"/>
      <c r="AL693" s="12"/>
      <c r="AM693" s="12"/>
    </row>
    <row r="694">
      <c r="A694" s="74"/>
      <c r="B694" s="12"/>
      <c r="C694" s="74"/>
      <c r="D694" s="12"/>
      <c r="E694" s="12"/>
      <c r="F694" s="74"/>
      <c r="G694" s="74"/>
      <c r="H694" s="179"/>
      <c r="I694" s="74"/>
      <c r="J694" s="74"/>
      <c r="K694" s="74"/>
      <c r="L694" s="74"/>
      <c r="M694" s="74"/>
      <c r="N694" s="179"/>
      <c r="O694" s="74"/>
      <c r="P694" s="74"/>
      <c r="Q694" s="74"/>
      <c r="R694" s="74"/>
      <c r="S694" s="74"/>
      <c r="T694" s="74"/>
      <c r="U694" s="74"/>
      <c r="V694" s="74"/>
      <c r="W694" s="74"/>
      <c r="X694" s="74"/>
      <c r="Y694" s="74"/>
      <c r="Z694" s="74"/>
      <c r="AA694" s="74"/>
      <c r="AB694" s="74"/>
      <c r="AC694" s="74"/>
      <c r="AD694" s="74"/>
      <c r="AE694" s="12"/>
      <c r="AF694" s="12"/>
      <c r="AG694" s="12"/>
      <c r="AH694" s="180"/>
      <c r="AI694" s="180"/>
      <c r="AJ694" s="12"/>
      <c r="AK694" s="12"/>
      <c r="AL694" s="12"/>
      <c r="AM694" s="12"/>
    </row>
    <row r="695">
      <c r="A695" s="74"/>
      <c r="B695" s="12"/>
      <c r="C695" s="74"/>
      <c r="D695" s="12"/>
      <c r="E695" s="12"/>
      <c r="F695" s="74"/>
      <c r="G695" s="74"/>
      <c r="H695" s="179"/>
      <c r="I695" s="74"/>
      <c r="J695" s="74"/>
      <c r="K695" s="74"/>
      <c r="L695" s="74"/>
      <c r="M695" s="74"/>
      <c r="N695" s="179"/>
      <c r="O695" s="74"/>
      <c r="P695" s="74"/>
      <c r="Q695" s="74"/>
      <c r="R695" s="74"/>
      <c r="S695" s="74"/>
      <c r="T695" s="74"/>
      <c r="U695" s="74"/>
      <c r="V695" s="74"/>
      <c r="W695" s="74"/>
      <c r="X695" s="74"/>
      <c r="Y695" s="74"/>
      <c r="Z695" s="74"/>
      <c r="AA695" s="74"/>
      <c r="AB695" s="74"/>
      <c r="AC695" s="74"/>
      <c r="AD695" s="74"/>
      <c r="AE695" s="12"/>
      <c r="AF695" s="12"/>
      <c r="AG695" s="12"/>
      <c r="AH695" s="180"/>
      <c r="AI695" s="180"/>
      <c r="AJ695" s="12"/>
      <c r="AK695" s="12"/>
      <c r="AL695" s="12"/>
      <c r="AM695" s="12"/>
    </row>
    <row r="696">
      <c r="A696" s="74"/>
      <c r="B696" s="12"/>
      <c r="C696" s="74"/>
      <c r="D696" s="12"/>
      <c r="E696" s="12"/>
      <c r="F696" s="74"/>
      <c r="G696" s="74"/>
      <c r="H696" s="179"/>
      <c r="I696" s="74"/>
      <c r="J696" s="74"/>
      <c r="K696" s="74"/>
      <c r="L696" s="74"/>
      <c r="M696" s="74"/>
      <c r="N696" s="179"/>
      <c r="O696" s="74"/>
      <c r="P696" s="74"/>
      <c r="Q696" s="74"/>
      <c r="R696" s="74"/>
      <c r="S696" s="74"/>
      <c r="T696" s="74"/>
      <c r="U696" s="74"/>
      <c r="V696" s="74"/>
      <c r="W696" s="74"/>
      <c r="X696" s="74"/>
      <c r="Y696" s="74"/>
      <c r="Z696" s="74"/>
      <c r="AA696" s="74"/>
      <c r="AB696" s="74"/>
      <c r="AC696" s="74"/>
      <c r="AD696" s="74"/>
      <c r="AE696" s="12"/>
      <c r="AF696" s="12"/>
      <c r="AG696" s="12"/>
      <c r="AH696" s="180"/>
      <c r="AI696" s="180"/>
      <c r="AJ696" s="12"/>
      <c r="AK696" s="12"/>
      <c r="AL696" s="12"/>
      <c r="AM696" s="12"/>
    </row>
    <row r="697">
      <c r="A697" s="74"/>
      <c r="B697" s="12"/>
      <c r="C697" s="74"/>
      <c r="D697" s="12"/>
      <c r="E697" s="12"/>
      <c r="F697" s="74"/>
      <c r="G697" s="74"/>
      <c r="H697" s="179"/>
      <c r="I697" s="74"/>
      <c r="J697" s="74"/>
      <c r="K697" s="74"/>
      <c r="L697" s="74"/>
      <c r="M697" s="74"/>
      <c r="N697" s="179"/>
      <c r="O697" s="74"/>
      <c r="P697" s="74"/>
      <c r="Q697" s="74"/>
      <c r="R697" s="74"/>
      <c r="S697" s="74"/>
      <c r="T697" s="74"/>
      <c r="U697" s="74"/>
      <c r="V697" s="74"/>
      <c r="W697" s="74"/>
      <c r="X697" s="74"/>
      <c r="Y697" s="74"/>
      <c r="Z697" s="74"/>
      <c r="AA697" s="74"/>
      <c r="AB697" s="74"/>
      <c r="AC697" s="74"/>
      <c r="AD697" s="74"/>
      <c r="AE697" s="12"/>
      <c r="AF697" s="12"/>
      <c r="AG697" s="12"/>
      <c r="AH697" s="180"/>
      <c r="AI697" s="180"/>
      <c r="AJ697" s="12"/>
      <c r="AK697" s="12"/>
      <c r="AL697" s="12"/>
      <c r="AM697" s="12"/>
    </row>
    <row r="698">
      <c r="A698" s="74"/>
      <c r="B698" s="12"/>
      <c r="C698" s="74"/>
      <c r="D698" s="12"/>
      <c r="E698" s="12"/>
      <c r="F698" s="74"/>
      <c r="G698" s="74"/>
      <c r="H698" s="179"/>
      <c r="I698" s="74"/>
      <c r="J698" s="74"/>
      <c r="K698" s="74"/>
      <c r="L698" s="74"/>
      <c r="M698" s="74"/>
      <c r="N698" s="179"/>
      <c r="O698" s="74"/>
      <c r="P698" s="74"/>
      <c r="Q698" s="74"/>
      <c r="R698" s="74"/>
      <c r="S698" s="74"/>
      <c r="T698" s="74"/>
      <c r="U698" s="74"/>
      <c r="V698" s="74"/>
      <c r="W698" s="74"/>
      <c r="X698" s="74"/>
      <c r="Y698" s="74"/>
      <c r="Z698" s="74"/>
      <c r="AA698" s="74"/>
      <c r="AB698" s="74"/>
      <c r="AC698" s="74"/>
      <c r="AD698" s="74"/>
      <c r="AE698" s="12"/>
      <c r="AF698" s="12"/>
      <c r="AG698" s="12"/>
      <c r="AH698" s="180"/>
      <c r="AI698" s="180"/>
      <c r="AJ698" s="12"/>
      <c r="AK698" s="12"/>
      <c r="AL698" s="12"/>
      <c r="AM698" s="12"/>
    </row>
    <row r="699">
      <c r="A699" s="74"/>
      <c r="B699" s="12"/>
      <c r="C699" s="74"/>
      <c r="D699" s="12"/>
      <c r="E699" s="12"/>
      <c r="F699" s="74"/>
      <c r="G699" s="74"/>
      <c r="H699" s="179"/>
      <c r="I699" s="74"/>
      <c r="J699" s="74"/>
      <c r="K699" s="74"/>
      <c r="L699" s="74"/>
      <c r="M699" s="74"/>
      <c r="N699" s="179"/>
      <c r="O699" s="74"/>
      <c r="P699" s="74"/>
      <c r="Q699" s="74"/>
      <c r="R699" s="74"/>
      <c r="S699" s="74"/>
      <c r="T699" s="74"/>
      <c r="U699" s="74"/>
      <c r="V699" s="74"/>
      <c r="W699" s="74"/>
      <c r="X699" s="74"/>
      <c r="Y699" s="74"/>
      <c r="Z699" s="74"/>
      <c r="AA699" s="74"/>
      <c r="AB699" s="74"/>
      <c r="AC699" s="74"/>
      <c r="AD699" s="74"/>
      <c r="AE699" s="12"/>
      <c r="AF699" s="12"/>
      <c r="AG699" s="12"/>
      <c r="AH699" s="180"/>
      <c r="AI699" s="180"/>
      <c r="AJ699" s="12"/>
      <c r="AK699" s="12"/>
      <c r="AL699" s="12"/>
      <c r="AM699" s="12"/>
    </row>
    <row r="700">
      <c r="A700" s="74"/>
      <c r="B700" s="12"/>
      <c r="C700" s="74"/>
      <c r="D700" s="12"/>
      <c r="E700" s="12"/>
      <c r="F700" s="74"/>
      <c r="G700" s="74"/>
      <c r="H700" s="179"/>
      <c r="I700" s="74"/>
      <c r="J700" s="74"/>
      <c r="K700" s="74"/>
      <c r="L700" s="74"/>
      <c r="M700" s="74"/>
      <c r="N700" s="179"/>
      <c r="O700" s="74"/>
      <c r="P700" s="74"/>
      <c r="Q700" s="74"/>
      <c r="R700" s="74"/>
      <c r="S700" s="74"/>
      <c r="T700" s="74"/>
      <c r="U700" s="74"/>
      <c r="V700" s="74"/>
      <c r="W700" s="74"/>
      <c r="X700" s="74"/>
      <c r="Y700" s="74"/>
      <c r="Z700" s="74"/>
      <c r="AA700" s="74"/>
      <c r="AB700" s="74"/>
      <c r="AC700" s="74"/>
      <c r="AD700" s="74"/>
      <c r="AE700" s="12"/>
      <c r="AF700" s="12"/>
      <c r="AG700" s="12"/>
      <c r="AH700" s="180"/>
      <c r="AI700" s="180"/>
      <c r="AJ700" s="12"/>
      <c r="AK700" s="12"/>
      <c r="AL700" s="12"/>
      <c r="AM700" s="12"/>
    </row>
    <row r="701">
      <c r="A701" s="74"/>
      <c r="B701" s="12"/>
      <c r="C701" s="74"/>
      <c r="D701" s="12"/>
      <c r="E701" s="12"/>
      <c r="F701" s="74"/>
      <c r="G701" s="74"/>
      <c r="H701" s="179"/>
      <c r="I701" s="74"/>
      <c r="J701" s="74"/>
      <c r="K701" s="74"/>
      <c r="L701" s="74"/>
      <c r="M701" s="74"/>
      <c r="N701" s="179"/>
      <c r="O701" s="74"/>
      <c r="P701" s="74"/>
      <c r="Q701" s="74"/>
      <c r="R701" s="74"/>
      <c r="S701" s="74"/>
      <c r="T701" s="74"/>
      <c r="U701" s="74"/>
      <c r="V701" s="74"/>
      <c r="W701" s="74"/>
      <c r="X701" s="74"/>
      <c r="Y701" s="74"/>
      <c r="Z701" s="74"/>
      <c r="AA701" s="74"/>
      <c r="AB701" s="74"/>
      <c r="AC701" s="74"/>
      <c r="AD701" s="74"/>
      <c r="AE701" s="12"/>
      <c r="AF701" s="12"/>
      <c r="AG701" s="12"/>
      <c r="AH701" s="180"/>
      <c r="AI701" s="180"/>
      <c r="AJ701" s="12"/>
      <c r="AK701" s="12"/>
      <c r="AL701" s="12"/>
      <c r="AM701" s="12"/>
    </row>
    <row r="702">
      <c r="A702" s="74"/>
      <c r="B702" s="12"/>
      <c r="C702" s="74"/>
      <c r="D702" s="12"/>
      <c r="E702" s="12"/>
      <c r="F702" s="74"/>
      <c r="G702" s="74"/>
      <c r="H702" s="179"/>
      <c r="I702" s="74"/>
      <c r="J702" s="74"/>
      <c r="K702" s="74"/>
      <c r="L702" s="74"/>
      <c r="M702" s="74"/>
      <c r="N702" s="179"/>
      <c r="O702" s="74"/>
      <c r="P702" s="74"/>
      <c r="Q702" s="74"/>
      <c r="R702" s="74"/>
      <c r="S702" s="74"/>
      <c r="T702" s="74"/>
      <c r="U702" s="74"/>
      <c r="V702" s="74"/>
      <c r="W702" s="74"/>
      <c r="X702" s="74"/>
      <c r="Y702" s="74"/>
      <c r="Z702" s="74"/>
      <c r="AA702" s="74"/>
      <c r="AB702" s="74"/>
      <c r="AC702" s="74"/>
      <c r="AD702" s="74"/>
      <c r="AE702" s="12"/>
      <c r="AF702" s="12"/>
      <c r="AG702" s="12"/>
      <c r="AH702" s="180"/>
      <c r="AI702" s="180"/>
      <c r="AJ702" s="12"/>
      <c r="AK702" s="12"/>
      <c r="AL702" s="12"/>
      <c r="AM702" s="12"/>
    </row>
    <row r="703">
      <c r="A703" s="74"/>
      <c r="B703" s="12"/>
      <c r="C703" s="74"/>
      <c r="D703" s="12"/>
      <c r="E703" s="12"/>
      <c r="F703" s="74"/>
      <c r="G703" s="74"/>
      <c r="H703" s="179"/>
      <c r="I703" s="74"/>
      <c r="J703" s="74"/>
      <c r="K703" s="74"/>
      <c r="L703" s="74"/>
      <c r="M703" s="74"/>
      <c r="N703" s="179"/>
      <c r="O703" s="74"/>
      <c r="P703" s="74"/>
      <c r="Q703" s="74"/>
      <c r="R703" s="74"/>
      <c r="S703" s="74"/>
      <c r="T703" s="74"/>
      <c r="U703" s="74"/>
      <c r="V703" s="74"/>
      <c r="W703" s="74"/>
      <c r="X703" s="74"/>
      <c r="Y703" s="74"/>
      <c r="Z703" s="74"/>
      <c r="AA703" s="74"/>
      <c r="AB703" s="74"/>
      <c r="AC703" s="74"/>
      <c r="AD703" s="74"/>
      <c r="AE703" s="12"/>
      <c r="AF703" s="12"/>
      <c r="AG703" s="12"/>
      <c r="AH703" s="180"/>
      <c r="AI703" s="180"/>
      <c r="AJ703" s="12"/>
      <c r="AK703" s="12"/>
      <c r="AL703" s="12"/>
      <c r="AM703" s="12"/>
    </row>
    <row r="704">
      <c r="A704" s="74"/>
      <c r="B704" s="12"/>
      <c r="C704" s="74"/>
      <c r="D704" s="12"/>
      <c r="E704" s="12"/>
      <c r="F704" s="74"/>
      <c r="G704" s="74"/>
      <c r="H704" s="179"/>
      <c r="I704" s="74"/>
      <c r="J704" s="74"/>
      <c r="K704" s="74"/>
      <c r="L704" s="74"/>
      <c r="M704" s="74"/>
      <c r="N704" s="179"/>
      <c r="O704" s="74"/>
      <c r="P704" s="74"/>
      <c r="Q704" s="74"/>
      <c r="R704" s="74"/>
      <c r="S704" s="74"/>
      <c r="T704" s="74"/>
      <c r="U704" s="74"/>
      <c r="V704" s="74"/>
      <c r="W704" s="74"/>
      <c r="X704" s="74"/>
      <c r="Y704" s="74"/>
      <c r="Z704" s="74"/>
      <c r="AA704" s="74"/>
      <c r="AB704" s="74"/>
      <c r="AC704" s="74"/>
      <c r="AD704" s="74"/>
      <c r="AE704" s="12"/>
      <c r="AF704" s="12"/>
      <c r="AG704" s="12"/>
      <c r="AH704" s="180"/>
      <c r="AI704" s="180"/>
      <c r="AJ704" s="12"/>
      <c r="AK704" s="12"/>
      <c r="AL704" s="12"/>
      <c r="AM704" s="12"/>
    </row>
    <row r="705">
      <c r="A705" s="74"/>
      <c r="B705" s="12"/>
      <c r="C705" s="74"/>
      <c r="D705" s="12"/>
      <c r="E705" s="12"/>
      <c r="F705" s="74"/>
      <c r="G705" s="74"/>
      <c r="H705" s="179"/>
      <c r="I705" s="74"/>
      <c r="J705" s="74"/>
      <c r="K705" s="74"/>
      <c r="L705" s="74"/>
      <c r="M705" s="74"/>
      <c r="N705" s="179"/>
      <c r="O705" s="74"/>
      <c r="P705" s="74"/>
      <c r="Q705" s="74"/>
      <c r="R705" s="74"/>
      <c r="S705" s="74"/>
      <c r="T705" s="74"/>
      <c r="U705" s="74"/>
      <c r="V705" s="74"/>
      <c r="W705" s="74"/>
      <c r="X705" s="74"/>
      <c r="Y705" s="74"/>
      <c r="Z705" s="74"/>
      <c r="AA705" s="74"/>
      <c r="AB705" s="74"/>
      <c r="AC705" s="74"/>
      <c r="AD705" s="74"/>
      <c r="AE705" s="12"/>
      <c r="AF705" s="12"/>
      <c r="AG705" s="12"/>
      <c r="AH705" s="180"/>
      <c r="AI705" s="180"/>
      <c r="AJ705" s="12"/>
      <c r="AK705" s="12"/>
      <c r="AL705" s="12"/>
      <c r="AM705" s="12"/>
    </row>
    <row r="706">
      <c r="A706" s="74"/>
      <c r="B706" s="12"/>
      <c r="C706" s="74"/>
      <c r="D706" s="12"/>
      <c r="E706" s="12"/>
      <c r="F706" s="74"/>
      <c r="G706" s="74"/>
      <c r="H706" s="179"/>
      <c r="I706" s="74"/>
      <c r="J706" s="74"/>
      <c r="K706" s="74"/>
      <c r="L706" s="74"/>
      <c r="M706" s="74"/>
      <c r="N706" s="179"/>
      <c r="O706" s="74"/>
      <c r="P706" s="74"/>
      <c r="Q706" s="74"/>
      <c r="R706" s="74"/>
      <c r="S706" s="74"/>
      <c r="T706" s="74"/>
      <c r="U706" s="74"/>
      <c r="V706" s="74"/>
      <c r="W706" s="74"/>
      <c r="X706" s="74"/>
      <c r="Y706" s="74"/>
      <c r="Z706" s="74"/>
      <c r="AA706" s="74"/>
      <c r="AB706" s="74"/>
      <c r="AC706" s="74"/>
      <c r="AD706" s="74"/>
      <c r="AE706" s="12"/>
      <c r="AF706" s="12"/>
      <c r="AG706" s="12"/>
      <c r="AH706" s="180"/>
      <c r="AI706" s="180"/>
      <c r="AJ706" s="12"/>
      <c r="AK706" s="12"/>
      <c r="AL706" s="12"/>
      <c r="AM706" s="12"/>
    </row>
    <row r="707">
      <c r="A707" s="74"/>
      <c r="B707" s="12"/>
      <c r="C707" s="74"/>
      <c r="D707" s="12"/>
      <c r="E707" s="12"/>
      <c r="F707" s="74"/>
      <c r="G707" s="74"/>
      <c r="H707" s="179"/>
      <c r="I707" s="74"/>
      <c r="J707" s="74"/>
      <c r="K707" s="74"/>
      <c r="L707" s="74"/>
      <c r="M707" s="74"/>
      <c r="N707" s="179"/>
      <c r="O707" s="74"/>
      <c r="P707" s="74"/>
      <c r="Q707" s="74"/>
      <c r="R707" s="74"/>
      <c r="S707" s="74"/>
      <c r="T707" s="74"/>
      <c r="U707" s="74"/>
      <c r="V707" s="74"/>
      <c r="W707" s="74"/>
      <c r="X707" s="74"/>
      <c r="Y707" s="74"/>
      <c r="Z707" s="74"/>
      <c r="AA707" s="74"/>
      <c r="AB707" s="74"/>
      <c r="AC707" s="74"/>
      <c r="AD707" s="74"/>
      <c r="AE707" s="12"/>
      <c r="AF707" s="12"/>
      <c r="AG707" s="12"/>
      <c r="AH707" s="180"/>
      <c r="AI707" s="180"/>
      <c r="AJ707" s="12"/>
      <c r="AK707" s="12"/>
      <c r="AL707" s="12"/>
      <c r="AM707" s="12"/>
    </row>
    <row r="708">
      <c r="A708" s="74"/>
      <c r="B708" s="12"/>
      <c r="C708" s="74"/>
      <c r="D708" s="12"/>
      <c r="E708" s="12"/>
      <c r="F708" s="74"/>
      <c r="G708" s="74"/>
      <c r="H708" s="179"/>
      <c r="I708" s="74"/>
      <c r="J708" s="74"/>
      <c r="K708" s="74"/>
      <c r="L708" s="74"/>
      <c r="M708" s="74"/>
      <c r="N708" s="179"/>
      <c r="O708" s="74"/>
      <c r="P708" s="74"/>
      <c r="Q708" s="74"/>
      <c r="R708" s="74"/>
      <c r="S708" s="74"/>
      <c r="T708" s="74"/>
      <c r="U708" s="74"/>
      <c r="V708" s="74"/>
      <c r="W708" s="74"/>
      <c r="X708" s="74"/>
      <c r="Y708" s="74"/>
      <c r="Z708" s="74"/>
      <c r="AA708" s="74"/>
      <c r="AB708" s="74"/>
      <c r="AC708" s="74"/>
      <c r="AD708" s="74"/>
      <c r="AE708" s="12"/>
      <c r="AF708" s="12"/>
      <c r="AG708" s="12"/>
      <c r="AH708" s="180"/>
      <c r="AI708" s="180"/>
      <c r="AJ708" s="12"/>
      <c r="AK708" s="12"/>
      <c r="AL708" s="12"/>
      <c r="AM708" s="12"/>
    </row>
    <row r="709">
      <c r="A709" s="74"/>
      <c r="B709" s="12"/>
      <c r="C709" s="74"/>
      <c r="D709" s="12"/>
      <c r="E709" s="12"/>
      <c r="F709" s="74"/>
      <c r="G709" s="74"/>
      <c r="H709" s="179"/>
      <c r="I709" s="74"/>
      <c r="J709" s="74"/>
      <c r="K709" s="74"/>
      <c r="L709" s="74"/>
      <c r="M709" s="74"/>
      <c r="N709" s="179"/>
      <c r="O709" s="74"/>
      <c r="P709" s="74"/>
      <c r="Q709" s="74"/>
      <c r="R709" s="74"/>
      <c r="S709" s="74"/>
      <c r="T709" s="74"/>
      <c r="U709" s="74"/>
      <c r="V709" s="74"/>
      <c r="W709" s="74"/>
      <c r="X709" s="74"/>
      <c r="Y709" s="74"/>
      <c r="Z709" s="74"/>
      <c r="AA709" s="74"/>
      <c r="AB709" s="74"/>
      <c r="AC709" s="74"/>
      <c r="AD709" s="74"/>
      <c r="AE709" s="12"/>
      <c r="AF709" s="12"/>
      <c r="AG709" s="12"/>
      <c r="AH709" s="180"/>
      <c r="AI709" s="180"/>
      <c r="AJ709" s="12"/>
      <c r="AK709" s="12"/>
      <c r="AL709" s="12"/>
      <c r="AM709" s="12"/>
    </row>
    <row r="710">
      <c r="A710" s="74"/>
      <c r="B710" s="12"/>
      <c r="C710" s="74"/>
      <c r="D710" s="12"/>
      <c r="E710" s="12"/>
      <c r="F710" s="74"/>
      <c r="G710" s="74"/>
      <c r="H710" s="179"/>
      <c r="I710" s="74"/>
      <c r="J710" s="74"/>
      <c r="K710" s="74"/>
      <c r="L710" s="74"/>
      <c r="M710" s="74"/>
      <c r="N710" s="179"/>
      <c r="O710" s="74"/>
      <c r="P710" s="74"/>
      <c r="Q710" s="74"/>
      <c r="R710" s="74"/>
      <c r="S710" s="74"/>
      <c r="T710" s="74"/>
      <c r="U710" s="74"/>
      <c r="V710" s="74"/>
      <c r="W710" s="74"/>
      <c r="X710" s="74"/>
      <c r="Y710" s="74"/>
      <c r="Z710" s="74"/>
      <c r="AA710" s="74"/>
      <c r="AB710" s="74"/>
      <c r="AC710" s="74"/>
      <c r="AD710" s="74"/>
      <c r="AE710" s="12"/>
      <c r="AF710" s="12"/>
      <c r="AG710" s="12"/>
      <c r="AH710" s="180"/>
      <c r="AI710" s="180"/>
      <c r="AJ710" s="12"/>
      <c r="AK710" s="12"/>
      <c r="AL710" s="12"/>
      <c r="AM710" s="12"/>
    </row>
    <row r="711">
      <c r="A711" s="74"/>
      <c r="B711" s="12"/>
      <c r="C711" s="74"/>
      <c r="D711" s="12"/>
      <c r="E711" s="12"/>
      <c r="F711" s="74"/>
      <c r="G711" s="74"/>
      <c r="H711" s="179"/>
      <c r="I711" s="74"/>
      <c r="J711" s="74"/>
      <c r="K711" s="74"/>
      <c r="L711" s="74"/>
      <c r="M711" s="74"/>
      <c r="N711" s="179"/>
      <c r="O711" s="74"/>
      <c r="P711" s="74"/>
      <c r="Q711" s="74"/>
      <c r="R711" s="74"/>
      <c r="S711" s="74"/>
      <c r="T711" s="74"/>
      <c r="U711" s="74"/>
      <c r="V711" s="74"/>
      <c r="W711" s="74"/>
      <c r="X711" s="74"/>
      <c r="Y711" s="74"/>
      <c r="Z711" s="74"/>
      <c r="AA711" s="74"/>
      <c r="AB711" s="74"/>
      <c r="AC711" s="74"/>
      <c r="AD711" s="74"/>
      <c r="AE711" s="12"/>
      <c r="AF711" s="12"/>
      <c r="AG711" s="12"/>
      <c r="AH711" s="180"/>
      <c r="AI711" s="180"/>
      <c r="AJ711" s="12"/>
      <c r="AK711" s="12"/>
      <c r="AL711" s="12"/>
      <c r="AM711" s="12"/>
    </row>
    <row r="712">
      <c r="A712" s="74"/>
      <c r="B712" s="12"/>
      <c r="C712" s="74"/>
      <c r="D712" s="12"/>
      <c r="E712" s="12"/>
      <c r="F712" s="74"/>
      <c r="G712" s="74"/>
      <c r="H712" s="179"/>
      <c r="I712" s="74"/>
      <c r="J712" s="74"/>
      <c r="K712" s="74"/>
      <c r="L712" s="74"/>
      <c r="M712" s="74"/>
      <c r="N712" s="179"/>
      <c r="O712" s="74"/>
      <c r="P712" s="74"/>
      <c r="Q712" s="74"/>
      <c r="R712" s="74"/>
      <c r="S712" s="74"/>
      <c r="T712" s="74"/>
      <c r="U712" s="74"/>
      <c r="V712" s="74"/>
      <c r="W712" s="74"/>
      <c r="X712" s="74"/>
      <c r="Y712" s="74"/>
      <c r="Z712" s="74"/>
      <c r="AA712" s="74"/>
      <c r="AB712" s="74"/>
      <c r="AC712" s="74"/>
      <c r="AD712" s="74"/>
      <c r="AE712" s="12"/>
      <c r="AF712" s="12"/>
      <c r="AG712" s="12"/>
      <c r="AH712" s="180"/>
      <c r="AI712" s="180"/>
      <c r="AJ712" s="12"/>
      <c r="AK712" s="12"/>
      <c r="AL712" s="12"/>
      <c r="AM712" s="12"/>
    </row>
    <row r="713">
      <c r="A713" s="74"/>
      <c r="B713" s="12"/>
      <c r="C713" s="74"/>
      <c r="D713" s="12"/>
      <c r="E713" s="12"/>
      <c r="F713" s="74"/>
      <c r="G713" s="74"/>
      <c r="H713" s="179"/>
      <c r="I713" s="74"/>
      <c r="J713" s="74"/>
      <c r="K713" s="74"/>
      <c r="L713" s="74"/>
      <c r="M713" s="74"/>
      <c r="N713" s="179"/>
      <c r="O713" s="74"/>
      <c r="P713" s="74"/>
      <c r="Q713" s="74"/>
      <c r="R713" s="74"/>
      <c r="S713" s="74"/>
      <c r="T713" s="74"/>
      <c r="U713" s="74"/>
      <c r="V713" s="74"/>
      <c r="W713" s="74"/>
      <c r="X713" s="74"/>
      <c r="Y713" s="74"/>
      <c r="Z713" s="74"/>
      <c r="AA713" s="74"/>
      <c r="AB713" s="74"/>
      <c r="AC713" s="74"/>
      <c r="AD713" s="74"/>
      <c r="AE713" s="12"/>
      <c r="AF713" s="12"/>
      <c r="AG713" s="12"/>
      <c r="AH713" s="180"/>
      <c r="AI713" s="180"/>
      <c r="AJ713" s="12"/>
      <c r="AK713" s="12"/>
      <c r="AL713" s="12"/>
      <c r="AM713" s="12"/>
    </row>
    <row r="714">
      <c r="A714" s="74"/>
      <c r="B714" s="12"/>
      <c r="C714" s="74"/>
      <c r="D714" s="12"/>
      <c r="E714" s="12"/>
      <c r="F714" s="74"/>
      <c r="G714" s="74"/>
      <c r="H714" s="179"/>
      <c r="I714" s="74"/>
      <c r="J714" s="74"/>
      <c r="K714" s="74"/>
      <c r="L714" s="74"/>
      <c r="M714" s="74"/>
      <c r="N714" s="179"/>
      <c r="O714" s="74"/>
      <c r="P714" s="74"/>
      <c r="Q714" s="74"/>
      <c r="R714" s="74"/>
      <c r="S714" s="74"/>
      <c r="T714" s="74"/>
      <c r="U714" s="74"/>
      <c r="V714" s="74"/>
      <c r="W714" s="74"/>
      <c r="X714" s="74"/>
      <c r="Y714" s="74"/>
      <c r="Z714" s="74"/>
      <c r="AA714" s="74"/>
      <c r="AB714" s="74"/>
      <c r="AC714" s="74"/>
      <c r="AD714" s="74"/>
      <c r="AE714" s="12"/>
      <c r="AF714" s="12"/>
      <c r="AG714" s="12"/>
      <c r="AH714" s="180"/>
      <c r="AI714" s="180"/>
      <c r="AJ714" s="12"/>
      <c r="AK714" s="12"/>
      <c r="AL714" s="12"/>
      <c r="AM714" s="12"/>
    </row>
    <row r="715">
      <c r="A715" s="74"/>
      <c r="B715" s="12"/>
      <c r="C715" s="74"/>
      <c r="D715" s="12"/>
      <c r="E715" s="12"/>
      <c r="F715" s="74"/>
      <c r="G715" s="74"/>
      <c r="H715" s="179"/>
      <c r="I715" s="74"/>
      <c r="J715" s="74"/>
      <c r="K715" s="74"/>
      <c r="L715" s="74"/>
      <c r="M715" s="74"/>
      <c r="N715" s="179"/>
      <c r="O715" s="74"/>
      <c r="P715" s="74"/>
      <c r="Q715" s="74"/>
      <c r="R715" s="74"/>
      <c r="S715" s="74"/>
      <c r="T715" s="74"/>
      <c r="U715" s="74"/>
      <c r="V715" s="74"/>
      <c r="W715" s="74"/>
      <c r="X715" s="74"/>
      <c r="Y715" s="74"/>
      <c r="Z715" s="74"/>
      <c r="AA715" s="74"/>
      <c r="AB715" s="74"/>
      <c r="AC715" s="74"/>
      <c r="AD715" s="74"/>
      <c r="AE715" s="12"/>
      <c r="AF715" s="12"/>
      <c r="AG715" s="12"/>
      <c r="AH715" s="180"/>
      <c r="AI715" s="180"/>
      <c r="AJ715" s="12"/>
      <c r="AK715" s="12"/>
      <c r="AL715" s="12"/>
      <c r="AM715" s="12"/>
    </row>
    <row r="716">
      <c r="A716" s="74"/>
      <c r="B716" s="12"/>
      <c r="C716" s="74"/>
      <c r="D716" s="12"/>
      <c r="E716" s="12"/>
      <c r="F716" s="74"/>
      <c r="G716" s="74"/>
      <c r="H716" s="179"/>
      <c r="I716" s="74"/>
      <c r="J716" s="74"/>
      <c r="K716" s="74"/>
      <c r="L716" s="74"/>
      <c r="M716" s="74"/>
      <c r="N716" s="179"/>
      <c r="O716" s="74"/>
      <c r="P716" s="74"/>
      <c r="Q716" s="74"/>
      <c r="R716" s="74"/>
      <c r="S716" s="74"/>
      <c r="T716" s="74"/>
      <c r="U716" s="74"/>
      <c r="V716" s="74"/>
      <c r="W716" s="74"/>
      <c r="X716" s="74"/>
      <c r="Y716" s="74"/>
      <c r="Z716" s="74"/>
      <c r="AA716" s="74"/>
      <c r="AB716" s="74"/>
      <c r="AC716" s="74"/>
      <c r="AD716" s="74"/>
      <c r="AE716" s="12"/>
      <c r="AF716" s="12"/>
      <c r="AG716" s="12"/>
      <c r="AH716" s="180"/>
      <c r="AI716" s="180"/>
      <c r="AJ716" s="12"/>
      <c r="AK716" s="12"/>
      <c r="AL716" s="12"/>
      <c r="AM716" s="12"/>
    </row>
    <row r="717">
      <c r="A717" s="74"/>
      <c r="B717" s="12"/>
      <c r="C717" s="74"/>
      <c r="D717" s="12"/>
      <c r="E717" s="12"/>
      <c r="F717" s="74"/>
      <c r="G717" s="74"/>
      <c r="H717" s="179"/>
      <c r="I717" s="74"/>
      <c r="J717" s="74"/>
      <c r="K717" s="74"/>
      <c r="L717" s="74"/>
      <c r="M717" s="74"/>
      <c r="N717" s="179"/>
      <c r="O717" s="74"/>
      <c r="P717" s="74"/>
      <c r="Q717" s="74"/>
      <c r="R717" s="74"/>
      <c r="S717" s="74"/>
      <c r="T717" s="74"/>
      <c r="U717" s="74"/>
      <c r="V717" s="74"/>
      <c r="W717" s="74"/>
      <c r="X717" s="74"/>
      <c r="Y717" s="74"/>
      <c r="Z717" s="74"/>
      <c r="AA717" s="74"/>
      <c r="AB717" s="74"/>
      <c r="AC717" s="74"/>
      <c r="AD717" s="74"/>
      <c r="AE717" s="12"/>
      <c r="AF717" s="12"/>
      <c r="AG717" s="12"/>
      <c r="AH717" s="180"/>
      <c r="AI717" s="180"/>
      <c r="AJ717" s="12"/>
      <c r="AK717" s="12"/>
      <c r="AL717" s="12"/>
      <c r="AM717" s="12"/>
    </row>
    <row r="718">
      <c r="A718" s="74"/>
      <c r="B718" s="12"/>
      <c r="C718" s="74"/>
      <c r="D718" s="12"/>
      <c r="E718" s="12"/>
      <c r="F718" s="74"/>
      <c r="G718" s="74"/>
      <c r="H718" s="179"/>
      <c r="I718" s="74"/>
      <c r="J718" s="74"/>
      <c r="K718" s="74"/>
      <c r="L718" s="74"/>
      <c r="M718" s="74"/>
      <c r="N718" s="179"/>
      <c r="O718" s="74"/>
      <c r="P718" s="74"/>
      <c r="Q718" s="74"/>
      <c r="R718" s="74"/>
      <c r="S718" s="74"/>
      <c r="T718" s="74"/>
      <c r="U718" s="74"/>
      <c r="V718" s="74"/>
      <c r="W718" s="74"/>
      <c r="X718" s="74"/>
      <c r="Y718" s="74"/>
      <c r="Z718" s="74"/>
      <c r="AA718" s="74"/>
      <c r="AB718" s="74"/>
      <c r="AC718" s="74"/>
      <c r="AD718" s="74"/>
      <c r="AE718" s="12"/>
      <c r="AF718" s="12"/>
      <c r="AG718" s="12"/>
      <c r="AH718" s="180"/>
      <c r="AI718" s="180"/>
      <c r="AJ718" s="12"/>
      <c r="AK718" s="12"/>
      <c r="AL718" s="12"/>
      <c r="AM718" s="12"/>
    </row>
    <row r="719">
      <c r="A719" s="74"/>
      <c r="B719" s="12"/>
      <c r="C719" s="74"/>
      <c r="D719" s="12"/>
      <c r="E719" s="12"/>
      <c r="F719" s="74"/>
      <c r="G719" s="74"/>
      <c r="H719" s="179"/>
      <c r="I719" s="74"/>
      <c r="J719" s="74"/>
      <c r="K719" s="74"/>
      <c r="L719" s="74"/>
      <c r="M719" s="74"/>
      <c r="N719" s="179"/>
      <c r="O719" s="74"/>
      <c r="P719" s="74"/>
      <c r="Q719" s="74"/>
      <c r="R719" s="74"/>
      <c r="S719" s="74"/>
      <c r="T719" s="74"/>
      <c r="U719" s="74"/>
      <c r="V719" s="74"/>
      <c r="W719" s="74"/>
      <c r="X719" s="74"/>
      <c r="Y719" s="74"/>
      <c r="Z719" s="74"/>
      <c r="AA719" s="74"/>
      <c r="AB719" s="74"/>
      <c r="AC719" s="74"/>
      <c r="AD719" s="74"/>
      <c r="AE719" s="12"/>
      <c r="AF719" s="12"/>
      <c r="AG719" s="12"/>
      <c r="AH719" s="180"/>
      <c r="AI719" s="180"/>
      <c r="AJ719" s="12"/>
      <c r="AK719" s="12"/>
      <c r="AL719" s="12"/>
      <c r="AM719" s="12"/>
    </row>
    <row r="720">
      <c r="A720" s="74"/>
      <c r="B720" s="12"/>
      <c r="C720" s="74"/>
      <c r="D720" s="12"/>
      <c r="E720" s="12"/>
      <c r="F720" s="74"/>
      <c r="G720" s="74"/>
      <c r="H720" s="179"/>
      <c r="I720" s="74"/>
      <c r="J720" s="74"/>
      <c r="K720" s="74"/>
      <c r="L720" s="74"/>
      <c r="M720" s="74"/>
      <c r="N720" s="179"/>
      <c r="O720" s="74"/>
      <c r="P720" s="74"/>
      <c r="Q720" s="74"/>
      <c r="R720" s="74"/>
      <c r="S720" s="74"/>
      <c r="T720" s="74"/>
      <c r="U720" s="74"/>
      <c r="V720" s="74"/>
      <c r="W720" s="74"/>
      <c r="X720" s="74"/>
      <c r="Y720" s="74"/>
      <c r="Z720" s="74"/>
      <c r="AA720" s="74"/>
      <c r="AB720" s="74"/>
      <c r="AC720" s="74"/>
      <c r="AD720" s="74"/>
      <c r="AE720" s="12"/>
      <c r="AF720" s="12"/>
      <c r="AG720" s="12"/>
      <c r="AH720" s="180"/>
      <c r="AI720" s="180"/>
      <c r="AJ720" s="12"/>
      <c r="AK720" s="12"/>
      <c r="AL720" s="12"/>
      <c r="AM720" s="12"/>
    </row>
    <row r="721">
      <c r="A721" s="74"/>
      <c r="B721" s="12"/>
      <c r="C721" s="74"/>
      <c r="D721" s="12"/>
      <c r="E721" s="12"/>
      <c r="F721" s="74"/>
      <c r="G721" s="74"/>
      <c r="H721" s="179"/>
      <c r="I721" s="74"/>
      <c r="J721" s="74"/>
      <c r="K721" s="74"/>
      <c r="L721" s="74"/>
      <c r="M721" s="74"/>
      <c r="N721" s="179"/>
      <c r="O721" s="74"/>
      <c r="P721" s="74"/>
      <c r="Q721" s="74"/>
      <c r="R721" s="74"/>
      <c r="S721" s="74"/>
      <c r="T721" s="74"/>
      <c r="U721" s="74"/>
      <c r="V721" s="74"/>
      <c r="W721" s="74"/>
      <c r="X721" s="74"/>
      <c r="Y721" s="74"/>
      <c r="Z721" s="74"/>
      <c r="AA721" s="74"/>
      <c r="AB721" s="74"/>
      <c r="AC721" s="74"/>
      <c r="AD721" s="74"/>
      <c r="AE721" s="12"/>
      <c r="AF721" s="12"/>
      <c r="AG721" s="12"/>
      <c r="AH721" s="180"/>
      <c r="AI721" s="180"/>
      <c r="AJ721" s="12"/>
      <c r="AK721" s="12"/>
      <c r="AL721" s="12"/>
      <c r="AM721" s="12"/>
    </row>
    <row r="722">
      <c r="A722" s="74"/>
      <c r="B722" s="12"/>
      <c r="C722" s="74"/>
      <c r="D722" s="12"/>
      <c r="E722" s="12"/>
      <c r="F722" s="74"/>
      <c r="G722" s="74"/>
      <c r="H722" s="179"/>
      <c r="I722" s="74"/>
      <c r="J722" s="74"/>
      <c r="K722" s="74"/>
      <c r="L722" s="74"/>
      <c r="M722" s="74"/>
      <c r="N722" s="179"/>
      <c r="O722" s="74"/>
      <c r="P722" s="74"/>
      <c r="Q722" s="74"/>
      <c r="R722" s="74"/>
      <c r="S722" s="74"/>
      <c r="T722" s="74"/>
      <c r="U722" s="74"/>
      <c r="V722" s="74"/>
      <c r="W722" s="74"/>
      <c r="X722" s="74"/>
      <c r="Y722" s="74"/>
      <c r="Z722" s="74"/>
      <c r="AA722" s="74"/>
      <c r="AB722" s="74"/>
      <c r="AC722" s="74"/>
      <c r="AD722" s="74"/>
      <c r="AE722" s="12"/>
      <c r="AF722" s="12"/>
      <c r="AG722" s="12"/>
      <c r="AH722" s="180"/>
      <c r="AI722" s="180"/>
      <c r="AJ722" s="12"/>
      <c r="AK722" s="12"/>
      <c r="AL722" s="12"/>
      <c r="AM722" s="12"/>
    </row>
    <row r="723">
      <c r="A723" s="74"/>
      <c r="B723" s="12"/>
      <c r="C723" s="74"/>
      <c r="D723" s="12"/>
      <c r="E723" s="12"/>
      <c r="F723" s="74"/>
      <c r="G723" s="74"/>
      <c r="H723" s="179"/>
      <c r="I723" s="74"/>
      <c r="J723" s="74"/>
      <c r="K723" s="74"/>
      <c r="L723" s="74"/>
      <c r="M723" s="74"/>
      <c r="N723" s="179"/>
      <c r="O723" s="74"/>
      <c r="P723" s="74"/>
      <c r="Q723" s="74"/>
      <c r="R723" s="74"/>
      <c r="S723" s="74"/>
      <c r="T723" s="74"/>
      <c r="U723" s="74"/>
      <c r="V723" s="74"/>
      <c r="W723" s="74"/>
      <c r="X723" s="74"/>
      <c r="Y723" s="74"/>
      <c r="Z723" s="74"/>
      <c r="AA723" s="74"/>
      <c r="AB723" s="74"/>
      <c r="AC723" s="74"/>
      <c r="AD723" s="74"/>
      <c r="AE723" s="12"/>
      <c r="AF723" s="12"/>
      <c r="AG723" s="12"/>
      <c r="AH723" s="180"/>
      <c r="AI723" s="180"/>
      <c r="AJ723" s="12"/>
      <c r="AK723" s="12"/>
      <c r="AL723" s="12"/>
      <c r="AM723" s="12"/>
    </row>
    <row r="724">
      <c r="A724" s="74"/>
      <c r="B724" s="12"/>
      <c r="C724" s="74"/>
      <c r="D724" s="12"/>
      <c r="E724" s="12"/>
      <c r="F724" s="74"/>
      <c r="G724" s="74"/>
      <c r="H724" s="179"/>
      <c r="I724" s="74"/>
      <c r="J724" s="74"/>
      <c r="K724" s="74"/>
      <c r="L724" s="74"/>
      <c r="M724" s="74"/>
      <c r="N724" s="179"/>
      <c r="O724" s="74"/>
      <c r="P724" s="74"/>
      <c r="Q724" s="74"/>
      <c r="R724" s="74"/>
      <c r="S724" s="74"/>
      <c r="T724" s="74"/>
      <c r="U724" s="74"/>
      <c r="V724" s="74"/>
      <c r="W724" s="74"/>
      <c r="X724" s="74"/>
      <c r="Y724" s="74"/>
      <c r="Z724" s="74"/>
      <c r="AA724" s="74"/>
      <c r="AB724" s="74"/>
      <c r="AC724" s="74"/>
      <c r="AD724" s="74"/>
      <c r="AE724" s="12"/>
      <c r="AF724" s="12"/>
      <c r="AG724" s="12"/>
      <c r="AH724" s="180"/>
      <c r="AI724" s="180"/>
      <c r="AJ724" s="12"/>
      <c r="AK724" s="12"/>
      <c r="AL724" s="12"/>
      <c r="AM724" s="12"/>
    </row>
    <row r="725">
      <c r="A725" s="74"/>
      <c r="B725" s="12"/>
      <c r="C725" s="74"/>
      <c r="D725" s="12"/>
      <c r="E725" s="12"/>
      <c r="F725" s="74"/>
      <c r="G725" s="74"/>
      <c r="H725" s="179"/>
      <c r="I725" s="74"/>
      <c r="J725" s="74"/>
      <c r="K725" s="74"/>
      <c r="L725" s="74"/>
      <c r="M725" s="74"/>
      <c r="N725" s="179"/>
      <c r="O725" s="74"/>
      <c r="P725" s="74"/>
      <c r="Q725" s="74"/>
      <c r="R725" s="74"/>
      <c r="S725" s="74"/>
      <c r="T725" s="74"/>
      <c r="U725" s="74"/>
      <c r="V725" s="74"/>
      <c r="W725" s="74"/>
      <c r="X725" s="74"/>
      <c r="Y725" s="74"/>
      <c r="Z725" s="74"/>
      <c r="AA725" s="74"/>
      <c r="AB725" s="74"/>
      <c r="AC725" s="74"/>
      <c r="AD725" s="74"/>
      <c r="AE725" s="12"/>
      <c r="AF725" s="12"/>
      <c r="AG725" s="12"/>
      <c r="AH725" s="180"/>
      <c r="AI725" s="180"/>
      <c r="AJ725" s="12"/>
      <c r="AK725" s="12"/>
      <c r="AL725" s="12"/>
      <c r="AM725" s="12"/>
    </row>
    <row r="726">
      <c r="A726" s="74"/>
      <c r="B726" s="12"/>
      <c r="C726" s="74"/>
      <c r="D726" s="12"/>
      <c r="E726" s="12"/>
      <c r="F726" s="74"/>
      <c r="G726" s="74"/>
      <c r="H726" s="179"/>
      <c r="I726" s="74"/>
      <c r="J726" s="74"/>
      <c r="K726" s="74"/>
      <c r="L726" s="74"/>
      <c r="M726" s="74"/>
      <c r="N726" s="179"/>
      <c r="O726" s="74"/>
      <c r="P726" s="74"/>
      <c r="Q726" s="74"/>
      <c r="R726" s="74"/>
      <c r="S726" s="74"/>
      <c r="T726" s="74"/>
      <c r="U726" s="74"/>
      <c r="V726" s="74"/>
      <c r="W726" s="74"/>
      <c r="X726" s="74"/>
      <c r="Y726" s="74"/>
      <c r="Z726" s="74"/>
      <c r="AA726" s="74"/>
      <c r="AB726" s="74"/>
      <c r="AC726" s="74"/>
      <c r="AD726" s="74"/>
      <c r="AE726" s="12"/>
      <c r="AF726" s="12"/>
      <c r="AG726" s="12"/>
      <c r="AH726" s="180"/>
      <c r="AI726" s="180"/>
      <c r="AJ726" s="12"/>
      <c r="AK726" s="12"/>
      <c r="AL726" s="12"/>
      <c r="AM726" s="12"/>
    </row>
    <row r="727">
      <c r="A727" s="74"/>
      <c r="B727" s="12"/>
      <c r="C727" s="74"/>
      <c r="D727" s="12"/>
      <c r="E727" s="12"/>
      <c r="F727" s="74"/>
      <c r="G727" s="74"/>
      <c r="H727" s="179"/>
      <c r="I727" s="74"/>
      <c r="J727" s="74"/>
      <c r="K727" s="74"/>
      <c r="L727" s="74"/>
      <c r="M727" s="74"/>
      <c r="N727" s="179"/>
      <c r="O727" s="74"/>
      <c r="P727" s="74"/>
      <c r="Q727" s="74"/>
      <c r="R727" s="74"/>
      <c r="S727" s="74"/>
      <c r="T727" s="74"/>
      <c r="U727" s="74"/>
      <c r="V727" s="74"/>
      <c r="W727" s="74"/>
      <c r="X727" s="74"/>
      <c r="Y727" s="74"/>
      <c r="Z727" s="74"/>
      <c r="AA727" s="74"/>
      <c r="AB727" s="74"/>
      <c r="AC727" s="74"/>
      <c r="AD727" s="74"/>
      <c r="AE727" s="12"/>
      <c r="AF727" s="12"/>
      <c r="AG727" s="12"/>
      <c r="AH727" s="180"/>
      <c r="AI727" s="180"/>
      <c r="AJ727" s="12"/>
      <c r="AK727" s="12"/>
      <c r="AL727" s="12"/>
      <c r="AM727" s="12"/>
    </row>
    <row r="728">
      <c r="A728" s="74"/>
      <c r="B728" s="12"/>
      <c r="C728" s="74"/>
      <c r="D728" s="12"/>
      <c r="E728" s="12"/>
      <c r="F728" s="74"/>
      <c r="G728" s="74"/>
      <c r="H728" s="179"/>
      <c r="I728" s="74"/>
      <c r="J728" s="74"/>
      <c r="K728" s="74"/>
      <c r="L728" s="74"/>
      <c r="M728" s="74"/>
      <c r="N728" s="179"/>
      <c r="O728" s="74"/>
      <c r="P728" s="74"/>
      <c r="Q728" s="74"/>
      <c r="R728" s="74"/>
      <c r="S728" s="74"/>
      <c r="T728" s="74"/>
      <c r="U728" s="74"/>
      <c r="V728" s="74"/>
      <c r="W728" s="74"/>
      <c r="X728" s="74"/>
      <c r="Y728" s="74"/>
      <c r="Z728" s="74"/>
      <c r="AA728" s="74"/>
      <c r="AB728" s="74"/>
      <c r="AC728" s="74"/>
      <c r="AD728" s="74"/>
      <c r="AE728" s="12"/>
      <c r="AF728" s="12"/>
      <c r="AG728" s="12"/>
      <c r="AH728" s="180"/>
      <c r="AI728" s="180"/>
      <c r="AJ728" s="12"/>
      <c r="AK728" s="12"/>
      <c r="AL728" s="12"/>
      <c r="AM728" s="12"/>
    </row>
    <row r="729">
      <c r="A729" s="74"/>
      <c r="B729" s="12"/>
      <c r="C729" s="74"/>
      <c r="D729" s="12"/>
      <c r="E729" s="12"/>
      <c r="F729" s="74"/>
      <c r="G729" s="74"/>
      <c r="H729" s="179"/>
      <c r="I729" s="74"/>
      <c r="J729" s="74"/>
      <c r="K729" s="74"/>
      <c r="L729" s="74"/>
      <c r="M729" s="74"/>
      <c r="N729" s="179"/>
      <c r="O729" s="74"/>
      <c r="P729" s="74"/>
      <c r="Q729" s="74"/>
      <c r="R729" s="74"/>
      <c r="S729" s="74"/>
      <c r="T729" s="74"/>
      <c r="U729" s="74"/>
      <c r="V729" s="74"/>
      <c r="W729" s="74"/>
      <c r="X729" s="74"/>
      <c r="Y729" s="74"/>
      <c r="Z729" s="74"/>
      <c r="AA729" s="74"/>
      <c r="AB729" s="74"/>
      <c r="AC729" s="74"/>
      <c r="AD729" s="74"/>
      <c r="AE729" s="12"/>
      <c r="AF729" s="12"/>
      <c r="AG729" s="12"/>
      <c r="AH729" s="180"/>
      <c r="AI729" s="180"/>
      <c r="AJ729" s="12"/>
      <c r="AK729" s="12"/>
      <c r="AL729" s="12"/>
      <c r="AM729" s="12"/>
    </row>
    <row r="730">
      <c r="A730" s="74"/>
      <c r="B730" s="12"/>
      <c r="C730" s="74"/>
      <c r="D730" s="12"/>
      <c r="E730" s="12"/>
      <c r="F730" s="74"/>
      <c r="G730" s="74"/>
      <c r="H730" s="179"/>
      <c r="I730" s="74"/>
      <c r="J730" s="74"/>
      <c r="K730" s="74"/>
      <c r="L730" s="74"/>
      <c r="M730" s="74"/>
      <c r="N730" s="179"/>
      <c r="O730" s="74"/>
      <c r="P730" s="74"/>
      <c r="Q730" s="74"/>
      <c r="R730" s="74"/>
      <c r="S730" s="74"/>
      <c r="T730" s="74"/>
      <c r="U730" s="74"/>
      <c r="V730" s="74"/>
      <c r="W730" s="74"/>
      <c r="X730" s="74"/>
      <c r="Y730" s="74"/>
      <c r="Z730" s="74"/>
      <c r="AA730" s="74"/>
      <c r="AB730" s="74"/>
      <c r="AC730" s="74"/>
      <c r="AD730" s="74"/>
      <c r="AE730" s="12"/>
      <c r="AF730" s="12"/>
      <c r="AG730" s="12"/>
      <c r="AH730" s="180"/>
      <c r="AI730" s="180"/>
      <c r="AJ730" s="12"/>
      <c r="AK730" s="12"/>
      <c r="AL730" s="12"/>
      <c r="AM730" s="12"/>
    </row>
    <row r="731">
      <c r="A731" s="74"/>
      <c r="B731" s="12"/>
      <c r="C731" s="74"/>
      <c r="D731" s="12"/>
      <c r="E731" s="12"/>
      <c r="F731" s="74"/>
      <c r="G731" s="74"/>
      <c r="H731" s="179"/>
      <c r="I731" s="74"/>
      <c r="J731" s="74"/>
      <c r="K731" s="74"/>
      <c r="L731" s="74"/>
      <c r="M731" s="74"/>
      <c r="N731" s="179"/>
      <c r="O731" s="74"/>
      <c r="P731" s="74"/>
      <c r="Q731" s="74"/>
      <c r="R731" s="74"/>
      <c r="S731" s="74"/>
      <c r="T731" s="74"/>
      <c r="U731" s="74"/>
      <c r="V731" s="74"/>
      <c r="W731" s="74"/>
      <c r="X731" s="74"/>
      <c r="Y731" s="74"/>
      <c r="Z731" s="74"/>
      <c r="AA731" s="74"/>
      <c r="AB731" s="74"/>
      <c r="AC731" s="74"/>
      <c r="AD731" s="74"/>
      <c r="AE731" s="12"/>
      <c r="AF731" s="12"/>
      <c r="AG731" s="12"/>
      <c r="AH731" s="180"/>
      <c r="AI731" s="180"/>
      <c r="AJ731" s="12"/>
      <c r="AK731" s="12"/>
      <c r="AL731" s="12"/>
      <c r="AM731" s="12"/>
    </row>
    <row r="732">
      <c r="A732" s="74"/>
      <c r="B732" s="12"/>
      <c r="C732" s="74"/>
      <c r="D732" s="12"/>
      <c r="E732" s="12"/>
      <c r="F732" s="74"/>
      <c r="G732" s="74"/>
      <c r="H732" s="179"/>
      <c r="I732" s="74"/>
      <c r="J732" s="74"/>
      <c r="K732" s="74"/>
      <c r="L732" s="74"/>
      <c r="M732" s="74"/>
      <c r="N732" s="179"/>
      <c r="O732" s="74"/>
      <c r="P732" s="74"/>
      <c r="Q732" s="74"/>
      <c r="R732" s="74"/>
      <c r="S732" s="74"/>
      <c r="T732" s="74"/>
      <c r="U732" s="74"/>
      <c r="V732" s="74"/>
      <c r="W732" s="74"/>
      <c r="X732" s="74"/>
      <c r="Y732" s="74"/>
      <c r="Z732" s="74"/>
      <c r="AA732" s="74"/>
      <c r="AB732" s="74"/>
      <c r="AC732" s="74"/>
      <c r="AD732" s="74"/>
      <c r="AE732" s="12"/>
      <c r="AF732" s="12"/>
      <c r="AG732" s="12"/>
      <c r="AH732" s="180"/>
      <c r="AI732" s="180"/>
      <c r="AJ732" s="12"/>
      <c r="AK732" s="12"/>
      <c r="AL732" s="12"/>
      <c r="AM732" s="12"/>
    </row>
    <row r="733">
      <c r="A733" s="74"/>
      <c r="B733" s="12"/>
      <c r="C733" s="74"/>
      <c r="D733" s="12"/>
      <c r="E733" s="12"/>
      <c r="F733" s="74"/>
      <c r="G733" s="74"/>
      <c r="H733" s="179"/>
      <c r="I733" s="74"/>
      <c r="J733" s="74"/>
      <c r="K733" s="74"/>
      <c r="L733" s="74"/>
      <c r="M733" s="74"/>
      <c r="N733" s="179"/>
      <c r="O733" s="74"/>
      <c r="P733" s="74"/>
      <c r="Q733" s="74"/>
      <c r="R733" s="74"/>
      <c r="S733" s="74"/>
      <c r="T733" s="74"/>
      <c r="U733" s="74"/>
      <c r="V733" s="74"/>
      <c r="W733" s="74"/>
      <c r="X733" s="74"/>
      <c r="Y733" s="74"/>
      <c r="Z733" s="74"/>
      <c r="AA733" s="74"/>
      <c r="AB733" s="74"/>
      <c r="AC733" s="74"/>
      <c r="AD733" s="74"/>
      <c r="AE733" s="12"/>
      <c r="AF733" s="12"/>
      <c r="AG733" s="12"/>
      <c r="AH733" s="180"/>
      <c r="AI733" s="180"/>
      <c r="AJ733" s="12"/>
      <c r="AK733" s="12"/>
      <c r="AL733" s="12"/>
      <c r="AM733" s="12"/>
    </row>
    <row r="734">
      <c r="A734" s="74"/>
      <c r="B734" s="12"/>
      <c r="C734" s="74"/>
      <c r="D734" s="12"/>
      <c r="E734" s="12"/>
      <c r="F734" s="74"/>
      <c r="G734" s="74"/>
      <c r="H734" s="179"/>
      <c r="I734" s="74"/>
      <c r="J734" s="74"/>
      <c r="K734" s="74"/>
      <c r="L734" s="74"/>
      <c r="M734" s="74"/>
      <c r="N734" s="179"/>
      <c r="O734" s="74"/>
      <c r="P734" s="74"/>
      <c r="Q734" s="74"/>
      <c r="R734" s="74"/>
      <c r="S734" s="74"/>
      <c r="T734" s="74"/>
      <c r="U734" s="74"/>
      <c r="V734" s="74"/>
      <c r="W734" s="74"/>
      <c r="X734" s="74"/>
      <c r="Y734" s="74"/>
      <c r="Z734" s="74"/>
      <c r="AA734" s="74"/>
      <c r="AB734" s="74"/>
      <c r="AC734" s="74"/>
      <c r="AD734" s="74"/>
      <c r="AE734" s="12"/>
      <c r="AF734" s="12"/>
      <c r="AG734" s="12"/>
      <c r="AH734" s="180"/>
      <c r="AI734" s="180"/>
      <c r="AJ734" s="12"/>
      <c r="AK734" s="12"/>
      <c r="AL734" s="12"/>
      <c r="AM734" s="12"/>
    </row>
    <row r="735">
      <c r="A735" s="74"/>
      <c r="B735" s="12"/>
      <c r="C735" s="74"/>
      <c r="D735" s="12"/>
      <c r="E735" s="12"/>
      <c r="F735" s="74"/>
      <c r="G735" s="74"/>
      <c r="H735" s="179"/>
      <c r="I735" s="74"/>
      <c r="J735" s="74"/>
      <c r="K735" s="74"/>
      <c r="L735" s="74"/>
      <c r="M735" s="74"/>
      <c r="N735" s="179"/>
      <c r="O735" s="74"/>
      <c r="P735" s="74"/>
      <c r="Q735" s="74"/>
      <c r="R735" s="74"/>
      <c r="S735" s="74"/>
      <c r="T735" s="74"/>
      <c r="U735" s="74"/>
      <c r="V735" s="74"/>
      <c r="W735" s="74"/>
      <c r="X735" s="74"/>
      <c r="Y735" s="74"/>
      <c r="Z735" s="74"/>
      <c r="AA735" s="74"/>
      <c r="AB735" s="74"/>
      <c r="AC735" s="74"/>
      <c r="AD735" s="74"/>
      <c r="AE735" s="12"/>
      <c r="AF735" s="12"/>
      <c r="AG735" s="12"/>
      <c r="AH735" s="180"/>
      <c r="AI735" s="180"/>
      <c r="AJ735" s="12"/>
      <c r="AK735" s="12"/>
      <c r="AL735" s="12"/>
      <c r="AM735" s="12"/>
    </row>
    <row r="736">
      <c r="A736" s="74"/>
      <c r="B736" s="12"/>
      <c r="C736" s="74"/>
      <c r="D736" s="12"/>
      <c r="E736" s="12"/>
      <c r="F736" s="74"/>
      <c r="G736" s="74"/>
      <c r="H736" s="179"/>
      <c r="I736" s="74"/>
      <c r="J736" s="74"/>
      <c r="K736" s="74"/>
      <c r="L736" s="74"/>
      <c r="M736" s="74"/>
      <c r="N736" s="179"/>
      <c r="O736" s="74"/>
      <c r="P736" s="74"/>
      <c r="Q736" s="74"/>
      <c r="R736" s="74"/>
      <c r="S736" s="74"/>
      <c r="T736" s="74"/>
      <c r="U736" s="74"/>
      <c r="V736" s="74"/>
      <c r="W736" s="74"/>
      <c r="X736" s="74"/>
      <c r="Y736" s="74"/>
      <c r="Z736" s="74"/>
      <c r="AA736" s="74"/>
      <c r="AB736" s="74"/>
      <c r="AC736" s="74"/>
      <c r="AD736" s="74"/>
      <c r="AE736" s="12"/>
      <c r="AF736" s="12"/>
      <c r="AG736" s="12"/>
      <c r="AH736" s="180"/>
      <c r="AI736" s="180"/>
      <c r="AJ736" s="12"/>
      <c r="AK736" s="12"/>
      <c r="AL736" s="12"/>
      <c r="AM736" s="12"/>
    </row>
    <row r="737">
      <c r="A737" s="74"/>
      <c r="B737" s="12"/>
      <c r="C737" s="74"/>
      <c r="D737" s="12"/>
      <c r="E737" s="12"/>
      <c r="F737" s="74"/>
      <c r="G737" s="74"/>
      <c r="H737" s="179"/>
      <c r="I737" s="74"/>
      <c r="J737" s="74"/>
      <c r="K737" s="74"/>
      <c r="L737" s="74"/>
      <c r="M737" s="74"/>
      <c r="N737" s="179"/>
      <c r="O737" s="74"/>
      <c r="P737" s="74"/>
      <c r="Q737" s="74"/>
      <c r="R737" s="74"/>
      <c r="S737" s="74"/>
      <c r="T737" s="74"/>
      <c r="U737" s="74"/>
      <c r="V737" s="74"/>
      <c r="W737" s="74"/>
      <c r="X737" s="74"/>
      <c r="Y737" s="74"/>
      <c r="Z737" s="74"/>
      <c r="AA737" s="74"/>
      <c r="AB737" s="74"/>
      <c r="AC737" s="74"/>
      <c r="AD737" s="74"/>
      <c r="AE737" s="12"/>
      <c r="AF737" s="12"/>
      <c r="AG737" s="12"/>
      <c r="AH737" s="180"/>
      <c r="AI737" s="180"/>
      <c r="AJ737" s="12"/>
      <c r="AK737" s="12"/>
      <c r="AL737" s="12"/>
      <c r="AM737" s="12"/>
    </row>
    <row r="738">
      <c r="A738" s="74"/>
      <c r="B738" s="12"/>
      <c r="C738" s="74"/>
      <c r="D738" s="12"/>
      <c r="E738" s="12"/>
      <c r="F738" s="74"/>
      <c r="G738" s="74"/>
      <c r="H738" s="179"/>
      <c r="I738" s="74"/>
      <c r="J738" s="74"/>
      <c r="K738" s="74"/>
      <c r="L738" s="74"/>
      <c r="M738" s="74"/>
      <c r="N738" s="179"/>
      <c r="O738" s="74"/>
      <c r="P738" s="74"/>
      <c r="Q738" s="74"/>
      <c r="R738" s="74"/>
      <c r="S738" s="74"/>
      <c r="T738" s="74"/>
      <c r="U738" s="74"/>
      <c r="V738" s="74"/>
      <c r="W738" s="74"/>
      <c r="X738" s="74"/>
      <c r="Y738" s="74"/>
      <c r="Z738" s="74"/>
      <c r="AA738" s="74"/>
      <c r="AB738" s="74"/>
      <c r="AC738" s="74"/>
      <c r="AD738" s="74"/>
      <c r="AE738" s="12"/>
      <c r="AF738" s="12"/>
      <c r="AG738" s="12"/>
      <c r="AH738" s="180"/>
      <c r="AI738" s="180"/>
      <c r="AJ738" s="12"/>
      <c r="AK738" s="12"/>
      <c r="AL738" s="12"/>
      <c r="AM738" s="12"/>
    </row>
    <row r="739">
      <c r="A739" s="74"/>
      <c r="B739" s="12"/>
      <c r="C739" s="74"/>
      <c r="D739" s="12"/>
      <c r="E739" s="12"/>
      <c r="F739" s="74"/>
      <c r="G739" s="74"/>
      <c r="H739" s="179"/>
      <c r="I739" s="74"/>
      <c r="J739" s="74"/>
      <c r="K739" s="74"/>
      <c r="L739" s="74"/>
      <c r="M739" s="74"/>
      <c r="N739" s="179"/>
      <c r="O739" s="74"/>
      <c r="P739" s="74"/>
      <c r="Q739" s="74"/>
      <c r="R739" s="74"/>
      <c r="S739" s="74"/>
      <c r="T739" s="74"/>
      <c r="U739" s="74"/>
      <c r="V739" s="74"/>
      <c r="W739" s="74"/>
      <c r="X739" s="74"/>
      <c r="Y739" s="74"/>
      <c r="Z739" s="74"/>
      <c r="AA739" s="74"/>
      <c r="AB739" s="74"/>
      <c r="AC739" s="74"/>
      <c r="AD739" s="74"/>
      <c r="AE739" s="12"/>
      <c r="AF739" s="12"/>
      <c r="AG739" s="12"/>
      <c r="AH739" s="180"/>
      <c r="AI739" s="180"/>
      <c r="AJ739" s="12"/>
      <c r="AK739" s="12"/>
      <c r="AL739" s="12"/>
      <c r="AM739" s="12"/>
    </row>
    <row r="740">
      <c r="A740" s="74"/>
      <c r="B740" s="12"/>
      <c r="C740" s="74"/>
      <c r="D740" s="12"/>
      <c r="E740" s="12"/>
      <c r="F740" s="74"/>
      <c r="G740" s="74"/>
      <c r="H740" s="179"/>
      <c r="I740" s="74"/>
      <c r="J740" s="74"/>
      <c r="K740" s="74"/>
      <c r="L740" s="74"/>
      <c r="M740" s="74"/>
      <c r="N740" s="179"/>
      <c r="O740" s="74"/>
      <c r="P740" s="74"/>
      <c r="Q740" s="74"/>
      <c r="R740" s="74"/>
      <c r="S740" s="74"/>
      <c r="T740" s="74"/>
      <c r="U740" s="74"/>
      <c r="V740" s="74"/>
      <c r="W740" s="74"/>
      <c r="X740" s="74"/>
      <c r="Y740" s="74"/>
      <c r="Z740" s="74"/>
      <c r="AA740" s="74"/>
      <c r="AB740" s="74"/>
      <c r="AC740" s="74"/>
      <c r="AD740" s="74"/>
      <c r="AE740" s="12"/>
      <c r="AF740" s="12"/>
      <c r="AG740" s="12"/>
      <c r="AH740" s="180"/>
      <c r="AI740" s="180"/>
      <c r="AJ740" s="12"/>
      <c r="AK740" s="12"/>
      <c r="AL740" s="12"/>
      <c r="AM740" s="12"/>
    </row>
    <row r="741">
      <c r="A741" s="74"/>
      <c r="B741" s="12"/>
      <c r="C741" s="74"/>
      <c r="D741" s="12"/>
      <c r="E741" s="12"/>
      <c r="F741" s="74"/>
      <c r="G741" s="74"/>
      <c r="H741" s="179"/>
      <c r="I741" s="74"/>
      <c r="J741" s="74"/>
      <c r="K741" s="74"/>
      <c r="L741" s="74"/>
      <c r="M741" s="74"/>
      <c r="N741" s="179"/>
      <c r="O741" s="74"/>
      <c r="P741" s="74"/>
      <c r="Q741" s="74"/>
      <c r="R741" s="74"/>
      <c r="S741" s="74"/>
      <c r="T741" s="74"/>
      <c r="U741" s="74"/>
      <c r="V741" s="74"/>
      <c r="W741" s="74"/>
      <c r="X741" s="74"/>
      <c r="Y741" s="74"/>
      <c r="Z741" s="74"/>
      <c r="AA741" s="74"/>
      <c r="AB741" s="74"/>
      <c r="AC741" s="74"/>
      <c r="AD741" s="74"/>
      <c r="AE741" s="12"/>
      <c r="AF741" s="12"/>
      <c r="AG741" s="12"/>
      <c r="AH741" s="180"/>
      <c r="AI741" s="180"/>
      <c r="AJ741" s="12"/>
      <c r="AK741" s="12"/>
      <c r="AL741" s="12"/>
      <c r="AM741" s="12"/>
    </row>
    <row r="742">
      <c r="A742" s="74"/>
      <c r="B742" s="12"/>
      <c r="C742" s="74"/>
      <c r="D742" s="12"/>
      <c r="E742" s="12"/>
      <c r="F742" s="74"/>
      <c r="G742" s="74"/>
      <c r="H742" s="179"/>
      <c r="I742" s="74"/>
      <c r="J742" s="74"/>
      <c r="K742" s="74"/>
      <c r="L742" s="74"/>
      <c r="M742" s="74"/>
      <c r="N742" s="179"/>
      <c r="O742" s="74"/>
      <c r="P742" s="74"/>
      <c r="Q742" s="74"/>
      <c r="R742" s="74"/>
      <c r="S742" s="74"/>
      <c r="T742" s="74"/>
      <c r="U742" s="74"/>
      <c r="V742" s="74"/>
      <c r="W742" s="74"/>
      <c r="X742" s="74"/>
      <c r="Y742" s="74"/>
      <c r="Z742" s="74"/>
      <c r="AA742" s="74"/>
      <c r="AB742" s="74"/>
      <c r="AC742" s="74"/>
      <c r="AD742" s="74"/>
      <c r="AE742" s="12"/>
      <c r="AF742" s="12"/>
      <c r="AG742" s="12"/>
      <c r="AH742" s="180"/>
      <c r="AI742" s="180"/>
      <c r="AJ742" s="12"/>
      <c r="AK742" s="12"/>
      <c r="AL742" s="12"/>
      <c r="AM742" s="12"/>
    </row>
    <row r="743">
      <c r="A743" s="74"/>
      <c r="B743" s="12"/>
      <c r="C743" s="74"/>
      <c r="D743" s="12"/>
      <c r="E743" s="12"/>
      <c r="F743" s="74"/>
      <c r="G743" s="74"/>
      <c r="H743" s="179"/>
      <c r="I743" s="74"/>
      <c r="J743" s="74"/>
      <c r="K743" s="74"/>
      <c r="L743" s="74"/>
      <c r="M743" s="74"/>
      <c r="N743" s="179"/>
      <c r="O743" s="74"/>
      <c r="P743" s="74"/>
      <c r="Q743" s="74"/>
      <c r="R743" s="74"/>
      <c r="S743" s="74"/>
      <c r="T743" s="74"/>
      <c r="U743" s="74"/>
      <c r="V743" s="74"/>
      <c r="W743" s="74"/>
      <c r="X743" s="74"/>
      <c r="Y743" s="74"/>
      <c r="Z743" s="74"/>
      <c r="AA743" s="74"/>
      <c r="AB743" s="74"/>
      <c r="AC743" s="74"/>
      <c r="AD743" s="74"/>
      <c r="AE743" s="12"/>
      <c r="AF743" s="12"/>
      <c r="AG743" s="12"/>
      <c r="AH743" s="180"/>
      <c r="AI743" s="180"/>
      <c r="AJ743" s="12"/>
      <c r="AK743" s="12"/>
      <c r="AL743" s="12"/>
      <c r="AM743" s="12"/>
    </row>
    <row r="744">
      <c r="A744" s="74"/>
      <c r="B744" s="12"/>
      <c r="C744" s="74"/>
      <c r="D744" s="12"/>
      <c r="E744" s="12"/>
      <c r="F744" s="74"/>
      <c r="G744" s="74"/>
      <c r="H744" s="179"/>
      <c r="I744" s="74"/>
      <c r="J744" s="74"/>
      <c r="K744" s="74"/>
      <c r="L744" s="74"/>
      <c r="M744" s="74"/>
      <c r="N744" s="179"/>
      <c r="O744" s="74"/>
      <c r="P744" s="74"/>
      <c r="Q744" s="74"/>
      <c r="R744" s="74"/>
      <c r="S744" s="74"/>
      <c r="T744" s="74"/>
      <c r="U744" s="74"/>
      <c r="V744" s="74"/>
      <c r="W744" s="74"/>
      <c r="X744" s="74"/>
      <c r="Y744" s="74"/>
      <c r="Z744" s="74"/>
      <c r="AA744" s="74"/>
      <c r="AB744" s="74"/>
      <c r="AC744" s="74"/>
      <c r="AD744" s="74"/>
      <c r="AE744" s="12"/>
      <c r="AF744" s="12"/>
      <c r="AG744" s="12"/>
      <c r="AH744" s="180"/>
      <c r="AI744" s="180"/>
      <c r="AJ744" s="12"/>
      <c r="AK744" s="12"/>
      <c r="AL744" s="12"/>
      <c r="AM744" s="12"/>
    </row>
    <row r="745">
      <c r="A745" s="74"/>
      <c r="B745" s="12"/>
      <c r="C745" s="74"/>
      <c r="D745" s="12"/>
      <c r="E745" s="12"/>
      <c r="F745" s="74"/>
      <c r="G745" s="74"/>
      <c r="H745" s="179"/>
      <c r="I745" s="74"/>
      <c r="J745" s="74"/>
      <c r="K745" s="74"/>
      <c r="L745" s="74"/>
      <c r="M745" s="74"/>
      <c r="N745" s="179"/>
      <c r="O745" s="74"/>
      <c r="P745" s="74"/>
      <c r="Q745" s="74"/>
      <c r="R745" s="74"/>
      <c r="S745" s="74"/>
      <c r="T745" s="74"/>
      <c r="U745" s="74"/>
      <c r="V745" s="74"/>
      <c r="W745" s="74"/>
      <c r="X745" s="74"/>
      <c r="Y745" s="74"/>
      <c r="Z745" s="74"/>
      <c r="AA745" s="74"/>
      <c r="AB745" s="74"/>
      <c r="AC745" s="74"/>
      <c r="AD745" s="74"/>
      <c r="AE745" s="12"/>
      <c r="AF745" s="12"/>
      <c r="AG745" s="12"/>
      <c r="AH745" s="180"/>
      <c r="AI745" s="180"/>
      <c r="AJ745" s="12"/>
      <c r="AK745" s="12"/>
      <c r="AL745" s="12"/>
      <c r="AM745" s="12"/>
    </row>
    <row r="746">
      <c r="A746" s="74"/>
      <c r="B746" s="12"/>
      <c r="C746" s="74"/>
      <c r="D746" s="12"/>
      <c r="E746" s="12"/>
      <c r="F746" s="74"/>
      <c r="G746" s="74"/>
      <c r="H746" s="179"/>
      <c r="I746" s="74"/>
      <c r="J746" s="74"/>
      <c r="K746" s="74"/>
      <c r="L746" s="74"/>
      <c r="M746" s="74"/>
      <c r="N746" s="179"/>
      <c r="O746" s="74"/>
      <c r="P746" s="74"/>
      <c r="Q746" s="74"/>
      <c r="R746" s="74"/>
      <c r="S746" s="74"/>
      <c r="T746" s="74"/>
      <c r="U746" s="74"/>
      <c r="V746" s="74"/>
      <c r="W746" s="74"/>
      <c r="X746" s="74"/>
      <c r="Y746" s="74"/>
      <c r="Z746" s="74"/>
      <c r="AA746" s="74"/>
      <c r="AB746" s="74"/>
      <c r="AC746" s="74"/>
      <c r="AD746" s="74"/>
      <c r="AE746" s="12"/>
      <c r="AF746" s="12"/>
      <c r="AG746" s="12"/>
      <c r="AH746" s="180"/>
      <c r="AI746" s="180"/>
      <c r="AJ746" s="12"/>
      <c r="AK746" s="12"/>
      <c r="AL746" s="12"/>
      <c r="AM746" s="12"/>
    </row>
    <row r="747">
      <c r="A747" s="74"/>
      <c r="B747" s="12"/>
      <c r="C747" s="74"/>
      <c r="D747" s="12"/>
      <c r="E747" s="12"/>
      <c r="F747" s="74"/>
      <c r="G747" s="74"/>
      <c r="H747" s="179"/>
      <c r="I747" s="74"/>
      <c r="J747" s="74"/>
      <c r="K747" s="74"/>
      <c r="L747" s="74"/>
      <c r="M747" s="74"/>
      <c r="N747" s="179"/>
      <c r="O747" s="74"/>
      <c r="P747" s="74"/>
      <c r="Q747" s="74"/>
      <c r="R747" s="74"/>
      <c r="S747" s="74"/>
      <c r="T747" s="74"/>
      <c r="U747" s="74"/>
      <c r="V747" s="74"/>
      <c r="W747" s="74"/>
      <c r="X747" s="74"/>
      <c r="Y747" s="74"/>
      <c r="Z747" s="74"/>
      <c r="AA747" s="74"/>
      <c r="AB747" s="74"/>
      <c r="AC747" s="74"/>
      <c r="AD747" s="74"/>
      <c r="AE747" s="12"/>
      <c r="AF747" s="12"/>
      <c r="AG747" s="12"/>
      <c r="AH747" s="180"/>
      <c r="AI747" s="180"/>
      <c r="AJ747" s="12"/>
      <c r="AK747" s="12"/>
      <c r="AL747" s="12"/>
      <c r="AM747" s="12"/>
    </row>
    <row r="748">
      <c r="A748" s="74"/>
      <c r="B748" s="12"/>
      <c r="C748" s="74"/>
      <c r="D748" s="12"/>
      <c r="E748" s="12"/>
      <c r="F748" s="74"/>
      <c r="G748" s="74"/>
      <c r="H748" s="179"/>
      <c r="I748" s="74"/>
      <c r="J748" s="74"/>
      <c r="K748" s="74"/>
      <c r="L748" s="74"/>
      <c r="M748" s="74"/>
      <c r="N748" s="179"/>
      <c r="O748" s="74"/>
      <c r="P748" s="74"/>
      <c r="Q748" s="74"/>
      <c r="R748" s="74"/>
      <c r="S748" s="74"/>
      <c r="T748" s="74"/>
      <c r="U748" s="74"/>
      <c r="V748" s="74"/>
      <c r="W748" s="74"/>
      <c r="X748" s="74"/>
      <c r="Y748" s="74"/>
      <c r="Z748" s="74"/>
      <c r="AA748" s="74"/>
      <c r="AB748" s="74"/>
      <c r="AC748" s="74"/>
      <c r="AD748" s="74"/>
      <c r="AE748" s="12"/>
      <c r="AF748" s="12"/>
      <c r="AG748" s="12"/>
      <c r="AH748" s="180"/>
      <c r="AI748" s="180"/>
      <c r="AJ748" s="12"/>
      <c r="AK748" s="12"/>
      <c r="AL748" s="12"/>
      <c r="AM748" s="12"/>
    </row>
    <row r="749">
      <c r="A749" s="74"/>
      <c r="B749" s="12"/>
      <c r="C749" s="74"/>
      <c r="D749" s="12"/>
      <c r="E749" s="12"/>
      <c r="F749" s="74"/>
      <c r="G749" s="74"/>
      <c r="H749" s="179"/>
      <c r="I749" s="74"/>
      <c r="J749" s="74"/>
      <c r="K749" s="74"/>
      <c r="L749" s="74"/>
      <c r="M749" s="74"/>
      <c r="N749" s="179"/>
      <c r="O749" s="74"/>
      <c r="P749" s="74"/>
      <c r="Q749" s="74"/>
      <c r="R749" s="74"/>
      <c r="S749" s="74"/>
      <c r="T749" s="74"/>
      <c r="U749" s="74"/>
      <c r="V749" s="74"/>
      <c r="W749" s="74"/>
      <c r="X749" s="74"/>
      <c r="Y749" s="74"/>
      <c r="Z749" s="74"/>
      <c r="AA749" s="74"/>
      <c r="AB749" s="74"/>
      <c r="AC749" s="74"/>
      <c r="AD749" s="74"/>
      <c r="AE749" s="12"/>
      <c r="AF749" s="12"/>
      <c r="AG749" s="12"/>
      <c r="AH749" s="180"/>
      <c r="AI749" s="180"/>
      <c r="AJ749" s="12"/>
      <c r="AK749" s="12"/>
      <c r="AL749" s="12"/>
      <c r="AM749" s="12"/>
    </row>
    <row r="750">
      <c r="A750" s="74"/>
      <c r="B750" s="12"/>
      <c r="C750" s="74"/>
      <c r="D750" s="12"/>
      <c r="E750" s="12"/>
      <c r="F750" s="74"/>
      <c r="G750" s="74"/>
      <c r="H750" s="179"/>
      <c r="I750" s="74"/>
      <c r="J750" s="74"/>
      <c r="K750" s="74"/>
      <c r="L750" s="74"/>
      <c r="M750" s="74"/>
      <c r="N750" s="179"/>
      <c r="O750" s="74"/>
      <c r="P750" s="74"/>
      <c r="Q750" s="74"/>
      <c r="R750" s="74"/>
      <c r="S750" s="74"/>
      <c r="T750" s="74"/>
      <c r="U750" s="74"/>
      <c r="V750" s="74"/>
      <c r="W750" s="74"/>
      <c r="X750" s="74"/>
      <c r="Y750" s="74"/>
      <c r="Z750" s="74"/>
      <c r="AA750" s="74"/>
      <c r="AB750" s="74"/>
      <c r="AC750" s="74"/>
      <c r="AD750" s="74"/>
      <c r="AE750" s="12"/>
      <c r="AF750" s="12"/>
      <c r="AG750" s="12"/>
      <c r="AH750" s="180"/>
      <c r="AI750" s="180"/>
      <c r="AJ750" s="12"/>
      <c r="AK750" s="12"/>
      <c r="AL750" s="12"/>
      <c r="AM750" s="12"/>
    </row>
    <row r="751">
      <c r="A751" s="74"/>
      <c r="B751" s="12"/>
      <c r="C751" s="74"/>
      <c r="D751" s="12"/>
      <c r="E751" s="12"/>
      <c r="F751" s="74"/>
      <c r="G751" s="74"/>
      <c r="H751" s="179"/>
      <c r="I751" s="74"/>
      <c r="J751" s="74"/>
      <c r="K751" s="74"/>
      <c r="L751" s="74"/>
      <c r="M751" s="74"/>
      <c r="N751" s="179"/>
      <c r="O751" s="74"/>
      <c r="P751" s="74"/>
      <c r="Q751" s="74"/>
      <c r="R751" s="74"/>
      <c r="S751" s="74"/>
      <c r="T751" s="74"/>
      <c r="U751" s="74"/>
      <c r="V751" s="74"/>
      <c r="W751" s="74"/>
      <c r="X751" s="74"/>
      <c r="Y751" s="74"/>
      <c r="Z751" s="74"/>
      <c r="AA751" s="74"/>
      <c r="AB751" s="74"/>
      <c r="AC751" s="74"/>
      <c r="AD751" s="74"/>
      <c r="AE751" s="12"/>
      <c r="AF751" s="12"/>
      <c r="AG751" s="12"/>
      <c r="AH751" s="180"/>
      <c r="AI751" s="180"/>
      <c r="AJ751" s="12"/>
      <c r="AK751" s="12"/>
      <c r="AL751" s="12"/>
      <c r="AM751" s="12"/>
    </row>
    <row r="752">
      <c r="A752" s="74"/>
      <c r="B752" s="12"/>
      <c r="C752" s="74"/>
      <c r="D752" s="12"/>
      <c r="E752" s="12"/>
      <c r="F752" s="74"/>
      <c r="G752" s="74"/>
      <c r="H752" s="179"/>
      <c r="I752" s="74"/>
      <c r="J752" s="74"/>
      <c r="K752" s="74"/>
      <c r="L752" s="74"/>
      <c r="M752" s="74"/>
      <c r="N752" s="179"/>
      <c r="O752" s="74"/>
      <c r="P752" s="74"/>
      <c r="Q752" s="74"/>
      <c r="R752" s="74"/>
      <c r="S752" s="74"/>
      <c r="T752" s="74"/>
      <c r="U752" s="74"/>
      <c r="V752" s="74"/>
      <c r="W752" s="74"/>
      <c r="X752" s="74"/>
      <c r="Y752" s="74"/>
      <c r="Z752" s="74"/>
      <c r="AA752" s="74"/>
      <c r="AB752" s="74"/>
      <c r="AC752" s="74"/>
      <c r="AD752" s="74"/>
      <c r="AE752" s="12"/>
      <c r="AF752" s="12"/>
      <c r="AG752" s="12"/>
      <c r="AH752" s="180"/>
      <c r="AI752" s="180"/>
      <c r="AJ752" s="12"/>
      <c r="AK752" s="12"/>
      <c r="AL752" s="12"/>
      <c r="AM752" s="12"/>
    </row>
    <row r="753">
      <c r="A753" s="74"/>
      <c r="B753" s="12"/>
      <c r="C753" s="74"/>
      <c r="D753" s="12"/>
      <c r="E753" s="12"/>
      <c r="F753" s="74"/>
      <c r="G753" s="74"/>
      <c r="H753" s="179"/>
      <c r="I753" s="74"/>
      <c r="J753" s="74"/>
      <c r="K753" s="74"/>
      <c r="L753" s="74"/>
      <c r="M753" s="74"/>
      <c r="N753" s="179"/>
      <c r="O753" s="74"/>
      <c r="P753" s="74"/>
      <c r="Q753" s="74"/>
      <c r="R753" s="74"/>
      <c r="S753" s="74"/>
      <c r="T753" s="74"/>
      <c r="U753" s="74"/>
      <c r="V753" s="74"/>
      <c r="W753" s="74"/>
      <c r="X753" s="74"/>
      <c r="Y753" s="74"/>
      <c r="Z753" s="74"/>
      <c r="AA753" s="74"/>
      <c r="AB753" s="74"/>
      <c r="AC753" s="74"/>
      <c r="AD753" s="74"/>
      <c r="AE753" s="12"/>
      <c r="AF753" s="12"/>
      <c r="AG753" s="12"/>
      <c r="AH753" s="180"/>
      <c r="AI753" s="180"/>
      <c r="AJ753" s="12"/>
      <c r="AK753" s="12"/>
      <c r="AL753" s="12"/>
      <c r="AM753" s="12"/>
    </row>
    <row r="754">
      <c r="A754" s="74"/>
      <c r="B754" s="12"/>
      <c r="C754" s="74"/>
      <c r="D754" s="12"/>
      <c r="E754" s="12"/>
      <c r="F754" s="74"/>
      <c r="G754" s="74"/>
      <c r="H754" s="179"/>
      <c r="I754" s="74"/>
      <c r="J754" s="74"/>
      <c r="K754" s="74"/>
      <c r="L754" s="74"/>
      <c r="M754" s="74"/>
      <c r="N754" s="179"/>
      <c r="O754" s="74"/>
      <c r="P754" s="74"/>
      <c r="Q754" s="74"/>
      <c r="R754" s="74"/>
      <c r="S754" s="74"/>
      <c r="T754" s="74"/>
      <c r="U754" s="74"/>
      <c r="V754" s="74"/>
      <c r="W754" s="74"/>
      <c r="X754" s="74"/>
      <c r="Y754" s="74"/>
      <c r="Z754" s="74"/>
      <c r="AA754" s="74"/>
      <c r="AB754" s="74"/>
      <c r="AC754" s="74"/>
      <c r="AD754" s="74"/>
      <c r="AE754" s="12"/>
      <c r="AF754" s="12"/>
      <c r="AG754" s="12"/>
      <c r="AH754" s="180"/>
      <c r="AI754" s="180"/>
      <c r="AJ754" s="12"/>
      <c r="AK754" s="12"/>
      <c r="AL754" s="12"/>
      <c r="AM754" s="12"/>
    </row>
    <row r="755">
      <c r="A755" s="74"/>
      <c r="B755" s="12"/>
      <c r="C755" s="74"/>
      <c r="D755" s="12"/>
      <c r="E755" s="12"/>
      <c r="F755" s="74"/>
      <c r="G755" s="74"/>
      <c r="H755" s="179"/>
      <c r="I755" s="74"/>
      <c r="J755" s="74"/>
      <c r="K755" s="74"/>
      <c r="L755" s="74"/>
      <c r="M755" s="74"/>
      <c r="N755" s="179"/>
      <c r="O755" s="74"/>
      <c r="P755" s="74"/>
      <c r="Q755" s="74"/>
      <c r="R755" s="74"/>
      <c r="S755" s="74"/>
      <c r="T755" s="74"/>
      <c r="U755" s="74"/>
      <c r="V755" s="74"/>
      <c r="W755" s="74"/>
      <c r="X755" s="74"/>
      <c r="Y755" s="74"/>
      <c r="Z755" s="74"/>
      <c r="AA755" s="74"/>
      <c r="AB755" s="74"/>
      <c r="AC755" s="74"/>
      <c r="AD755" s="74"/>
      <c r="AE755" s="12"/>
      <c r="AF755" s="12"/>
      <c r="AG755" s="12"/>
      <c r="AH755" s="180"/>
      <c r="AI755" s="180"/>
      <c r="AJ755" s="12"/>
      <c r="AK755" s="12"/>
      <c r="AL755" s="12"/>
      <c r="AM755" s="12"/>
    </row>
    <row r="756">
      <c r="A756" s="74"/>
      <c r="B756" s="12"/>
      <c r="C756" s="74"/>
      <c r="D756" s="12"/>
      <c r="E756" s="12"/>
      <c r="F756" s="74"/>
      <c r="G756" s="74"/>
      <c r="H756" s="179"/>
      <c r="I756" s="74"/>
      <c r="J756" s="74"/>
      <c r="K756" s="74"/>
      <c r="L756" s="74"/>
      <c r="M756" s="74"/>
      <c r="N756" s="179"/>
      <c r="O756" s="74"/>
      <c r="P756" s="74"/>
      <c r="Q756" s="74"/>
      <c r="R756" s="74"/>
      <c r="S756" s="74"/>
      <c r="T756" s="74"/>
      <c r="U756" s="74"/>
      <c r="V756" s="74"/>
      <c r="W756" s="74"/>
      <c r="X756" s="74"/>
      <c r="Y756" s="74"/>
      <c r="Z756" s="74"/>
      <c r="AA756" s="74"/>
      <c r="AB756" s="74"/>
      <c r="AC756" s="74"/>
      <c r="AD756" s="74"/>
      <c r="AE756" s="12"/>
      <c r="AF756" s="12"/>
      <c r="AG756" s="12"/>
      <c r="AH756" s="180"/>
      <c r="AI756" s="180"/>
      <c r="AJ756" s="12"/>
      <c r="AK756" s="12"/>
      <c r="AL756" s="12"/>
      <c r="AM756" s="12"/>
    </row>
    <row r="757">
      <c r="A757" s="74"/>
      <c r="B757" s="12"/>
      <c r="C757" s="74"/>
      <c r="D757" s="12"/>
      <c r="E757" s="12"/>
      <c r="F757" s="74"/>
      <c r="G757" s="74"/>
      <c r="H757" s="179"/>
      <c r="I757" s="74"/>
      <c r="J757" s="74"/>
      <c r="K757" s="74"/>
      <c r="L757" s="74"/>
      <c r="M757" s="74"/>
      <c r="N757" s="179"/>
      <c r="O757" s="74"/>
      <c r="P757" s="74"/>
      <c r="Q757" s="74"/>
      <c r="R757" s="74"/>
      <c r="S757" s="74"/>
      <c r="T757" s="74"/>
      <c r="U757" s="74"/>
      <c r="V757" s="74"/>
      <c r="W757" s="74"/>
      <c r="X757" s="74"/>
      <c r="Y757" s="74"/>
      <c r="Z757" s="74"/>
      <c r="AA757" s="74"/>
      <c r="AB757" s="74"/>
      <c r="AC757" s="74"/>
      <c r="AD757" s="74"/>
      <c r="AE757" s="12"/>
      <c r="AF757" s="12"/>
      <c r="AG757" s="12"/>
      <c r="AH757" s="180"/>
      <c r="AI757" s="180"/>
      <c r="AJ757" s="12"/>
      <c r="AK757" s="12"/>
      <c r="AL757" s="12"/>
      <c r="AM757" s="12"/>
    </row>
    <row r="758">
      <c r="A758" s="74"/>
      <c r="B758" s="12"/>
      <c r="C758" s="74"/>
      <c r="D758" s="12"/>
      <c r="E758" s="12"/>
      <c r="F758" s="74"/>
      <c r="G758" s="74"/>
      <c r="H758" s="179"/>
      <c r="I758" s="74"/>
      <c r="J758" s="74"/>
      <c r="K758" s="74"/>
      <c r="L758" s="74"/>
      <c r="M758" s="74"/>
      <c r="N758" s="179"/>
      <c r="O758" s="74"/>
      <c r="P758" s="74"/>
      <c r="Q758" s="74"/>
      <c r="R758" s="74"/>
      <c r="S758" s="74"/>
      <c r="T758" s="74"/>
      <c r="U758" s="74"/>
      <c r="V758" s="74"/>
      <c r="W758" s="74"/>
      <c r="X758" s="74"/>
      <c r="Y758" s="74"/>
      <c r="Z758" s="74"/>
      <c r="AA758" s="74"/>
      <c r="AB758" s="74"/>
      <c r="AC758" s="74"/>
      <c r="AD758" s="74"/>
      <c r="AE758" s="12"/>
      <c r="AF758" s="12"/>
      <c r="AG758" s="12"/>
      <c r="AH758" s="180"/>
      <c r="AI758" s="180"/>
      <c r="AJ758" s="12"/>
      <c r="AK758" s="12"/>
      <c r="AL758" s="12"/>
      <c r="AM758" s="12"/>
    </row>
    <row r="759">
      <c r="A759" s="74"/>
      <c r="B759" s="12"/>
      <c r="C759" s="74"/>
      <c r="D759" s="12"/>
      <c r="E759" s="12"/>
      <c r="F759" s="74"/>
      <c r="G759" s="74"/>
      <c r="H759" s="179"/>
      <c r="I759" s="74"/>
      <c r="J759" s="74"/>
      <c r="K759" s="74"/>
      <c r="L759" s="74"/>
      <c r="M759" s="74"/>
      <c r="N759" s="179"/>
      <c r="O759" s="74"/>
      <c r="P759" s="74"/>
      <c r="Q759" s="74"/>
      <c r="R759" s="74"/>
      <c r="S759" s="74"/>
      <c r="T759" s="74"/>
      <c r="U759" s="74"/>
      <c r="V759" s="74"/>
      <c r="W759" s="74"/>
      <c r="X759" s="74"/>
      <c r="Y759" s="74"/>
      <c r="Z759" s="74"/>
      <c r="AA759" s="74"/>
      <c r="AB759" s="74"/>
      <c r="AC759" s="74"/>
      <c r="AD759" s="74"/>
      <c r="AE759" s="12"/>
      <c r="AF759" s="12"/>
      <c r="AG759" s="12"/>
      <c r="AH759" s="180"/>
      <c r="AI759" s="180"/>
      <c r="AJ759" s="12"/>
      <c r="AK759" s="12"/>
      <c r="AL759" s="12"/>
      <c r="AM759" s="12"/>
    </row>
    <row r="760">
      <c r="A760" s="74"/>
      <c r="B760" s="12"/>
      <c r="C760" s="74"/>
      <c r="D760" s="12"/>
      <c r="E760" s="12"/>
      <c r="F760" s="74"/>
      <c r="G760" s="74"/>
      <c r="H760" s="179"/>
      <c r="I760" s="74"/>
      <c r="J760" s="74"/>
      <c r="K760" s="74"/>
      <c r="L760" s="74"/>
      <c r="M760" s="74"/>
      <c r="N760" s="179"/>
      <c r="O760" s="74"/>
      <c r="P760" s="74"/>
      <c r="Q760" s="74"/>
      <c r="R760" s="74"/>
      <c r="S760" s="74"/>
      <c r="T760" s="74"/>
      <c r="U760" s="74"/>
      <c r="V760" s="74"/>
      <c r="W760" s="74"/>
      <c r="X760" s="74"/>
      <c r="Y760" s="74"/>
      <c r="Z760" s="74"/>
      <c r="AA760" s="74"/>
      <c r="AB760" s="74"/>
      <c r="AC760" s="74"/>
      <c r="AD760" s="74"/>
      <c r="AE760" s="12"/>
      <c r="AF760" s="12"/>
      <c r="AG760" s="12"/>
      <c r="AH760" s="180"/>
      <c r="AI760" s="180"/>
      <c r="AJ760" s="12"/>
      <c r="AK760" s="12"/>
      <c r="AL760" s="12"/>
      <c r="AM760" s="12"/>
    </row>
    <row r="761">
      <c r="A761" s="74"/>
      <c r="B761" s="12"/>
      <c r="C761" s="74"/>
      <c r="D761" s="12"/>
      <c r="E761" s="12"/>
      <c r="F761" s="74"/>
      <c r="G761" s="74"/>
      <c r="H761" s="179"/>
      <c r="I761" s="74"/>
      <c r="J761" s="74"/>
      <c r="K761" s="74"/>
      <c r="L761" s="74"/>
      <c r="M761" s="74"/>
      <c r="N761" s="179"/>
      <c r="O761" s="74"/>
      <c r="P761" s="74"/>
      <c r="Q761" s="74"/>
      <c r="R761" s="74"/>
      <c r="S761" s="74"/>
      <c r="T761" s="74"/>
      <c r="U761" s="74"/>
      <c r="V761" s="74"/>
      <c r="W761" s="74"/>
      <c r="X761" s="74"/>
      <c r="Y761" s="74"/>
      <c r="Z761" s="74"/>
      <c r="AA761" s="74"/>
      <c r="AB761" s="74"/>
      <c r="AC761" s="74"/>
      <c r="AD761" s="74"/>
      <c r="AE761" s="12"/>
      <c r="AF761" s="12"/>
      <c r="AG761" s="12"/>
      <c r="AH761" s="180"/>
      <c r="AI761" s="180"/>
      <c r="AJ761" s="12"/>
      <c r="AK761" s="12"/>
      <c r="AL761" s="12"/>
      <c r="AM761" s="12"/>
    </row>
    <row r="762">
      <c r="A762" s="74"/>
      <c r="B762" s="12"/>
      <c r="C762" s="74"/>
      <c r="D762" s="12"/>
      <c r="E762" s="12"/>
      <c r="F762" s="74"/>
      <c r="G762" s="74"/>
      <c r="H762" s="179"/>
      <c r="I762" s="74"/>
      <c r="J762" s="74"/>
      <c r="K762" s="74"/>
      <c r="L762" s="74"/>
      <c r="M762" s="74"/>
      <c r="N762" s="179"/>
      <c r="O762" s="74"/>
      <c r="P762" s="74"/>
      <c r="Q762" s="74"/>
      <c r="R762" s="74"/>
      <c r="S762" s="74"/>
      <c r="T762" s="74"/>
      <c r="U762" s="74"/>
      <c r="V762" s="74"/>
      <c r="W762" s="74"/>
      <c r="X762" s="74"/>
      <c r="Y762" s="74"/>
      <c r="Z762" s="74"/>
      <c r="AA762" s="74"/>
      <c r="AB762" s="74"/>
      <c r="AC762" s="74"/>
      <c r="AD762" s="74"/>
      <c r="AE762" s="12"/>
      <c r="AF762" s="12"/>
      <c r="AG762" s="12"/>
      <c r="AH762" s="180"/>
      <c r="AI762" s="180"/>
      <c r="AJ762" s="12"/>
      <c r="AK762" s="12"/>
      <c r="AL762" s="12"/>
      <c r="AM762" s="12"/>
    </row>
    <row r="763">
      <c r="A763" s="74"/>
      <c r="B763" s="12"/>
      <c r="C763" s="74"/>
      <c r="D763" s="12"/>
      <c r="E763" s="12"/>
      <c r="F763" s="74"/>
      <c r="G763" s="74"/>
      <c r="H763" s="179"/>
      <c r="I763" s="74"/>
      <c r="J763" s="74"/>
      <c r="K763" s="74"/>
      <c r="L763" s="74"/>
      <c r="M763" s="74"/>
      <c r="N763" s="179"/>
      <c r="O763" s="74"/>
      <c r="P763" s="74"/>
      <c r="Q763" s="74"/>
      <c r="R763" s="74"/>
      <c r="S763" s="74"/>
      <c r="T763" s="74"/>
      <c r="U763" s="74"/>
      <c r="V763" s="74"/>
      <c r="W763" s="74"/>
      <c r="X763" s="74"/>
      <c r="Y763" s="74"/>
      <c r="Z763" s="74"/>
      <c r="AA763" s="74"/>
      <c r="AB763" s="74"/>
      <c r="AC763" s="74"/>
      <c r="AD763" s="74"/>
      <c r="AE763" s="12"/>
      <c r="AF763" s="12"/>
      <c r="AG763" s="12"/>
      <c r="AH763" s="180"/>
      <c r="AI763" s="180"/>
      <c r="AJ763" s="12"/>
      <c r="AK763" s="12"/>
      <c r="AL763" s="12"/>
      <c r="AM763" s="12"/>
    </row>
    <row r="764">
      <c r="A764" s="74"/>
      <c r="B764" s="12"/>
      <c r="C764" s="74"/>
      <c r="D764" s="12"/>
      <c r="E764" s="12"/>
      <c r="F764" s="74"/>
      <c r="G764" s="74"/>
      <c r="H764" s="179"/>
      <c r="I764" s="74"/>
      <c r="J764" s="74"/>
      <c r="K764" s="74"/>
      <c r="L764" s="74"/>
      <c r="M764" s="74"/>
      <c r="N764" s="179"/>
      <c r="O764" s="74"/>
      <c r="P764" s="74"/>
      <c r="Q764" s="74"/>
      <c r="R764" s="74"/>
      <c r="S764" s="74"/>
      <c r="T764" s="74"/>
      <c r="U764" s="74"/>
      <c r="V764" s="74"/>
      <c r="W764" s="74"/>
      <c r="X764" s="74"/>
      <c r="Y764" s="74"/>
      <c r="Z764" s="74"/>
      <c r="AA764" s="74"/>
      <c r="AB764" s="74"/>
      <c r="AC764" s="74"/>
      <c r="AD764" s="74"/>
      <c r="AE764" s="12"/>
      <c r="AF764" s="12"/>
      <c r="AG764" s="12"/>
      <c r="AH764" s="180"/>
      <c r="AI764" s="180"/>
      <c r="AJ764" s="12"/>
      <c r="AK764" s="12"/>
      <c r="AL764" s="12"/>
      <c r="AM764" s="12"/>
    </row>
    <row r="765">
      <c r="A765" s="74"/>
      <c r="B765" s="12"/>
      <c r="C765" s="74"/>
      <c r="D765" s="12"/>
      <c r="E765" s="12"/>
      <c r="F765" s="74"/>
      <c r="G765" s="74"/>
      <c r="H765" s="179"/>
      <c r="I765" s="74"/>
      <c r="J765" s="74"/>
      <c r="K765" s="74"/>
      <c r="L765" s="74"/>
      <c r="M765" s="74"/>
      <c r="N765" s="179"/>
      <c r="O765" s="74"/>
      <c r="P765" s="74"/>
      <c r="Q765" s="74"/>
      <c r="R765" s="74"/>
      <c r="S765" s="74"/>
      <c r="T765" s="74"/>
      <c r="U765" s="74"/>
      <c r="V765" s="74"/>
      <c r="W765" s="74"/>
      <c r="X765" s="74"/>
      <c r="Y765" s="74"/>
      <c r="Z765" s="74"/>
      <c r="AA765" s="74"/>
      <c r="AB765" s="74"/>
      <c r="AC765" s="74"/>
      <c r="AD765" s="74"/>
      <c r="AE765" s="12"/>
      <c r="AF765" s="12"/>
      <c r="AG765" s="12"/>
      <c r="AH765" s="180"/>
      <c r="AI765" s="180"/>
      <c r="AJ765" s="12"/>
      <c r="AK765" s="12"/>
      <c r="AL765" s="12"/>
      <c r="AM765" s="12"/>
    </row>
    <row r="766">
      <c r="A766" s="74"/>
      <c r="B766" s="12"/>
      <c r="C766" s="74"/>
      <c r="D766" s="12"/>
      <c r="E766" s="12"/>
      <c r="F766" s="74"/>
      <c r="G766" s="74"/>
      <c r="H766" s="179"/>
      <c r="I766" s="74"/>
      <c r="J766" s="74"/>
      <c r="K766" s="74"/>
      <c r="L766" s="74"/>
      <c r="M766" s="74"/>
      <c r="N766" s="179"/>
      <c r="O766" s="74"/>
      <c r="P766" s="74"/>
      <c r="Q766" s="74"/>
      <c r="R766" s="74"/>
      <c r="S766" s="74"/>
      <c r="T766" s="74"/>
      <c r="U766" s="74"/>
      <c r="V766" s="74"/>
      <c r="W766" s="74"/>
      <c r="X766" s="74"/>
      <c r="Y766" s="74"/>
      <c r="Z766" s="74"/>
      <c r="AA766" s="74"/>
      <c r="AB766" s="74"/>
      <c r="AC766" s="74"/>
      <c r="AD766" s="74"/>
      <c r="AE766" s="12"/>
      <c r="AF766" s="12"/>
      <c r="AG766" s="12"/>
      <c r="AH766" s="180"/>
      <c r="AI766" s="180"/>
      <c r="AJ766" s="12"/>
      <c r="AK766" s="12"/>
      <c r="AL766" s="12"/>
      <c r="AM766" s="12"/>
    </row>
    <row r="767">
      <c r="A767" s="74"/>
      <c r="B767" s="12"/>
      <c r="C767" s="74"/>
      <c r="D767" s="12"/>
      <c r="E767" s="12"/>
      <c r="F767" s="74"/>
      <c r="G767" s="74"/>
      <c r="H767" s="179"/>
      <c r="I767" s="74"/>
      <c r="J767" s="74"/>
      <c r="K767" s="74"/>
      <c r="L767" s="74"/>
      <c r="M767" s="74"/>
      <c r="N767" s="179"/>
      <c r="O767" s="74"/>
      <c r="P767" s="74"/>
      <c r="Q767" s="74"/>
      <c r="R767" s="74"/>
      <c r="S767" s="74"/>
      <c r="T767" s="74"/>
      <c r="U767" s="74"/>
      <c r="V767" s="74"/>
      <c r="W767" s="74"/>
      <c r="X767" s="74"/>
      <c r="Y767" s="74"/>
      <c r="Z767" s="74"/>
      <c r="AA767" s="74"/>
      <c r="AB767" s="74"/>
      <c r="AC767" s="74"/>
      <c r="AD767" s="74"/>
      <c r="AE767" s="12"/>
      <c r="AF767" s="12"/>
      <c r="AG767" s="12"/>
      <c r="AH767" s="180"/>
      <c r="AI767" s="180"/>
      <c r="AJ767" s="12"/>
      <c r="AK767" s="12"/>
      <c r="AL767" s="12"/>
      <c r="AM767" s="12"/>
    </row>
    <row r="768">
      <c r="A768" s="74"/>
      <c r="B768" s="12"/>
      <c r="C768" s="74"/>
      <c r="D768" s="12"/>
      <c r="E768" s="12"/>
      <c r="F768" s="74"/>
      <c r="G768" s="74"/>
      <c r="H768" s="179"/>
      <c r="I768" s="74"/>
      <c r="J768" s="74"/>
      <c r="K768" s="74"/>
      <c r="L768" s="74"/>
      <c r="M768" s="74"/>
      <c r="N768" s="179"/>
      <c r="O768" s="74"/>
      <c r="P768" s="74"/>
      <c r="Q768" s="74"/>
      <c r="R768" s="74"/>
      <c r="S768" s="74"/>
      <c r="T768" s="74"/>
      <c r="U768" s="74"/>
      <c r="V768" s="74"/>
      <c r="W768" s="74"/>
      <c r="X768" s="74"/>
      <c r="Y768" s="74"/>
      <c r="Z768" s="74"/>
      <c r="AA768" s="74"/>
      <c r="AB768" s="74"/>
      <c r="AC768" s="74"/>
      <c r="AD768" s="74"/>
      <c r="AE768" s="12"/>
      <c r="AF768" s="12"/>
      <c r="AG768" s="12"/>
      <c r="AH768" s="180"/>
      <c r="AI768" s="180"/>
      <c r="AJ768" s="12"/>
      <c r="AK768" s="12"/>
      <c r="AL768" s="12"/>
      <c r="AM768" s="12"/>
    </row>
    <row r="769">
      <c r="A769" s="74"/>
      <c r="B769" s="12"/>
      <c r="C769" s="74"/>
      <c r="D769" s="12"/>
      <c r="E769" s="12"/>
      <c r="F769" s="74"/>
      <c r="G769" s="74"/>
      <c r="H769" s="179"/>
      <c r="I769" s="74"/>
      <c r="J769" s="74"/>
      <c r="K769" s="74"/>
      <c r="L769" s="74"/>
      <c r="M769" s="74"/>
      <c r="N769" s="179"/>
      <c r="O769" s="74"/>
      <c r="P769" s="74"/>
      <c r="Q769" s="74"/>
      <c r="R769" s="74"/>
      <c r="S769" s="74"/>
      <c r="T769" s="74"/>
      <c r="U769" s="74"/>
      <c r="V769" s="74"/>
      <c r="W769" s="74"/>
      <c r="X769" s="74"/>
      <c r="Y769" s="74"/>
      <c r="Z769" s="74"/>
      <c r="AA769" s="74"/>
      <c r="AB769" s="74"/>
      <c r="AC769" s="74"/>
      <c r="AD769" s="74"/>
      <c r="AE769" s="12"/>
      <c r="AF769" s="12"/>
      <c r="AG769" s="12"/>
      <c r="AH769" s="180"/>
      <c r="AI769" s="180"/>
      <c r="AJ769" s="12"/>
      <c r="AK769" s="12"/>
      <c r="AL769" s="12"/>
      <c r="AM769" s="12"/>
    </row>
    <row r="770">
      <c r="A770" s="74"/>
      <c r="B770" s="12"/>
      <c r="C770" s="74"/>
      <c r="D770" s="12"/>
      <c r="E770" s="12"/>
      <c r="F770" s="74"/>
      <c r="G770" s="74"/>
      <c r="H770" s="179"/>
      <c r="I770" s="74"/>
      <c r="J770" s="74"/>
      <c r="K770" s="74"/>
      <c r="L770" s="74"/>
      <c r="M770" s="74"/>
      <c r="N770" s="179"/>
      <c r="O770" s="74"/>
      <c r="P770" s="74"/>
      <c r="Q770" s="74"/>
      <c r="R770" s="74"/>
      <c r="S770" s="74"/>
      <c r="T770" s="74"/>
      <c r="U770" s="74"/>
      <c r="V770" s="74"/>
      <c r="W770" s="74"/>
      <c r="X770" s="74"/>
      <c r="Y770" s="74"/>
      <c r="Z770" s="74"/>
      <c r="AA770" s="74"/>
      <c r="AB770" s="74"/>
      <c r="AC770" s="74"/>
      <c r="AD770" s="74"/>
      <c r="AE770" s="12"/>
      <c r="AF770" s="12"/>
      <c r="AG770" s="12"/>
      <c r="AH770" s="180"/>
      <c r="AI770" s="180"/>
      <c r="AJ770" s="12"/>
      <c r="AK770" s="12"/>
      <c r="AL770" s="12"/>
      <c r="AM770" s="12"/>
    </row>
    <row r="771">
      <c r="A771" s="74"/>
      <c r="B771" s="12"/>
      <c r="C771" s="74"/>
      <c r="D771" s="12"/>
      <c r="E771" s="12"/>
      <c r="F771" s="74"/>
      <c r="G771" s="74"/>
      <c r="H771" s="179"/>
      <c r="I771" s="74"/>
      <c r="J771" s="74"/>
      <c r="K771" s="74"/>
      <c r="L771" s="74"/>
      <c r="M771" s="74"/>
      <c r="N771" s="179"/>
      <c r="O771" s="74"/>
      <c r="P771" s="74"/>
      <c r="Q771" s="74"/>
      <c r="R771" s="74"/>
      <c r="S771" s="74"/>
      <c r="T771" s="74"/>
      <c r="U771" s="74"/>
      <c r="V771" s="74"/>
      <c r="W771" s="74"/>
      <c r="X771" s="74"/>
      <c r="Y771" s="74"/>
      <c r="Z771" s="74"/>
      <c r="AA771" s="74"/>
      <c r="AB771" s="74"/>
      <c r="AC771" s="74"/>
      <c r="AD771" s="74"/>
      <c r="AE771" s="12"/>
      <c r="AF771" s="12"/>
      <c r="AG771" s="12"/>
      <c r="AH771" s="180"/>
      <c r="AI771" s="180"/>
      <c r="AJ771" s="12"/>
      <c r="AK771" s="12"/>
      <c r="AL771" s="12"/>
      <c r="AM771" s="12"/>
    </row>
    <row r="772">
      <c r="A772" s="74"/>
      <c r="B772" s="12"/>
      <c r="C772" s="74"/>
      <c r="D772" s="12"/>
      <c r="E772" s="12"/>
      <c r="F772" s="74"/>
      <c r="G772" s="74"/>
      <c r="H772" s="179"/>
      <c r="I772" s="74"/>
      <c r="J772" s="74"/>
      <c r="K772" s="74"/>
      <c r="L772" s="74"/>
      <c r="M772" s="74"/>
      <c r="N772" s="179"/>
      <c r="O772" s="74"/>
      <c r="P772" s="74"/>
      <c r="Q772" s="74"/>
      <c r="R772" s="74"/>
      <c r="S772" s="74"/>
      <c r="T772" s="74"/>
      <c r="U772" s="74"/>
      <c r="V772" s="74"/>
      <c r="W772" s="74"/>
      <c r="X772" s="74"/>
      <c r="Y772" s="74"/>
      <c r="Z772" s="74"/>
      <c r="AA772" s="74"/>
      <c r="AB772" s="74"/>
      <c r="AC772" s="74"/>
      <c r="AD772" s="74"/>
      <c r="AE772" s="12"/>
      <c r="AF772" s="12"/>
      <c r="AG772" s="12"/>
      <c r="AH772" s="180"/>
      <c r="AI772" s="180"/>
      <c r="AJ772" s="12"/>
      <c r="AK772" s="12"/>
      <c r="AL772" s="12"/>
      <c r="AM772" s="12"/>
    </row>
    <row r="773">
      <c r="A773" s="74"/>
      <c r="B773" s="12"/>
      <c r="C773" s="74"/>
      <c r="D773" s="12"/>
      <c r="E773" s="12"/>
      <c r="F773" s="74"/>
      <c r="G773" s="74"/>
      <c r="H773" s="179"/>
      <c r="I773" s="74"/>
      <c r="J773" s="74"/>
      <c r="K773" s="74"/>
      <c r="L773" s="74"/>
      <c r="M773" s="74"/>
      <c r="N773" s="179"/>
      <c r="O773" s="74"/>
      <c r="P773" s="74"/>
      <c r="Q773" s="74"/>
      <c r="R773" s="74"/>
      <c r="S773" s="74"/>
      <c r="T773" s="74"/>
      <c r="U773" s="74"/>
      <c r="V773" s="74"/>
      <c r="W773" s="74"/>
      <c r="X773" s="74"/>
      <c r="Y773" s="74"/>
      <c r="Z773" s="74"/>
      <c r="AA773" s="74"/>
      <c r="AB773" s="74"/>
      <c r="AC773" s="74"/>
      <c r="AD773" s="74"/>
      <c r="AE773" s="12"/>
      <c r="AF773" s="12"/>
      <c r="AG773" s="12"/>
      <c r="AH773" s="180"/>
      <c r="AI773" s="180"/>
      <c r="AJ773" s="12"/>
      <c r="AK773" s="12"/>
      <c r="AL773" s="12"/>
      <c r="AM773" s="12"/>
    </row>
    <row r="774">
      <c r="A774" s="74"/>
      <c r="B774" s="12"/>
      <c r="C774" s="74"/>
      <c r="D774" s="12"/>
      <c r="E774" s="12"/>
      <c r="F774" s="74"/>
      <c r="G774" s="74"/>
      <c r="H774" s="179"/>
      <c r="I774" s="74"/>
      <c r="J774" s="74"/>
      <c r="K774" s="74"/>
      <c r="L774" s="74"/>
      <c r="M774" s="74"/>
      <c r="N774" s="179"/>
      <c r="O774" s="74"/>
      <c r="P774" s="74"/>
      <c r="Q774" s="74"/>
      <c r="R774" s="74"/>
      <c r="S774" s="74"/>
      <c r="T774" s="74"/>
      <c r="U774" s="74"/>
      <c r="V774" s="74"/>
      <c r="W774" s="74"/>
      <c r="X774" s="74"/>
      <c r="Y774" s="74"/>
      <c r="Z774" s="74"/>
      <c r="AA774" s="74"/>
      <c r="AB774" s="74"/>
      <c r="AC774" s="74"/>
      <c r="AD774" s="74"/>
      <c r="AE774" s="12"/>
      <c r="AF774" s="12"/>
      <c r="AG774" s="12"/>
      <c r="AH774" s="180"/>
      <c r="AI774" s="180"/>
      <c r="AJ774" s="12"/>
      <c r="AK774" s="12"/>
      <c r="AL774" s="12"/>
      <c r="AM774" s="12"/>
    </row>
    <row r="775">
      <c r="A775" s="74"/>
      <c r="B775" s="12"/>
      <c r="C775" s="74"/>
      <c r="D775" s="12"/>
      <c r="E775" s="12"/>
      <c r="F775" s="74"/>
      <c r="G775" s="74"/>
      <c r="H775" s="179"/>
      <c r="I775" s="74"/>
      <c r="J775" s="74"/>
      <c r="K775" s="74"/>
      <c r="L775" s="74"/>
      <c r="M775" s="74"/>
      <c r="N775" s="179"/>
      <c r="O775" s="74"/>
      <c r="P775" s="74"/>
      <c r="Q775" s="74"/>
      <c r="R775" s="74"/>
      <c r="S775" s="74"/>
      <c r="T775" s="74"/>
      <c r="U775" s="74"/>
      <c r="V775" s="74"/>
      <c r="W775" s="74"/>
      <c r="X775" s="74"/>
      <c r="Y775" s="74"/>
      <c r="Z775" s="74"/>
      <c r="AA775" s="74"/>
      <c r="AB775" s="74"/>
      <c r="AC775" s="74"/>
      <c r="AD775" s="74"/>
      <c r="AE775" s="12"/>
      <c r="AF775" s="12"/>
      <c r="AG775" s="12"/>
      <c r="AH775" s="180"/>
      <c r="AI775" s="180"/>
      <c r="AJ775" s="12"/>
      <c r="AK775" s="12"/>
      <c r="AL775" s="12"/>
      <c r="AM775" s="12"/>
    </row>
    <row r="776">
      <c r="A776" s="74"/>
      <c r="B776" s="12"/>
      <c r="C776" s="74"/>
      <c r="D776" s="12"/>
      <c r="E776" s="12"/>
      <c r="F776" s="74"/>
      <c r="G776" s="74"/>
      <c r="H776" s="179"/>
      <c r="I776" s="74"/>
      <c r="J776" s="74"/>
      <c r="K776" s="74"/>
      <c r="L776" s="74"/>
      <c r="M776" s="74"/>
      <c r="N776" s="179"/>
      <c r="O776" s="74"/>
      <c r="P776" s="74"/>
      <c r="Q776" s="74"/>
      <c r="R776" s="74"/>
      <c r="S776" s="74"/>
      <c r="T776" s="74"/>
      <c r="U776" s="74"/>
      <c r="V776" s="74"/>
      <c r="W776" s="74"/>
      <c r="X776" s="74"/>
      <c r="Y776" s="74"/>
      <c r="Z776" s="74"/>
      <c r="AA776" s="74"/>
      <c r="AB776" s="74"/>
      <c r="AC776" s="74"/>
      <c r="AD776" s="74"/>
      <c r="AE776" s="12"/>
      <c r="AF776" s="12"/>
      <c r="AG776" s="12"/>
      <c r="AH776" s="180"/>
      <c r="AI776" s="180"/>
      <c r="AJ776" s="12"/>
      <c r="AK776" s="12"/>
      <c r="AL776" s="12"/>
      <c r="AM776" s="12"/>
    </row>
    <row r="777">
      <c r="A777" s="74"/>
      <c r="B777" s="12"/>
      <c r="C777" s="74"/>
      <c r="D777" s="12"/>
      <c r="E777" s="12"/>
      <c r="F777" s="74"/>
      <c r="G777" s="74"/>
      <c r="H777" s="179"/>
      <c r="I777" s="74"/>
      <c r="J777" s="74"/>
      <c r="K777" s="74"/>
      <c r="L777" s="74"/>
      <c r="M777" s="74"/>
      <c r="N777" s="179"/>
      <c r="O777" s="74"/>
      <c r="P777" s="74"/>
      <c r="Q777" s="74"/>
      <c r="R777" s="74"/>
      <c r="S777" s="74"/>
      <c r="T777" s="74"/>
      <c r="U777" s="74"/>
      <c r="V777" s="74"/>
      <c r="W777" s="74"/>
      <c r="X777" s="74"/>
      <c r="Y777" s="74"/>
      <c r="Z777" s="74"/>
      <c r="AA777" s="74"/>
      <c r="AB777" s="74"/>
      <c r="AC777" s="74"/>
      <c r="AD777" s="74"/>
      <c r="AE777" s="12"/>
      <c r="AF777" s="12"/>
      <c r="AG777" s="12"/>
      <c r="AH777" s="180"/>
      <c r="AI777" s="180"/>
      <c r="AJ777" s="12"/>
      <c r="AK777" s="12"/>
      <c r="AL777" s="12"/>
      <c r="AM777" s="12"/>
    </row>
    <row r="778">
      <c r="A778" s="74"/>
      <c r="B778" s="12"/>
      <c r="C778" s="74"/>
      <c r="D778" s="12"/>
      <c r="E778" s="12"/>
      <c r="F778" s="74"/>
      <c r="G778" s="74"/>
      <c r="H778" s="179"/>
      <c r="I778" s="74"/>
      <c r="J778" s="74"/>
      <c r="K778" s="74"/>
      <c r="L778" s="74"/>
      <c r="M778" s="74"/>
      <c r="N778" s="179"/>
      <c r="O778" s="74"/>
      <c r="P778" s="74"/>
      <c r="Q778" s="74"/>
      <c r="R778" s="74"/>
      <c r="S778" s="74"/>
      <c r="T778" s="74"/>
      <c r="U778" s="74"/>
      <c r="V778" s="74"/>
      <c r="W778" s="74"/>
      <c r="X778" s="74"/>
      <c r="Y778" s="74"/>
      <c r="Z778" s="74"/>
      <c r="AA778" s="74"/>
      <c r="AB778" s="74"/>
      <c r="AC778" s="74"/>
      <c r="AD778" s="74"/>
      <c r="AE778" s="12"/>
      <c r="AF778" s="12"/>
      <c r="AG778" s="12"/>
      <c r="AH778" s="180"/>
      <c r="AI778" s="180"/>
      <c r="AJ778" s="12"/>
      <c r="AK778" s="12"/>
      <c r="AL778" s="12"/>
      <c r="AM778" s="12"/>
    </row>
    <row r="779">
      <c r="A779" s="74"/>
      <c r="B779" s="12"/>
      <c r="C779" s="74"/>
      <c r="D779" s="12"/>
      <c r="E779" s="12"/>
      <c r="F779" s="74"/>
      <c r="G779" s="74"/>
      <c r="H779" s="179"/>
      <c r="I779" s="74"/>
      <c r="J779" s="74"/>
      <c r="K779" s="74"/>
      <c r="L779" s="74"/>
      <c r="M779" s="74"/>
      <c r="N779" s="179"/>
      <c r="O779" s="74"/>
      <c r="P779" s="74"/>
      <c r="Q779" s="74"/>
      <c r="R779" s="74"/>
      <c r="S779" s="74"/>
      <c r="T779" s="74"/>
      <c r="U779" s="74"/>
      <c r="V779" s="74"/>
      <c r="W779" s="74"/>
      <c r="X779" s="74"/>
      <c r="Y779" s="74"/>
      <c r="Z779" s="74"/>
      <c r="AA779" s="74"/>
      <c r="AB779" s="74"/>
      <c r="AC779" s="74"/>
      <c r="AD779" s="74"/>
      <c r="AE779" s="12"/>
      <c r="AF779" s="12"/>
      <c r="AG779" s="12"/>
      <c r="AH779" s="180"/>
      <c r="AI779" s="180"/>
      <c r="AJ779" s="12"/>
      <c r="AK779" s="12"/>
      <c r="AL779" s="12"/>
      <c r="AM779" s="12"/>
    </row>
    <row r="780">
      <c r="A780" s="74"/>
      <c r="B780" s="12"/>
      <c r="C780" s="74"/>
      <c r="D780" s="12"/>
      <c r="E780" s="12"/>
      <c r="F780" s="74"/>
      <c r="G780" s="74"/>
      <c r="H780" s="179"/>
      <c r="I780" s="74"/>
      <c r="J780" s="74"/>
      <c r="K780" s="74"/>
      <c r="L780" s="74"/>
      <c r="M780" s="74"/>
      <c r="N780" s="179"/>
      <c r="O780" s="74"/>
      <c r="P780" s="74"/>
      <c r="Q780" s="74"/>
      <c r="R780" s="74"/>
      <c r="S780" s="74"/>
      <c r="T780" s="74"/>
      <c r="U780" s="74"/>
      <c r="V780" s="74"/>
      <c r="W780" s="74"/>
      <c r="X780" s="74"/>
      <c r="Y780" s="74"/>
      <c r="Z780" s="74"/>
      <c r="AA780" s="74"/>
      <c r="AB780" s="74"/>
      <c r="AC780" s="74"/>
      <c r="AD780" s="74"/>
      <c r="AE780" s="12"/>
      <c r="AF780" s="12"/>
      <c r="AG780" s="12"/>
      <c r="AH780" s="180"/>
      <c r="AI780" s="180"/>
      <c r="AJ780" s="12"/>
      <c r="AK780" s="12"/>
      <c r="AL780" s="12"/>
      <c r="AM780" s="12"/>
    </row>
    <row r="781">
      <c r="A781" s="74"/>
      <c r="B781" s="12"/>
      <c r="C781" s="74"/>
      <c r="D781" s="12"/>
      <c r="E781" s="12"/>
      <c r="F781" s="74"/>
      <c r="G781" s="74"/>
      <c r="H781" s="179"/>
      <c r="I781" s="74"/>
      <c r="J781" s="74"/>
      <c r="K781" s="74"/>
      <c r="L781" s="74"/>
      <c r="M781" s="74"/>
      <c r="N781" s="179"/>
      <c r="O781" s="74"/>
      <c r="P781" s="74"/>
      <c r="Q781" s="74"/>
      <c r="R781" s="74"/>
      <c r="S781" s="74"/>
      <c r="T781" s="74"/>
      <c r="U781" s="74"/>
      <c r="V781" s="74"/>
      <c r="W781" s="74"/>
      <c r="X781" s="74"/>
      <c r="Y781" s="74"/>
      <c r="Z781" s="74"/>
      <c r="AA781" s="74"/>
      <c r="AB781" s="74"/>
      <c r="AC781" s="74"/>
      <c r="AD781" s="74"/>
      <c r="AE781" s="12"/>
      <c r="AF781" s="12"/>
      <c r="AG781" s="12"/>
      <c r="AH781" s="180"/>
      <c r="AI781" s="180"/>
      <c r="AJ781" s="12"/>
      <c r="AK781" s="12"/>
      <c r="AL781" s="12"/>
      <c r="AM781" s="12"/>
    </row>
    <row r="782">
      <c r="A782" s="74"/>
      <c r="B782" s="12"/>
      <c r="C782" s="74"/>
      <c r="D782" s="12"/>
      <c r="E782" s="12"/>
      <c r="F782" s="74"/>
      <c r="G782" s="74"/>
      <c r="H782" s="179"/>
      <c r="I782" s="74"/>
      <c r="J782" s="74"/>
      <c r="K782" s="74"/>
      <c r="L782" s="74"/>
      <c r="M782" s="74"/>
      <c r="N782" s="179"/>
      <c r="O782" s="74"/>
      <c r="P782" s="74"/>
      <c r="Q782" s="74"/>
      <c r="R782" s="74"/>
      <c r="S782" s="74"/>
      <c r="T782" s="74"/>
      <c r="U782" s="74"/>
      <c r="V782" s="74"/>
      <c r="W782" s="74"/>
      <c r="X782" s="74"/>
      <c r="Y782" s="74"/>
      <c r="Z782" s="74"/>
      <c r="AA782" s="74"/>
      <c r="AB782" s="74"/>
      <c r="AC782" s="74"/>
      <c r="AD782" s="74"/>
      <c r="AE782" s="12"/>
      <c r="AF782" s="12"/>
      <c r="AG782" s="12"/>
      <c r="AH782" s="180"/>
      <c r="AI782" s="180"/>
      <c r="AJ782" s="12"/>
      <c r="AK782" s="12"/>
      <c r="AL782" s="12"/>
      <c r="AM782" s="12"/>
    </row>
    <row r="783">
      <c r="A783" s="74"/>
      <c r="B783" s="12"/>
      <c r="C783" s="74"/>
      <c r="D783" s="12"/>
      <c r="E783" s="12"/>
      <c r="F783" s="74"/>
      <c r="G783" s="74"/>
      <c r="H783" s="179"/>
      <c r="I783" s="74"/>
      <c r="J783" s="74"/>
      <c r="K783" s="74"/>
      <c r="L783" s="74"/>
      <c r="M783" s="74"/>
      <c r="N783" s="179"/>
      <c r="O783" s="74"/>
      <c r="P783" s="74"/>
      <c r="Q783" s="74"/>
      <c r="R783" s="74"/>
      <c r="S783" s="74"/>
      <c r="T783" s="74"/>
      <c r="U783" s="74"/>
      <c r="V783" s="74"/>
      <c r="W783" s="74"/>
      <c r="X783" s="74"/>
      <c r="Y783" s="74"/>
      <c r="Z783" s="74"/>
      <c r="AA783" s="74"/>
      <c r="AB783" s="74"/>
      <c r="AC783" s="74"/>
      <c r="AD783" s="74"/>
      <c r="AE783" s="12"/>
      <c r="AF783" s="12"/>
      <c r="AG783" s="12"/>
      <c r="AH783" s="180"/>
      <c r="AI783" s="180"/>
      <c r="AJ783" s="12"/>
      <c r="AK783" s="12"/>
      <c r="AL783" s="12"/>
      <c r="AM783" s="12"/>
    </row>
    <row r="784">
      <c r="A784" s="74"/>
      <c r="B784" s="12"/>
      <c r="C784" s="74"/>
      <c r="D784" s="12"/>
      <c r="E784" s="12"/>
      <c r="F784" s="74"/>
      <c r="G784" s="74"/>
      <c r="H784" s="179"/>
      <c r="I784" s="74"/>
      <c r="J784" s="74"/>
      <c r="K784" s="74"/>
      <c r="L784" s="74"/>
      <c r="M784" s="74"/>
      <c r="N784" s="179"/>
      <c r="O784" s="74"/>
      <c r="P784" s="74"/>
      <c r="Q784" s="74"/>
      <c r="R784" s="74"/>
      <c r="S784" s="74"/>
      <c r="T784" s="74"/>
      <c r="U784" s="74"/>
      <c r="V784" s="74"/>
      <c r="W784" s="74"/>
      <c r="X784" s="74"/>
      <c r="Y784" s="74"/>
      <c r="Z784" s="74"/>
      <c r="AA784" s="74"/>
      <c r="AB784" s="74"/>
      <c r="AC784" s="74"/>
      <c r="AD784" s="74"/>
      <c r="AE784" s="12"/>
      <c r="AF784" s="12"/>
      <c r="AG784" s="12"/>
      <c r="AH784" s="180"/>
      <c r="AI784" s="180"/>
      <c r="AJ784" s="12"/>
      <c r="AK784" s="12"/>
      <c r="AL784" s="12"/>
      <c r="AM784" s="12"/>
    </row>
    <row r="785">
      <c r="A785" s="74"/>
      <c r="B785" s="12"/>
      <c r="C785" s="74"/>
      <c r="D785" s="12"/>
      <c r="E785" s="12"/>
      <c r="F785" s="74"/>
      <c r="G785" s="74"/>
      <c r="H785" s="179"/>
      <c r="I785" s="74"/>
      <c r="J785" s="74"/>
      <c r="K785" s="74"/>
      <c r="L785" s="74"/>
      <c r="M785" s="74"/>
      <c r="N785" s="179"/>
      <c r="O785" s="74"/>
      <c r="P785" s="74"/>
      <c r="Q785" s="74"/>
      <c r="R785" s="74"/>
      <c r="S785" s="74"/>
      <c r="T785" s="74"/>
      <c r="U785" s="74"/>
      <c r="V785" s="74"/>
      <c r="W785" s="74"/>
      <c r="X785" s="74"/>
      <c r="Y785" s="74"/>
      <c r="Z785" s="74"/>
      <c r="AA785" s="74"/>
      <c r="AB785" s="74"/>
      <c r="AC785" s="74"/>
      <c r="AD785" s="74"/>
      <c r="AE785" s="12"/>
      <c r="AF785" s="12"/>
      <c r="AG785" s="12"/>
      <c r="AH785" s="180"/>
      <c r="AI785" s="180"/>
      <c r="AJ785" s="12"/>
      <c r="AK785" s="12"/>
      <c r="AL785" s="12"/>
      <c r="AM785" s="12"/>
    </row>
    <row r="786">
      <c r="A786" s="74"/>
      <c r="B786" s="12"/>
      <c r="C786" s="74"/>
      <c r="D786" s="12"/>
      <c r="E786" s="12"/>
      <c r="F786" s="74"/>
      <c r="G786" s="74"/>
      <c r="H786" s="179"/>
      <c r="I786" s="74"/>
      <c r="J786" s="74"/>
      <c r="K786" s="74"/>
      <c r="L786" s="74"/>
      <c r="M786" s="74"/>
      <c r="N786" s="179"/>
      <c r="O786" s="74"/>
      <c r="P786" s="74"/>
      <c r="Q786" s="74"/>
      <c r="R786" s="74"/>
      <c r="S786" s="74"/>
      <c r="T786" s="74"/>
      <c r="U786" s="74"/>
      <c r="V786" s="74"/>
      <c r="W786" s="74"/>
      <c r="X786" s="74"/>
      <c r="Y786" s="74"/>
      <c r="Z786" s="74"/>
      <c r="AA786" s="74"/>
      <c r="AB786" s="74"/>
      <c r="AC786" s="74"/>
      <c r="AD786" s="74"/>
      <c r="AE786" s="12"/>
      <c r="AF786" s="12"/>
      <c r="AG786" s="12"/>
      <c r="AH786" s="180"/>
      <c r="AI786" s="180"/>
      <c r="AJ786" s="12"/>
      <c r="AK786" s="12"/>
      <c r="AL786" s="12"/>
      <c r="AM786" s="12"/>
    </row>
    <row r="787">
      <c r="A787" s="74"/>
      <c r="B787" s="12"/>
      <c r="C787" s="74"/>
      <c r="D787" s="12"/>
      <c r="E787" s="12"/>
      <c r="F787" s="74"/>
      <c r="G787" s="74"/>
      <c r="H787" s="179"/>
      <c r="I787" s="74"/>
      <c r="J787" s="74"/>
      <c r="K787" s="74"/>
      <c r="L787" s="74"/>
      <c r="M787" s="74"/>
      <c r="N787" s="179"/>
      <c r="O787" s="74"/>
      <c r="P787" s="74"/>
      <c r="Q787" s="74"/>
      <c r="R787" s="74"/>
      <c r="S787" s="74"/>
      <c r="T787" s="74"/>
      <c r="U787" s="74"/>
      <c r="V787" s="74"/>
      <c r="W787" s="74"/>
      <c r="X787" s="74"/>
      <c r="Y787" s="74"/>
      <c r="Z787" s="74"/>
      <c r="AA787" s="74"/>
      <c r="AB787" s="74"/>
      <c r="AC787" s="74"/>
      <c r="AD787" s="74"/>
      <c r="AE787" s="12"/>
      <c r="AF787" s="12"/>
      <c r="AG787" s="12"/>
      <c r="AH787" s="180"/>
      <c r="AI787" s="180"/>
      <c r="AJ787" s="12"/>
      <c r="AK787" s="12"/>
      <c r="AL787" s="12"/>
      <c r="AM787" s="12"/>
    </row>
    <row r="788">
      <c r="A788" s="74"/>
      <c r="B788" s="12"/>
      <c r="C788" s="74"/>
      <c r="D788" s="12"/>
      <c r="E788" s="12"/>
      <c r="F788" s="74"/>
      <c r="G788" s="74"/>
      <c r="H788" s="179"/>
      <c r="I788" s="74"/>
      <c r="J788" s="74"/>
      <c r="K788" s="74"/>
      <c r="L788" s="74"/>
      <c r="M788" s="74"/>
      <c r="N788" s="179"/>
      <c r="O788" s="74"/>
      <c r="P788" s="74"/>
      <c r="Q788" s="74"/>
      <c r="R788" s="74"/>
      <c r="S788" s="74"/>
      <c r="T788" s="74"/>
      <c r="U788" s="74"/>
      <c r="V788" s="74"/>
      <c r="W788" s="74"/>
      <c r="X788" s="74"/>
      <c r="Y788" s="74"/>
      <c r="Z788" s="74"/>
      <c r="AA788" s="74"/>
      <c r="AB788" s="74"/>
      <c r="AC788" s="74"/>
      <c r="AD788" s="74"/>
      <c r="AE788" s="12"/>
      <c r="AF788" s="12"/>
      <c r="AG788" s="12"/>
      <c r="AH788" s="180"/>
      <c r="AI788" s="180"/>
      <c r="AJ788" s="12"/>
      <c r="AK788" s="12"/>
      <c r="AL788" s="12"/>
      <c r="AM788" s="12"/>
    </row>
    <row r="789">
      <c r="A789" s="74"/>
      <c r="B789" s="12"/>
      <c r="C789" s="74"/>
      <c r="D789" s="12"/>
      <c r="E789" s="12"/>
      <c r="F789" s="74"/>
      <c r="G789" s="74"/>
      <c r="H789" s="179"/>
      <c r="I789" s="74"/>
      <c r="J789" s="74"/>
      <c r="K789" s="74"/>
      <c r="L789" s="74"/>
      <c r="M789" s="74"/>
      <c r="N789" s="179"/>
      <c r="O789" s="74"/>
      <c r="P789" s="74"/>
      <c r="Q789" s="74"/>
      <c r="R789" s="74"/>
      <c r="S789" s="74"/>
      <c r="T789" s="74"/>
      <c r="U789" s="74"/>
      <c r="V789" s="74"/>
      <c r="W789" s="74"/>
      <c r="X789" s="74"/>
      <c r="Y789" s="74"/>
      <c r="Z789" s="74"/>
      <c r="AA789" s="74"/>
      <c r="AB789" s="74"/>
      <c r="AC789" s="74"/>
      <c r="AD789" s="74"/>
      <c r="AE789" s="12"/>
      <c r="AF789" s="12"/>
      <c r="AG789" s="12"/>
      <c r="AH789" s="180"/>
      <c r="AI789" s="180"/>
      <c r="AJ789" s="12"/>
      <c r="AK789" s="12"/>
      <c r="AL789" s="12"/>
      <c r="AM789" s="12"/>
    </row>
    <row r="790">
      <c r="A790" s="74"/>
      <c r="B790" s="12"/>
      <c r="C790" s="74"/>
      <c r="D790" s="12"/>
      <c r="E790" s="12"/>
      <c r="F790" s="74"/>
      <c r="G790" s="74"/>
      <c r="H790" s="179"/>
      <c r="I790" s="74"/>
      <c r="J790" s="74"/>
      <c r="K790" s="74"/>
      <c r="L790" s="74"/>
      <c r="M790" s="74"/>
      <c r="N790" s="179"/>
      <c r="O790" s="74"/>
      <c r="P790" s="74"/>
      <c r="Q790" s="74"/>
      <c r="R790" s="74"/>
      <c r="S790" s="74"/>
      <c r="T790" s="74"/>
      <c r="U790" s="74"/>
      <c r="V790" s="74"/>
      <c r="W790" s="74"/>
      <c r="X790" s="74"/>
      <c r="Y790" s="74"/>
      <c r="Z790" s="74"/>
      <c r="AA790" s="74"/>
      <c r="AB790" s="74"/>
      <c r="AC790" s="74"/>
      <c r="AD790" s="74"/>
      <c r="AE790" s="12"/>
      <c r="AF790" s="12"/>
      <c r="AG790" s="12"/>
      <c r="AH790" s="180"/>
      <c r="AI790" s="180"/>
      <c r="AJ790" s="12"/>
      <c r="AK790" s="12"/>
      <c r="AL790" s="12"/>
      <c r="AM790" s="12"/>
    </row>
    <row r="791">
      <c r="A791" s="74"/>
      <c r="B791" s="12"/>
      <c r="C791" s="74"/>
      <c r="D791" s="12"/>
      <c r="E791" s="12"/>
      <c r="F791" s="74"/>
      <c r="G791" s="74"/>
      <c r="H791" s="179"/>
      <c r="I791" s="74"/>
      <c r="J791" s="74"/>
      <c r="K791" s="74"/>
      <c r="L791" s="74"/>
      <c r="M791" s="74"/>
      <c r="N791" s="179"/>
      <c r="O791" s="74"/>
      <c r="P791" s="74"/>
      <c r="Q791" s="74"/>
      <c r="R791" s="74"/>
      <c r="S791" s="74"/>
      <c r="T791" s="74"/>
      <c r="U791" s="74"/>
      <c r="V791" s="74"/>
      <c r="W791" s="74"/>
      <c r="X791" s="74"/>
      <c r="Y791" s="74"/>
      <c r="Z791" s="74"/>
      <c r="AA791" s="74"/>
      <c r="AB791" s="74"/>
      <c r="AC791" s="74"/>
      <c r="AD791" s="74"/>
      <c r="AE791" s="12"/>
      <c r="AF791" s="12"/>
      <c r="AG791" s="12"/>
      <c r="AH791" s="180"/>
      <c r="AI791" s="180"/>
      <c r="AJ791" s="12"/>
      <c r="AK791" s="12"/>
      <c r="AL791" s="12"/>
      <c r="AM791" s="12"/>
    </row>
    <row r="792">
      <c r="A792" s="74"/>
      <c r="B792" s="12"/>
      <c r="C792" s="74"/>
      <c r="D792" s="12"/>
      <c r="E792" s="12"/>
      <c r="F792" s="74"/>
      <c r="G792" s="74"/>
      <c r="H792" s="179"/>
      <c r="I792" s="74"/>
      <c r="J792" s="74"/>
      <c r="K792" s="74"/>
      <c r="L792" s="74"/>
      <c r="M792" s="74"/>
      <c r="N792" s="179"/>
      <c r="O792" s="74"/>
      <c r="P792" s="74"/>
      <c r="Q792" s="74"/>
      <c r="R792" s="74"/>
      <c r="S792" s="74"/>
      <c r="T792" s="74"/>
      <c r="U792" s="74"/>
      <c r="V792" s="74"/>
      <c r="W792" s="74"/>
      <c r="X792" s="74"/>
      <c r="Y792" s="74"/>
      <c r="Z792" s="74"/>
      <c r="AA792" s="74"/>
      <c r="AB792" s="74"/>
      <c r="AC792" s="74"/>
      <c r="AD792" s="74"/>
      <c r="AE792" s="12"/>
      <c r="AF792" s="12"/>
      <c r="AG792" s="12"/>
      <c r="AH792" s="180"/>
      <c r="AI792" s="180"/>
      <c r="AJ792" s="12"/>
      <c r="AK792" s="12"/>
      <c r="AL792" s="12"/>
      <c r="AM792" s="12"/>
    </row>
    <row r="793">
      <c r="A793" s="74"/>
      <c r="B793" s="12"/>
      <c r="C793" s="74"/>
      <c r="D793" s="12"/>
      <c r="E793" s="12"/>
      <c r="F793" s="74"/>
      <c r="G793" s="74"/>
      <c r="H793" s="179"/>
      <c r="I793" s="74"/>
      <c r="J793" s="74"/>
      <c r="K793" s="74"/>
      <c r="L793" s="74"/>
      <c r="M793" s="74"/>
      <c r="N793" s="179"/>
      <c r="O793" s="74"/>
      <c r="P793" s="74"/>
      <c r="Q793" s="74"/>
      <c r="R793" s="74"/>
      <c r="S793" s="74"/>
      <c r="T793" s="74"/>
      <c r="U793" s="74"/>
      <c r="V793" s="74"/>
      <c r="W793" s="74"/>
      <c r="X793" s="74"/>
      <c r="Y793" s="74"/>
      <c r="Z793" s="74"/>
      <c r="AA793" s="74"/>
      <c r="AB793" s="74"/>
      <c r="AC793" s="74"/>
      <c r="AD793" s="74"/>
      <c r="AE793" s="12"/>
      <c r="AF793" s="12"/>
      <c r="AG793" s="12"/>
      <c r="AH793" s="180"/>
      <c r="AI793" s="180"/>
      <c r="AJ793" s="12"/>
      <c r="AK793" s="12"/>
      <c r="AL793" s="12"/>
      <c r="AM793" s="12"/>
    </row>
    <row r="794">
      <c r="A794" s="74"/>
      <c r="B794" s="12"/>
      <c r="C794" s="74"/>
      <c r="D794" s="12"/>
      <c r="E794" s="12"/>
      <c r="F794" s="74"/>
      <c r="G794" s="74"/>
      <c r="H794" s="179"/>
      <c r="I794" s="74"/>
      <c r="J794" s="74"/>
      <c r="K794" s="74"/>
      <c r="L794" s="74"/>
      <c r="M794" s="74"/>
      <c r="N794" s="179"/>
      <c r="O794" s="74"/>
      <c r="P794" s="74"/>
      <c r="Q794" s="74"/>
      <c r="R794" s="74"/>
      <c r="S794" s="74"/>
      <c r="T794" s="74"/>
      <c r="U794" s="74"/>
      <c r="V794" s="74"/>
      <c r="W794" s="74"/>
      <c r="X794" s="74"/>
      <c r="Y794" s="74"/>
      <c r="Z794" s="74"/>
      <c r="AA794" s="74"/>
      <c r="AB794" s="74"/>
      <c r="AC794" s="74"/>
      <c r="AD794" s="74"/>
      <c r="AE794" s="12"/>
      <c r="AF794" s="12"/>
      <c r="AG794" s="12"/>
      <c r="AH794" s="180"/>
      <c r="AI794" s="180"/>
      <c r="AJ794" s="12"/>
      <c r="AK794" s="12"/>
      <c r="AL794" s="12"/>
      <c r="AM794" s="12"/>
    </row>
    <row r="795">
      <c r="A795" s="74"/>
      <c r="B795" s="12"/>
      <c r="C795" s="74"/>
      <c r="D795" s="12"/>
      <c r="E795" s="12"/>
      <c r="F795" s="74"/>
      <c r="G795" s="74"/>
      <c r="H795" s="179"/>
      <c r="I795" s="74"/>
      <c r="J795" s="74"/>
      <c r="K795" s="74"/>
      <c r="L795" s="74"/>
      <c r="M795" s="74"/>
      <c r="N795" s="179"/>
      <c r="O795" s="74"/>
      <c r="P795" s="74"/>
      <c r="Q795" s="74"/>
      <c r="R795" s="74"/>
      <c r="S795" s="74"/>
      <c r="T795" s="74"/>
      <c r="U795" s="74"/>
      <c r="V795" s="74"/>
      <c r="W795" s="74"/>
      <c r="X795" s="74"/>
      <c r="Y795" s="74"/>
      <c r="Z795" s="74"/>
      <c r="AA795" s="74"/>
      <c r="AB795" s="74"/>
      <c r="AC795" s="74"/>
      <c r="AD795" s="74"/>
      <c r="AE795" s="12"/>
      <c r="AF795" s="12"/>
      <c r="AG795" s="12"/>
      <c r="AH795" s="180"/>
      <c r="AI795" s="180"/>
      <c r="AJ795" s="12"/>
      <c r="AK795" s="12"/>
      <c r="AL795" s="12"/>
      <c r="AM795" s="12"/>
    </row>
    <row r="796">
      <c r="A796" s="74"/>
      <c r="B796" s="12"/>
      <c r="C796" s="74"/>
      <c r="D796" s="12"/>
      <c r="E796" s="12"/>
      <c r="F796" s="74"/>
      <c r="G796" s="74"/>
      <c r="H796" s="179"/>
      <c r="I796" s="74"/>
      <c r="J796" s="74"/>
      <c r="K796" s="74"/>
      <c r="L796" s="74"/>
      <c r="M796" s="74"/>
      <c r="N796" s="179"/>
      <c r="O796" s="74"/>
      <c r="P796" s="74"/>
      <c r="Q796" s="74"/>
      <c r="R796" s="74"/>
      <c r="S796" s="74"/>
      <c r="T796" s="74"/>
      <c r="U796" s="74"/>
      <c r="V796" s="74"/>
      <c r="W796" s="74"/>
      <c r="X796" s="74"/>
      <c r="Y796" s="74"/>
      <c r="Z796" s="74"/>
      <c r="AA796" s="74"/>
      <c r="AB796" s="74"/>
      <c r="AC796" s="74"/>
      <c r="AD796" s="74"/>
      <c r="AE796" s="12"/>
      <c r="AF796" s="12"/>
      <c r="AG796" s="12"/>
      <c r="AH796" s="180"/>
      <c r="AI796" s="180"/>
      <c r="AJ796" s="12"/>
      <c r="AK796" s="12"/>
      <c r="AL796" s="12"/>
      <c r="AM796" s="12"/>
    </row>
    <row r="797">
      <c r="A797" s="74"/>
      <c r="B797" s="12"/>
      <c r="C797" s="74"/>
      <c r="D797" s="12"/>
      <c r="E797" s="12"/>
      <c r="F797" s="74"/>
      <c r="G797" s="74"/>
      <c r="H797" s="179"/>
      <c r="I797" s="74"/>
      <c r="J797" s="74"/>
      <c r="K797" s="74"/>
      <c r="L797" s="74"/>
      <c r="M797" s="74"/>
      <c r="N797" s="179"/>
      <c r="O797" s="74"/>
      <c r="P797" s="74"/>
      <c r="Q797" s="74"/>
      <c r="R797" s="74"/>
      <c r="S797" s="74"/>
      <c r="T797" s="74"/>
      <c r="U797" s="74"/>
      <c r="V797" s="74"/>
      <c r="W797" s="74"/>
      <c r="X797" s="74"/>
      <c r="Y797" s="74"/>
      <c r="Z797" s="74"/>
      <c r="AA797" s="74"/>
      <c r="AB797" s="74"/>
      <c r="AC797" s="74"/>
      <c r="AD797" s="74"/>
      <c r="AE797" s="12"/>
      <c r="AF797" s="12"/>
      <c r="AG797" s="12"/>
      <c r="AH797" s="180"/>
      <c r="AI797" s="180"/>
      <c r="AJ797" s="12"/>
      <c r="AK797" s="12"/>
      <c r="AL797" s="12"/>
      <c r="AM797" s="12"/>
    </row>
    <row r="798">
      <c r="A798" s="74"/>
      <c r="B798" s="12"/>
      <c r="C798" s="74"/>
      <c r="D798" s="12"/>
      <c r="E798" s="12"/>
      <c r="F798" s="74"/>
      <c r="G798" s="74"/>
      <c r="H798" s="179"/>
      <c r="I798" s="74"/>
      <c r="J798" s="74"/>
      <c r="K798" s="74"/>
      <c r="L798" s="74"/>
      <c r="M798" s="74"/>
      <c r="N798" s="179"/>
      <c r="O798" s="74"/>
      <c r="P798" s="74"/>
      <c r="Q798" s="74"/>
      <c r="R798" s="74"/>
      <c r="S798" s="74"/>
      <c r="T798" s="74"/>
      <c r="U798" s="74"/>
      <c r="V798" s="74"/>
      <c r="W798" s="74"/>
      <c r="X798" s="74"/>
      <c r="Y798" s="74"/>
      <c r="Z798" s="74"/>
      <c r="AA798" s="74"/>
      <c r="AB798" s="74"/>
      <c r="AC798" s="74"/>
      <c r="AD798" s="74"/>
      <c r="AE798" s="12"/>
      <c r="AF798" s="12"/>
      <c r="AG798" s="12"/>
      <c r="AH798" s="180"/>
      <c r="AI798" s="180"/>
      <c r="AJ798" s="12"/>
      <c r="AK798" s="12"/>
      <c r="AL798" s="12"/>
      <c r="AM798" s="12"/>
    </row>
    <row r="799">
      <c r="A799" s="74"/>
      <c r="B799" s="12"/>
      <c r="C799" s="74"/>
      <c r="D799" s="12"/>
      <c r="E799" s="12"/>
      <c r="F799" s="74"/>
      <c r="G799" s="74"/>
      <c r="H799" s="179"/>
      <c r="I799" s="74"/>
      <c r="J799" s="74"/>
      <c r="K799" s="74"/>
      <c r="L799" s="74"/>
      <c r="M799" s="74"/>
      <c r="N799" s="179"/>
      <c r="O799" s="74"/>
      <c r="P799" s="74"/>
      <c r="Q799" s="74"/>
      <c r="R799" s="74"/>
      <c r="S799" s="74"/>
      <c r="T799" s="74"/>
      <c r="U799" s="74"/>
      <c r="V799" s="74"/>
      <c r="W799" s="74"/>
      <c r="X799" s="74"/>
      <c r="Y799" s="74"/>
      <c r="Z799" s="74"/>
      <c r="AA799" s="74"/>
      <c r="AB799" s="74"/>
      <c r="AC799" s="74"/>
      <c r="AD799" s="74"/>
      <c r="AE799" s="12"/>
      <c r="AF799" s="12"/>
      <c r="AG799" s="12"/>
      <c r="AH799" s="180"/>
      <c r="AI799" s="180"/>
      <c r="AJ799" s="12"/>
      <c r="AK799" s="12"/>
      <c r="AL799" s="12"/>
      <c r="AM799" s="12"/>
    </row>
    <row r="800">
      <c r="A800" s="74"/>
      <c r="B800" s="12"/>
      <c r="C800" s="74"/>
      <c r="D800" s="12"/>
      <c r="E800" s="12"/>
      <c r="F800" s="74"/>
      <c r="G800" s="74"/>
      <c r="H800" s="179"/>
      <c r="I800" s="74"/>
      <c r="J800" s="74"/>
      <c r="K800" s="74"/>
      <c r="L800" s="74"/>
      <c r="M800" s="74"/>
      <c r="N800" s="179"/>
      <c r="O800" s="74"/>
      <c r="P800" s="74"/>
      <c r="Q800" s="74"/>
      <c r="R800" s="74"/>
      <c r="S800" s="74"/>
      <c r="T800" s="74"/>
      <c r="U800" s="74"/>
      <c r="V800" s="74"/>
      <c r="W800" s="74"/>
      <c r="X800" s="74"/>
      <c r="Y800" s="74"/>
      <c r="Z800" s="74"/>
      <c r="AA800" s="74"/>
      <c r="AB800" s="74"/>
      <c r="AC800" s="74"/>
      <c r="AD800" s="74"/>
      <c r="AE800" s="12"/>
      <c r="AF800" s="12"/>
      <c r="AG800" s="12"/>
      <c r="AH800" s="180"/>
      <c r="AI800" s="180"/>
      <c r="AJ800" s="12"/>
      <c r="AK800" s="12"/>
      <c r="AL800" s="12"/>
      <c r="AM800" s="12"/>
    </row>
    <row r="801">
      <c r="A801" s="74"/>
      <c r="B801" s="12"/>
      <c r="C801" s="74"/>
      <c r="D801" s="12"/>
      <c r="E801" s="12"/>
      <c r="F801" s="74"/>
      <c r="G801" s="74"/>
      <c r="H801" s="179"/>
      <c r="I801" s="74"/>
      <c r="J801" s="74"/>
      <c r="K801" s="74"/>
      <c r="L801" s="74"/>
      <c r="M801" s="74"/>
      <c r="N801" s="179"/>
      <c r="O801" s="74"/>
      <c r="P801" s="74"/>
      <c r="Q801" s="74"/>
      <c r="R801" s="74"/>
      <c r="S801" s="74"/>
      <c r="T801" s="74"/>
      <c r="U801" s="74"/>
      <c r="V801" s="74"/>
      <c r="W801" s="74"/>
      <c r="X801" s="74"/>
      <c r="Y801" s="74"/>
      <c r="Z801" s="74"/>
      <c r="AA801" s="74"/>
      <c r="AB801" s="74"/>
      <c r="AC801" s="74"/>
      <c r="AD801" s="74"/>
      <c r="AE801" s="12"/>
      <c r="AF801" s="12"/>
      <c r="AG801" s="12"/>
      <c r="AH801" s="180"/>
      <c r="AI801" s="180"/>
      <c r="AJ801" s="12"/>
      <c r="AK801" s="12"/>
      <c r="AL801" s="12"/>
      <c r="AM801" s="12"/>
    </row>
    <row r="802">
      <c r="A802" s="74"/>
      <c r="B802" s="12"/>
      <c r="C802" s="74"/>
      <c r="D802" s="12"/>
      <c r="E802" s="12"/>
      <c r="F802" s="74"/>
      <c r="G802" s="74"/>
      <c r="H802" s="179"/>
      <c r="I802" s="74"/>
      <c r="J802" s="74"/>
      <c r="K802" s="74"/>
      <c r="L802" s="74"/>
      <c r="M802" s="74"/>
      <c r="N802" s="179"/>
      <c r="O802" s="74"/>
      <c r="P802" s="74"/>
      <c r="Q802" s="74"/>
      <c r="R802" s="74"/>
      <c r="S802" s="74"/>
      <c r="T802" s="74"/>
      <c r="U802" s="74"/>
      <c r="V802" s="74"/>
      <c r="W802" s="74"/>
      <c r="X802" s="74"/>
      <c r="Y802" s="74"/>
      <c r="Z802" s="74"/>
      <c r="AA802" s="74"/>
      <c r="AB802" s="74"/>
      <c r="AC802" s="74"/>
      <c r="AD802" s="74"/>
      <c r="AE802" s="12"/>
      <c r="AF802" s="12"/>
      <c r="AG802" s="12"/>
      <c r="AH802" s="180"/>
      <c r="AI802" s="180"/>
      <c r="AJ802" s="12"/>
      <c r="AK802" s="12"/>
      <c r="AL802" s="12"/>
      <c r="AM802" s="12"/>
    </row>
    <row r="803">
      <c r="A803" s="74"/>
      <c r="B803" s="12"/>
      <c r="C803" s="74"/>
      <c r="D803" s="12"/>
      <c r="E803" s="12"/>
      <c r="F803" s="74"/>
      <c r="G803" s="74"/>
      <c r="H803" s="179"/>
      <c r="I803" s="74"/>
      <c r="J803" s="74"/>
      <c r="K803" s="74"/>
      <c r="L803" s="74"/>
      <c r="M803" s="74"/>
      <c r="N803" s="179"/>
      <c r="O803" s="74"/>
      <c r="P803" s="74"/>
      <c r="Q803" s="74"/>
      <c r="R803" s="74"/>
      <c r="S803" s="74"/>
      <c r="T803" s="74"/>
      <c r="U803" s="74"/>
      <c r="V803" s="74"/>
      <c r="W803" s="74"/>
      <c r="X803" s="74"/>
      <c r="Y803" s="74"/>
      <c r="Z803" s="74"/>
      <c r="AA803" s="74"/>
      <c r="AB803" s="74"/>
      <c r="AC803" s="74"/>
      <c r="AD803" s="74"/>
      <c r="AE803" s="12"/>
      <c r="AF803" s="12"/>
      <c r="AG803" s="12"/>
      <c r="AH803" s="180"/>
      <c r="AI803" s="180"/>
      <c r="AJ803" s="12"/>
      <c r="AK803" s="12"/>
      <c r="AL803" s="12"/>
      <c r="AM803" s="12"/>
    </row>
    <row r="804">
      <c r="A804" s="74"/>
      <c r="B804" s="12"/>
      <c r="C804" s="74"/>
      <c r="D804" s="12"/>
      <c r="E804" s="12"/>
      <c r="F804" s="74"/>
      <c r="G804" s="74"/>
      <c r="H804" s="179"/>
      <c r="I804" s="74"/>
      <c r="J804" s="74"/>
      <c r="K804" s="74"/>
      <c r="L804" s="74"/>
      <c r="M804" s="74"/>
      <c r="N804" s="179"/>
      <c r="O804" s="74"/>
      <c r="P804" s="74"/>
      <c r="Q804" s="74"/>
      <c r="R804" s="74"/>
      <c r="S804" s="74"/>
      <c r="T804" s="74"/>
      <c r="U804" s="74"/>
      <c r="V804" s="74"/>
      <c r="W804" s="74"/>
      <c r="X804" s="74"/>
      <c r="Y804" s="74"/>
      <c r="Z804" s="74"/>
      <c r="AA804" s="74"/>
      <c r="AB804" s="74"/>
      <c r="AC804" s="74"/>
      <c r="AD804" s="74"/>
      <c r="AE804" s="12"/>
      <c r="AF804" s="12"/>
      <c r="AG804" s="12"/>
      <c r="AH804" s="180"/>
      <c r="AI804" s="180"/>
      <c r="AJ804" s="12"/>
      <c r="AK804" s="12"/>
      <c r="AL804" s="12"/>
      <c r="AM804" s="12"/>
    </row>
    <row r="805">
      <c r="A805" s="74"/>
      <c r="B805" s="12"/>
      <c r="C805" s="74"/>
      <c r="D805" s="12"/>
      <c r="E805" s="12"/>
      <c r="F805" s="74"/>
      <c r="G805" s="74"/>
      <c r="H805" s="179"/>
      <c r="I805" s="74"/>
      <c r="J805" s="74"/>
      <c r="K805" s="74"/>
      <c r="L805" s="74"/>
      <c r="M805" s="74"/>
      <c r="N805" s="179"/>
      <c r="O805" s="74"/>
      <c r="P805" s="74"/>
      <c r="Q805" s="74"/>
      <c r="R805" s="74"/>
      <c r="S805" s="74"/>
      <c r="T805" s="74"/>
      <c r="U805" s="74"/>
      <c r="V805" s="74"/>
      <c r="W805" s="74"/>
      <c r="X805" s="74"/>
      <c r="Y805" s="74"/>
      <c r="Z805" s="74"/>
      <c r="AA805" s="74"/>
      <c r="AB805" s="74"/>
      <c r="AC805" s="74"/>
      <c r="AD805" s="74"/>
      <c r="AE805" s="12"/>
      <c r="AF805" s="12"/>
      <c r="AG805" s="12"/>
      <c r="AH805" s="180"/>
      <c r="AI805" s="180"/>
      <c r="AJ805" s="12"/>
      <c r="AK805" s="12"/>
      <c r="AL805" s="12"/>
      <c r="AM805" s="12"/>
    </row>
    <row r="806">
      <c r="A806" s="74"/>
      <c r="B806" s="12"/>
      <c r="C806" s="74"/>
      <c r="D806" s="12"/>
      <c r="E806" s="12"/>
      <c r="F806" s="74"/>
      <c r="G806" s="74"/>
      <c r="H806" s="179"/>
      <c r="I806" s="74"/>
      <c r="J806" s="74"/>
      <c r="K806" s="74"/>
      <c r="L806" s="74"/>
      <c r="M806" s="74"/>
      <c r="N806" s="179"/>
      <c r="O806" s="74"/>
      <c r="P806" s="74"/>
      <c r="Q806" s="74"/>
      <c r="R806" s="74"/>
      <c r="S806" s="74"/>
      <c r="T806" s="74"/>
      <c r="U806" s="74"/>
      <c r="V806" s="74"/>
      <c r="W806" s="74"/>
      <c r="X806" s="74"/>
      <c r="Y806" s="74"/>
      <c r="Z806" s="74"/>
      <c r="AA806" s="74"/>
      <c r="AB806" s="74"/>
      <c r="AC806" s="74"/>
      <c r="AD806" s="74"/>
      <c r="AE806" s="12"/>
      <c r="AF806" s="12"/>
      <c r="AG806" s="12"/>
      <c r="AH806" s="180"/>
      <c r="AI806" s="180"/>
      <c r="AJ806" s="12"/>
      <c r="AK806" s="12"/>
      <c r="AL806" s="12"/>
      <c r="AM806" s="12"/>
    </row>
    <row r="807">
      <c r="A807" s="74"/>
      <c r="B807" s="12"/>
      <c r="C807" s="74"/>
      <c r="D807" s="12"/>
      <c r="E807" s="12"/>
      <c r="F807" s="74"/>
      <c r="G807" s="74"/>
      <c r="H807" s="179"/>
      <c r="I807" s="74"/>
      <c r="J807" s="74"/>
      <c r="K807" s="74"/>
      <c r="L807" s="74"/>
      <c r="M807" s="74"/>
      <c r="N807" s="179"/>
      <c r="O807" s="74"/>
      <c r="P807" s="74"/>
      <c r="Q807" s="74"/>
      <c r="R807" s="74"/>
      <c r="S807" s="74"/>
      <c r="T807" s="74"/>
      <c r="U807" s="74"/>
      <c r="V807" s="74"/>
      <c r="W807" s="74"/>
      <c r="X807" s="74"/>
      <c r="Y807" s="74"/>
      <c r="Z807" s="74"/>
      <c r="AA807" s="74"/>
      <c r="AB807" s="74"/>
      <c r="AC807" s="74"/>
      <c r="AD807" s="74"/>
      <c r="AE807" s="12"/>
      <c r="AF807" s="12"/>
      <c r="AG807" s="12"/>
      <c r="AH807" s="180"/>
      <c r="AI807" s="180"/>
      <c r="AJ807" s="12"/>
      <c r="AK807" s="12"/>
      <c r="AL807" s="12"/>
      <c r="AM807" s="12"/>
    </row>
    <row r="808">
      <c r="A808" s="74"/>
      <c r="B808" s="12"/>
      <c r="C808" s="74"/>
      <c r="D808" s="12"/>
      <c r="E808" s="12"/>
      <c r="F808" s="74"/>
      <c r="G808" s="74"/>
      <c r="H808" s="179"/>
      <c r="I808" s="74"/>
      <c r="J808" s="74"/>
      <c r="K808" s="74"/>
      <c r="L808" s="74"/>
      <c r="M808" s="74"/>
      <c r="N808" s="179"/>
      <c r="O808" s="74"/>
      <c r="P808" s="74"/>
      <c r="Q808" s="74"/>
      <c r="R808" s="74"/>
      <c r="S808" s="74"/>
      <c r="T808" s="74"/>
      <c r="U808" s="74"/>
      <c r="V808" s="74"/>
      <c r="W808" s="74"/>
      <c r="X808" s="74"/>
      <c r="Y808" s="74"/>
      <c r="Z808" s="74"/>
      <c r="AA808" s="74"/>
      <c r="AB808" s="74"/>
      <c r="AC808" s="74"/>
      <c r="AD808" s="74"/>
      <c r="AE808" s="12"/>
      <c r="AF808" s="12"/>
      <c r="AG808" s="12"/>
      <c r="AH808" s="180"/>
      <c r="AI808" s="180"/>
      <c r="AJ808" s="12"/>
      <c r="AK808" s="12"/>
      <c r="AL808" s="12"/>
      <c r="AM808" s="12"/>
    </row>
    <row r="809">
      <c r="A809" s="74"/>
      <c r="B809" s="12"/>
      <c r="C809" s="74"/>
      <c r="D809" s="12"/>
      <c r="E809" s="12"/>
      <c r="F809" s="74"/>
      <c r="G809" s="74"/>
      <c r="H809" s="179"/>
      <c r="I809" s="74"/>
      <c r="J809" s="74"/>
      <c r="K809" s="74"/>
      <c r="L809" s="74"/>
      <c r="M809" s="74"/>
      <c r="N809" s="179"/>
      <c r="O809" s="74"/>
      <c r="P809" s="74"/>
      <c r="Q809" s="74"/>
      <c r="R809" s="74"/>
      <c r="S809" s="74"/>
      <c r="T809" s="74"/>
      <c r="U809" s="74"/>
      <c r="V809" s="74"/>
      <c r="W809" s="74"/>
      <c r="X809" s="74"/>
      <c r="Y809" s="74"/>
      <c r="Z809" s="74"/>
      <c r="AA809" s="74"/>
      <c r="AB809" s="74"/>
      <c r="AC809" s="74"/>
      <c r="AD809" s="74"/>
      <c r="AE809" s="12"/>
      <c r="AF809" s="12"/>
      <c r="AG809" s="12"/>
      <c r="AH809" s="180"/>
      <c r="AI809" s="180"/>
      <c r="AJ809" s="12"/>
      <c r="AK809" s="12"/>
      <c r="AL809" s="12"/>
      <c r="AM809" s="12"/>
    </row>
    <row r="810">
      <c r="A810" s="74"/>
      <c r="B810" s="12"/>
      <c r="C810" s="74"/>
      <c r="D810" s="12"/>
      <c r="E810" s="12"/>
      <c r="F810" s="74"/>
      <c r="G810" s="74"/>
      <c r="H810" s="179"/>
      <c r="I810" s="74"/>
      <c r="J810" s="74"/>
      <c r="K810" s="74"/>
      <c r="L810" s="74"/>
      <c r="M810" s="74"/>
      <c r="N810" s="179"/>
      <c r="O810" s="74"/>
      <c r="P810" s="74"/>
      <c r="Q810" s="74"/>
      <c r="R810" s="74"/>
      <c r="S810" s="74"/>
      <c r="T810" s="74"/>
      <c r="U810" s="74"/>
      <c r="V810" s="74"/>
      <c r="W810" s="74"/>
      <c r="X810" s="74"/>
      <c r="Y810" s="74"/>
      <c r="Z810" s="74"/>
      <c r="AA810" s="74"/>
      <c r="AB810" s="74"/>
      <c r="AC810" s="74"/>
      <c r="AD810" s="74"/>
      <c r="AE810" s="12"/>
      <c r="AF810" s="12"/>
      <c r="AG810" s="12"/>
      <c r="AH810" s="180"/>
      <c r="AI810" s="180"/>
      <c r="AJ810" s="12"/>
      <c r="AK810" s="12"/>
      <c r="AL810" s="12"/>
      <c r="AM810" s="12"/>
    </row>
    <row r="811">
      <c r="A811" s="74"/>
      <c r="B811" s="12"/>
      <c r="C811" s="74"/>
      <c r="D811" s="12"/>
      <c r="E811" s="12"/>
      <c r="F811" s="74"/>
      <c r="G811" s="74"/>
      <c r="H811" s="179"/>
      <c r="I811" s="74"/>
      <c r="J811" s="74"/>
      <c r="K811" s="74"/>
      <c r="L811" s="74"/>
      <c r="M811" s="74"/>
      <c r="N811" s="179"/>
      <c r="O811" s="74"/>
      <c r="P811" s="74"/>
      <c r="Q811" s="74"/>
      <c r="R811" s="74"/>
      <c r="S811" s="74"/>
      <c r="T811" s="74"/>
      <c r="U811" s="74"/>
      <c r="V811" s="74"/>
      <c r="W811" s="74"/>
      <c r="X811" s="74"/>
      <c r="Y811" s="74"/>
      <c r="Z811" s="74"/>
      <c r="AA811" s="74"/>
      <c r="AB811" s="74"/>
      <c r="AC811" s="74"/>
      <c r="AD811" s="74"/>
      <c r="AE811" s="12"/>
      <c r="AF811" s="12"/>
      <c r="AG811" s="12"/>
      <c r="AH811" s="180"/>
      <c r="AI811" s="180"/>
      <c r="AJ811" s="12"/>
      <c r="AK811" s="12"/>
      <c r="AL811" s="12"/>
      <c r="AM811" s="12"/>
    </row>
    <row r="812">
      <c r="A812" s="74"/>
      <c r="B812" s="12"/>
      <c r="C812" s="74"/>
      <c r="D812" s="12"/>
      <c r="E812" s="12"/>
      <c r="F812" s="74"/>
      <c r="G812" s="74"/>
      <c r="H812" s="179"/>
      <c r="I812" s="74"/>
      <c r="J812" s="74"/>
      <c r="K812" s="74"/>
      <c r="L812" s="74"/>
      <c r="M812" s="74"/>
      <c r="N812" s="179"/>
      <c r="O812" s="74"/>
      <c r="P812" s="74"/>
      <c r="Q812" s="74"/>
      <c r="R812" s="74"/>
      <c r="S812" s="74"/>
      <c r="T812" s="74"/>
      <c r="U812" s="74"/>
      <c r="V812" s="74"/>
      <c r="W812" s="74"/>
      <c r="X812" s="74"/>
      <c r="Y812" s="74"/>
      <c r="Z812" s="74"/>
      <c r="AA812" s="74"/>
      <c r="AB812" s="74"/>
      <c r="AC812" s="74"/>
      <c r="AD812" s="74"/>
      <c r="AE812" s="12"/>
      <c r="AF812" s="12"/>
      <c r="AG812" s="12"/>
      <c r="AH812" s="180"/>
      <c r="AI812" s="180"/>
      <c r="AJ812" s="12"/>
      <c r="AK812" s="12"/>
      <c r="AL812" s="12"/>
      <c r="AM812" s="12"/>
    </row>
    <row r="813">
      <c r="A813" s="74"/>
      <c r="B813" s="12"/>
      <c r="C813" s="74"/>
      <c r="D813" s="12"/>
      <c r="E813" s="12"/>
      <c r="F813" s="74"/>
      <c r="G813" s="74"/>
      <c r="H813" s="179"/>
      <c r="I813" s="74"/>
      <c r="J813" s="74"/>
      <c r="K813" s="74"/>
      <c r="L813" s="74"/>
      <c r="M813" s="74"/>
      <c r="N813" s="179"/>
      <c r="O813" s="74"/>
      <c r="P813" s="74"/>
      <c r="Q813" s="74"/>
      <c r="R813" s="74"/>
      <c r="S813" s="74"/>
      <c r="T813" s="74"/>
      <c r="U813" s="74"/>
      <c r="V813" s="74"/>
      <c r="W813" s="74"/>
      <c r="X813" s="74"/>
      <c r="Y813" s="74"/>
      <c r="Z813" s="74"/>
      <c r="AA813" s="74"/>
      <c r="AB813" s="74"/>
      <c r="AC813" s="74"/>
      <c r="AD813" s="74"/>
      <c r="AE813" s="12"/>
      <c r="AF813" s="12"/>
      <c r="AG813" s="12"/>
      <c r="AH813" s="180"/>
      <c r="AI813" s="180"/>
      <c r="AJ813" s="12"/>
      <c r="AK813" s="12"/>
      <c r="AL813" s="12"/>
      <c r="AM813" s="12"/>
    </row>
    <row r="814">
      <c r="A814" s="74"/>
      <c r="B814" s="12"/>
      <c r="C814" s="74"/>
      <c r="D814" s="12"/>
      <c r="E814" s="12"/>
      <c r="F814" s="74"/>
      <c r="G814" s="74"/>
      <c r="H814" s="179"/>
      <c r="I814" s="74"/>
      <c r="J814" s="74"/>
      <c r="K814" s="74"/>
      <c r="L814" s="74"/>
      <c r="M814" s="74"/>
      <c r="N814" s="179"/>
      <c r="O814" s="74"/>
      <c r="P814" s="74"/>
      <c r="Q814" s="74"/>
      <c r="R814" s="74"/>
      <c r="S814" s="74"/>
      <c r="T814" s="74"/>
      <c r="U814" s="74"/>
      <c r="V814" s="74"/>
      <c r="W814" s="74"/>
      <c r="X814" s="74"/>
      <c r="Y814" s="74"/>
      <c r="Z814" s="74"/>
      <c r="AA814" s="74"/>
      <c r="AB814" s="74"/>
      <c r="AC814" s="74"/>
      <c r="AD814" s="74"/>
      <c r="AE814" s="12"/>
      <c r="AF814" s="12"/>
      <c r="AG814" s="12"/>
      <c r="AH814" s="180"/>
      <c r="AI814" s="180"/>
      <c r="AJ814" s="12"/>
      <c r="AK814" s="12"/>
      <c r="AL814" s="12"/>
      <c r="AM814" s="12"/>
    </row>
    <row r="815">
      <c r="A815" s="74"/>
      <c r="B815" s="12"/>
      <c r="C815" s="74"/>
      <c r="D815" s="12"/>
      <c r="E815" s="12"/>
      <c r="F815" s="74"/>
      <c r="G815" s="74"/>
      <c r="H815" s="179"/>
      <c r="I815" s="74"/>
      <c r="J815" s="74"/>
      <c r="K815" s="74"/>
      <c r="L815" s="74"/>
      <c r="M815" s="74"/>
      <c r="N815" s="179"/>
      <c r="O815" s="74"/>
      <c r="P815" s="74"/>
      <c r="Q815" s="74"/>
      <c r="R815" s="74"/>
      <c r="S815" s="74"/>
      <c r="T815" s="74"/>
      <c r="U815" s="74"/>
      <c r="V815" s="74"/>
      <c r="W815" s="74"/>
      <c r="X815" s="74"/>
      <c r="Y815" s="74"/>
      <c r="Z815" s="74"/>
      <c r="AA815" s="74"/>
      <c r="AB815" s="74"/>
      <c r="AC815" s="74"/>
      <c r="AD815" s="74"/>
      <c r="AE815" s="12"/>
      <c r="AF815" s="12"/>
      <c r="AG815" s="12"/>
      <c r="AH815" s="180"/>
      <c r="AI815" s="180"/>
      <c r="AJ815" s="12"/>
      <c r="AK815" s="12"/>
      <c r="AL815" s="12"/>
      <c r="AM815" s="12"/>
    </row>
    <row r="816">
      <c r="A816" s="74"/>
      <c r="B816" s="12"/>
      <c r="C816" s="74"/>
      <c r="D816" s="12"/>
      <c r="E816" s="12"/>
      <c r="F816" s="74"/>
      <c r="G816" s="74"/>
      <c r="H816" s="179"/>
      <c r="I816" s="74"/>
      <c r="J816" s="74"/>
      <c r="K816" s="74"/>
      <c r="L816" s="74"/>
      <c r="M816" s="74"/>
      <c r="N816" s="179"/>
      <c r="O816" s="74"/>
      <c r="P816" s="74"/>
      <c r="Q816" s="74"/>
      <c r="R816" s="74"/>
      <c r="S816" s="74"/>
      <c r="T816" s="74"/>
      <c r="U816" s="74"/>
      <c r="V816" s="74"/>
      <c r="W816" s="74"/>
      <c r="X816" s="74"/>
      <c r="Y816" s="74"/>
      <c r="Z816" s="74"/>
      <c r="AA816" s="74"/>
      <c r="AB816" s="74"/>
      <c r="AC816" s="74"/>
      <c r="AD816" s="74"/>
      <c r="AE816" s="12"/>
      <c r="AF816" s="12"/>
      <c r="AG816" s="12"/>
      <c r="AH816" s="180"/>
      <c r="AI816" s="180"/>
      <c r="AJ816" s="12"/>
      <c r="AK816" s="12"/>
      <c r="AL816" s="12"/>
      <c r="AM816" s="12"/>
    </row>
    <row r="817">
      <c r="A817" s="74"/>
      <c r="B817" s="12"/>
      <c r="C817" s="74"/>
      <c r="D817" s="12"/>
      <c r="E817" s="12"/>
      <c r="F817" s="74"/>
      <c r="G817" s="74"/>
      <c r="H817" s="179"/>
      <c r="I817" s="74"/>
      <c r="J817" s="74"/>
      <c r="K817" s="74"/>
      <c r="L817" s="74"/>
      <c r="M817" s="74"/>
      <c r="N817" s="179"/>
      <c r="O817" s="74"/>
      <c r="P817" s="74"/>
      <c r="Q817" s="74"/>
      <c r="R817" s="74"/>
      <c r="S817" s="74"/>
      <c r="T817" s="74"/>
      <c r="U817" s="74"/>
      <c r="V817" s="74"/>
      <c r="W817" s="74"/>
      <c r="X817" s="74"/>
      <c r="Y817" s="74"/>
      <c r="Z817" s="74"/>
      <c r="AA817" s="74"/>
      <c r="AB817" s="74"/>
      <c r="AC817" s="74"/>
      <c r="AD817" s="74"/>
      <c r="AE817" s="12"/>
      <c r="AF817" s="12"/>
      <c r="AG817" s="12"/>
      <c r="AH817" s="180"/>
      <c r="AI817" s="180"/>
      <c r="AJ817" s="12"/>
      <c r="AK817" s="12"/>
      <c r="AL817" s="12"/>
      <c r="AM817" s="12"/>
    </row>
    <row r="818">
      <c r="A818" s="74"/>
      <c r="B818" s="12"/>
      <c r="C818" s="74"/>
      <c r="D818" s="12"/>
      <c r="E818" s="12"/>
      <c r="F818" s="74"/>
      <c r="G818" s="74"/>
      <c r="H818" s="179"/>
      <c r="I818" s="74"/>
      <c r="J818" s="74"/>
      <c r="K818" s="74"/>
      <c r="L818" s="74"/>
      <c r="M818" s="74"/>
      <c r="N818" s="179"/>
      <c r="O818" s="74"/>
      <c r="P818" s="74"/>
      <c r="Q818" s="74"/>
      <c r="R818" s="74"/>
      <c r="S818" s="74"/>
      <c r="T818" s="74"/>
      <c r="U818" s="74"/>
      <c r="V818" s="74"/>
      <c r="W818" s="74"/>
      <c r="X818" s="74"/>
      <c r="Y818" s="74"/>
      <c r="Z818" s="74"/>
      <c r="AA818" s="74"/>
      <c r="AB818" s="74"/>
      <c r="AC818" s="74"/>
      <c r="AD818" s="74"/>
      <c r="AE818" s="12"/>
      <c r="AF818" s="12"/>
      <c r="AG818" s="12"/>
      <c r="AH818" s="180"/>
      <c r="AI818" s="180"/>
      <c r="AJ818" s="12"/>
      <c r="AK818" s="12"/>
      <c r="AL818" s="12"/>
      <c r="AM818" s="12"/>
    </row>
    <row r="819">
      <c r="A819" s="74"/>
      <c r="B819" s="12"/>
      <c r="C819" s="74"/>
      <c r="D819" s="12"/>
      <c r="E819" s="12"/>
      <c r="F819" s="74"/>
      <c r="G819" s="74"/>
      <c r="H819" s="179"/>
      <c r="I819" s="74"/>
      <c r="J819" s="74"/>
      <c r="K819" s="74"/>
      <c r="L819" s="74"/>
      <c r="M819" s="74"/>
      <c r="N819" s="179"/>
      <c r="O819" s="74"/>
      <c r="P819" s="74"/>
      <c r="Q819" s="74"/>
      <c r="R819" s="74"/>
      <c r="S819" s="74"/>
      <c r="T819" s="74"/>
      <c r="U819" s="74"/>
      <c r="V819" s="74"/>
      <c r="W819" s="74"/>
      <c r="X819" s="74"/>
      <c r="Y819" s="74"/>
      <c r="Z819" s="74"/>
      <c r="AA819" s="74"/>
      <c r="AB819" s="74"/>
      <c r="AC819" s="74"/>
      <c r="AD819" s="74"/>
      <c r="AE819" s="12"/>
      <c r="AF819" s="12"/>
      <c r="AG819" s="12"/>
      <c r="AH819" s="180"/>
      <c r="AI819" s="180"/>
      <c r="AJ819" s="12"/>
      <c r="AK819" s="12"/>
      <c r="AL819" s="12"/>
      <c r="AM819" s="12"/>
    </row>
    <row r="820">
      <c r="A820" s="74"/>
      <c r="B820" s="12"/>
      <c r="C820" s="74"/>
      <c r="D820" s="12"/>
      <c r="E820" s="12"/>
      <c r="F820" s="74"/>
      <c r="G820" s="74"/>
      <c r="H820" s="179"/>
      <c r="I820" s="74"/>
      <c r="J820" s="74"/>
      <c r="K820" s="74"/>
      <c r="L820" s="74"/>
      <c r="M820" s="74"/>
      <c r="N820" s="179"/>
      <c r="O820" s="74"/>
      <c r="P820" s="74"/>
      <c r="Q820" s="74"/>
      <c r="R820" s="74"/>
      <c r="S820" s="74"/>
      <c r="T820" s="74"/>
      <c r="U820" s="74"/>
      <c r="V820" s="74"/>
      <c r="W820" s="74"/>
      <c r="X820" s="74"/>
      <c r="Y820" s="74"/>
      <c r="Z820" s="74"/>
      <c r="AA820" s="74"/>
      <c r="AB820" s="74"/>
      <c r="AC820" s="74"/>
      <c r="AD820" s="74"/>
      <c r="AE820" s="12"/>
      <c r="AF820" s="12"/>
      <c r="AG820" s="12"/>
      <c r="AH820" s="180"/>
      <c r="AI820" s="180"/>
      <c r="AJ820" s="12"/>
      <c r="AK820" s="12"/>
      <c r="AL820" s="12"/>
      <c r="AM820" s="12"/>
    </row>
    <row r="821">
      <c r="A821" s="74"/>
      <c r="B821" s="12"/>
      <c r="C821" s="74"/>
      <c r="D821" s="12"/>
      <c r="E821" s="12"/>
      <c r="F821" s="74"/>
      <c r="G821" s="74"/>
      <c r="H821" s="179"/>
      <c r="I821" s="74"/>
      <c r="J821" s="74"/>
      <c r="K821" s="74"/>
      <c r="L821" s="74"/>
      <c r="M821" s="74"/>
      <c r="N821" s="179"/>
      <c r="O821" s="74"/>
      <c r="P821" s="74"/>
      <c r="Q821" s="74"/>
      <c r="R821" s="74"/>
      <c r="S821" s="74"/>
      <c r="T821" s="74"/>
      <c r="U821" s="74"/>
      <c r="V821" s="74"/>
      <c r="W821" s="74"/>
      <c r="X821" s="74"/>
      <c r="Y821" s="74"/>
      <c r="Z821" s="74"/>
      <c r="AA821" s="74"/>
      <c r="AB821" s="74"/>
      <c r="AC821" s="74"/>
      <c r="AD821" s="74"/>
      <c r="AE821" s="12"/>
      <c r="AF821" s="12"/>
      <c r="AG821" s="12"/>
      <c r="AH821" s="180"/>
      <c r="AI821" s="180"/>
      <c r="AJ821" s="12"/>
      <c r="AK821" s="12"/>
      <c r="AL821" s="12"/>
      <c r="AM821" s="12"/>
    </row>
    <row r="822">
      <c r="A822" s="74"/>
      <c r="B822" s="12"/>
      <c r="C822" s="74"/>
      <c r="D822" s="12"/>
      <c r="E822" s="12"/>
      <c r="F822" s="74"/>
      <c r="G822" s="74"/>
      <c r="H822" s="179"/>
      <c r="I822" s="74"/>
      <c r="J822" s="74"/>
      <c r="K822" s="74"/>
      <c r="L822" s="74"/>
      <c r="M822" s="74"/>
      <c r="N822" s="179"/>
      <c r="O822" s="74"/>
      <c r="P822" s="74"/>
      <c r="Q822" s="74"/>
      <c r="R822" s="74"/>
      <c r="S822" s="74"/>
      <c r="T822" s="74"/>
      <c r="U822" s="74"/>
      <c r="V822" s="74"/>
      <c r="W822" s="74"/>
      <c r="X822" s="74"/>
      <c r="Y822" s="74"/>
      <c r="Z822" s="74"/>
      <c r="AA822" s="74"/>
      <c r="AB822" s="74"/>
      <c r="AC822" s="74"/>
      <c r="AD822" s="74"/>
      <c r="AE822" s="12"/>
      <c r="AF822" s="12"/>
      <c r="AG822" s="12"/>
      <c r="AH822" s="180"/>
      <c r="AI822" s="180"/>
      <c r="AJ822" s="12"/>
      <c r="AK822" s="12"/>
      <c r="AL822" s="12"/>
      <c r="AM822" s="12"/>
    </row>
    <row r="823">
      <c r="A823" s="74"/>
      <c r="B823" s="12"/>
      <c r="C823" s="74"/>
      <c r="D823" s="12"/>
      <c r="E823" s="12"/>
      <c r="F823" s="74"/>
      <c r="G823" s="74"/>
      <c r="H823" s="179"/>
      <c r="I823" s="74"/>
      <c r="J823" s="74"/>
      <c r="K823" s="74"/>
      <c r="L823" s="74"/>
      <c r="M823" s="74"/>
      <c r="N823" s="179"/>
      <c r="O823" s="74"/>
      <c r="P823" s="74"/>
      <c r="Q823" s="74"/>
      <c r="R823" s="74"/>
      <c r="S823" s="74"/>
      <c r="T823" s="74"/>
      <c r="U823" s="74"/>
      <c r="V823" s="74"/>
      <c r="W823" s="74"/>
      <c r="X823" s="74"/>
      <c r="Y823" s="74"/>
      <c r="Z823" s="74"/>
      <c r="AA823" s="74"/>
      <c r="AB823" s="74"/>
      <c r="AC823" s="74"/>
      <c r="AD823" s="74"/>
      <c r="AE823" s="12"/>
      <c r="AF823" s="12"/>
      <c r="AG823" s="12"/>
      <c r="AH823" s="180"/>
      <c r="AI823" s="180"/>
      <c r="AJ823" s="12"/>
      <c r="AK823" s="12"/>
      <c r="AL823" s="12"/>
      <c r="AM823" s="12"/>
    </row>
    <row r="824">
      <c r="A824" s="74"/>
      <c r="B824" s="12"/>
      <c r="C824" s="74"/>
      <c r="D824" s="12"/>
      <c r="E824" s="12"/>
      <c r="F824" s="74"/>
      <c r="G824" s="74"/>
      <c r="H824" s="179"/>
      <c r="I824" s="74"/>
      <c r="J824" s="74"/>
      <c r="K824" s="74"/>
      <c r="L824" s="74"/>
      <c r="M824" s="74"/>
      <c r="N824" s="179"/>
      <c r="O824" s="74"/>
      <c r="P824" s="74"/>
      <c r="Q824" s="74"/>
      <c r="R824" s="74"/>
      <c r="S824" s="74"/>
      <c r="T824" s="74"/>
      <c r="U824" s="74"/>
      <c r="V824" s="74"/>
      <c r="W824" s="74"/>
      <c r="X824" s="74"/>
      <c r="Y824" s="74"/>
      <c r="Z824" s="74"/>
      <c r="AA824" s="74"/>
      <c r="AB824" s="74"/>
      <c r="AC824" s="74"/>
      <c r="AD824" s="74"/>
      <c r="AE824" s="12"/>
      <c r="AF824" s="12"/>
      <c r="AG824" s="12"/>
      <c r="AH824" s="180"/>
      <c r="AI824" s="180"/>
      <c r="AJ824" s="12"/>
      <c r="AK824" s="12"/>
      <c r="AL824" s="12"/>
      <c r="AM824" s="12"/>
    </row>
    <row r="825">
      <c r="A825" s="74"/>
      <c r="B825" s="12"/>
      <c r="C825" s="74"/>
      <c r="D825" s="12"/>
      <c r="E825" s="12"/>
      <c r="F825" s="74"/>
      <c r="G825" s="74"/>
      <c r="H825" s="179"/>
      <c r="I825" s="74"/>
      <c r="J825" s="74"/>
      <c r="K825" s="74"/>
      <c r="L825" s="74"/>
      <c r="M825" s="74"/>
      <c r="N825" s="179"/>
      <c r="O825" s="74"/>
      <c r="P825" s="74"/>
      <c r="Q825" s="74"/>
      <c r="R825" s="74"/>
      <c r="S825" s="74"/>
      <c r="T825" s="74"/>
      <c r="U825" s="74"/>
      <c r="V825" s="74"/>
      <c r="W825" s="74"/>
      <c r="X825" s="74"/>
      <c r="Y825" s="74"/>
      <c r="Z825" s="74"/>
      <c r="AA825" s="74"/>
      <c r="AB825" s="74"/>
      <c r="AC825" s="74"/>
      <c r="AD825" s="74"/>
      <c r="AE825" s="12"/>
      <c r="AF825" s="12"/>
      <c r="AG825" s="12"/>
      <c r="AH825" s="180"/>
      <c r="AI825" s="180"/>
      <c r="AJ825" s="12"/>
      <c r="AK825" s="12"/>
      <c r="AL825" s="12"/>
      <c r="AM825" s="12"/>
    </row>
    <row r="826">
      <c r="A826" s="74"/>
      <c r="B826" s="12"/>
      <c r="C826" s="74"/>
      <c r="D826" s="12"/>
      <c r="E826" s="12"/>
      <c r="F826" s="74"/>
      <c r="G826" s="74"/>
      <c r="H826" s="179"/>
      <c r="I826" s="74"/>
      <c r="J826" s="74"/>
      <c r="K826" s="74"/>
      <c r="L826" s="74"/>
      <c r="M826" s="74"/>
      <c r="N826" s="179"/>
      <c r="O826" s="74"/>
      <c r="P826" s="74"/>
      <c r="Q826" s="74"/>
      <c r="R826" s="74"/>
      <c r="S826" s="74"/>
      <c r="T826" s="74"/>
      <c r="U826" s="74"/>
      <c r="V826" s="74"/>
      <c r="W826" s="74"/>
      <c r="X826" s="74"/>
      <c r="Y826" s="74"/>
      <c r="Z826" s="74"/>
      <c r="AA826" s="74"/>
      <c r="AB826" s="74"/>
      <c r="AC826" s="74"/>
      <c r="AD826" s="74"/>
      <c r="AE826" s="12"/>
      <c r="AF826" s="12"/>
      <c r="AG826" s="12"/>
      <c r="AH826" s="180"/>
      <c r="AI826" s="180"/>
      <c r="AJ826" s="12"/>
      <c r="AK826" s="12"/>
      <c r="AL826" s="12"/>
      <c r="AM826" s="12"/>
    </row>
    <row r="827">
      <c r="A827" s="74"/>
      <c r="B827" s="12"/>
      <c r="C827" s="74"/>
      <c r="D827" s="12"/>
      <c r="E827" s="12"/>
      <c r="F827" s="74"/>
      <c r="G827" s="74"/>
      <c r="H827" s="179"/>
      <c r="I827" s="74"/>
      <c r="J827" s="74"/>
      <c r="K827" s="74"/>
      <c r="L827" s="74"/>
      <c r="M827" s="74"/>
      <c r="N827" s="179"/>
      <c r="O827" s="74"/>
      <c r="P827" s="74"/>
      <c r="Q827" s="74"/>
      <c r="R827" s="74"/>
      <c r="S827" s="74"/>
      <c r="T827" s="74"/>
      <c r="U827" s="74"/>
      <c r="V827" s="74"/>
      <c r="W827" s="74"/>
      <c r="X827" s="74"/>
      <c r="Y827" s="74"/>
      <c r="Z827" s="74"/>
      <c r="AA827" s="74"/>
      <c r="AB827" s="74"/>
      <c r="AC827" s="74"/>
      <c r="AD827" s="74"/>
      <c r="AE827" s="12"/>
      <c r="AF827" s="12"/>
      <c r="AG827" s="12"/>
      <c r="AH827" s="180"/>
      <c r="AI827" s="180"/>
      <c r="AJ827" s="12"/>
      <c r="AK827" s="12"/>
      <c r="AL827" s="12"/>
      <c r="AM827" s="12"/>
    </row>
    <row r="828">
      <c r="A828" s="74"/>
      <c r="B828" s="12"/>
      <c r="C828" s="74"/>
      <c r="D828" s="12"/>
      <c r="E828" s="12"/>
      <c r="F828" s="74"/>
      <c r="G828" s="74"/>
      <c r="H828" s="179"/>
      <c r="I828" s="74"/>
      <c r="J828" s="74"/>
      <c r="K828" s="74"/>
      <c r="L828" s="74"/>
      <c r="M828" s="74"/>
      <c r="N828" s="179"/>
      <c r="O828" s="74"/>
      <c r="P828" s="74"/>
      <c r="Q828" s="74"/>
      <c r="R828" s="74"/>
      <c r="S828" s="74"/>
      <c r="T828" s="74"/>
      <c r="U828" s="74"/>
      <c r="V828" s="74"/>
      <c r="W828" s="74"/>
      <c r="X828" s="74"/>
      <c r="Y828" s="74"/>
      <c r="Z828" s="74"/>
      <c r="AA828" s="74"/>
      <c r="AB828" s="74"/>
      <c r="AC828" s="74"/>
      <c r="AD828" s="74"/>
      <c r="AE828" s="12"/>
      <c r="AF828" s="12"/>
      <c r="AG828" s="12"/>
      <c r="AH828" s="180"/>
      <c r="AI828" s="180"/>
      <c r="AJ828" s="12"/>
      <c r="AK828" s="12"/>
      <c r="AL828" s="12"/>
      <c r="AM828" s="12"/>
    </row>
    <row r="829">
      <c r="A829" s="74"/>
      <c r="B829" s="12"/>
      <c r="C829" s="74"/>
      <c r="D829" s="12"/>
      <c r="E829" s="12"/>
      <c r="F829" s="74"/>
      <c r="G829" s="74"/>
      <c r="H829" s="179"/>
      <c r="I829" s="74"/>
      <c r="J829" s="74"/>
      <c r="K829" s="74"/>
      <c r="L829" s="74"/>
      <c r="M829" s="74"/>
      <c r="N829" s="179"/>
      <c r="O829" s="74"/>
      <c r="P829" s="74"/>
      <c r="Q829" s="74"/>
      <c r="R829" s="74"/>
      <c r="S829" s="74"/>
      <c r="T829" s="74"/>
      <c r="U829" s="74"/>
      <c r="V829" s="74"/>
      <c r="W829" s="74"/>
      <c r="X829" s="74"/>
      <c r="Y829" s="74"/>
      <c r="Z829" s="74"/>
      <c r="AA829" s="74"/>
      <c r="AB829" s="74"/>
      <c r="AC829" s="74"/>
      <c r="AD829" s="74"/>
      <c r="AE829" s="12"/>
      <c r="AF829" s="12"/>
      <c r="AG829" s="12"/>
      <c r="AH829" s="180"/>
      <c r="AI829" s="180"/>
      <c r="AJ829" s="12"/>
      <c r="AK829" s="12"/>
      <c r="AL829" s="12"/>
      <c r="AM829" s="12"/>
    </row>
    <row r="830">
      <c r="A830" s="74"/>
      <c r="B830" s="12"/>
      <c r="C830" s="74"/>
      <c r="D830" s="12"/>
      <c r="E830" s="12"/>
      <c r="F830" s="74"/>
      <c r="G830" s="74"/>
      <c r="H830" s="179"/>
      <c r="I830" s="74"/>
      <c r="J830" s="74"/>
      <c r="K830" s="74"/>
      <c r="L830" s="74"/>
      <c r="M830" s="74"/>
      <c r="N830" s="179"/>
      <c r="O830" s="74"/>
      <c r="P830" s="74"/>
      <c r="Q830" s="74"/>
      <c r="R830" s="74"/>
      <c r="S830" s="74"/>
      <c r="T830" s="74"/>
      <c r="U830" s="74"/>
      <c r="V830" s="74"/>
      <c r="W830" s="74"/>
      <c r="X830" s="74"/>
      <c r="Y830" s="74"/>
      <c r="Z830" s="74"/>
      <c r="AA830" s="74"/>
      <c r="AB830" s="74"/>
      <c r="AC830" s="74"/>
      <c r="AD830" s="74"/>
      <c r="AE830" s="12"/>
      <c r="AF830" s="12"/>
      <c r="AG830" s="12"/>
      <c r="AH830" s="180"/>
      <c r="AI830" s="180"/>
      <c r="AJ830" s="12"/>
      <c r="AK830" s="12"/>
      <c r="AL830" s="12"/>
      <c r="AM830" s="12"/>
    </row>
    <row r="831">
      <c r="A831" s="74"/>
      <c r="B831" s="12"/>
      <c r="C831" s="74"/>
      <c r="D831" s="12"/>
      <c r="E831" s="12"/>
      <c r="F831" s="74"/>
      <c r="G831" s="74"/>
      <c r="H831" s="179"/>
      <c r="I831" s="74"/>
      <c r="J831" s="74"/>
      <c r="K831" s="74"/>
      <c r="L831" s="74"/>
      <c r="M831" s="74"/>
      <c r="N831" s="179"/>
      <c r="O831" s="74"/>
      <c r="P831" s="74"/>
      <c r="Q831" s="74"/>
      <c r="R831" s="74"/>
      <c r="S831" s="74"/>
      <c r="T831" s="74"/>
      <c r="U831" s="74"/>
      <c r="V831" s="74"/>
      <c r="W831" s="74"/>
      <c r="X831" s="74"/>
      <c r="Y831" s="74"/>
      <c r="Z831" s="74"/>
      <c r="AA831" s="74"/>
      <c r="AB831" s="74"/>
      <c r="AC831" s="74"/>
      <c r="AD831" s="74"/>
      <c r="AE831" s="12"/>
      <c r="AF831" s="12"/>
      <c r="AG831" s="12"/>
      <c r="AH831" s="180"/>
      <c r="AI831" s="180"/>
      <c r="AJ831" s="12"/>
      <c r="AK831" s="12"/>
      <c r="AL831" s="12"/>
      <c r="AM831" s="12"/>
    </row>
    <row r="832">
      <c r="A832" s="74"/>
      <c r="B832" s="12"/>
      <c r="C832" s="74"/>
      <c r="D832" s="12"/>
      <c r="E832" s="12"/>
      <c r="F832" s="74"/>
      <c r="G832" s="74"/>
      <c r="H832" s="179"/>
      <c r="I832" s="74"/>
      <c r="J832" s="74"/>
      <c r="K832" s="74"/>
      <c r="L832" s="74"/>
      <c r="M832" s="74"/>
      <c r="N832" s="179"/>
      <c r="O832" s="74"/>
      <c r="P832" s="74"/>
      <c r="Q832" s="74"/>
      <c r="R832" s="74"/>
      <c r="S832" s="74"/>
      <c r="T832" s="74"/>
      <c r="U832" s="74"/>
      <c r="V832" s="74"/>
      <c r="W832" s="74"/>
      <c r="X832" s="74"/>
      <c r="Y832" s="74"/>
      <c r="Z832" s="74"/>
      <c r="AA832" s="74"/>
      <c r="AB832" s="74"/>
      <c r="AC832" s="74"/>
      <c r="AD832" s="74"/>
      <c r="AE832" s="12"/>
      <c r="AF832" s="12"/>
      <c r="AG832" s="12"/>
      <c r="AH832" s="180"/>
      <c r="AI832" s="180"/>
      <c r="AJ832" s="12"/>
      <c r="AK832" s="12"/>
      <c r="AL832" s="12"/>
      <c r="AM832" s="12"/>
    </row>
    <row r="833">
      <c r="A833" s="74"/>
      <c r="B833" s="12"/>
      <c r="C833" s="74"/>
      <c r="D833" s="12"/>
      <c r="E833" s="12"/>
      <c r="F833" s="74"/>
      <c r="G833" s="74"/>
      <c r="H833" s="179"/>
      <c r="I833" s="74"/>
      <c r="J833" s="74"/>
      <c r="K833" s="74"/>
      <c r="L833" s="74"/>
      <c r="M833" s="74"/>
      <c r="N833" s="179"/>
      <c r="O833" s="74"/>
      <c r="P833" s="74"/>
      <c r="Q833" s="74"/>
      <c r="R833" s="74"/>
      <c r="S833" s="74"/>
      <c r="T833" s="74"/>
      <c r="U833" s="74"/>
      <c r="V833" s="74"/>
      <c r="W833" s="74"/>
      <c r="X833" s="74"/>
      <c r="Y833" s="74"/>
      <c r="Z833" s="74"/>
      <c r="AA833" s="74"/>
      <c r="AB833" s="74"/>
      <c r="AC833" s="74"/>
      <c r="AD833" s="74"/>
      <c r="AE833" s="12"/>
      <c r="AF833" s="12"/>
      <c r="AG833" s="12"/>
      <c r="AH833" s="180"/>
      <c r="AI833" s="180"/>
      <c r="AJ833" s="12"/>
      <c r="AK833" s="12"/>
      <c r="AL833" s="12"/>
      <c r="AM833" s="12"/>
    </row>
    <row r="834">
      <c r="A834" s="74"/>
      <c r="B834" s="12"/>
      <c r="C834" s="74"/>
      <c r="D834" s="12"/>
      <c r="E834" s="12"/>
      <c r="F834" s="74"/>
      <c r="G834" s="74"/>
      <c r="H834" s="179"/>
      <c r="I834" s="74"/>
      <c r="J834" s="74"/>
      <c r="K834" s="74"/>
      <c r="L834" s="74"/>
      <c r="M834" s="74"/>
      <c r="N834" s="179"/>
      <c r="O834" s="74"/>
      <c r="P834" s="74"/>
      <c r="Q834" s="74"/>
      <c r="R834" s="74"/>
      <c r="S834" s="74"/>
      <c r="T834" s="74"/>
      <c r="U834" s="74"/>
      <c r="V834" s="74"/>
      <c r="W834" s="74"/>
      <c r="X834" s="74"/>
      <c r="Y834" s="74"/>
      <c r="Z834" s="74"/>
      <c r="AA834" s="74"/>
      <c r="AB834" s="74"/>
      <c r="AC834" s="74"/>
      <c r="AD834" s="74"/>
      <c r="AE834" s="12"/>
      <c r="AF834" s="12"/>
      <c r="AG834" s="12"/>
      <c r="AH834" s="180"/>
      <c r="AI834" s="180"/>
      <c r="AJ834" s="12"/>
      <c r="AK834" s="12"/>
      <c r="AL834" s="12"/>
      <c r="AM834" s="12"/>
    </row>
    <row r="835">
      <c r="A835" s="74"/>
      <c r="B835" s="12"/>
      <c r="C835" s="74"/>
      <c r="D835" s="12"/>
      <c r="E835" s="12"/>
      <c r="F835" s="74"/>
      <c r="G835" s="74"/>
      <c r="H835" s="179"/>
      <c r="I835" s="74"/>
      <c r="J835" s="74"/>
      <c r="K835" s="74"/>
      <c r="L835" s="74"/>
      <c r="M835" s="74"/>
      <c r="N835" s="179"/>
      <c r="O835" s="74"/>
      <c r="P835" s="74"/>
      <c r="Q835" s="74"/>
      <c r="R835" s="74"/>
      <c r="S835" s="74"/>
      <c r="T835" s="74"/>
      <c r="U835" s="74"/>
      <c r="V835" s="74"/>
      <c r="W835" s="74"/>
      <c r="X835" s="74"/>
      <c r="Y835" s="74"/>
      <c r="Z835" s="74"/>
      <c r="AA835" s="74"/>
      <c r="AB835" s="74"/>
      <c r="AC835" s="74"/>
      <c r="AD835" s="74"/>
      <c r="AE835" s="12"/>
      <c r="AF835" s="12"/>
      <c r="AG835" s="12"/>
      <c r="AH835" s="180"/>
      <c r="AI835" s="180"/>
      <c r="AJ835" s="12"/>
      <c r="AK835" s="12"/>
      <c r="AL835" s="12"/>
      <c r="AM835" s="12"/>
    </row>
    <row r="836">
      <c r="A836" s="74"/>
      <c r="B836" s="12"/>
      <c r="C836" s="74"/>
      <c r="D836" s="12"/>
      <c r="E836" s="12"/>
      <c r="F836" s="74"/>
      <c r="G836" s="74"/>
      <c r="H836" s="179"/>
      <c r="I836" s="74"/>
      <c r="J836" s="74"/>
      <c r="K836" s="74"/>
      <c r="L836" s="74"/>
      <c r="M836" s="74"/>
      <c r="N836" s="179"/>
      <c r="O836" s="74"/>
      <c r="P836" s="74"/>
      <c r="Q836" s="74"/>
      <c r="R836" s="74"/>
      <c r="S836" s="74"/>
      <c r="T836" s="74"/>
      <c r="U836" s="74"/>
      <c r="V836" s="74"/>
      <c r="W836" s="74"/>
      <c r="X836" s="74"/>
      <c r="Y836" s="74"/>
      <c r="Z836" s="74"/>
      <c r="AA836" s="74"/>
      <c r="AB836" s="74"/>
      <c r="AC836" s="74"/>
      <c r="AD836" s="74"/>
      <c r="AE836" s="12"/>
      <c r="AF836" s="12"/>
      <c r="AG836" s="12"/>
      <c r="AH836" s="180"/>
      <c r="AI836" s="180"/>
      <c r="AJ836" s="12"/>
      <c r="AK836" s="12"/>
      <c r="AL836" s="12"/>
      <c r="AM836" s="12"/>
    </row>
    <row r="837">
      <c r="A837" s="74"/>
      <c r="B837" s="12"/>
      <c r="C837" s="74"/>
      <c r="D837" s="12"/>
      <c r="E837" s="12"/>
      <c r="F837" s="74"/>
      <c r="G837" s="74"/>
      <c r="H837" s="179"/>
      <c r="I837" s="74"/>
      <c r="J837" s="74"/>
      <c r="K837" s="74"/>
      <c r="L837" s="74"/>
      <c r="M837" s="74"/>
      <c r="N837" s="179"/>
      <c r="O837" s="74"/>
      <c r="P837" s="74"/>
      <c r="Q837" s="74"/>
      <c r="R837" s="74"/>
      <c r="S837" s="74"/>
      <c r="T837" s="74"/>
      <c r="U837" s="74"/>
      <c r="V837" s="74"/>
      <c r="W837" s="74"/>
      <c r="X837" s="74"/>
      <c r="Y837" s="74"/>
      <c r="Z837" s="74"/>
      <c r="AA837" s="74"/>
      <c r="AB837" s="74"/>
      <c r="AC837" s="74"/>
      <c r="AD837" s="74"/>
      <c r="AE837" s="12"/>
      <c r="AF837" s="12"/>
      <c r="AG837" s="12"/>
      <c r="AH837" s="180"/>
      <c r="AI837" s="180"/>
      <c r="AJ837" s="12"/>
      <c r="AK837" s="12"/>
      <c r="AL837" s="12"/>
      <c r="AM837" s="12"/>
    </row>
    <row r="838">
      <c r="A838" s="74"/>
      <c r="B838" s="12"/>
      <c r="C838" s="74"/>
      <c r="D838" s="12"/>
      <c r="E838" s="12"/>
      <c r="F838" s="74"/>
      <c r="G838" s="74"/>
      <c r="H838" s="179"/>
      <c r="I838" s="74"/>
      <c r="J838" s="74"/>
      <c r="K838" s="74"/>
      <c r="L838" s="74"/>
      <c r="M838" s="74"/>
      <c r="N838" s="179"/>
      <c r="O838" s="74"/>
      <c r="P838" s="74"/>
      <c r="Q838" s="74"/>
      <c r="R838" s="74"/>
      <c r="S838" s="74"/>
      <c r="T838" s="74"/>
      <c r="U838" s="74"/>
      <c r="V838" s="74"/>
      <c r="W838" s="74"/>
      <c r="X838" s="74"/>
      <c r="Y838" s="74"/>
      <c r="Z838" s="74"/>
      <c r="AA838" s="74"/>
      <c r="AB838" s="74"/>
      <c r="AC838" s="74"/>
      <c r="AD838" s="74"/>
      <c r="AE838" s="12"/>
      <c r="AF838" s="12"/>
      <c r="AG838" s="12"/>
      <c r="AH838" s="180"/>
      <c r="AI838" s="180"/>
      <c r="AJ838" s="12"/>
      <c r="AK838" s="12"/>
      <c r="AL838" s="12"/>
      <c r="AM838" s="12"/>
    </row>
    <row r="839">
      <c r="A839" s="74"/>
      <c r="B839" s="12"/>
      <c r="C839" s="74"/>
      <c r="D839" s="12"/>
      <c r="E839" s="12"/>
      <c r="F839" s="74"/>
      <c r="G839" s="74"/>
      <c r="H839" s="179"/>
      <c r="I839" s="74"/>
      <c r="J839" s="74"/>
      <c r="K839" s="74"/>
      <c r="L839" s="74"/>
      <c r="M839" s="74"/>
      <c r="N839" s="179"/>
      <c r="O839" s="74"/>
      <c r="P839" s="74"/>
      <c r="Q839" s="74"/>
      <c r="R839" s="74"/>
      <c r="S839" s="74"/>
      <c r="T839" s="74"/>
      <c r="U839" s="74"/>
      <c r="V839" s="74"/>
      <c r="W839" s="74"/>
      <c r="X839" s="74"/>
      <c r="Y839" s="74"/>
      <c r="Z839" s="74"/>
      <c r="AA839" s="74"/>
      <c r="AB839" s="74"/>
      <c r="AC839" s="74"/>
      <c r="AD839" s="74"/>
      <c r="AE839" s="12"/>
      <c r="AF839" s="12"/>
      <c r="AG839" s="12"/>
      <c r="AH839" s="180"/>
      <c r="AI839" s="180"/>
      <c r="AJ839" s="12"/>
      <c r="AK839" s="12"/>
      <c r="AL839" s="12"/>
      <c r="AM839" s="12"/>
    </row>
    <row r="840">
      <c r="A840" s="74"/>
      <c r="B840" s="12"/>
      <c r="C840" s="74"/>
      <c r="D840" s="12"/>
      <c r="E840" s="12"/>
      <c r="F840" s="74"/>
      <c r="G840" s="74"/>
      <c r="H840" s="179"/>
      <c r="I840" s="74"/>
      <c r="J840" s="74"/>
      <c r="K840" s="74"/>
      <c r="L840" s="74"/>
      <c r="M840" s="74"/>
      <c r="N840" s="179"/>
      <c r="O840" s="74"/>
      <c r="P840" s="74"/>
      <c r="Q840" s="74"/>
      <c r="R840" s="74"/>
      <c r="S840" s="74"/>
      <c r="T840" s="74"/>
      <c r="U840" s="74"/>
      <c r="V840" s="74"/>
      <c r="W840" s="74"/>
      <c r="X840" s="74"/>
      <c r="Y840" s="74"/>
      <c r="Z840" s="74"/>
      <c r="AA840" s="74"/>
      <c r="AB840" s="74"/>
      <c r="AC840" s="74"/>
      <c r="AD840" s="74"/>
      <c r="AE840" s="12"/>
      <c r="AF840" s="12"/>
      <c r="AG840" s="12"/>
      <c r="AH840" s="180"/>
      <c r="AI840" s="180"/>
      <c r="AJ840" s="12"/>
      <c r="AK840" s="12"/>
      <c r="AL840" s="12"/>
      <c r="AM840" s="12"/>
    </row>
    <row r="841">
      <c r="A841" s="74"/>
      <c r="B841" s="12"/>
      <c r="C841" s="74"/>
      <c r="D841" s="12"/>
      <c r="E841" s="12"/>
      <c r="F841" s="74"/>
      <c r="G841" s="74"/>
      <c r="H841" s="179"/>
      <c r="I841" s="74"/>
      <c r="J841" s="74"/>
      <c r="K841" s="74"/>
      <c r="L841" s="74"/>
      <c r="M841" s="74"/>
      <c r="N841" s="179"/>
      <c r="O841" s="74"/>
      <c r="P841" s="74"/>
      <c r="Q841" s="74"/>
      <c r="R841" s="74"/>
      <c r="S841" s="74"/>
      <c r="T841" s="74"/>
      <c r="U841" s="74"/>
      <c r="V841" s="74"/>
      <c r="W841" s="74"/>
      <c r="X841" s="74"/>
      <c r="Y841" s="74"/>
      <c r="Z841" s="74"/>
      <c r="AA841" s="74"/>
      <c r="AB841" s="74"/>
      <c r="AC841" s="74"/>
      <c r="AD841" s="74"/>
      <c r="AE841" s="12"/>
      <c r="AF841" s="12"/>
      <c r="AG841" s="12"/>
      <c r="AH841" s="180"/>
      <c r="AI841" s="180"/>
      <c r="AJ841" s="12"/>
      <c r="AK841" s="12"/>
      <c r="AL841" s="12"/>
      <c r="AM841" s="12"/>
    </row>
    <row r="842">
      <c r="A842" s="74"/>
      <c r="B842" s="12"/>
      <c r="C842" s="74"/>
      <c r="D842" s="12"/>
      <c r="E842" s="12"/>
      <c r="F842" s="74"/>
      <c r="G842" s="74"/>
      <c r="H842" s="179"/>
      <c r="I842" s="74"/>
      <c r="J842" s="74"/>
      <c r="K842" s="74"/>
      <c r="L842" s="74"/>
      <c r="M842" s="74"/>
      <c r="N842" s="179"/>
      <c r="O842" s="74"/>
      <c r="P842" s="74"/>
      <c r="Q842" s="74"/>
      <c r="R842" s="74"/>
      <c r="S842" s="74"/>
      <c r="T842" s="74"/>
      <c r="U842" s="74"/>
      <c r="V842" s="74"/>
      <c r="W842" s="74"/>
      <c r="X842" s="74"/>
      <c r="Y842" s="74"/>
      <c r="Z842" s="74"/>
      <c r="AA842" s="74"/>
      <c r="AB842" s="74"/>
      <c r="AC842" s="74"/>
      <c r="AD842" s="74"/>
      <c r="AE842" s="12"/>
      <c r="AF842" s="12"/>
      <c r="AG842" s="12"/>
      <c r="AH842" s="180"/>
      <c r="AI842" s="180"/>
      <c r="AJ842" s="12"/>
      <c r="AK842" s="12"/>
      <c r="AL842" s="12"/>
      <c r="AM842" s="12"/>
    </row>
    <row r="843">
      <c r="A843" s="74"/>
      <c r="B843" s="12"/>
      <c r="C843" s="74"/>
      <c r="D843" s="12"/>
      <c r="E843" s="12"/>
      <c r="F843" s="74"/>
      <c r="G843" s="74"/>
      <c r="H843" s="179"/>
      <c r="I843" s="74"/>
      <c r="J843" s="74"/>
      <c r="K843" s="74"/>
      <c r="L843" s="74"/>
      <c r="M843" s="74"/>
      <c r="N843" s="179"/>
      <c r="O843" s="74"/>
      <c r="P843" s="74"/>
      <c r="Q843" s="74"/>
      <c r="R843" s="74"/>
      <c r="S843" s="74"/>
      <c r="T843" s="74"/>
      <c r="U843" s="74"/>
      <c r="V843" s="74"/>
      <c r="W843" s="74"/>
      <c r="X843" s="74"/>
      <c r="Y843" s="74"/>
      <c r="Z843" s="74"/>
      <c r="AA843" s="74"/>
      <c r="AB843" s="74"/>
      <c r="AC843" s="74"/>
      <c r="AD843" s="74"/>
      <c r="AE843" s="12"/>
      <c r="AF843" s="12"/>
      <c r="AG843" s="12"/>
      <c r="AH843" s="180"/>
      <c r="AI843" s="180"/>
      <c r="AJ843" s="12"/>
      <c r="AK843" s="12"/>
      <c r="AL843" s="12"/>
      <c r="AM843" s="12"/>
    </row>
    <row r="844">
      <c r="A844" s="74"/>
      <c r="B844" s="12"/>
      <c r="C844" s="74"/>
      <c r="D844" s="12"/>
      <c r="E844" s="12"/>
      <c r="F844" s="74"/>
      <c r="G844" s="74"/>
      <c r="H844" s="179"/>
      <c r="I844" s="74"/>
      <c r="J844" s="74"/>
      <c r="K844" s="74"/>
      <c r="L844" s="74"/>
      <c r="M844" s="74"/>
      <c r="N844" s="179"/>
      <c r="O844" s="74"/>
      <c r="P844" s="74"/>
      <c r="Q844" s="74"/>
      <c r="R844" s="74"/>
      <c r="S844" s="74"/>
      <c r="T844" s="74"/>
      <c r="U844" s="74"/>
      <c r="V844" s="74"/>
      <c r="W844" s="74"/>
      <c r="X844" s="74"/>
      <c r="Y844" s="74"/>
      <c r="Z844" s="74"/>
      <c r="AA844" s="74"/>
      <c r="AB844" s="74"/>
      <c r="AC844" s="74"/>
      <c r="AD844" s="74"/>
      <c r="AE844" s="12"/>
      <c r="AF844" s="12"/>
      <c r="AG844" s="12"/>
      <c r="AH844" s="180"/>
      <c r="AI844" s="180"/>
      <c r="AJ844" s="12"/>
      <c r="AK844" s="12"/>
      <c r="AL844" s="12"/>
      <c r="AM844" s="12"/>
    </row>
    <row r="845">
      <c r="A845" s="74"/>
      <c r="B845" s="12"/>
      <c r="C845" s="74"/>
      <c r="D845" s="12"/>
      <c r="E845" s="12"/>
      <c r="F845" s="74"/>
      <c r="G845" s="74"/>
      <c r="H845" s="179"/>
      <c r="I845" s="74"/>
      <c r="J845" s="74"/>
      <c r="K845" s="74"/>
      <c r="L845" s="74"/>
      <c r="M845" s="74"/>
      <c r="N845" s="179"/>
      <c r="O845" s="74"/>
      <c r="P845" s="74"/>
      <c r="Q845" s="74"/>
      <c r="R845" s="74"/>
      <c r="S845" s="74"/>
      <c r="T845" s="74"/>
      <c r="U845" s="74"/>
      <c r="V845" s="74"/>
      <c r="W845" s="74"/>
      <c r="X845" s="74"/>
      <c r="Y845" s="74"/>
      <c r="Z845" s="74"/>
      <c r="AA845" s="74"/>
      <c r="AB845" s="74"/>
      <c r="AC845" s="74"/>
      <c r="AD845" s="74"/>
      <c r="AE845" s="12"/>
      <c r="AF845" s="12"/>
      <c r="AG845" s="12"/>
      <c r="AH845" s="180"/>
      <c r="AI845" s="180"/>
      <c r="AJ845" s="12"/>
      <c r="AK845" s="12"/>
      <c r="AL845" s="12"/>
      <c r="AM845" s="12"/>
    </row>
    <row r="846">
      <c r="A846" s="74"/>
      <c r="B846" s="12"/>
      <c r="C846" s="74"/>
      <c r="D846" s="12"/>
      <c r="E846" s="12"/>
      <c r="F846" s="74"/>
      <c r="G846" s="74"/>
      <c r="H846" s="179"/>
      <c r="I846" s="74"/>
      <c r="J846" s="74"/>
      <c r="K846" s="74"/>
      <c r="L846" s="74"/>
      <c r="M846" s="74"/>
      <c r="N846" s="179"/>
      <c r="O846" s="74"/>
      <c r="P846" s="74"/>
      <c r="Q846" s="74"/>
      <c r="R846" s="74"/>
      <c r="S846" s="74"/>
      <c r="T846" s="74"/>
      <c r="U846" s="74"/>
      <c r="V846" s="74"/>
      <c r="W846" s="74"/>
      <c r="X846" s="74"/>
      <c r="Y846" s="74"/>
      <c r="Z846" s="74"/>
      <c r="AA846" s="74"/>
      <c r="AB846" s="74"/>
      <c r="AC846" s="74"/>
      <c r="AD846" s="74"/>
      <c r="AE846" s="12"/>
      <c r="AF846" s="12"/>
      <c r="AG846" s="12"/>
      <c r="AH846" s="180"/>
      <c r="AI846" s="180"/>
      <c r="AJ846" s="12"/>
      <c r="AK846" s="12"/>
      <c r="AL846" s="12"/>
      <c r="AM846" s="12"/>
    </row>
    <row r="847">
      <c r="A847" s="74"/>
      <c r="B847" s="12"/>
      <c r="C847" s="74"/>
      <c r="D847" s="12"/>
      <c r="E847" s="12"/>
      <c r="F847" s="74"/>
      <c r="G847" s="74"/>
      <c r="H847" s="179"/>
      <c r="I847" s="74"/>
      <c r="J847" s="74"/>
      <c r="K847" s="74"/>
      <c r="L847" s="74"/>
      <c r="M847" s="74"/>
      <c r="N847" s="179"/>
      <c r="O847" s="74"/>
      <c r="P847" s="74"/>
      <c r="Q847" s="74"/>
      <c r="R847" s="74"/>
      <c r="S847" s="74"/>
      <c r="T847" s="74"/>
      <c r="U847" s="74"/>
      <c r="V847" s="74"/>
      <c r="W847" s="74"/>
      <c r="X847" s="74"/>
      <c r="Y847" s="74"/>
      <c r="Z847" s="74"/>
      <c r="AA847" s="74"/>
      <c r="AB847" s="74"/>
      <c r="AC847" s="74"/>
      <c r="AD847" s="74"/>
      <c r="AE847" s="12"/>
      <c r="AF847" s="12"/>
      <c r="AG847" s="12"/>
      <c r="AH847" s="180"/>
      <c r="AI847" s="180"/>
      <c r="AJ847" s="12"/>
      <c r="AK847" s="12"/>
      <c r="AL847" s="12"/>
      <c r="AM847" s="12"/>
    </row>
    <row r="848">
      <c r="A848" s="74"/>
      <c r="B848" s="12"/>
      <c r="C848" s="74"/>
      <c r="D848" s="12"/>
      <c r="E848" s="12"/>
      <c r="F848" s="74"/>
      <c r="G848" s="74"/>
      <c r="H848" s="179"/>
      <c r="I848" s="74"/>
      <c r="J848" s="74"/>
      <c r="K848" s="74"/>
      <c r="L848" s="74"/>
      <c r="M848" s="74"/>
      <c r="N848" s="179"/>
      <c r="O848" s="74"/>
      <c r="P848" s="74"/>
      <c r="Q848" s="74"/>
      <c r="R848" s="74"/>
      <c r="S848" s="74"/>
      <c r="T848" s="74"/>
      <c r="U848" s="74"/>
      <c r="V848" s="74"/>
      <c r="W848" s="74"/>
      <c r="X848" s="74"/>
      <c r="Y848" s="74"/>
      <c r="Z848" s="74"/>
      <c r="AA848" s="74"/>
      <c r="AB848" s="74"/>
      <c r="AC848" s="74"/>
      <c r="AD848" s="74"/>
      <c r="AE848" s="12"/>
      <c r="AF848" s="12"/>
      <c r="AG848" s="12"/>
      <c r="AH848" s="180"/>
      <c r="AI848" s="180"/>
      <c r="AJ848" s="12"/>
      <c r="AK848" s="12"/>
      <c r="AL848" s="12"/>
      <c r="AM848" s="12"/>
    </row>
    <row r="849">
      <c r="A849" s="74"/>
      <c r="B849" s="12"/>
      <c r="C849" s="74"/>
      <c r="D849" s="12"/>
      <c r="E849" s="12"/>
      <c r="F849" s="74"/>
      <c r="G849" s="74"/>
      <c r="H849" s="179"/>
      <c r="I849" s="74"/>
      <c r="J849" s="74"/>
      <c r="K849" s="74"/>
      <c r="L849" s="74"/>
      <c r="M849" s="74"/>
      <c r="N849" s="179"/>
      <c r="O849" s="74"/>
      <c r="P849" s="74"/>
      <c r="Q849" s="74"/>
      <c r="R849" s="74"/>
      <c r="S849" s="74"/>
      <c r="T849" s="74"/>
      <c r="U849" s="74"/>
      <c r="V849" s="74"/>
      <c r="W849" s="74"/>
      <c r="X849" s="74"/>
      <c r="Y849" s="74"/>
      <c r="Z849" s="74"/>
      <c r="AA849" s="74"/>
      <c r="AB849" s="74"/>
      <c r="AC849" s="74"/>
      <c r="AD849" s="74"/>
      <c r="AE849" s="12"/>
      <c r="AF849" s="12"/>
      <c r="AG849" s="12"/>
      <c r="AH849" s="180"/>
      <c r="AI849" s="180"/>
      <c r="AJ849" s="12"/>
      <c r="AK849" s="12"/>
      <c r="AL849" s="12"/>
      <c r="AM849" s="12"/>
    </row>
    <row r="850">
      <c r="A850" s="74"/>
      <c r="B850" s="12"/>
      <c r="C850" s="74"/>
      <c r="D850" s="12"/>
      <c r="E850" s="12"/>
      <c r="F850" s="74"/>
      <c r="G850" s="74"/>
      <c r="H850" s="179"/>
      <c r="I850" s="74"/>
      <c r="J850" s="74"/>
      <c r="K850" s="74"/>
      <c r="L850" s="74"/>
      <c r="M850" s="74"/>
      <c r="N850" s="179"/>
      <c r="O850" s="74"/>
      <c r="P850" s="74"/>
      <c r="Q850" s="74"/>
      <c r="R850" s="74"/>
      <c r="S850" s="74"/>
      <c r="T850" s="74"/>
      <c r="U850" s="74"/>
      <c r="V850" s="74"/>
      <c r="W850" s="74"/>
      <c r="X850" s="74"/>
      <c r="Y850" s="74"/>
      <c r="Z850" s="74"/>
      <c r="AA850" s="74"/>
      <c r="AB850" s="74"/>
      <c r="AC850" s="74"/>
      <c r="AD850" s="74"/>
      <c r="AE850" s="12"/>
      <c r="AF850" s="12"/>
      <c r="AG850" s="12"/>
      <c r="AH850" s="180"/>
      <c r="AI850" s="180"/>
      <c r="AJ850" s="12"/>
      <c r="AK850" s="12"/>
      <c r="AL850" s="12"/>
      <c r="AM850" s="12"/>
    </row>
    <row r="851">
      <c r="A851" s="74"/>
      <c r="B851" s="12"/>
      <c r="C851" s="74"/>
      <c r="D851" s="12"/>
      <c r="E851" s="12"/>
      <c r="F851" s="74"/>
      <c r="G851" s="74"/>
      <c r="H851" s="179"/>
      <c r="I851" s="74"/>
      <c r="J851" s="74"/>
      <c r="K851" s="74"/>
      <c r="L851" s="74"/>
      <c r="M851" s="74"/>
      <c r="N851" s="179"/>
      <c r="O851" s="74"/>
      <c r="P851" s="74"/>
      <c r="Q851" s="74"/>
      <c r="R851" s="74"/>
      <c r="S851" s="74"/>
      <c r="T851" s="74"/>
      <c r="U851" s="74"/>
      <c r="V851" s="74"/>
      <c r="W851" s="74"/>
      <c r="X851" s="74"/>
      <c r="Y851" s="74"/>
      <c r="Z851" s="74"/>
      <c r="AA851" s="74"/>
      <c r="AB851" s="74"/>
      <c r="AC851" s="74"/>
      <c r="AD851" s="74"/>
      <c r="AE851" s="12"/>
      <c r="AF851" s="12"/>
      <c r="AG851" s="12"/>
      <c r="AH851" s="180"/>
      <c r="AI851" s="180"/>
      <c r="AJ851" s="12"/>
      <c r="AK851" s="12"/>
      <c r="AL851" s="12"/>
      <c r="AM851" s="12"/>
    </row>
    <row r="852">
      <c r="A852" s="74"/>
      <c r="B852" s="12"/>
      <c r="C852" s="74"/>
      <c r="D852" s="12"/>
      <c r="E852" s="12"/>
      <c r="F852" s="74"/>
      <c r="G852" s="74"/>
      <c r="H852" s="179"/>
      <c r="I852" s="74"/>
      <c r="J852" s="74"/>
      <c r="K852" s="74"/>
      <c r="L852" s="74"/>
      <c r="M852" s="74"/>
      <c r="N852" s="179"/>
      <c r="O852" s="74"/>
      <c r="P852" s="74"/>
      <c r="Q852" s="74"/>
      <c r="R852" s="74"/>
      <c r="S852" s="74"/>
      <c r="T852" s="74"/>
      <c r="U852" s="74"/>
      <c r="V852" s="74"/>
      <c r="W852" s="74"/>
      <c r="X852" s="74"/>
      <c r="Y852" s="74"/>
      <c r="Z852" s="74"/>
      <c r="AA852" s="74"/>
      <c r="AB852" s="74"/>
      <c r="AC852" s="74"/>
      <c r="AD852" s="74"/>
      <c r="AE852" s="12"/>
      <c r="AF852" s="12"/>
      <c r="AG852" s="12"/>
      <c r="AH852" s="180"/>
      <c r="AI852" s="180"/>
      <c r="AJ852" s="12"/>
      <c r="AK852" s="12"/>
      <c r="AL852" s="12"/>
      <c r="AM852" s="12"/>
    </row>
    <row r="853">
      <c r="A853" s="74"/>
      <c r="B853" s="12"/>
      <c r="C853" s="74"/>
      <c r="D853" s="12"/>
      <c r="E853" s="12"/>
      <c r="F853" s="74"/>
      <c r="G853" s="74"/>
      <c r="H853" s="179"/>
      <c r="I853" s="74"/>
      <c r="J853" s="74"/>
      <c r="K853" s="74"/>
      <c r="L853" s="74"/>
      <c r="M853" s="74"/>
      <c r="N853" s="179"/>
      <c r="O853" s="74"/>
      <c r="P853" s="74"/>
      <c r="Q853" s="74"/>
      <c r="R853" s="74"/>
      <c r="S853" s="74"/>
      <c r="T853" s="74"/>
      <c r="U853" s="74"/>
      <c r="V853" s="74"/>
      <c r="W853" s="74"/>
      <c r="X853" s="74"/>
      <c r="Y853" s="74"/>
      <c r="Z853" s="74"/>
      <c r="AA853" s="74"/>
      <c r="AB853" s="74"/>
      <c r="AC853" s="74"/>
      <c r="AD853" s="74"/>
      <c r="AE853" s="12"/>
      <c r="AF853" s="12"/>
      <c r="AG853" s="12"/>
      <c r="AH853" s="180"/>
      <c r="AI853" s="180"/>
      <c r="AJ853" s="12"/>
      <c r="AK853" s="12"/>
      <c r="AL853" s="12"/>
      <c r="AM853" s="12"/>
    </row>
    <row r="854">
      <c r="A854" s="74"/>
      <c r="B854" s="12"/>
      <c r="C854" s="74"/>
      <c r="D854" s="12"/>
      <c r="E854" s="12"/>
      <c r="F854" s="74"/>
      <c r="G854" s="74"/>
      <c r="H854" s="179"/>
      <c r="I854" s="74"/>
      <c r="J854" s="74"/>
      <c r="K854" s="74"/>
      <c r="L854" s="74"/>
      <c r="M854" s="74"/>
      <c r="N854" s="179"/>
      <c r="O854" s="74"/>
      <c r="P854" s="74"/>
      <c r="Q854" s="74"/>
      <c r="R854" s="74"/>
      <c r="S854" s="74"/>
      <c r="T854" s="74"/>
      <c r="U854" s="74"/>
      <c r="V854" s="74"/>
      <c r="W854" s="74"/>
      <c r="X854" s="74"/>
      <c r="Y854" s="74"/>
      <c r="Z854" s="74"/>
      <c r="AA854" s="74"/>
      <c r="AB854" s="74"/>
      <c r="AC854" s="74"/>
      <c r="AD854" s="74"/>
      <c r="AE854" s="12"/>
      <c r="AF854" s="12"/>
      <c r="AG854" s="12"/>
      <c r="AH854" s="180"/>
      <c r="AI854" s="180"/>
      <c r="AJ854" s="12"/>
      <c r="AK854" s="12"/>
      <c r="AL854" s="12"/>
      <c r="AM854" s="12"/>
    </row>
    <row r="855">
      <c r="A855" s="74"/>
      <c r="B855" s="12"/>
      <c r="C855" s="74"/>
      <c r="D855" s="12"/>
      <c r="E855" s="12"/>
      <c r="F855" s="74"/>
      <c r="G855" s="74"/>
      <c r="H855" s="179"/>
      <c r="I855" s="74"/>
      <c r="J855" s="74"/>
      <c r="K855" s="74"/>
      <c r="L855" s="74"/>
      <c r="M855" s="74"/>
      <c r="N855" s="179"/>
      <c r="O855" s="74"/>
      <c r="P855" s="74"/>
      <c r="Q855" s="74"/>
      <c r="R855" s="74"/>
      <c r="S855" s="74"/>
      <c r="T855" s="74"/>
      <c r="U855" s="74"/>
      <c r="V855" s="74"/>
      <c r="W855" s="74"/>
      <c r="X855" s="74"/>
      <c r="Y855" s="74"/>
      <c r="Z855" s="74"/>
      <c r="AA855" s="74"/>
      <c r="AB855" s="74"/>
      <c r="AC855" s="74"/>
      <c r="AD855" s="74"/>
      <c r="AE855" s="12"/>
      <c r="AF855" s="12"/>
      <c r="AG855" s="12"/>
      <c r="AH855" s="180"/>
      <c r="AI855" s="180"/>
      <c r="AJ855" s="12"/>
      <c r="AK855" s="12"/>
      <c r="AL855" s="12"/>
      <c r="AM855" s="12"/>
    </row>
    <row r="856">
      <c r="A856" s="74"/>
      <c r="B856" s="12"/>
      <c r="C856" s="74"/>
      <c r="D856" s="12"/>
      <c r="E856" s="12"/>
      <c r="F856" s="74"/>
      <c r="G856" s="74"/>
      <c r="H856" s="179"/>
      <c r="I856" s="74"/>
      <c r="J856" s="74"/>
      <c r="K856" s="74"/>
      <c r="L856" s="74"/>
      <c r="M856" s="74"/>
      <c r="N856" s="179"/>
      <c r="O856" s="74"/>
      <c r="P856" s="74"/>
      <c r="Q856" s="74"/>
      <c r="R856" s="74"/>
      <c r="S856" s="74"/>
      <c r="T856" s="74"/>
      <c r="U856" s="74"/>
      <c r="V856" s="74"/>
      <c r="W856" s="74"/>
      <c r="X856" s="74"/>
      <c r="Y856" s="74"/>
      <c r="Z856" s="74"/>
      <c r="AA856" s="74"/>
      <c r="AB856" s="74"/>
      <c r="AC856" s="74"/>
      <c r="AD856" s="74"/>
      <c r="AE856" s="12"/>
      <c r="AF856" s="12"/>
      <c r="AG856" s="12"/>
      <c r="AH856" s="180"/>
      <c r="AI856" s="180"/>
      <c r="AJ856" s="12"/>
      <c r="AK856" s="12"/>
      <c r="AL856" s="12"/>
      <c r="AM856" s="12"/>
    </row>
    <row r="857">
      <c r="A857" s="74"/>
      <c r="B857" s="12"/>
      <c r="C857" s="74"/>
      <c r="D857" s="12"/>
      <c r="E857" s="12"/>
      <c r="F857" s="74"/>
      <c r="G857" s="74"/>
      <c r="H857" s="179"/>
      <c r="I857" s="74"/>
      <c r="J857" s="74"/>
      <c r="K857" s="74"/>
      <c r="L857" s="74"/>
      <c r="M857" s="74"/>
      <c r="N857" s="179"/>
      <c r="O857" s="74"/>
      <c r="P857" s="74"/>
      <c r="Q857" s="74"/>
      <c r="R857" s="74"/>
      <c r="S857" s="74"/>
      <c r="T857" s="74"/>
      <c r="U857" s="74"/>
      <c r="V857" s="74"/>
      <c r="W857" s="74"/>
      <c r="X857" s="74"/>
      <c r="Y857" s="74"/>
      <c r="Z857" s="74"/>
      <c r="AA857" s="74"/>
      <c r="AB857" s="74"/>
      <c r="AC857" s="74"/>
      <c r="AD857" s="74"/>
      <c r="AE857" s="12"/>
      <c r="AF857" s="12"/>
      <c r="AG857" s="12"/>
      <c r="AH857" s="180"/>
      <c r="AI857" s="180"/>
      <c r="AJ857" s="12"/>
      <c r="AK857" s="12"/>
      <c r="AL857" s="12"/>
      <c r="AM857" s="12"/>
    </row>
    <row r="858">
      <c r="A858" s="74"/>
      <c r="B858" s="12"/>
      <c r="C858" s="74"/>
      <c r="D858" s="12"/>
      <c r="E858" s="12"/>
      <c r="F858" s="74"/>
      <c r="G858" s="74"/>
      <c r="H858" s="179"/>
      <c r="I858" s="74"/>
      <c r="J858" s="74"/>
      <c r="K858" s="74"/>
      <c r="L858" s="74"/>
      <c r="M858" s="74"/>
      <c r="N858" s="179"/>
      <c r="O858" s="74"/>
      <c r="P858" s="74"/>
      <c r="Q858" s="74"/>
      <c r="R858" s="74"/>
      <c r="S858" s="74"/>
      <c r="T858" s="74"/>
      <c r="U858" s="74"/>
      <c r="V858" s="74"/>
      <c r="W858" s="74"/>
      <c r="X858" s="74"/>
      <c r="Y858" s="74"/>
      <c r="Z858" s="74"/>
      <c r="AA858" s="74"/>
      <c r="AB858" s="74"/>
      <c r="AC858" s="74"/>
      <c r="AD858" s="74"/>
      <c r="AE858" s="12"/>
      <c r="AF858" s="12"/>
      <c r="AG858" s="12"/>
      <c r="AH858" s="180"/>
      <c r="AI858" s="180"/>
      <c r="AJ858" s="12"/>
      <c r="AK858" s="12"/>
      <c r="AL858" s="12"/>
      <c r="AM858" s="12"/>
    </row>
    <row r="859">
      <c r="A859" s="74"/>
      <c r="B859" s="12"/>
      <c r="C859" s="74"/>
      <c r="D859" s="12"/>
      <c r="E859" s="12"/>
      <c r="F859" s="74"/>
      <c r="G859" s="74"/>
      <c r="H859" s="179"/>
      <c r="I859" s="74"/>
      <c r="J859" s="74"/>
      <c r="K859" s="74"/>
      <c r="L859" s="74"/>
      <c r="M859" s="74"/>
      <c r="N859" s="179"/>
      <c r="O859" s="74"/>
      <c r="P859" s="74"/>
      <c r="Q859" s="74"/>
      <c r="R859" s="74"/>
      <c r="S859" s="74"/>
      <c r="T859" s="74"/>
      <c r="U859" s="74"/>
      <c r="V859" s="74"/>
      <c r="W859" s="74"/>
      <c r="X859" s="74"/>
      <c r="Y859" s="74"/>
      <c r="Z859" s="74"/>
      <c r="AA859" s="74"/>
      <c r="AB859" s="74"/>
      <c r="AC859" s="74"/>
      <c r="AD859" s="74"/>
      <c r="AE859" s="12"/>
      <c r="AF859" s="12"/>
      <c r="AG859" s="12"/>
      <c r="AH859" s="180"/>
      <c r="AI859" s="180"/>
      <c r="AJ859" s="12"/>
      <c r="AK859" s="12"/>
      <c r="AL859" s="12"/>
      <c r="AM859" s="12"/>
    </row>
    <row r="860">
      <c r="A860" s="74"/>
      <c r="B860" s="12"/>
      <c r="C860" s="74"/>
      <c r="D860" s="12"/>
      <c r="E860" s="12"/>
      <c r="F860" s="74"/>
      <c r="G860" s="74"/>
      <c r="H860" s="179"/>
      <c r="I860" s="74"/>
      <c r="J860" s="74"/>
      <c r="K860" s="74"/>
      <c r="L860" s="74"/>
      <c r="M860" s="74"/>
      <c r="N860" s="179"/>
      <c r="O860" s="74"/>
      <c r="P860" s="74"/>
      <c r="Q860" s="74"/>
      <c r="R860" s="74"/>
      <c r="S860" s="74"/>
      <c r="T860" s="74"/>
      <c r="U860" s="74"/>
      <c r="V860" s="74"/>
      <c r="W860" s="74"/>
      <c r="X860" s="74"/>
      <c r="Y860" s="74"/>
      <c r="Z860" s="74"/>
      <c r="AA860" s="74"/>
      <c r="AB860" s="74"/>
      <c r="AC860" s="74"/>
      <c r="AD860" s="74"/>
      <c r="AE860" s="12"/>
      <c r="AF860" s="12"/>
      <c r="AG860" s="12"/>
      <c r="AH860" s="180"/>
      <c r="AI860" s="180"/>
      <c r="AJ860" s="12"/>
      <c r="AK860" s="12"/>
      <c r="AL860" s="12"/>
      <c r="AM860" s="12"/>
    </row>
    <row r="861">
      <c r="A861" s="74"/>
      <c r="B861" s="12"/>
      <c r="C861" s="74"/>
      <c r="D861" s="12"/>
      <c r="E861" s="12"/>
      <c r="F861" s="74"/>
      <c r="G861" s="74"/>
      <c r="H861" s="179"/>
      <c r="I861" s="74"/>
      <c r="J861" s="74"/>
      <c r="K861" s="74"/>
      <c r="L861" s="74"/>
      <c r="M861" s="74"/>
      <c r="N861" s="179"/>
      <c r="O861" s="74"/>
      <c r="P861" s="74"/>
      <c r="Q861" s="74"/>
      <c r="R861" s="74"/>
      <c r="S861" s="74"/>
      <c r="T861" s="74"/>
      <c r="U861" s="74"/>
      <c r="V861" s="74"/>
      <c r="W861" s="74"/>
      <c r="X861" s="74"/>
      <c r="Y861" s="74"/>
      <c r="Z861" s="74"/>
      <c r="AA861" s="74"/>
      <c r="AB861" s="74"/>
      <c r="AC861" s="74"/>
      <c r="AD861" s="74"/>
      <c r="AE861" s="12"/>
      <c r="AF861" s="12"/>
      <c r="AG861" s="12"/>
      <c r="AH861" s="180"/>
      <c r="AI861" s="180"/>
      <c r="AJ861" s="12"/>
      <c r="AK861" s="12"/>
      <c r="AL861" s="12"/>
      <c r="AM861" s="12"/>
    </row>
    <row r="862">
      <c r="A862" s="74"/>
      <c r="B862" s="12"/>
      <c r="C862" s="74"/>
      <c r="D862" s="12"/>
      <c r="E862" s="12"/>
      <c r="F862" s="74"/>
      <c r="G862" s="74"/>
      <c r="H862" s="179"/>
      <c r="I862" s="74"/>
      <c r="J862" s="74"/>
      <c r="K862" s="74"/>
      <c r="L862" s="74"/>
      <c r="M862" s="74"/>
      <c r="N862" s="179"/>
      <c r="O862" s="74"/>
      <c r="P862" s="74"/>
      <c r="Q862" s="74"/>
      <c r="R862" s="74"/>
      <c r="S862" s="74"/>
      <c r="T862" s="74"/>
      <c r="U862" s="74"/>
      <c r="V862" s="74"/>
      <c r="W862" s="74"/>
      <c r="X862" s="74"/>
      <c r="Y862" s="74"/>
      <c r="Z862" s="74"/>
      <c r="AA862" s="74"/>
      <c r="AB862" s="74"/>
      <c r="AC862" s="74"/>
      <c r="AD862" s="74"/>
      <c r="AE862" s="12"/>
      <c r="AF862" s="12"/>
      <c r="AG862" s="12"/>
      <c r="AH862" s="180"/>
      <c r="AI862" s="180"/>
      <c r="AJ862" s="12"/>
      <c r="AK862" s="12"/>
      <c r="AL862" s="12"/>
      <c r="AM862" s="12"/>
    </row>
    <row r="863">
      <c r="A863" s="74"/>
      <c r="B863" s="12"/>
      <c r="C863" s="74"/>
      <c r="D863" s="12"/>
      <c r="E863" s="12"/>
      <c r="F863" s="74"/>
      <c r="G863" s="74"/>
      <c r="H863" s="179"/>
      <c r="I863" s="74"/>
      <c r="J863" s="74"/>
      <c r="K863" s="74"/>
      <c r="L863" s="74"/>
      <c r="M863" s="74"/>
      <c r="N863" s="179"/>
      <c r="O863" s="74"/>
      <c r="P863" s="74"/>
      <c r="Q863" s="74"/>
      <c r="R863" s="74"/>
      <c r="S863" s="74"/>
      <c r="T863" s="74"/>
      <c r="U863" s="74"/>
      <c r="V863" s="74"/>
      <c r="W863" s="74"/>
      <c r="X863" s="74"/>
      <c r="Y863" s="74"/>
      <c r="Z863" s="74"/>
      <c r="AA863" s="74"/>
      <c r="AB863" s="74"/>
      <c r="AC863" s="74"/>
      <c r="AD863" s="74"/>
      <c r="AE863" s="12"/>
      <c r="AF863" s="12"/>
      <c r="AG863" s="12"/>
      <c r="AH863" s="180"/>
      <c r="AI863" s="180"/>
      <c r="AJ863" s="12"/>
      <c r="AK863" s="12"/>
      <c r="AL863" s="12"/>
      <c r="AM863" s="12"/>
    </row>
    <row r="864">
      <c r="A864" s="74"/>
      <c r="B864" s="12"/>
      <c r="C864" s="74"/>
      <c r="D864" s="12"/>
      <c r="E864" s="12"/>
      <c r="F864" s="74"/>
      <c r="G864" s="74"/>
      <c r="H864" s="179"/>
      <c r="I864" s="74"/>
      <c r="J864" s="74"/>
      <c r="K864" s="74"/>
      <c r="L864" s="74"/>
      <c r="M864" s="74"/>
      <c r="N864" s="179"/>
      <c r="O864" s="74"/>
      <c r="P864" s="74"/>
      <c r="Q864" s="74"/>
      <c r="R864" s="74"/>
      <c r="S864" s="74"/>
      <c r="T864" s="74"/>
      <c r="U864" s="74"/>
      <c r="V864" s="74"/>
      <c r="W864" s="74"/>
      <c r="X864" s="74"/>
      <c r="Y864" s="74"/>
      <c r="Z864" s="74"/>
      <c r="AA864" s="74"/>
      <c r="AB864" s="74"/>
      <c r="AC864" s="74"/>
      <c r="AD864" s="74"/>
      <c r="AE864" s="12"/>
      <c r="AF864" s="12"/>
      <c r="AG864" s="12"/>
      <c r="AH864" s="180"/>
      <c r="AI864" s="180"/>
      <c r="AJ864" s="12"/>
      <c r="AK864" s="12"/>
      <c r="AL864" s="12"/>
      <c r="AM864" s="12"/>
    </row>
    <row r="865">
      <c r="A865" s="74"/>
      <c r="B865" s="12"/>
      <c r="C865" s="74"/>
      <c r="D865" s="12"/>
      <c r="E865" s="12"/>
      <c r="F865" s="74"/>
      <c r="G865" s="74"/>
      <c r="H865" s="179"/>
      <c r="I865" s="74"/>
      <c r="J865" s="74"/>
      <c r="K865" s="74"/>
      <c r="L865" s="74"/>
      <c r="M865" s="74"/>
      <c r="N865" s="179"/>
      <c r="O865" s="74"/>
      <c r="P865" s="74"/>
      <c r="Q865" s="74"/>
      <c r="R865" s="74"/>
      <c r="S865" s="74"/>
      <c r="T865" s="74"/>
      <c r="U865" s="74"/>
      <c r="V865" s="74"/>
      <c r="W865" s="74"/>
      <c r="X865" s="74"/>
      <c r="Y865" s="74"/>
      <c r="Z865" s="74"/>
      <c r="AA865" s="74"/>
      <c r="AB865" s="74"/>
      <c r="AC865" s="74"/>
      <c r="AD865" s="74"/>
      <c r="AE865" s="12"/>
      <c r="AF865" s="12"/>
      <c r="AG865" s="12"/>
      <c r="AH865" s="180"/>
      <c r="AI865" s="180"/>
      <c r="AJ865" s="12"/>
      <c r="AK865" s="12"/>
      <c r="AL865" s="12"/>
      <c r="AM865" s="12"/>
    </row>
    <row r="866">
      <c r="A866" s="74"/>
      <c r="B866" s="12"/>
      <c r="C866" s="74"/>
      <c r="D866" s="12"/>
      <c r="E866" s="12"/>
      <c r="F866" s="74"/>
      <c r="G866" s="74"/>
      <c r="H866" s="179"/>
      <c r="I866" s="74"/>
      <c r="J866" s="74"/>
      <c r="K866" s="74"/>
      <c r="L866" s="74"/>
      <c r="M866" s="74"/>
      <c r="N866" s="179"/>
      <c r="O866" s="74"/>
      <c r="P866" s="74"/>
      <c r="Q866" s="74"/>
      <c r="R866" s="74"/>
      <c r="S866" s="74"/>
      <c r="T866" s="74"/>
      <c r="U866" s="74"/>
      <c r="V866" s="74"/>
      <c r="W866" s="74"/>
      <c r="X866" s="74"/>
      <c r="Y866" s="74"/>
      <c r="Z866" s="74"/>
      <c r="AA866" s="74"/>
      <c r="AB866" s="74"/>
      <c r="AC866" s="74"/>
      <c r="AD866" s="74"/>
      <c r="AE866" s="12"/>
      <c r="AF866" s="12"/>
      <c r="AG866" s="12"/>
      <c r="AH866" s="180"/>
      <c r="AI866" s="180"/>
      <c r="AJ866" s="12"/>
      <c r="AK866" s="12"/>
      <c r="AL866" s="12"/>
      <c r="AM866" s="12"/>
    </row>
    <row r="867">
      <c r="A867" s="74"/>
      <c r="B867" s="12"/>
      <c r="C867" s="74"/>
      <c r="D867" s="12"/>
      <c r="E867" s="12"/>
      <c r="F867" s="74"/>
      <c r="G867" s="74"/>
      <c r="H867" s="179"/>
      <c r="I867" s="74"/>
      <c r="J867" s="74"/>
      <c r="K867" s="74"/>
      <c r="L867" s="74"/>
      <c r="M867" s="74"/>
      <c r="N867" s="179"/>
      <c r="O867" s="74"/>
      <c r="P867" s="74"/>
      <c r="Q867" s="74"/>
      <c r="R867" s="74"/>
      <c r="S867" s="74"/>
      <c r="T867" s="74"/>
      <c r="U867" s="74"/>
      <c r="V867" s="74"/>
      <c r="W867" s="74"/>
      <c r="X867" s="74"/>
      <c r="Y867" s="74"/>
      <c r="Z867" s="74"/>
      <c r="AA867" s="74"/>
      <c r="AB867" s="74"/>
      <c r="AC867" s="74"/>
      <c r="AD867" s="74"/>
      <c r="AE867" s="12"/>
      <c r="AF867" s="12"/>
      <c r="AG867" s="12"/>
      <c r="AH867" s="180"/>
      <c r="AI867" s="180"/>
      <c r="AJ867" s="12"/>
      <c r="AK867" s="12"/>
      <c r="AL867" s="12"/>
      <c r="AM867" s="12"/>
    </row>
    <row r="868">
      <c r="A868" s="74"/>
      <c r="B868" s="12"/>
      <c r="C868" s="74"/>
      <c r="D868" s="12"/>
      <c r="E868" s="12"/>
      <c r="F868" s="74"/>
      <c r="G868" s="74"/>
      <c r="H868" s="179"/>
      <c r="I868" s="74"/>
      <c r="J868" s="74"/>
      <c r="K868" s="74"/>
      <c r="L868" s="74"/>
      <c r="M868" s="74"/>
      <c r="N868" s="179"/>
      <c r="O868" s="74"/>
      <c r="P868" s="74"/>
      <c r="Q868" s="74"/>
      <c r="R868" s="74"/>
      <c r="S868" s="74"/>
      <c r="T868" s="74"/>
      <c r="U868" s="74"/>
      <c r="V868" s="74"/>
      <c r="W868" s="74"/>
      <c r="X868" s="74"/>
      <c r="Y868" s="74"/>
      <c r="Z868" s="74"/>
      <c r="AA868" s="74"/>
      <c r="AB868" s="74"/>
      <c r="AC868" s="74"/>
      <c r="AD868" s="74"/>
      <c r="AE868" s="12"/>
      <c r="AF868" s="12"/>
      <c r="AG868" s="12"/>
      <c r="AH868" s="180"/>
      <c r="AI868" s="180"/>
      <c r="AJ868" s="12"/>
      <c r="AK868" s="12"/>
      <c r="AL868" s="12"/>
      <c r="AM868" s="12"/>
    </row>
    <row r="869">
      <c r="A869" s="74"/>
      <c r="B869" s="12"/>
      <c r="C869" s="74"/>
      <c r="D869" s="12"/>
      <c r="E869" s="12"/>
      <c r="F869" s="74"/>
      <c r="G869" s="74"/>
      <c r="H869" s="179"/>
      <c r="I869" s="74"/>
      <c r="J869" s="74"/>
      <c r="K869" s="74"/>
      <c r="L869" s="74"/>
      <c r="M869" s="74"/>
      <c r="N869" s="179"/>
      <c r="O869" s="74"/>
      <c r="P869" s="74"/>
      <c r="Q869" s="74"/>
      <c r="R869" s="74"/>
      <c r="S869" s="74"/>
      <c r="T869" s="74"/>
      <c r="U869" s="74"/>
      <c r="V869" s="74"/>
      <c r="W869" s="74"/>
      <c r="X869" s="74"/>
      <c r="Y869" s="74"/>
      <c r="Z869" s="74"/>
      <c r="AA869" s="74"/>
      <c r="AB869" s="74"/>
      <c r="AC869" s="74"/>
      <c r="AD869" s="74"/>
      <c r="AE869" s="12"/>
      <c r="AF869" s="12"/>
      <c r="AG869" s="12"/>
      <c r="AH869" s="180"/>
      <c r="AI869" s="180"/>
      <c r="AJ869" s="12"/>
      <c r="AK869" s="12"/>
      <c r="AL869" s="12"/>
      <c r="AM869" s="12"/>
    </row>
    <row r="870">
      <c r="A870" s="74"/>
      <c r="B870" s="12"/>
      <c r="C870" s="74"/>
      <c r="D870" s="12"/>
      <c r="E870" s="12"/>
      <c r="F870" s="74"/>
      <c r="G870" s="74"/>
      <c r="H870" s="179"/>
      <c r="I870" s="74"/>
      <c r="J870" s="74"/>
      <c r="K870" s="74"/>
      <c r="L870" s="74"/>
      <c r="M870" s="74"/>
      <c r="N870" s="179"/>
      <c r="O870" s="74"/>
      <c r="P870" s="74"/>
      <c r="Q870" s="74"/>
      <c r="R870" s="74"/>
      <c r="S870" s="74"/>
      <c r="T870" s="74"/>
      <c r="U870" s="74"/>
      <c r="V870" s="74"/>
      <c r="W870" s="74"/>
      <c r="X870" s="74"/>
      <c r="Y870" s="74"/>
      <c r="Z870" s="74"/>
      <c r="AA870" s="74"/>
      <c r="AB870" s="74"/>
      <c r="AC870" s="74"/>
      <c r="AD870" s="74"/>
      <c r="AE870" s="12"/>
      <c r="AF870" s="12"/>
      <c r="AG870" s="12"/>
      <c r="AH870" s="180"/>
      <c r="AI870" s="180"/>
      <c r="AJ870" s="12"/>
      <c r="AK870" s="12"/>
      <c r="AL870" s="12"/>
      <c r="AM870" s="12"/>
    </row>
    <row r="871">
      <c r="A871" s="74"/>
      <c r="B871" s="12"/>
      <c r="C871" s="74"/>
      <c r="D871" s="12"/>
      <c r="E871" s="12"/>
      <c r="F871" s="74"/>
      <c r="G871" s="74"/>
      <c r="H871" s="179"/>
      <c r="I871" s="74"/>
      <c r="J871" s="74"/>
      <c r="K871" s="74"/>
      <c r="L871" s="74"/>
      <c r="M871" s="74"/>
      <c r="N871" s="179"/>
      <c r="O871" s="74"/>
      <c r="P871" s="74"/>
      <c r="Q871" s="74"/>
      <c r="R871" s="74"/>
      <c r="S871" s="74"/>
      <c r="T871" s="74"/>
      <c r="U871" s="74"/>
      <c r="V871" s="74"/>
      <c r="W871" s="74"/>
      <c r="X871" s="74"/>
      <c r="Y871" s="74"/>
      <c r="Z871" s="74"/>
      <c r="AA871" s="74"/>
      <c r="AB871" s="74"/>
      <c r="AC871" s="74"/>
      <c r="AD871" s="74"/>
      <c r="AE871" s="12"/>
      <c r="AF871" s="12"/>
      <c r="AG871" s="12"/>
      <c r="AH871" s="180"/>
      <c r="AI871" s="180"/>
      <c r="AJ871" s="12"/>
      <c r="AK871" s="12"/>
      <c r="AL871" s="12"/>
      <c r="AM871" s="12"/>
    </row>
    <row r="872">
      <c r="A872" s="74"/>
      <c r="B872" s="12"/>
      <c r="C872" s="74"/>
      <c r="D872" s="12"/>
      <c r="E872" s="12"/>
      <c r="F872" s="74"/>
      <c r="G872" s="74"/>
      <c r="H872" s="179"/>
      <c r="I872" s="74"/>
      <c r="J872" s="74"/>
      <c r="K872" s="74"/>
      <c r="L872" s="74"/>
      <c r="M872" s="74"/>
      <c r="N872" s="179"/>
      <c r="O872" s="74"/>
      <c r="P872" s="74"/>
      <c r="Q872" s="74"/>
      <c r="R872" s="74"/>
      <c r="S872" s="74"/>
      <c r="T872" s="74"/>
      <c r="U872" s="74"/>
      <c r="V872" s="74"/>
      <c r="W872" s="74"/>
      <c r="X872" s="74"/>
      <c r="Y872" s="74"/>
      <c r="Z872" s="74"/>
      <c r="AA872" s="74"/>
      <c r="AB872" s="74"/>
      <c r="AC872" s="74"/>
      <c r="AD872" s="74"/>
      <c r="AE872" s="12"/>
      <c r="AF872" s="12"/>
      <c r="AG872" s="12"/>
      <c r="AH872" s="180"/>
      <c r="AI872" s="180"/>
      <c r="AJ872" s="12"/>
      <c r="AK872" s="12"/>
      <c r="AL872" s="12"/>
      <c r="AM872" s="12"/>
    </row>
    <row r="873">
      <c r="A873" s="74"/>
      <c r="B873" s="12"/>
      <c r="C873" s="74"/>
      <c r="D873" s="12"/>
      <c r="E873" s="12"/>
      <c r="F873" s="74"/>
      <c r="G873" s="74"/>
      <c r="H873" s="179"/>
      <c r="I873" s="74"/>
      <c r="J873" s="74"/>
      <c r="K873" s="74"/>
      <c r="L873" s="74"/>
      <c r="M873" s="74"/>
      <c r="N873" s="179"/>
      <c r="O873" s="74"/>
      <c r="P873" s="74"/>
      <c r="Q873" s="74"/>
      <c r="R873" s="74"/>
      <c r="S873" s="74"/>
      <c r="T873" s="74"/>
      <c r="U873" s="74"/>
      <c r="V873" s="74"/>
      <c r="W873" s="74"/>
      <c r="X873" s="74"/>
      <c r="Y873" s="74"/>
      <c r="Z873" s="74"/>
      <c r="AA873" s="74"/>
      <c r="AB873" s="74"/>
      <c r="AC873" s="74"/>
      <c r="AD873" s="74"/>
      <c r="AE873" s="12"/>
      <c r="AF873" s="12"/>
      <c r="AG873" s="12"/>
      <c r="AH873" s="180"/>
      <c r="AI873" s="180"/>
      <c r="AJ873" s="12"/>
      <c r="AK873" s="12"/>
      <c r="AL873" s="12"/>
      <c r="AM873" s="12"/>
    </row>
    <row r="874">
      <c r="A874" s="74"/>
      <c r="B874" s="12"/>
      <c r="C874" s="74"/>
      <c r="D874" s="12"/>
      <c r="E874" s="12"/>
      <c r="F874" s="74"/>
      <c r="G874" s="74"/>
      <c r="H874" s="179"/>
      <c r="I874" s="74"/>
      <c r="J874" s="74"/>
      <c r="K874" s="74"/>
      <c r="L874" s="74"/>
      <c r="M874" s="74"/>
      <c r="N874" s="179"/>
      <c r="O874" s="74"/>
      <c r="P874" s="74"/>
      <c r="Q874" s="74"/>
      <c r="R874" s="74"/>
      <c r="S874" s="74"/>
      <c r="T874" s="74"/>
      <c r="U874" s="74"/>
      <c r="V874" s="74"/>
      <c r="W874" s="74"/>
      <c r="X874" s="74"/>
      <c r="Y874" s="74"/>
      <c r="Z874" s="74"/>
      <c r="AA874" s="74"/>
      <c r="AB874" s="74"/>
      <c r="AC874" s="74"/>
      <c r="AD874" s="74"/>
      <c r="AE874" s="12"/>
      <c r="AF874" s="12"/>
      <c r="AG874" s="12"/>
      <c r="AH874" s="180"/>
      <c r="AI874" s="180"/>
      <c r="AJ874" s="12"/>
      <c r="AK874" s="12"/>
      <c r="AL874" s="12"/>
      <c r="AM874" s="12"/>
    </row>
    <row r="875">
      <c r="A875" s="74"/>
      <c r="B875" s="12"/>
      <c r="C875" s="74"/>
      <c r="D875" s="12"/>
      <c r="E875" s="12"/>
      <c r="F875" s="74"/>
      <c r="G875" s="74"/>
      <c r="H875" s="179"/>
      <c r="I875" s="74"/>
      <c r="J875" s="74"/>
      <c r="K875" s="74"/>
      <c r="L875" s="74"/>
      <c r="M875" s="74"/>
      <c r="N875" s="179"/>
      <c r="O875" s="74"/>
      <c r="P875" s="74"/>
      <c r="Q875" s="74"/>
      <c r="R875" s="74"/>
      <c r="S875" s="74"/>
      <c r="T875" s="74"/>
      <c r="U875" s="74"/>
      <c r="V875" s="74"/>
      <c r="W875" s="74"/>
      <c r="X875" s="74"/>
      <c r="Y875" s="74"/>
      <c r="Z875" s="74"/>
      <c r="AA875" s="74"/>
      <c r="AB875" s="74"/>
      <c r="AC875" s="74"/>
      <c r="AD875" s="74"/>
      <c r="AE875" s="12"/>
      <c r="AF875" s="12"/>
      <c r="AG875" s="12"/>
      <c r="AH875" s="180"/>
      <c r="AI875" s="180"/>
      <c r="AJ875" s="12"/>
      <c r="AK875" s="12"/>
      <c r="AL875" s="12"/>
      <c r="AM875" s="12"/>
    </row>
    <row r="876">
      <c r="A876" s="74"/>
      <c r="B876" s="12"/>
      <c r="C876" s="74"/>
      <c r="D876" s="12"/>
      <c r="E876" s="12"/>
      <c r="F876" s="74"/>
      <c r="G876" s="74"/>
      <c r="H876" s="179"/>
      <c r="I876" s="74"/>
      <c r="J876" s="74"/>
      <c r="K876" s="74"/>
      <c r="L876" s="74"/>
      <c r="M876" s="74"/>
      <c r="N876" s="179"/>
      <c r="O876" s="74"/>
      <c r="P876" s="74"/>
      <c r="Q876" s="74"/>
      <c r="R876" s="74"/>
      <c r="S876" s="74"/>
      <c r="T876" s="74"/>
      <c r="U876" s="74"/>
      <c r="V876" s="74"/>
      <c r="W876" s="74"/>
      <c r="X876" s="74"/>
      <c r="Y876" s="74"/>
      <c r="Z876" s="74"/>
      <c r="AA876" s="74"/>
      <c r="AB876" s="74"/>
      <c r="AC876" s="74"/>
      <c r="AD876" s="74"/>
      <c r="AE876" s="12"/>
      <c r="AF876" s="12"/>
      <c r="AG876" s="12"/>
      <c r="AH876" s="180"/>
      <c r="AI876" s="180"/>
      <c r="AJ876" s="12"/>
      <c r="AK876" s="12"/>
      <c r="AL876" s="12"/>
      <c r="AM876" s="12"/>
    </row>
    <row r="877">
      <c r="A877" s="74"/>
      <c r="B877" s="12"/>
      <c r="C877" s="74"/>
      <c r="D877" s="12"/>
      <c r="E877" s="12"/>
      <c r="F877" s="74"/>
      <c r="G877" s="74"/>
      <c r="H877" s="179"/>
      <c r="I877" s="74"/>
      <c r="J877" s="74"/>
      <c r="K877" s="74"/>
      <c r="L877" s="74"/>
      <c r="M877" s="74"/>
      <c r="N877" s="179"/>
      <c r="O877" s="74"/>
      <c r="P877" s="74"/>
      <c r="Q877" s="74"/>
      <c r="R877" s="74"/>
      <c r="S877" s="74"/>
      <c r="T877" s="74"/>
      <c r="U877" s="74"/>
      <c r="V877" s="74"/>
      <c r="W877" s="74"/>
      <c r="X877" s="74"/>
      <c r="Y877" s="74"/>
      <c r="Z877" s="74"/>
      <c r="AA877" s="74"/>
      <c r="AB877" s="74"/>
      <c r="AC877" s="74"/>
      <c r="AD877" s="74"/>
      <c r="AE877" s="12"/>
      <c r="AF877" s="12"/>
      <c r="AG877" s="12"/>
      <c r="AH877" s="180"/>
      <c r="AI877" s="180"/>
      <c r="AJ877" s="12"/>
      <c r="AK877" s="12"/>
      <c r="AL877" s="12"/>
      <c r="AM877" s="12"/>
    </row>
    <row r="878">
      <c r="A878" s="74"/>
      <c r="B878" s="12"/>
      <c r="C878" s="74"/>
      <c r="D878" s="12"/>
      <c r="E878" s="12"/>
      <c r="F878" s="74"/>
      <c r="G878" s="74"/>
      <c r="H878" s="179"/>
      <c r="I878" s="74"/>
      <c r="J878" s="74"/>
      <c r="K878" s="74"/>
      <c r="L878" s="74"/>
      <c r="M878" s="74"/>
      <c r="N878" s="179"/>
      <c r="O878" s="74"/>
      <c r="P878" s="74"/>
      <c r="Q878" s="74"/>
      <c r="R878" s="74"/>
      <c r="S878" s="74"/>
      <c r="T878" s="74"/>
      <c r="U878" s="74"/>
      <c r="V878" s="74"/>
      <c r="W878" s="74"/>
      <c r="X878" s="74"/>
      <c r="Y878" s="74"/>
      <c r="Z878" s="74"/>
      <c r="AA878" s="74"/>
      <c r="AB878" s="74"/>
      <c r="AC878" s="74"/>
      <c r="AD878" s="74"/>
      <c r="AE878" s="12"/>
      <c r="AF878" s="12"/>
      <c r="AG878" s="12"/>
      <c r="AH878" s="180"/>
      <c r="AI878" s="180"/>
      <c r="AJ878" s="12"/>
      <c r="AK878" s="12"/>
      <c r="AL878" s="12"/>
      <c r="AM878" s="12"/>
    </row>
    <row r="879">
      <c r="A879" s="74"/>
      <c r="B879" s="12"/>
      <c r="C879" s="74"/>
      <c r="D879" s="12"/>
      <c r="E879" s="12"/>
      <c r="F879" s="74"/>
      <c r="G879" s="74"/>
      <c r="H879" s="179"/>
      <c r="I879" s="74"/>
      <c r="J879" s="74"/>
      <c r="K879" s="74"/>
      <c r="L879" s="74"/>
      <c r="M879" s="74"/>
      <c r="N879" s="179"/>
      <c r="O879" s="74"/>
      <c r="P879" s="74"/>
      <c r="Q879" s="74"/>
      <c r="R879" s="74"/>
      <c r="S879" s="74"/>
      <c r="T879" s="74"/>
      <c r="U879" s="74"/>
      <c r="V879" s="74"/>
      <c r="W879" s="74"/>
      <c r="X879" s="74"/>
      <c r="Y879" s="74"/>
      <c r="Z879" s="74"/>
      <c r="AA879" s="74"/>
      <c r="AB879" s="74"/>
      <c r="AC879" s="74"/>
      <c r="AD879" s="74"/>
      <c r="AE879" s="12"/>
      <c r="AF879" s="12"/>
      <c r="AG879" s="12"/>
      <c r="AH879" s="180"/>
      <c r="AI879" s="180"/>
      <c r="AJ879" s="12"/>
      <c r="AK879" s="12"/>
      <c r="AL879" s="12"/>
      <c r="AM879" s="12"/>
    </row>
    <row r="880">
      <c r="A880" s="74"/>
      <c r="B880" s="12"/>
      <c r="C880" s="74"/>
      <c r="D880" s="12"/>
      <c r="E880" s="12"/>
      <c r="F880" s="74"/>
      <c r="G880" s="74"/>
      <c r="H880" s="179"/>
      <c r="I880" s="74"/>
      <c r="J880" s="74"/>
      <c r="K880" s="74"/>
      <c r="L880" s="74"/>
      <c r="M880" s="74"/>
      <c r="N880" s="179"/>
      <c r="O880" s="74"/>
      <c r="P880" s="74"/>
      <c r="Q880" s="74"/>
      <c r="R880" s="74"/>
      <c r="S880" s="74"/>
      <c r="T880" s="74"/>
      <c r="U880" s="74"/>
      <c r="V880" s="74"/>
      <c r="W880" s="74"/>
      <c r="X880" s="74"/>
      <c r="Y880" s="74"/>
      <c r="Z880" s="74"/>
      <c r="AA880" s="74"/>
      <c r="AB880" s="74"/>
      <c r="AC880" s="74"/>
      <c r="AD880" s="74"/>
      <c r="AE880" s="12"/>
      <c r="AF880" s="12"/>
      <c r="AG880" s="12"/>
      <c r="AH880" s="180"/>
      <c r="AI880" s="180"/>
      <c r="AJ880" s="12"/>
      <c r="AK880" s="12"/>
      <c r="AL880" s="12"/>
      <c r="AM880" s="12"/>
    </row>
    <row r="881">
      <c r="A881" s="74"/>
      <c r="B881" s="12"/>
      <c r="C881" s="74"/>
      <c r="D881" s="12"/>
      <c r="E881" s="12"/>
      <c r="F881" s="74"/>
      <c r="G881" s="74"/>
      <c r="H881" s="179"/>
      <c r="I881" s="74"/>
      <c r="J881" s="74"/>
      <c r="K881" s="74"/>
      <c r="L881" s="74"/>
      <c r="M881" s="74"/>
      <c r="N881" s="179"/>
      <c r="O881" s="74"/>
      <c r="P881" s="74"/>
      <c r="Q881" s="74"/>
      <c r="R881" s="74"/>
      <c r="S881" s="74"/>
      <c r="T881" s="74"/>
      <c r="U881" s="74"/>
      <c r="V881" s="74"/>
      <c r="W881" s="74"/>
      <c r="X881" s="74"/>
      <c r="Y881" s="74"/>
      <c r="Z881" s="74"/>
      <c r="AA881" s="74"/>
      <c r="AB881" s="74"/>
      <c r="AC881" s="74"/>
      <c r="AD881" s="74"/>
      <c r="AE881" s="12"/>
      <c r="AF881" s="12"/>
      <c r="AG881" s="12"/>
      <c r="AH881" s="180"/>
      <c r="AI881" s="180"/>
      <c r="AJ881" s="12"/>
      <c r="AK881" s="12"/>
      <c r="AL881" s="12"/>
      <c r="AM881" s="12"/>
    </row>
    <row r="882">
      <c r="A882" s="74"/>
      <c r="B882" s="12"/>
      <c r="C882" s="74"/>
      <c r="D882" s="12"/>
      <c r="E882" s="12"/>
      <c r="F882" s="74"/>
      <c r="G882" s="74"/>
      <c r="H882" s="179"/>
      <c r="I882" s="74"/>
      <c r="J882" s="74"/>
      <c r="K882" s="74"/>
      <c r="L882" s="74"/>
      <c r="M882" s="74"/>
      <c r="N882" s="179"/>
      <c r="O882" s="74"/>
      <c r="P882" s="74"/>
      <c r="Q882" s="74"/>
      <c r="R882" s="74"/>
      <c r="S882" s="74"/>
      <c r="T882" s="74"/>
      <c r="U882" s="74"/>
      <c r="V882" s="74"/>
      <c r="W882" s="74"/>
      <c r="X882" s="74"/>
      <c r="Y882" s="74"/>
      <c r="Z882" s="74"/>
      <c r="AA882" s="74"/>
      <c r="AB882" s="74"/>
      <c r="AC882" s="74"/>
      <c r="AD882" s="74"/>
      <c r="AE882" s="12"/>
      <c r="AF882" s="12"/>
      <c r="AG882" s="12"/>
      <c r="AH882" s="180"/>
      <c r="AI882" s="180"/>
      <c r="AJ882" s="12"/>
      <c r="AK882" s="12"/>
      <c r="AL882" s="12"/>
      <c r="AM882" s="12"/>
    </row>
    <row r="883">
      <c r="A883" s="74"/>
      <c r="B883" s="12"/>
      <c r="C883" s="74"/>
      <c r="D883" s="12"/>
      <c r="E883" s="12"/>
      <c r="F883" s="74"/>
      <c r="G883" s="74"/>
      <c r="H883" s="179"/>
      <c r="I883" s="74"/>
      <c r="J883" s="74"/>
      <c r="K883" s="74"/>
      <c r="L883" s="74"/>
      <c r="M883" s="74"/>
      <c r="N883" s="179"/>
      <c r="O883" s="74"/>
      <c r="P883" s="74"/>
      <c r="Q883" s="74"/>
      <c r="R883" s="74"/>
      <c r="S883" s="74"/>
      <c r="T883" s="74"/>
      <c r="U883" s="74"/>
      <c r="V883" s="74"/>
      <c r="W883" s="74"/>
      <c r="X883" s="74"/>
      <c r="Y883" s="74"/>
      <c r="Z883" s="74"/>
      <c r="AA883" s="74"/>
      <c r="AB883" s="74"/>
      <c r="AC883" s="74"/>
      <c r="AD883" s="74"/>
      <c r="AE883" s="12"/>
      <c r="AF883" s="12"/>
      <c r="AG883" s="12"/>
      <c r="AH883" s="180"/>
      <c r="AI883" s="180"/>
      <c r="AJ883" s="12"/>
      <c r="AK883" s="12"/>
      <c r="AL883" s="12"/>
      <c r="AM883" s="12"/>
    </row>
    <row r="884">
      <c r="A884" s="74"/>
      <c r="B884" s="12"/>
      <c r="C884" s="74"/>
      <c r="D884" s="12"/>
      <c r="E884" s="12"/>
      <c r="F884" s="74"/>
      <c r="G884" s="74"/>
      <c r="H884" s="179"/>
      <c r="I884" s="74"/>
      <c r="J884" s="74"/>
      <c r="K884" s="74"/>
      <c r="L884" s="74"/>
      <c r="M884" s="74"/>
      <c r="N884" s="179"/>
      <c r="O884" s="74"/>
      <c r="P884" s="74"/>
      <c r="Q884" s="74"/>
      <c r="R884" s="74"/>
      <c r="S884" s="74"/>
      <c r="T884" s="74"/>
      <c r="U884" s="74"/>
      <c r="V884" s="74"/>
      <c r="W884" s="74"/>
      <c r="X884" s="74"/>
      <c r="Y884" s="74"/>
      <c r="Z884" s="74"/>
      <c r="AA884" s="74"/>
      <c r="AB884" s="74"/>
      <c r="AC884" s="74"/>
      <c r="AD884" s="74"/>
      <c r="AE884" s="12"/>
      <c r="AF884" s="12"/>
      <c r="AG884" s="12"/>
      <c r="AH884" s="180"/>
      <c r="AI884" s="180"/>
      <c r="AJ884" s="12"/>
      <c r="AK884" s="12"/>
      <c r="AL884" s="12"/>
      <c r="AM884" s="12"/>
    </row>
    <row r="885">
      <c r="A885" s="74"/>
      <c r="B885" s="12"/>
      <c r="C885" s="74"/>
      <c r="D885" s="12"/>
      <c r="E885" s="12"/>
      <c r="F885" s="74"/>
      <c r="G885" s="74"/>
      <c r="H885" s="179"/>
      <c r="I885" s="74"/>
      <c r="J885" s="74"/>
      <c r="K885" s="74"/>
      <c r="L885" s="74"/>
      <c r="M885" s="74"/>
      <c r="N885" s="179"/>
      <c r="O885" s="74"/>
      <c r="P885" s="74"/>
      <c r="Q885" s="74"/>
      <c r="R885" s="74"/>
      <c r="S885" s="74"/>
      <c r="T885" s="74"/>
      <c r="U885" s="74"/>
      <c r="V885" s="74"/>
      <c r="W885" s="74"/>
      <c r="X885" s="74"/>
      <c r="Y885" s="74"/>
      <c r="Z885" s="74"/>
      <c r="AA885" s="74"/>
      <c r="AB885" s="74"/>
      <c r="AC885" s="74"/>
      <c r="AD885" s="74"/>
      <c r="AE885" s="12"/>
      <c r="AF885" s="12"/>
      <c r="AG885" s="12"/>
      <c r="AH885" s="180"/>
      <c r="AI885" s="180"/>
      <c r="AJ885" s="12"/>
      <c r="AK885" s="12"/>
      <c r="AL885" s="12"/>
      <c r="AM885" s="12"/>
    </row>
    <row r="886">
      <c r="A886" s="74"/>
      <c r="B886" s="12"/>
      <c r="C886" s="74"/>
      <c r="D886" s="12"/>
      <c r="E886" s="12"/>
      <c r="F886" s="74"/>
      <c r="G886" s="74"/>
      <c r="H886" s="179"/>
      <c r="I886" s="74"/>
      <c r="J886" s="74"/>
      <c r="K886" s="74"/>
      <c r="L886" s="74"/>
      <c r="M886" s="74"/>
      <c r="N886" s="179"/>
      <c r="O886" s="74"/>
      <c r="P886" s="74"/>
      <c r="Q886" s="74"/>
      <c r="R886" s="74"/>
      <c r="S886" s="74"/>
      <c r="T886" s="74"/>
      <c r="U886" s="74"/>
      <c r="V886" s="74"/>
      <c r="W886" s="74"/>
      <c r="X886" s="74"/>
      <c r="Y886" s="74"/>
      <c r="Z886" s="74"/>
      <c r="AA886" s="74"/>
      <c r="AB886" s="74"/>
      <c r="AC886" s="74"/>
      <c r="AD886" s="74"/>
      <c r="AE886" s="12"/>
      <c r="AF886" s="12"/>
      <c r="AG886" s="12"/>
      <c r="AH886" s="180"/>
      <c r="AI886" s="180"/>
      <c r="AJ886" s="12"/>
      <c r="AK886" s="12"/>
      <c r="AL886" s="12"/>
      <c r="AM886" s="12"/>
    </row>
    <row r="887">
      <c r="A887" s="74"/>
      <c r="B887" s="12"/>
      <c r="C887" s="74"/>
      <c r="D887" s="12"/>
      <c r="E887" s="12"/>
      <c r="F887" s="74"/>
      <c r="G887" s="74"/>
      <c r="H887" s="179"/>
      <c r="I887" s="74"/>
      <c r="J887" s="74"/>
      <c r="K887" s="74"/>
      <c r="L887" s="74"/>
      <c r="M887" s="74"/>
      <c r="N887" s="179"/>
      <c r="O887" s="74"/>
      <c r="P887" s="74"/>
      <c r="Q887" s="74"/>
      <c r="R887" s="74"/>
      <c r="S887" s="74"/>
      <c r="T887" s="74"/>
      <c r="U887" s="74"/>
      <c r="V887" s="74"/>
      <c r="W887" s="74"/>
      <c r="X887" s="74"/>
      <c r="Y887" s="74"/>
      <c r="Z887" s="74"/>
      <c r="AA887" s="74"/>
      <c r="AB887" s="74"/>
      <c r="AC887" s="74"/>
      <c r="AD887" s="74"/>
      <c r="AE887" s="12"/>
      <c r="AF887" s="12"/>
      <c r="AG887" s="12"/>
      <c r="AH887" s="180"/>
      <c r="AI887" s="180"/>
      <c r="AJ887" s="12"/>
      <c r="AK887" s="12"/>
      <c r="AL887" s="12"/>
      <c r="AM887" s="12"/>
    </row>
    <row r="888">
      <c r="A888" s="74"/>
      <c r="B888" s="12"/>
      <c r="C888" s="74"/>
      <c r="D888" s="12"/>
      <c r="E888" s="12"/>
      <c r="F888" s="74"/>
      <c r="G888" s="74"/>
      <c r="H888" s="179"/>
      <c r="I888" s="74"/>
      <c r="J888" s="74"/>
      <c r="K888" s="74"/>
      <c r="L888" s="74"/>
      <c r="M888" s="74"/>
      <c r="N888" s="179"/>
      <c r="O888" s="74"/>
      <c r="P888" s="74"/>
      <c r="Q888" s="74"/>
      <c r="R888" s="74"/>
      <c r="S888" s="74"/>
      <c r="T888" s="74"/>
      <c r="U888" s="74"/>
      <c r="V888" s="74"/>
      <c r="W888" s="74"/>
      <c r="X888" s="74"/>
      <c r="Y888" s="74"/>
      <c r="Z888" s="74"/>
      <c r="AA888" s="74"/>
      <c r="AB888" s="74"/>
      <c r="AC888" s="74"/>
      <c r="AD888" s="74"/>
      <c r="AE888" s="12"/>
      <c r="AF888" s="12"/>
      <c r="AG888" s="12"/>
      <c r="AH888" s="180"/>
      <c r="AI888" s="180"/>
      <c r="AJ888" s="12"/>
      <c r="AK888" s="12"/>
      <c r="AL888" s="12"/>
      <c r="AM888" s="12"/>
    </row>
    <row r="889">
      <c r="A889" s="74"/>
      <c r="B889" s="12"/>
      <c r="C889" s="74"/>
      <c r="D889" s="12"/>
      <c r="E889" s="12"/>
      <c r="F889" s="74"/>
      <c r="G889" s="74"/>
      <c r="H889" s="179"/>
      <c r="I889" s="74"/>
      <c r="J889" s="74"/>
      <c r="K889" s="74"/>
      <c r="L889" s="74"/>
      <c r="M889" s="74"/>
      <c r="N889" s="179"/>
      <c r="O889" s="74"/>
      <c r="P889" s="74"/>
      <c r="Q889" s="74"/>
      <c r="R889" s="74"/>
      <c r="S889" s="74"/>
      <c r="T889" s="74"/>
      <c r="U889" s="74"/>
      <c r="V889" s="74"/>
      <c r="W889" s="74"/>
      <c r="X889" s="74"/>
      <c r="Y889" s="74"/>
      <c r="Z889" s="74"/>
      <c r="AA889" s="74"/>
      <c r="AB889" s="74"/>
      <c r="AC889" s="74"/>
      <c r="AD889" s="74"/>
      <c r="AE889" s="12"/>
      <c r="AF889" s="12"/>
      <c r="AG889" s="12"/>
      <c r="AH889" s="180"/>
      <c r="AI889" s="180"/>
      <c r="AJ889" s="12"/>
      <c r="AK889" s="12"/>
      <c r="AL889" s="12"/>
      <c r="AM889" s="12"/>
    </row>
    <row r="890">
      <c r="A890" s="74"/>
      <c r="B890" s="12"/>
      <c r="C890" s="74"/>
      <c r="D890" s="12"/>
      <c r="E890" s="12"/>
      <c r="F890" s="74"/>
      <c r="G890" s="74"/>
      <c r="H890" s="179"/>
      <c r="I890" s="74"/>
      <c r="J890" s="74"/>
      <c r="K890" s="74"/>
      <c r="L890" s="74"/>
      <c r="M890" s="74"/>
      <c r="N890" s="179"/>
      <c r="O890" s="74"/>
      <c r="P890" s="74"/>
      <c r="Q890" s="74"/>
      <c r="R890" s="74"/>
      <c r="S890" s="74"/>
      <c r="T890" s="74"/>
      <c r="U890" s="74"/>
      <c r="V890" s="74"/>
      <c r="W890" s="74"/>
      <c r="X890" s="74"/>
      <c r="Y890" s="74"/>
      <c r="Z890" s="74"/>
      <c r="AA890" s="74"/>
      <c r="AB890" s="74"/>
      <c r="AC890" s="74"/>
      <c r="AD890" s="74"/>
      <c r="AE890" s="12"/>
      <c r="AF890" s="12"/>
      <c r="AG890" s="12"/>
      <c r="AH890" s="180"/>
      <c r="AI890" s="180"/>
      <c r="AJ890" s="12"/>
      <c r="AK890" s="12"/>
      <c r="AL890" s="12"/>
      <c r="AM890" s="12"/>
    </row>
    <row r="891">
      <c r="A891" s="74"/>
      <c r="B891" s="12"/>
      <c r="C891" s="74"/>
      <c r="D891" s="12"/>
      <c r="E891" s="12"/>
      <c r="F891" s="74"/>
      <c r="G891" s="74"/>
      <c r="H891" s="179"/>
      <c r="I891" s="74"/>
      <c r="J891" s="74"/>
      <c r="K891" s="74"/>
      <c r="L891" s="74"/>
      <c r="M891" s="74"/>
      <c r="N891" s="179"/>
      <c r="O891" s="74"/>
      <c r="P891" s="74"/>
      <c r="Q891" s="74"/>
      <c r="R891" s="74"/>
      <c r="S891" s="74"/>
      <c r="T891" s="74"/>
      <c r="U891" s="74"/>
      <c r="V891" s="74"/>
      <c r="W891" s="74"/>
      <c r="X891" s="74"/>
      <c r="Y891" s="74"/>
      <c r="Z891" s="74"/>
      <c r="AA891" s="74"/>
      <c r="AB891" s="74"/>
      <c r="AC891" s="74"/>
      <c r="AD891" s="74"/>
      <c r="AE891" s="12"/>
      <c r="AF891" s="12"/>
      <c r="AG891" s="12"/>
      <c r="AH891" s="180"/>
      <c r="AI891" s="180"/>
      <c r="AJ891" s="12"/>
      <c r="AK891" s="12"/>
      <c r="AL891" s="12"/>
      <c r="AM891" s="12"/>
    </row>
    <row r="892">
      <c r="A892" s="74"/>
      <c r="B892" s="12"/>
      <c r="C892" s="74"/>
      <c r="D892" s="12"/>
      <c r="E892" s="12"/>
      <c r="F892" s="74"/>
      <c r="G892" s="74"/>
      <c r="H892" s="179"/>
      <c r="I892" s="74"/>
      <c r="J892" s="74"/>
      <c r="K892" s="74"/>
      <c r="L892" s="74"/>
      <c r="M892" s="74"/>
      <c r="N892" s="179"/>
      <c r="O892" s="74"/>
      <c r="P892" s="74"/>
      <c r="Q892" s="74"/>
      <c r="R892" s="74"/>
      <c r="S892" s="74"/>
      <c r="T892" s="74"/>
      <c r="U892" s="74"/>
      <c r="V892" s="74"/>
      <c r="W892" s="74"/>
      <c r="X892" s="74"/>
      <c r="Y892" s="74"/>
      <c r="Z892" s="74"/>
      <c r="AA892" s="74"/>
      <c r="AB892" s="74"/>
      <c r="AC892" s="74"/>
      <c r="AD892" s="74"/>
      <c r="AE892" s="12"/>
      <c r="AF892" s="12"/>
      <c r="AG892" s="12"/>
      <c r="AH892" s="180"/>
      <c r="AI892" s="180"/>
      <c r="AJ892" s="12"/>
      <c r="AK892" s="12"/>
      <c r="AL892" s="12"/>
      <c r="AM892" s="12"/>
    </row>
    <row r="893">
      <c r="A893" s="74"/>
      <c r="B893" s="12"/>
      <c r="C893" s="74"/>
      <c r="D893" s="12"/>
      <c r="E893" s="12"/>
      <c r="F893" s="74"/>
      <c r="G893" s="74"/>
      <c r="H893" s="179"/>
      <c r="I893" s="74"/>
      <c r="J893" s="74"/>
      <c r="K893" s="74"/>
      <c r="L893" s="74"/>
      <c r="M893" s="74"/>
      <c r="N893" s="179"/>
      <c r="O893" s="74"/>
      <c r="P893" s="74"/>
      <c r="Q893" s="74"/>
      <c r="R893" s="74"/>
      <c r="S893" s="74"/>
      <c r="T893" s="74"/>
      <c r="U893" s="74"/>
      <c r="V893" s="74"/>
      <c r="W893" s="74"/>
      <c r="X893" s="74"/>
      <c r="Y893" s="74"/>
      <c r="Z893" s="74"/>
      <c r="AA893" s="74"/>
      <c r="AB893" s="74"/>
      <c r="AC893" s="74"/>
      <c r="AD893" s="74"/>
      <c r="AE893" s="12"/>
      <c r="AF893" s="12"/>
      <c r="AG893" s="12"/>
      <c r="AH893" s="180"/>
      <c r="AI893" s="180"/>
      <c r="AJ893" s="12"/>
      <c r="AK893" s="12"/>
      <c r="AL893" s="12"/>
      <c r="AM893" s="12"/>
    </row>
    <row r="894">
      <c r="A894" s="74"/>
      <c r="B894" s="12"/>
      <c r="C894" s="74"/>
      <c r="D894" s="12"/>
      <c r="E894" s="12"/>
      <c r="F894" s="74"/>
      <c r="G894" s="74"/>
      <c r="H894" s="179"/>
      <c r="I894" s="74"/>
      <c r="J894" s="74"/>
      <c r="K894" s="74"/>
      <c r="L894" s="74"/>
      <c r="M894" s="74"/>
      <c r="N894" s="179"/>
      <c r="O894" s="74"/>
      <c r="P894" s="74"/>
      <c r="Q894" s="74"/>
      <c r="R894" s="74"/>
      <c r="S894" s="74"/>
      <c r="T894" s="74"/>
      <c r="U894" s="74"/>
      <c r="V894" s="74"/>
      <c r="W894" s="74"/>
      <c r="X894" s="74"/>
      <c r="Y894" s="74"/>
      <c r="Z894" s="74"/>
      <c r="AA894" s="74"/>
      <c r="AB894" s="74"/>
      <c r="AC894" s="74"/>
      <c r="AD894" s="74"/>
      <c r="AE894" s="12"/>
      <c r="AF894" s="12"/>
      <c r="AG894" s="12"/>
      <c r="AH894" s="180"/>
      <c r="AI894" s="180"/>
      <c r="AJ894" s="12"/>
      <c r="AK894" s="12"/>
      <c r="AL894" s="12"/>
      <c r="AM894" s="12"/>
    </row>
    <row r="895">
      <c r="A895" s="74"/>
      <c r="B895" s="12"/>
      <c r="C895" s="74"/>
      <c r="D895" s="12"/>
      <c r="E895" s="12"/>
      <c r="F895" s="74"/>
      <c r="G895" s="74"/>
      <c r="H895" s="179"/>
      <c r="I895" s="74"/>
      <c r="J895" s="74"/>
      <c r="K895" s="74"/>
      <c r="L895" s="74"/>
      <c r="M895" s="74"/>
      <c r="N895" s="179"/>
      <c r="O895" s="74"/>
      <c r="P895" s="74"/>
      <c r="Q895" s="74"/>
      <c r="R895" s="74"/>
      <c r="S895" s="74"/>
      <c r="T895" s="74"/>
      <c r="U895" s="74"/>
      <c r="V895" s="74"/>
      <c r="W895" s="74"/>
      <c r="X895" s="74"/>
      <c r="Y895" s="74"/>
      <c r="Z895" s="74"/>
      <c r="AA895" s="74"/>
      <c r="AB895" s="74"/>
      <c r="AC895" s="74"/>
      <c r="AD895" s="74"/>
      <c r="AE895" s="12"/>
      <c r="AF895" s="12"/>
      <c r="AG895" s="12"/>
      <c r="AH895" s="180"/>
      <c r="AI895" s="180"/>
      <c r="AJ895" s="12"/>
      <c r="AK895" s="12"/>
      <c r="AL895" s="12"/>
      <c r="AM895" s="12"/>
    </row>
    <row r="896">
      <c r="A896" s="74"/>
      <c r="B896" s="12"/>
      <c r="C896" s="74"/>
      <c r="D896" s="12"/>
      <c r="E896" s="12"/>
      <c r="F896" s="74"/>
      <c r="G896" s="74"/>
      <c r="H896" s="179"/>
      <c r="I896" s="74"/>
      <c r="J896" s="74"/>
      <c r="K896" s="74"/>
      <c r="L896" s="74"/>
      <c r="M896" s="74"/>
      <c r="N896" s="179"/>
      <c r="O896" s="74"/>
      <c r="P896" s="74"/>
      <c r="Q896" s="74"/>
      <c r="R896" s="74"/>
      <c r="S896" s="74"/>
      <c r="T896" s="74"/>
      <c r="U896" s="74"/>
      <c r="V896" s="74"/>
      <c r="W896" s="74"/>
      <c r="X896" s="74"/>
      <c r="Y896" s="74"/>
      <c r="Z896" s="74"/>
      <c r="AA896" s="74"/>
      <c r="AB896" s="74"/>
      <c r="AC896" s="74"/>
      <c r="AD896" s="74"/>
      <c r="AE896" s="12"/>
      <c r="AF896" s="12"/>
      <c r="AG896" s="12"/>
      <c r="AH896" s="180"/>
      <c r="AI896" s="180"/>
      <c r="AJ896" s="12"/>
      <c r="AK896" s="12"/>
      <c r="AL896" s="12"/>
      <c r="AM896" s="12"/>
    </row>
    <row r="897">
      <c r="A897" s="74"/>
      <c r="B897" s="12"/>
      <c r="C897" s="74"/>
      <c r="D897" s="12"/>
      <c r="E897" s="12"/>
      <c r="F897" s="74"/>
      <c r="G897" s="74"/>
      <c r="H897" s="179"/>
      <c r="I897" s="74"/>
      <c r="J897" s="74"/>
      <c r="K897" s="74"/>
      <c r="L897" s="74"/>
      <c r="M897" s="74"/>
      <c r="N897" s="179"/>
      <c r="O897" s="74"/>
      <c r="P897" s="74"/>
      <c r="Q897" s="74"/>
      <c r="R897" s="74"/>
      <c r="S897" s="74"/>
      <c r="T897" s="74"/>
      <c r="U897" s="74"/>
      <c r="V897" s="74"/>
      <c r="W897" s="74"/>
      <c r="X897" s="74"/>
      <c r="Y897" s="74"/>
      <c r="Z897" s="74"/>
      <c r="AA897" s="74"/>
      <c r="AB897" s="74"/>
      <c r="AC897" s="74"/>
      <c r="AD897" s="74"/>
      <c r="AE897" s="12"/>
      <c r="AF897" s="12"/>
      <c r="AG897" s="12"/>
      <c r="AH897" s="180"/>
      <c r="AI897" s="180"/>
      <c r="AJ897" s="12"/>
      <c r="AK897" s="12"/>
      <c r="AL897" s="12"/>
      <c r="AM897" s="12"/>
    </row>
    <row r="898">
      <c r="A898" s="74"/>
      <c r="B898" s="12"/>
      <c r="C898" s="74"/>
      <c r="D898" s="12"/>
      <c r="E898" s="12"/>
      <c r="F898" s="74"/>
      <c r="G898" s="74"/>
      <c r="H898" s="179"/>
      <c r="I898" s="74"/>
      <c r="J898" s="74"/>
      <c r="K898" s="74"/>
      <c r="L898" s="74"/>
      <c r="M898" s="74"/>
      <c r="N898" s="179"/>
      <c r="O898" s="74"/>
      <c r="P898" s="74"/>
      <c r="Q898" s="74"/>
      <c r="R898" s="74"/>
      <c r="S898" s="74"/>
      <c r="T898" s="74"/>
      <c r="U898" s="74"/>
      <c r="V898" s="74"/>
      <c r="W898" s="74"/>
      <c r="X898" s="74"/>
      <c r="Y898" s="74"/>
      <c r="Z898" s="74"/>
      <c r="AA898" s="74"/>
      <c r="AB898" s="74"/>
      <c r="AC898" s="74"/>
      <c r="AD898" s="74"/>
      <c r="AE898" s="12"/>
      <c r="AF898" s="12"/>
      <c r="AG898" s="12"/>
      <c r="AH898" s="180"/>
      <c r="AI898" s="180"/>
      <c r="AJ898" s="12"/>
      <c r="AK898" s="12"/>
      <c r="AL898" s="12"/>
      <c r="AM898" s="12"/>
    </row>
    <row r="899">
      <c r="A899" s="74"/>
      <c r="B899" s="12"/>
      <c r="C899" s="74"/>
      <c r="D899" s="12"/>
      <c r="E899" s="12"/>
      <c r="F899" s="74"/>
      <c r="G899" s="74"/>
      <c r="H899" s="179"/>
      <c r="I899" s="74"/>
      <c r="J899" s="74"/>
      <c r="K899" s="74"/>
      <c r="L899" s="74"/>
      <c r="M899" s="74"/>
      <c r="N899" s="179"/>
      <c r="O899" s="74"/>
      <c r="P899" s="74"/>
      <c r="Q899" s="74"/>
      <c r="R899" s="74"/>
      <c r="S899" s="74"/>
      <c r="T899" s="74"/>
      <c r="U899" s="74"/>
      <c r="V899" s="74"/>
      <c r="W899" s="74"/>
      <c r="X899" s="74"/>
      <c r="Y899" s="74"/>
      <c r="Z899" s="74"/>
      <c r="AA899" s="74"/>
      <c r="AB899" s="74"/>
      <c r="AC899" s="74"/>
      <c r="AD899" s="74"/>
      <c r="AE899" s="12"/>
      <c r="AF899" s="12"/>
      <c r="AG899" s="12"/>
      <c r="AH899" s="180"/>
      <c r="AI899" s="180"/>
      <c r="AJ899" s="12"/>
      <c r="AK899" s="12"/>
      <c r="AL899" s="12"/>
      <c r="AM899" s="12"/>
    </row>
    <row r="900">
      <c r="A900" s="74"/>
      <c r="B900" s="12"/>
      <c r="C900" s="74"/>
      <c r="D900" s="12"/>
      <c r="E900" s="12"/>
      <c r="F900" s="74"/>
      <c r="G900" s="74"/>
      <c r="H900" s="179"/>
      <c r="I900" s="74"/>
      <c r="J900" s="74"/>
      <c r="K900" s="74"/>
      <c r="L900" s="74"/>
      <c r="M900" s="74"/>
      <c r="N900" s="179"/>
      <c r="O900" s="74"/>
      <c r="P900" s="74"/>
      <c r="Q900" s="74"/>
      <c r="R900" s="74"/>
      <c r="S900" s="74"/>
      <c r="T900" s="74"/>
      <c r="U900" s="74"/>
      <c r="V900" s="74"/>
      <c r="W900" s="74"/>
      <c r="X900" s="74"/>
      <c r="Y900" s="74"/>
      <c r="Z900" s="74"/>
      <c r="AA900" s="74"/>
      <c r="AB900" s="74"/>
      <c r="AC900" s="74"/>
      <c r="AD900" s="74"/>
      <c r="AE900" s="12"/>
      <c r="AF900" s="12"/>
      <c r="AG900" s="12"/>
      <c r="AH900" s="180"/>
      <c r="AI900" s="180"/>
      <c r="AJ900" s="12"/>
      <c r="AK900" s="12"/>
      <c r="AL900" s="12"/>
      <c r="AM900" s="12"/>
    </row>
    <row r="901">
      <c r="A901" s="74"/>
      <c r="B901" s="12"/>
      <c r="C901" s="74"/>
      <c r="D901" s="12"/>
      <c r="E901" s="12"/>
      <c r="F901" s="74"/>
      <c r="G901" s="74"/>
      <c r="H901" s="179"/>
      <c r="I901" s="74"/>
      <c r="J901" s="74"/>
      <c r="K901" s="74"/>
      <c r="L901" s="74"/>
      <c r="M901" s="74"/>
      <c r="N901" s="179"/>
      <c r="O901" s="74"/>
      <c r="P901" s="74"/>
      <c r="Q901" s="74"/>
      <c r="R901" s="74"/>
      <c r="S901" s="74"/>
      <c r="T901" s="74"/>
      <c r="U901" s="74"/>
      <c r="V901" s="74"/>
      <c r="W901" s="74"/>
      <c r="X901" s="74"/>
      <c r="Y901" s="74"/>
      <c r="Z901" s="74"/>
      <c r="AA901" s="74"/>
      <c r="AB901" s="74"/>
      <c r="AC901" s="74"/>
      <c r="AD901" s="74"/>
      <c r="AE901" s="12"/>
      <c r="AF901" s="12"/>
      <c r="AG901" s="12"/>
      <c r="AH901" s="180"/>
      <c r="AI901" s="180"/>
      <c r="AJ901" s="12"/>
      <c r="AK901" s="12"/>
      <c r="AL901" s="12"/>
      <c r="AM901" s="12"/>
    </row>
    <row r="902">
      <c r="A902" s="74"/>
      <c r="B902" s="12"/>
      <c r="C902" s="74"/>
      <c r="D902" s="12"/>
      <c r="E902" s="12"/>
      <c r="F902" s="74"/>
      <c r="G902" s="74"/>
      <c r="H902" s="179"/>
      <c r="I902" s="74"/>
      <c r="J902" s="74"/>
      <c r="K902" s="74"/>
      <c r="L902" s="74"/>
      <c r="M902" s="74"/>
      <c r="N902" s="179"/>
      <c r="O902" s="74"/>
      <c r="P902" s="74"/>
      <c r="Q902" s="74"/>
      <c r="R902" s="74"/>
      <c r="S902" s="74"/>
      <c r="T902" s="74"/>
      <c r="U902" s="74"/>
      <c r="V902" s="74"/>
      <c r="W902" s="74"/>
      <c r="X902" s="74"/>
      <c r="Y902" s="74"/>
      <c r="Z902" s="74"/>
      <c r="AA902" s="74"/>
      <c r="AB902" s="74"/>
      <c r="AC902" s="74"/>
      <c r="AD902" s="74"/>
      <c r="AE902" s="12"/>
      <c r="AF902" s="12"/>
      <c r="AG902" s="12"/>
      <c r="AH902" s="180"/>
      <c r="AI902" s="180"/>
      <c r="AJ902" s="12"/>
      <c r="AK902" s="12"/>
      <c r="AL902" s="12"/>
      <c r="AM902" s="12"/>
    </row>
    <row r="903">
      <c r="A903" s="74"/>
      <c r="B903" s="12"/>
      <c r="C903" s="74"/>
      <c r="D903" s="12"/>
      <c r="E903" s="12"/>
      <c r="F903" s="74"/>
      <c r="G903" s="74"/>
      <c r="H903" s="179"/>
      <c r="I903" s="74"/>
      <c r="J903" s="74"/>
      <c r="K903" s="74"/>
      <c r="L903" s="74"/>
      <c r="M903" s="74"/>
      <c r="N903" s="179"/>
      <c r="O903" s="74"/>
      <c r="P903" s="74"/>
      <c r="Q903" s="74"/>
      <c r="R903" s="74"/>
      <c r="S903" s="74"/>
      <c r="T903" s="74"/>
      <c r="U903" s="74"/>
      <c r="V903" s="74"/>
      <c r="W903" s="74"/>
      <c r="X903" s="74"/>
      <c r="Y903" s="74"/>
      <c r="Z903" s="74"/>
      <c r="AA903" s="74"/>
      <c r="AB903" s="74"/>
      <c r="AC903" s="74"/>
      <c r="AD903" s="74"/>
      <c r="AE903" s="12"/>
      <c r="AF903" s="12"/>
      <c r="AG903" s="12"/>
      <c r="AH903" s="180"/>
      <c r="AI903" s="180"/>
      <c r="AJ903" s="12"/>
      <c r="AK903" s="12"/>
      <c r="AL903" s="12"/>
      <c r="AM903" s="12"/>
    </row>
    <row r="904">
      <c r="A904" s="74"/>
      <c r="B904" s="12"/>
      <c r="C904" s="74"/>
      <c r="D904" s="12"/>
      <c r="E904" s="12"/>
      <c r="F904" s="74"/>
      <c r="G904" s="74"/>
      <c r="H904" s="179"/>
      <c r="I904" s="74"/>
      <c r="J904" s="74"/>
      <c r="K904" s="74"/>
      <c r="L904" s="74"/>
      <c r="M904" s="74"/>
      <c r="N904" s="179"/>
      <c r="O904" s="74"/>
      <c r="P904" s="74"/>
      <c r="Q904" s="74"/>
      <c r="R904" s="74"/>
      <c r="S904" s="74"/>
      <c r="T904" s="74"/>
      <c r="U904" s="74"/>
      <c r="V904" s="74"/>
      <c r="W904" s="74"/>
      <c r="X904" s="74"/>
      <c r="Y904" s="74"/>
      <c r="Z904" s="74"/>
      <c r="AA904" s="74"/>
      <c r="AB904" s="74"/>
      <c r="AC904" s="74"/>
      <c r="AD904" s="74"/>
      <c r="AE904" s="12"/>
      <c r="AF904" s="12"/>
      <c r="AG904" s="12"/>
      <c r="AH904" s="180"/>
      <c r="AI904" s="180"/>
      <c r="AJ904" s="12"/>
      <c r="AK904" s="12"/>
      <c r="AL904" s="12"/>
      <c r="AM904" s="12"/>
    </row>
    <row r="905">
      <c r="A905" s="74"/>
      <c r="B905" s="12"/>
      <c r="C905" s="74"/>
      <c r="D905" s="12"/>
      <c r="E905" s="12"/>
      <c r="F905" s="74"/>
      <c r="G905" s="74"/>
      <c r="H905" s="179"/>
      <c r="I905" s="74"/>
      <c r="J905" s="74"/>
      <c r="K905" s="74"/>
      <c r="L905" s="74"/>
      <c r="M905" s="74"/>
      <c r="N905" s="179"/>
      <c r="O905" s="74"/>
      <c r="P905" s="74"/>
      <c r="Q905" s="74"/>
      <c r="R905" s="74"/>
      <c r="S905" s="74"/>
      <c r="T905" s="74"/>
      <c r="U905" s="74"/>
      <c r="V905" s="74"/>
      <c r="W905" s="74"/>
      <c r="X905" s="74"/>
      <c r="Y905" s="74"/>
      <c r="Z905" s="74"/>
      <c r="AA905" s="74"/>
      <c r="AB905" s="74"/>
      <c r="AC905" s="74"/>
      <c r="AD905" s="74"/>
      <c r="AE905" s="12"/>
      <c r="AF905" s="12"/>
      <c r="AG905" s="12"/>
      <c r="AH905" s="180"/>
      <c r="AI905" s="180"/>
      <c r="AJ905" s="12"/>
      <c r="AK905" s="12"/>
      <c r="AL905" s="12"/>
      <c r="AM905" s="12"/>
    </row>
    <row r="906">
      <c r="A906" s="74"/>
      <c r="B906" s="12"/>
      <c r="C906" s="74"/>
      <c r="D906" s="12"/>
      <c r="E906" s="12"/>
      <c r="F906" s="74"/>
      <c r="G906" s="74"/>
      <c r="H906" s="179"/>
      <c r="I906" s="74"/>
      <c r="J906" s="74"/>
      <c r="K906" s="74"/>
      <c r="L906" s="74"/>
      <c r="M906" s="74"/>
      <c r="N906" s="179"/>
      <c r="O906" s="74"/>
      <c r="P906" s="74"/>
      <c r="Q906" s="74"/>
      <c r="R906" s="74"/>
      <c r="S906" s="74"/>
      <c r="T906" s="74"/>
      <c r="U906" s="74"/>
      <c r="V906" s="74"/>
      <c r="W906" s="74"/>
      <c r="X906" s="74"/>
      <c r="Y906" s="74"/>
      <c r="Z906" s="74"/>
      <c r="AA906" s="74"/>
      <c r="AB906" s="74"/>
      <c r="AC906" s="74"/>
      <c r="AD906" s="74"/>
      <c r="AE906" s="12"/>
      <c r="AF906" s="12"/>
      <c r="AG906" s="12"/>
      <c r="AH906" s="180"/>
      <c r="AI906" s="180"/>
      <c r="AJ906" s="12"/>
      <c r="AK906" s="12"/>
      <c r="AL906" s="12"/>
      <c r="AM906" s="12"/>
    </row>
    <row r="907">
      <c r="A907" s="74"/>
      <c r="B907" s="12"/>
      <c r="C907" s="74"/>
      <c r="D907" s="12"/>
      <c r="E907" s="12"/>
      <c r="F907" s="74"/>
      <c r="G907" s="74"/>
      <c r="H907" s="179"/>
      <c r="I907" s="74"/>
      <c r="J907" s="74"/>
      <c r="K907" s="74"/>
      <c r="L907" s="74"/>
      <c r="M907" s="74"/>
      <c r="N907" s="179"/>
      <c r="O907" s="74"/>
      <c r="P907" s="74"/>
      <c r="Q907" s="74"/>
      <c r="R907" s="74"/>
      <c r="S907" s="74"/>
      <c r="T907" s="74"/>
      <c r="U907" s="74"/>
      <c r="V907" s="74"/>
      <c r="W907" s="74"/>
      <c r="X907" s="74"/>
      <c r="Y907" s="74"/>
      <c r="Z907" s="74"/>
      <c r="AA907" s="74"/>
      <c r="AB907" s="74"/>
      <c r="AC907" s="74"/>
      <c r="AD907" s="74"/>
      <c r="AE907" s="12"/>
      <c r="AF907" s="12"/>
      <c r="AG907" s="12"/>
      <c r="AH907" s="180"/>
      <c r="AI907" s="180"/>
      <c r="AJ907" s="12"/>
      <c r="AK907" s="12"/>
      <c r="AL907" s="12"/>
      <c r="AM907" s="12"/>
    </row>
    <row r="908">
      <c r="A908" s="74"/>
      <c r="B908" s="12"/>
      <c r="C908" s="74"/>
      <c r="D908" s="12"/>
      <c r="E908" s="12"/>
      <c r="F908" s="74"/>
      <c r="G908" s="74"/>
      <c r="H908" s="179"/>
      <c r="I908" s="74"/>
      <c r="J908" s="74"/>
      <c r="K908" s="74"/>
      <c r="L908" s="74"/>
      <c r="M908" s="74"/>
      <c r="N908" s="179"/>
      <c r="O908" s="74"/>
      <c r="P908" s="74"/>
      <c r="Q908" s="74"/>
      <c r="R908" s="74"/>
      <c r="S908" s="74"/>
      <c r="T908" s="74"/>
      <c r="U908" s="74"/>
      <c r="V908" s="74"/>
      <c r="W908" s="74"/>
      <c r="X908" s="74"/>
      <c r="Y908" s="74"/>
      <c r="Z908" s="74"/>
      <c r="AA908" s="74"/>
      <c r="AB908" s="74"/>
      <c r="AC908" s="74"/>
      <c r="AD908" s="74"/>
      <c r="AE908" s="12"/>
      <c r="AF908" s="12"/>
      <c r="AG908" s="12"/>
      <c r="AH908" s="180"/>
      <c r="AI908" s="180"/>
      <c r="AJ908" s="12"/>
      <c r="AK908" s="12"/>
      <c r="AL908" s="12"/>
      <c r="AM908" s="12"/>
    </row>
    <row r="909">
      <c r="A909" s="74"/>
      <c r="B909" s="12"/>
      <c r="C909" s="74"/>
      <c r="D909" s="12"/>
      <c r="E909" s="12"/>
      <c r="F909" s="74"/>
      <c r="G909" s="74"/>
      <c r="H909" s="179"/>
      <c r="I909" s="74"/>
      <c r="J909" s="74"/>
      <c r="K909" s="74"/>
      <c r="L909" s="74"/>
      <c r="M909" s="74"/>
      <c r="N909" s="179"/>
      <c r="O909" s="74"/>
      <c r="P909" s="74"/>
      <c r="Q909" s="74"/>
      <c r="R909" s="74"/>
      <c r="S909" s="74"/>
      <c r="T909" s="74"/>
      <c r="U909" s="74"/>
      <c r="V909" s="74"/>
      <c r="W909" s="74"/>
      <c r="X909" s="74"/>
      <c r="Y909" s="74"/>
      <c r="Z909" s="74"/>
      <c r="AA909" s="74"/>
      <c r="AB909" s="74"/>
      <c r="AC909" s="74"/>
      <c r="AD909" s="74"/>
      <c r="AE909" s="12"/>
      <c r="AF909" s="12"/>
      <c r="AG909" s="12"/>
      <c r="AH909" s="180"/>
      <c r="AI909" s="180"/>
      <c r="AJ909" s="12"/>
      <c r="AK909" s="12"/>
      <c r="AL909" s="12"/>
      <c r="AM909" s="12"/>
    </row>
    <row r="910">
      <c r="A910" s="74"/>
      <c r="B910" s="12"/>
      <c r="C910" s="74"/>
      <c r="D910" s="12"/>
      <c r="E910" s="12"/>
      <c r="F910" s="74"/>
      <c r="G910" s="74"/>
      <c r="H910" s="179"/>
      <c r="I910" s="74"/>
      <c r="J910" s="74"/>
      <c r="K910" s="74"/>
      <c r="L910" s="74"/>
      <c r="M910" s="74"/>
      <c r="N910" s="179"/>
      <c r="O910" s="74"/>
      <c r="P910" s="74"/>
      <c r="Q910" s="74"/>
      <c r="R910" s="74"/>
      <c r="S910" s="74"/>
      <c r="T910" s="74"/>
      <c r="U910" s="74"/>
      <c r="V910" s="74"/>
      <c r="W910" s="74"/>
      <c r="X910" s="74"/>
      <c r="Y910" s="74"/>
      <c r="Z910" s="74"/>
      <c r="AA910" s="74"/>
      <c r="AB910" s="74"/>
      <c r="AC910" s="74"/>
      <c r="AD910" s="74"/>
      <c r="AE910" s="12"/>
      <c r="AF910" s="12"/>
      <c r="AG910" s="12"/>
      <c r="AH910" s="180"/>
      <c r="AI910" s="180"/>
      <c r="AJ910" s="12"/>
      <c r="AK910" s="12"/>
      <c r="AL910" s="12"/>
      <c r="AM910" s="12"/>
    </row>
    <row r="911">
      <c r="A911" s="74"/>
      <c r="B911" s="12"/>
      <c r="C911" s="74"/>
      <c r="D911" s="12"/>
      <c r="E911" s="12"/>
      <c r="F911" s="74"/>
      <c r="G911" s="74"/>
      <c r="H911" s="179"/>
      <c r="I911" s="74"/>
      <c r="J911" s="74"/>
      <c r="K911" s="74"/>
      <c r="L911" s="74"/>
      <c r="M911" s="74"/>
      <c r="N911" s="179"/>
      <c r="O911" s="74"/>
      <c r="P911" s="74"/>
      <c r="Q911" s="74"/>
      <c r="R911" s="74"/>
      <c r="S911" s="74"/>
      <c r="T911" s="74"/>
      <c r="U911" s="74"/>
      <c r="V911" s="74"/>
      <c r="W911" s="74"/>
      <c r="X911" s="74"/>
      <c r="Y911" s="74"/>
      <c r="Z911" s="74"/>
      <c r="AA911" s="74"/>
      <c r="AB911" s="74"/>
      <c r="AC911" s="74"/>
      <c r="AD911" s="74"/>
      <c r="AE911" s="12"/>
      <c r="AF911" s="12"/>
      <c r="AG911" s="12"/>
      <c r="AH911" s="180"/>
      <c r="AI911" s="180"/>
      <c r="AJ911" s="12"/>
      <c r="AK911" s="12"/>
      <c r="AL911" s="12"/>
      <c r="AM911" s="12"/>
    </row>
    <row r="912">
      <c r="A912" s="74"/>
      <c r="B912" s="12"/>
      <c r="C912" s="74"/>
      <c r="D912" s="12"/>
      <c r="E912" s="12"/>
      <c r="F912" s="74"/>
      <c r="G912" s="74"/>
      <c r="H912" s="179"/>
      <c r="I912" s="74"/>
      <c r="J912" s="74"/>
      <c r="K912" s="74"/>
      <c r="L912" s="74"/>
      <c r="M912" s="74"/>
      <c r="N912" s="179"/>
      <c r="O912" s="74"/>
      <c r="P912" s="74"/>
      <c r="Q912" s="74"/>
      <c r="R912" s="74"/>
      <c r="S912" s="74"/>
      <c r="T912" s="74"/>
      <c r="U912" s="74"/>
      <c r="V912" s="74"/>
      <c r="W912" s="74"/>
      <c r="X912" s="74"/>
      <c r="Y912" s="74"/>
      <c r="Z912" s="74"/>
      <c r="AA912" s="74"/>
      <c r="AB912" s="74"/>
      <c r="AC912" s="74"/>
      <c r="AD912" s="74"/>
      <c r="AE912" s="12"/>
      <c r="AF912" s="12"/>
      <c r="AG912" s="12"/>
      <c r="AH912" s="180"/>
      <c r="AI912" s="180"/>
      <c r="AJ912" s="12"/>
      <c r="AK912" s="12"/>
      <c r="AL912" s="12"/>
      <c r="AM912" s="12"/>
    </row>
    <row r="913">
      <c r="A913" s="74"/>
      <c r="B913" s="12"/>
      <c r="C913" s="74"/>
      <c r="D913" s="12"/>
      <c r="E913" s="12"/>
      <c r="F913" s="74"/>
      <c r="G913" s="74"/>
      <c r="H913" s="179"/>
      <c r="I913" s="74"/>
      <c r="J913" s="74"/>
      <c r="K913" s="74"/>
      <c r="L913" s="74"/>
      <c r="M913" s="74"/>
      <c r="N913" s="179"/>
      <c r="O913" s="74"/>
      <c r="P913" s="74"/>
      <c r="Q913" s="74"/>
      <c r="R913" s="74"/>
      <c r="S913" s="74"/>
      <c r="T913" s="74"/>
      <c r="U913" s="74"/>
      <c r="V913" s="74"/>
      <c r="W913" s="74"/>
      <c r="X913" s="74"/>
      <c r="Y913" s="74"/>
      <c r="Z913" s="74"/>
      <c r="AA913" s="74"/>
      <c r="AB913" s="74"/>
      <c r="AC913" s="74"/>
      <c r="AD913" s="74"/>
      <c r="AE913" s="12"/>
      <c r="AF913" s="12"/>
      <c r="AG913" s="12"/>
      <c r="AH913" s="180"/>
      <c r="AI913" s="180"/>
      <c r="AJ913" s="12"/>
      <c r="AK913" s="12"/>
      <c r="AL913" s="12"/>
      <c r="AM913" s="12"/>
    </row>
    <row r="914">
      <c r="A914" s="74"/>
      <c r="B914" s="12"/>
      <c r="C914" s="74"/>
      <c r="D914" s="12"/>
      <c r="E914" s="12"/>
      <c r="F914" s="74"/>
      <c r="G914" s="74"/>
      <c r="H914" s="179"/>
      <c r="I914" s="74"/>
      <c r="J914" s="74"/>
      <c r="K914" s="74"/>
      <c r="L914" s="74"/>
      <c r="M914" s="74"/>
      <c r="N914" s="179"/>
      <c r="O914" s="74"/>
      <c r="P914" s="74"/>
      <c r="Q914" s="74"/>
      <c r="R914" s="74"/>
      <c r="S914" s="74"/>
      <c r="T914" s="74"/>
      <c r="U914" s="74"/>
      <c r="V914" s="74"/>
      <c r="W914" s="74"/>
      <c r="X914" s="74"/>
      <c r="Y914" s="74"/>
      <c r="Z914" s="74"/>
      <c r="AA914" s="74"/>
      <c r="AB914" s="74"/>
      <c r="AC914" s="74"/>
      <c r="AD914" s="74"/>
      <c r="AE914" s="12"/>
      <c r="AF914" s="12"/>
      <c r="AG914" s="12"/>
      <c r="AH914" s="180"/>
      <c r="AI914" s="180"/>
      <c r="AJ914" s="12"/>
      <c r="AK914" s="12"/>
      <c r="AL914" s="12"/>
      <c r="AM914" s="12"/>
    </row>
    <row r="915">
      <c r="A915" s="74"/>
      <c r="B915" s="12"/>
      <c r="C915" s="74"/>
      <c r="D915" s="12"/>
      <c r="E915" s="12"/>
      <c r="F915" s="74"/>
      <c r="G915" s="74"/>
      <c r="H915" s="179"/>
      <c r="I915" s="74"/>
      <c r="J915" s="74"/>
      <c r="K915" s="74"/>
      <c r="L915" s="74"/>
      <c r="M915" s="74"/>
      <c r="N915" s="179"/>
      <c r="O915" s="74"/>
      <c r="P915" s="74"/>
      <c r="Q915" s="74"/>
      <c r="R915" s="74"/>
      <c r="S915" s="74"/>
      <c r="T915" s="74"/>
      <c r="U915" s="74"/>
      <c r="V915" s="74"/>
      <c r="W915" s="74"/>
      <c r="X915" s="74"/>
      <c r="Y915" s="74"/>
      <c r="Z915" s="74"/>
      <c r="AA915" s="74"/>
      <c r="AB915" s="74"/>
      <c r="AC915" s="74"/>
      <c r="AD915" s="74"/>
      <c r="AE915" s="12"/>
      <c r="AF915" s="12"/>
      <c r="AG915" s="12"/>
      <c r="AH915" s="180"/>
      <c r="AI915" s="180"/>
      <c r="AJ915" s="12"/>
      <c r="AK915" s="12"/>
      <c r="AL915" s="12"/>
      <c r="AM915" s="12"/>
    </row>
    <row r="916">
      <c r="A916" s="74"/>
      <c r="B916" s="12"/>
      <c r="C916" s="74"/>
      <c r="D916" s="12"/>
      <c r="E916" s="12"/>
      <c r="F916" s="74"/>
      <c r="G916" s="74"/>
      <c r="H916" s="179"/>
      <c r="I916" s="74"/>
      <c r="J916" s="74"/>
      <c r="K916" s="74"/>
      <c r="L916" s="74"/>
      <c r="M916" s="74"/>
      <c r="N916" s="179"/>
      <c r="O916" s="74"/>
      <c r="P916" s="74"/>
      <c r="Q916" s="74"/>
      <c r="R916" s="74"/>
      <c r="S916" s="74"/>
      <c r="T916" s="74"/>
      <c r="U916" s="74"/>
      <c r="V916" s="74"/>
      <c r="W916" s="74"/>
      <c r="X916" s="74"/>
      <c r="Y916" s="74"/>
      <c r="Z916" s="74"/>
      <c r="AA916" s="74"/>
      <c r="AB916" s="74"/>
      <c r="AC916" s="74"/>
      <c r="AD916" s="74"/>
      <c r="AE916" s="12"/>
      <c r="AF916" s="12"/>
      <c r="AG916" s="12"/>
      <c r="AH916" s="180"/>
      <c r="AI916" s="180"/>
      <c r="AJ916" s="12"/>
      <c r="AK916" s="12"/>
      <c r="AL916" s="12"/>
      <c r="AM916" s="12"/>
    </row>
    <row r="917">
      <c r="A917" s="74"/>
      <c r="B917" s="12"/>
      <c r="C917" s="74"/>
      <c r="D917" s="12"/>
      <c r="E917" s="12"/>
      <c r="F917" s="74"/>
      <c r="G917" s="74"/>
      <c r="H917" s="179"/>
      <c r="I917" s="74"/>
      <c r="J917" s="74"/>
      <c r="K917" s="74"/>
      <c r="L917" s="74"/>
      <c r="M917" s="74"/>
      <c r="N917" s="179"/>
      <c r="O917" s="74"/>
      <c r="P917" s="74"/>
      <c r="Q917" s="74"/>
      <c r="R917" s="74"/>
      <c r="S917" s="74"/>
      <c r="T917" s="74"/>
      <c r="U917" s="74"/>
      <c r="V917" s="74"/>
      <c r="W917" s="74"/>
      <c r="X917" s="74"/>
      <c r="Y917" s="74"/>
      <c r="Z917" s="74"/>
      <c r="AA917" s="74"/>
      <c r="AB917" s="74"/>
      <c r="AC917" s="74"/>
      <c r="AD917" s="74"/>
      <c r="AE917" s="12"/>
      <c r="AF917" s="12"/>
      <c r="AG917" s="12"/>
      <c r="AH917" s="180"/>
      <c r="AI917" s="180"/>
      <c r="AJ917" s="12"/>
      <c r="AK917" s="12"/>
      <c r="AL917" s="12"/>
      <c r="AM917" s="12"/>
    </row>
    <row r="918">
      <c r="A918" s="74"/>
      <c r="B918" s="12"/>
      <c r="C918" s="74"/>
      <c r="D918" s="12"/>
      <c r="E918" s="12"/>
      <c r="F918" s="74"/>
      <c r="G918" s="74"/>
      <c r="H918" s="179"/>
      <c r="I918" s="74"/>
      <c r="J918" s="74"/>
      <c r="K918" s="74"/>
      <c r="L918" s="74"/>
      <c r="M918" s="74"/>
      <c r="N918" s="179"/>
      <c r="O918" s="74"/>
      <c r="P918" s="74"/>
      <c r="Q918" s="74"/>
      <c r="R918" s="74"/>
      <c r="S918" s="74"/>
      <c r="T918" s="74"/>
      <c r="U918" s="74"/>
      <c r="V918" s="74"/>
      <c r="W918" s="74"/>
      <c r="X918" s="74"/>
      <c r="Y918" s="74"/>
      <c r="Z918" s="74"/>
      <c r="AA918" s="74"/>
      <c r="AB918" s="74"/>
      <c r="AC918" s="74"/>
      <c r="AD918" s="74"/>
      <c r="AE918" s="12"/>
      <c r="AF918" s="12"/>
      <c r="AG918" s="12"/>
      <c r="AH918" s="180"/>
      <c r="AI918" s="180"/>
      <c r="AJ918" s="12"/>
      <c r="AK918" s="12"/>
      <c r="AL918" s="12"/>
      <c r="AM918" s="12"/>
    </row>
    <row r="919">
      <c r="A919" s="74"/>
      <c r="B919" s="12"/>
      <c r="C919" s="74"/>
      <c r="D919" s="12"/>
      <c r="E919" s="12"/>
      <c r="F919" s="74"/>
      <c r="G919" s="74"/>
      <c r="H919" s="179"/>
      <c r="I919" s="74"/>
      <c r="J919" s="74"/>
      <c r="K919" s="74"/>
      <c r="L919" s="74"/>
      <c r="M919" s="74"/>
      <c r="N919" s="179"/>
      <c r="O919" s="74"/>
      <c r="P919" s="74"/>
      <c r="Q919" s="74"/>
      <c r="R919" s="74"/>
      <c r="S919" s="74"/>
      <c r="T919" s="74"/>
      <c r="U919" s="74"/>
      <c r="V919" s="74"/>
      <c r="W919" s="74"/>
      <c r="X919" s="74"/>
      <c r="Y919" s="74"/>
      <c r="Z919" s="74"/>
      <c r="AA919" s="74"/>
      <c r="AB919" s="74"/>
      <c r="AC919" s="74"/>
      <c r="AD919" s="74"/>
      <c r="AE919" s="12"/>
      <c r="AF919" s="12"/>
      <c r="AG919" s="12"/>
      <c r="AH919" s="180"/>
      <c r="AI919" s="180"/>
      <c r="AJ919" s="12"/>
      <c r="AK919" s="12"/>
      <c r="AL919" s="12"/>
      <c r="AM919" s="12"/>
    </row>
    <row r="920">
      <c r="A920" s="74"/>
      <c r="B920" s="12"/>
      <c r="C920" s="74"/>
      <c r="D920" s="12"/>
      <c r="E920" s="12"/>
      <c r="F920" s="74"/>
      <c r="G920" s="74"/>
      <c r="H920" s="179"/>
      <c r="I920" s="74"/>
      <c r="J920" s="74"/>
      <c r="K920" s="74"/>
      <c r="L920" s="74"/>
      <c r="M920" s="74"/>
      <c r="N920" s="179"/>
      <c r="O920" s="74"/>
      <c r="P920" s="74"/>
      <c r="Q920" s="74"/>
      <c r="R920" s="74"/>
      <c r="S920" s="74"/>
      <c r="T920" s="74"/>
      <c r="U920" s="74"/>
      <c r="V920" s="74"/>
      <c r="W920" s="74"/>
      <c r="X920" s="74"/>
      <c r="Y920" s="74"/>
      <c r="Z920" s="74"/>
      <c r="AA920" s="74"/>
      <c r="AB920" s="74"/>
      <c r="AC920" s="74"/>
      <c r="AD920" s="74"/>
      <c r="AE920" s="12"/>
      <c r="AF920" s="12"/>
      <c r="AG920" s="12"/>
      <c r="AH920" s="180"/>
      <c r="AI920" s="180"/>
      <c r="AJ920" s="12"/>
      <c r="AK920" s="12"/>
      <c r="AL920" s="12"/>
      <c r="AM920" s="12"/>
    </row>
    <row r="921">
      <c r="A921" s="74"/>
      <c r="B921" s="12"/>
      <c r="C921" s="74"/>
      <c r="D921" s="12"/>
      <c r="E921" s="12"/>
      <c r="F921" s="74"/>
      <c r="G921" s="74"/>
      <c r="H921" s="179"/>
      <c r="I921" s="74"/>
      <c r="J921" s="74"/>
      <c r="K921" s="74"/>
      <c r="L921" s="74"/>
      <c r="M921" s="74"/>
      <c r="N921" s="179"/>
      <c r="O921" s="74"/>
      <c r="P921" s="74"/>
      <c r="Q921" s="74"/>
      <c r="R921" s="74"/>
      <c r="S921" s="74"/>
      <c r="T921" s="74"/>
      <c r="U921" s="74"/>
      <c r="V921" s="74"/>
      <c r="W921" s="74"/>
      <c r="X921" s="74"/>
      <c r="Y921" s="74"/>
      <c r="Z921" s="74"/>
      <c r="AA921" s="74"/>
      <c r="AB921" s="74"/>
      <c r="AC921" s="74"/>
      <c r="AD921" s="74"/>
      <c r="AE921" s="12"/>
      <c r="AF921" s="12"/>
      <c r="AG921" s="12"/>
      <c r="AH921" s="180"/>
      <c r="AI921" s="180"/>
      <c r="AJ921" s="12"/>
      <c r="AK921" s="12"/>
      <c r="AL921" s="12"/>
      <c r="AM921" s="12"/>
    </row>
    <row r="922">
      <c r="A922" s="74"/>
      <c r="B922" s="12"/>
      <c r="C922" s="74"/>
      <c r="D922" s="12"/>
      <c r="E922" s="12"/>
      <c r="F922" s="74"/>
      <c r="G922" s="74"/>
      <c r="H922" s="179"/>
      <c r="I922" s="74"/>
      <c r="J922" s="74"/>
      <c r="K922" s="74"/>
      <c r="L922" s="74"/>
      <c r="M922" s="74"/>
      <c r="N922" s="179"/>
      <c r="O922" s="74"/>
      <c r="P922" s="74"/>
      <c r="Q922" s="74"/>
      <c r="R922" s="74"/>
      <c r="S922" s="74"/>
      <c r="T922" s="74"/>
      <c r="U922" s="74"/>
      <c r="V922" s="74"/>
      <c r="W922" s="74"/>
      <c r="X922" s="74"/>
      <c r="Y922" s="74"/>
      <c r="Z922" s="74"/>
      <c r="AA922" s="74"/>
      <c r="AB922" s="74"/>
      <c r="AC922" s="74"/>
      <c r="AD922" s="74"/>
      <c r="AE922" s="12"/>
      <c r="AF922" s="12"/>
      <c r="AG922" s="12"/>
      <c r="AH922" s="180"/>
      <c r="AI922" s="180"/>
      <c r="AJ922" s="12"/>
      <c r="AK922" s="12"/>
      <c r="AL922" s="12"/>
      <c r="AM922" s="12"/>
    </row>
    <row r="923">
      <c r="A923" s="74"/>
      <c r="B923" s="12"/>
      <c r="C923" s="74"/>
      <c r="D923" s="12"/>
      <c r="E923" s="12"/>
      <c r="F923" s="74"/>
      <c r="G923" s="74"/>
      <c r="H923" s="179"/>
      <c r="I923" s="74"/>
      <c r="J923" s="74"/>
      <c r="K923" s="74"/>
      <c r="L923" s="74"/>
      <c r="M923" s="74"/>
      <c r="N923" s="179"/>
      <c r="O923" s="74"/>
      <c r="P923" s="74"/>
      <c r="Q923" s="74"/>
      <c r="R923" s="74"/>
      <c r="S923" s="74"/>
      <c r="T923" s="74"/>
      <c r="U923" s="74"/>
      <c r="V923" s="74"/>
      <c r="W923" s="74"/>
      <c r="X923" s="74"/>
      <c r="Y923" s="74"/>
      <c r="Z923" s="74"/>
      <c r="AA923" s="74"/>
      <c r="AB923" s="74"/>
      <c r="AC923" s="74"/>
      <c r="AD923" s="74"/>
      <c r="AE923" s="12"/>
      <c r="AF923" s="12"/>
      <c r="AG923" s="12"/>
      <c r="AH923" s="180"/>
      <c r="AI923" s="180"/>
      <c r="AJ923" s="12"/>
      <c r="AK923" s="12"/>
      <c r="AL923" s="12"/>
      <c r="AM923" s="12"/>
    </row>
    <row r="924">
      <c r="A924" s="74"/>
      <c r="B924" s="12"/>
      <c r="C924" s="74"/>
      <c r="D924" s="12"/>
      <c r="E924" s="12"/>
      <c r="F924" s="74"/>
      <c r="G924" s="74"/>
      <c r="H924" s="179"/>
      <c r="I924" s="74"/>
      <c r="J924" s="74"/>
      <c r="K924" s="74"/>
      <c r="L924" s="74"/>
      <c r="M924" s="74"/>
      <c r="N924" s="179"/>
      <c r="O924" s="74"/>
      <c r="P924" s="74"/>
      <c r="Q924" s="74"/>
      <c r="R924" s="74"/>
      <c r="S924" s="74"/>
      <c r="T924" s="74"/>
      <c r="U924" s="74"/>
      <c r="V924" s="74"/>
      <c r="W924" s="74"/>
      <c r="X924" s="74"/>
      <c r="Y924" s="74"/>
      <c r="Z924" s="74"/>
      <c r="AA924" s="74"/>
      <c r="AB924" s="74"/>
      <c r="AC924" s="74"/>
      <c r="AD924" s="74"/>
      <c r="AE924" s="12"/>
      <c r="AF924" s="12"/>
      <c r="AG924" s="12"/>
      <c r="AH924" s="180"/>
      <c r="AI924" s="180"/>
      <c r="AJ924" s="12"/>
      <c r="AK924" s="12"/>
      <c r="AL924" s="12"/>
      <c r="AM924" s="12"/>
    </row>
    <row r="925">
      <c r="A925" s="74"/>
      <c r="B925" s="12"/>
      <c r="C925" s="74"/>
      <c r="D925" s="12"/>
      <c r="E925" s="12"/>
      <c r="F925" s="74"/>
      <c r="G925" s="74"/>
      <c r="H925" s="179"/>
      <c r="I925" s="74"/>
      <c r="J925" s="74"/>
      <c r="K925" s="74"/>
      <c r="L925" s="74"/>
      <c r="M925" s="74"/>
      <c r="N925" s="179"/>
      <c r="O925" s="74"/>
      <c r="P925" s="74"/>
      <c r="Q925" s="74"/>
      <c r="R925" s="74"/>
      <c r="S925" s="74"/>
      <c r="T925" s="74"/>
      <c r="U925" s="74"/>
      <c r="V925" s="74"/>
      <c r="W925" s="74"/>
      <c r="X925" s="74"/>
      <c r="Y925" s="74"/>
      <c r="Z925" s="74"/>
      <c r="AA925" s="74"/>
      <c r="AB925" s="74"/>
      <c r="AC925" s="74"/>
      <c r="AD925" s="74"/>
      <c r="AE925" s="12"/>
      <c r="AF925" s="12"/>
      <c r="AG925" s="12"/>
      <c r="AH925" s="180"/>
      <c r="AI925" s="180"/>
      <c r="AJ925" s="12"/>
      <c r="AK925" s="12"/>
      <c r="AL925" s="12"/>
      <c r="AM925" s="12"/>
    </row>
    <row r="926">
      <c r="A926" s="74"/>
      <c r="B926" s="12"/>
      <c r="C926" s="74"/>
      <c r="D926" s="12"/>
      <c r="E926" s="12"/>
      <c r="F926" s="74"/>
      <c r="G926" s="74"/>
      <c r="H926" s="179"/>
      <c r="I926" s="74"/>
      <c r="J926" s="74"/>
      <c r="K926" s="74"/>
      <c r="L926" s="74"/>
      <c r="M926" s="74"/>
      <c r="N926" s="179"/>
      <c r="O926" s="74"/>
      <c r="P926" s="74"/>
      <c r="Q926" s="74"/>
      <c r="R926" s="74"/>
      <c r="S926" s="74"/>
      <c r="T926" s="74"/>
      <c r="U926" s="74"/>
      <c r="V926" s="74"/>
      <c r="W926" s="74"/>
      <c r="X926" s="74"/>
      <c r="Y926" s="74"/>
      <c r="Z926" s="74"/>
      <c r="AA926" s="74"/>
      <c r="AB926" s="74"/>
      <c r="AC926" s="74"/>
      <c r="AD926" s="74"/>
      <c r="AE926" s="12"/>
      <c r="AF926" s="12"/>
      <c r="AG926" s="12"/>
      <c r="AH926" s="180"/>
      <c r="AI926" s="180"/>
      <c r="AJ926" s="12"/>
      <c r="AK926" s="12"/>
      <c r="AL926" s="12"/>
      <c r="AM926" s="12"/>
    </row>
    <row r="927">
      <c r="A927" s="74"/>
      <c r="B927" s="12"/>
      <c r="C927" s="74"/>
      <c r="D927" s="12"/>
      <c r="E927" s="12"/>
      <c r="F927" s="74"/>
      <c r="G927" s="74"/>
      <c r="H927" s="179"/>
      <c r="I927" s="74"/>
      <c r="J927" s="74"/>
      <c r="K927" s="74"/>
      <c r="L927" s="74"/>
      <c r="M927" s="74"/>
      <c r="N927" s="179"/>
      <c r="O927" s="74"/>
      <c r="P927" s="74"/>
      <c r="Q927" s="74"/>
      <c r="R927" s="74"/>
      <c r="S927" s="74"/>
      <c r="T927" s="74"/>
      <c r="U927" s="74"/>
      <c r="V927" s="74"/>
      <c r="W927" s="74"/>
      <c r="X927" s="74"/>
      <c r="Y927" s="74"/>
      <c r="Z927" s="74"/>
      <c r="AA927" s="74"/>
      <c r="AB927" s="74"/>
      <c r="AC927" s="74"/>
      <c r="AD927" s="74"/>
      <c r="AE927" s="12"/>
      <c r="AF927" s="12"/>
      <c r="AG927" s="12"/>
      <c r="AH927" s="180"/>
      <c r="AI927" s="180"/>
      <c r="AJ927" s="12"/>
      <c r="AK927" s="12"/>
      <c r="AL927" s="12"/>
      <c r="AM927" s="12"/>
    </row>
    <row r="928">
      <c r="A928" s="74"/>
      <c r="B928" s="12"/>
      <c r="C928" s="74"/>
      <c r="D928" s="12"/>
      <c r="E928" s="12"/>
      <c r="F928" s="74"/>
      <c r="G928" s="74"/>
      <c r="H928" s="179"/>
      <c r="I928" s="74"/>
      <c r="J928" s="74"/>
      <c r="K928" s="74"/>
      <c r="L928" s="74"/>
      <c r="M928" s="74"/>
      <c r="N928" s="179"/>
      <c r="O928" s="74"/>
      <c r="P928" s="74"/>
      <c r="Q928" s="74"/>
      <c r="R928" s="74"/>
      <c r="S928" s="74"/>
      <c r="T928" s="74"/>
      <c r="U928" s="74"/>
      <c r="V928" s="74"/>
      <c r="W928" s="74"/>
      <c r="X928" s="74"/>
      <c r="Y928" s="74"/>
      <c r="Z928" s="74"/>
      <c r="AA928" s="74"/>
      <c r="AB928" s="74"/>
      <c r="AC928" s="74"/>
      <c r="AD928" s="74"/>
      <c r="AE928" s="12"/>
      <c r="AF928" s="12"/>
      <c r="AG928" s="12"/>
      <c r="AH928" s="180"/>
      <c r="AI928" s="180"/>
      <c r="AJ928" s="12"/>
      <c r="AK928" s="12"/>
      <c r="AL928" s="12"/>
      <c r="AM928" s="12"/>
    </row>
    <row r="929">
      <c r="A929" s="74"/>
      <c r="B929" s="12"/>
      <c r="C929" s="74"/>
      <c r="D929" s="12"/>
      <c r="E929" s="12"/>
      <c r="F929" s="74"/>
      <c r="G929" s="74"/>
      <c r="H929" s="179"/>
      <c r="I929" s="74"/>
      <c r="J929" s="74"/>
      <c r="K929" s="74"/>
      <c r="L929" s="74"/>
      <c r="M929" s="74"/>
      <c r="N929" s="179"/>
      <c r="O929" s="74"/>
      <c r="P929" s="74"/>
      <c r="Q929" s="74"/>
      <c r="R929" s="74"/>
      <c r="S929" s="74"/>
      <c r="T929" s="74"/>
      <c r="U929" s="74"/>
      <c r="V929" s="74"/>
      <c r="W929" s="74"/>
      <c r="X929" s="74"/>
      <c r="Y929" s="74"/>
      <c r="Z929" s="74"/>
      <c r="AA929" s="74"/>
      <c r="AB929" s="74"/>
      <c r="AC929" s="74"/>
      <c r="AD929" s="74"/>
      <c r="AE929" s="12"/>
      <c r="AF929" s="12"/>
      <c r="AG929" s="12"/>
      <c r="AH929" s="180"/>
      <c r="AI929" s="180"/>
      <c r="AJ929" s="12"/>
      <c r="AK929" s="12"/>
      <c r="AL929" s="12"/>
      <c r="AM929" s="12"/>
    </row>
    <row r="930">
      <c r="A930" s="74"/>
      <c r="B930" s="12"/>
      <c r="C930" s="74"/>
      <c r="D930" s="12"/>
      <c r="E930" s="12"/>
      <c r="F930" s="74"/>
      <c r="G930" s="74"/>
      <c r="H930" s="179"/>
      <c r="I930" s="74"/>
      <c r="J930" s="74"/>
      <c r="K930" s="74"/>
      <c r="L930" s="74"/>
      <c r="M930" s="74"/>
      <c r="N930" s="179"/>
      <c r="O930" s="74"/>
      <c r="P930" s="74"/>
      <c r="Q930" s="74"/>
      <c r="R930" s="74"/>
      <c r="S930" s="74"/>
      <c r="T930" s="74"/>
      <c r="U930" s="74"/>
      <c r="V930" s="74"/>
      <c r="W930" s="74"/>
      <c r="X930" s="74"/>
      <c r="Y930" s="74"/>
      <c r="Z930" s="74"/>
      <c r="AA930" s="74"/>
      <c r="AB930" s="74"/>
      <c r="AC930" s="74"/>
      <c r="AD930" s="74"/>
      <c r="AE930" s="12"/>
      <c r="AF930" s="12"/>
      <c r="AG930" s="12"/>
      <c r="AH930" s="180"/>
      <c r="AI930" s="180"/>
      <c r="AJ930" s="12"/>
      <c r="AK930" s="12"/>
      <c r="AL930" s="12"/>
      <c r="AM930" s="12"/>
    </row>
    <row r="931">
      <c r="A931" s="74"/>
      <c r="B931" s="12"/>
      <c r="C931" s="74"/>
      <c r="D931" s="12"/>
      <c r="E931" s="12"/>
      <c r="F931" s="74"/>
      <c r="G931" s="74"/>
      <c r="H931" s="179"/>
      <c r="I931" s="74"/>
      <c r="J931" s="74"/>
      <c r="K931" s="74"/>
      <c r="L931" s="74"/>
      <c r="M931" s="74"/>
      <c r="N931" s="179"/>
      <c r="O931" s="74"/>
      <c r="P931" s="74"/>
      <c r="Q931" s="74"/>
      <c r="R931" s="74"/>
      <c r="S931" s="74"/>
      <c r="T931" s="74"/>
      <c r="U931" s="74"/>
      <c r="V931" s="74"/>
      <c r="W931" s="74"/>
      <c r="X931" s="74"/>
      <c r="Y931" s="74"/>
      <c r="Z931" s="74"/>
      <c r="AA931" s="74"/>
      <c r="AB931" s="74"/>
      <c r="AC931" s="74"/>
      <c r="AD931" s="74"/>
      <c r="AE931" s="12"/>
      <c r="AF931" s="12"/>
      <c r="AG931" s="12"/>
      <c r="AH931" s="180"/>
      <c r="AI931" s="180"/>
      <c r="AJ931" s="12"/>
      <c r="AK931" s="12"/>
      <c r="AL931" s="12"/>
      <c r="AM931" s="12"/>
    </row>
    <row r="932">
      <c r="A932" s="74"/>
      <c r="B932" s="12"/>
      <c r="C932" s="74"/>
      <c r="D932" s="12"/>
      <c r="E932" s="12"/>
      <c r="F932" s="74"/>
      <c r="G932" s="74"/>
      <c r="H932" s="179"/>
      <c r="I932" s="74"/>
      <c r="J932" s="74"/>
      <c r="K932" s="74"/>
      <c r="L932" s="74"/>
      <c r="M932" s="74"/>
      <c r="N932" s="179"/>
      <c r="O932" s="74"/>
      <c r="P932" s="74"/>
      <c r="Q932" s="74"/>
      <c r="R932" s="74"/>
      <c r="S932" s="74"/>
      <c r="T932" s="74"/>
      <c r="U932" s="74"/>
      <c r="V932" s="74"/>
      <c r="W932" s="74"/>
      <c r="X932" s="74"/>
      <c r="Y932" s="74"/>
      <c r="Z932" s="74"/>
      <c r="AA932" s="74"/>
      <c r="AB932" s="74"/>
      <c r="AC932" s="74"/>
      <c r="AD932" s="74"/>
      <c r="AE932" s="12"/>
      <c r="AF932" s="12"/>
      <c r="AG932" s="12"/>
      <c r="AH932" s="180"/>
      <c r="AI932" s="180"/>
      <c r="AJ932" s="12"/>
      <c r="AK932" s="12"/>
      <c r="AL932" s="12"/>
      <c r="AM932" s="12"/>
    </row>
    <row r="933">
      <c r="A933" s="74"/>
      <c r="B933" s="12"/>
      <c r="C933" s="74"/>
      <c r="D933" s="12"/>
      <c r="E933" s="12"/>
      <c r="F933" s="74"/>
      <c r="G933" s="74"/>
      <c r="H933" s="179"/>
      <c r="I933" s="74"/>
      <c r="J933" s="74"/>
      <c r="K933" s="74"/>
      <c r="L933" s="74"/>
      <c r="M933" s="74"/>
      <c r="N933" s="179"/>
      <c r="O933" s="74"/>
      <c r="P933" s="74"/>
      <c r="Q933" s="74"/>
      <c r="R933" s="74"/>
      <c r="S933" s="74"/>
      <c r="T933" s="74"/>
      <c r="U933" s="74"/>
      <c r="V933" s="74"/>
      <c r="W933" s="74"/>
      <c r="X933" s="74"/>
      <c r="Y933" s="74"/>
      <c r="Z933" s="74"/>
      <c r="AA933" s="74"/>
      <c r="AB933" s="74"/>
      <c r="AC933" s="74"/>
      <c r="AD933" s="74"/>
      <c r="AE933" s="12"/>
      <c r="AF933" s="12"/>
      <c r="AG933" s="12"/>
      <c r="AH933" s="180"/>
      <c r="AI933" s="180"/>
      <c r="AJ933" s="12"/>
      <c r="AK933" s="12"/>
      <c r="AL933" s="12"/>
      <c r="AM933" s="12"/>
    </row>
    <row r="934">
      <c r="A934" s="74"/>
      <c r="B934" s="12"/>
      <c r="C934" s="74"/>
      <c r="D934" s="12"/>
      <c r="E934" s="12"/>
      <c r="F934" s="74"/>
      <c r="G934" s="74"/>
      <c r="H934" s="179"/>
      <c r="I934" s="74"/>
      <c r="J934" s="74"/>
      <c r="K934" s="74"/>
      <c r="L934" s="74"/>
      <c r="M934" s="74"/>
      <c r="N934" s="179"/>
      <c r="O934" s="74"/>
      <c r="P934" s="74"/>
      <c r="Q934" s="74"/>
      <c r="R934" s="74"/>
      <c r="S934" s="74"/>
      <c r="T934" s="74"/>
      <c r="U934" s="74"/>
      <c r="V934" s="74"/>
      <c r="W934" s="74"/>
      <c r="X934" s="74"/>
      <c r="Y934" s="74"/>
      <c r="Z934" s="74"/>
      <c r="AA934" s="74"/>
      <c r="AB934" s="74"/>
      <c r="AC934" s="74"/>
      <c r="AD934" s="74"/>
      <c r="AE934" s="12"/>
      <c r="AF934" s="12"/>
      <c r="AG934" s="12"/>
      <c r="AH934" s="180"/>
      <c r="AI934" s="180"/>
      <c r="AJ934" s="12"/>
      <c r="AK934" s="12"/>
      <c r="AL934" s="12"/>
      <c r="AM934" s="12"/>
    </row>
    <row r="935">
      <c r="A935" s="74"/>
      <c r="B935" s="12"/>
      <c r="C935" s="74"/>
      <c r="D935" s="12"/>
      <c r="E935" s="12"/>
      <c r="F935" s="74"/>
      <c r="G935" s="74"/>
      <c r="H935" s="179"/>
      <c r="I935" s="74"/>
      <c r="J935" s="74"/>
      <c r="K935" s="74"/>
      <c r="L935" s="74"/>
      <c r="M935" s="74"/>
      <c r="N935" s="179"/>
      <c r="O935" s="74"/>
      <c r="P935" s="74"/>
      <c r="Q935" s="74"/>
      <c r="R935" s="74"/>
      <c r="S935" s="74"/>
      <c r="T935" s="74"/>
      <c r="U935" s="74"/>
      <c r="V935" s="74"/>
      <c r="W935" s="74"/>
      <c r="X935" s="74"/>
      <c r="Y935" s="74"/>
      <c r="Z935" s="74"/>
      <c r="AA935" s="74"/>
      <c r="AB935" s="74"/>
      <c r="AC935" s="74"/>
      <c r="AD935" s="74"/>
      <c r="AE935" s="12"/>
      <c r="AF935" s="12"/>
      <c r="AG935" s="12"/>
      <c r="AH935" s="180"/>
      <c r="AI935" s="180"/>
      <c r="AJ935" s="12"/>
      <c r="AK935" s="12"/>
      <c r="AL935" s="12"/>
      <c r="AM935" s="12"/>
    </row>
    <row r="936">
      <c r="A936" s="74"/>
      <c r="B936" s="12"/>
      <c r="C936" s="74"/>
      <c r="D936" s="12"/>
      <c r="E936" s="12"/>
      <c r="F936" s="74"/>
      <c r="G936" s="74"/>
      <c r="H936" s="179"/>
      <c r="I936" s="74"/>
      <c r="J936" s="74"/>
      <c r="K936" s="74"/>
      <c r="L936" s="74"/>
      <c r="M936" s="74"/>
      <c r="N936" s="179"/>
      <c r="O936" s="74"/>
      <c r="P936" s="74"/>
      <c r="Q936" s="74"/>
      <c r="R936" s="74"/>
      <c r="S936" s="74"/>
      <c r="T936" s="74"/>
      <c r="U936" s="74"/>
      <c r="V936" s="74"/>
      <c r="W936" s="74"/>
      <c r="X936" s="74"/>
      <c r="Y936" s="74"/>
      <c r="Z936" s="74"/>
      <c r="AA936" s="74"/>
      <c r="AB936" s="74"/>
      <c r="AC936" s="74"/>
      <c r="AD936" s="74"/>
      <c r="AE936" s="12"/>
      <c r="AF936" s="12"/>
      <c r="AG936" s="12"/>
      <c r="AH936" s="180"/>
      <c r="AI936" s="180"/>
      <c r="AJ936" s="12"/>
      <c r="AK936" s="12"/>
      <c r="AL936" s="12"/>
      <c r="AM936" s="12"/>
    </row>
    <row r="937">
      <c r="A937" s="74"/>
      <c r="B937" s="12"/>
      <c r="C937" s="74"/>
      <c r="D937" s="12"/>
      <c r="E937" s="12"/>
      <c r="F937" s="74"/>
      <c r="G937" s="74"/>
      <c r="H937" s="179"/>
      <c r="I937" s="74"/>
      <c r="J937" s="74"/>
      <c r="K937" s="74"/>
      <c r="L937" s="74"/>
      <c r="M937" s="74"/>
      <c r="N937" s="179"/>
      <c r="O937" s="74"/>
      <c r="P937" s="74"/>
      <c r="Q937" s="74"/>
      <c r="R937" s="74"/>
      <c r="S937" s="74"/>
      <c r="T937" s="74"/>
      <c r="U937" s="74"/>
      <c r="V937" s="74"/>
      <c r="W937" s="74"/>
      <c r="X937" s="74"/>
      <c r="Y937" s="74"/>
      <c r="Z937" s="74"/>
      <c r="AA937" s="74"/>
      <c r="AB937" s="74"/>
      <c r="AC937" s="74"/>
      <c r="AD937" s="74"/>
      <c r="AE937" s="12"/>
      <c r="AF937" s="12"/>
      <c r="AG937" s="12"/>
      <c r="AH937" s="180"/>
      <c r="AI937" s="180"/>
      <c r="AJ937" s="12"/>
      <c r="AK937" s="12"/>
      <c r="AL937" s="12"/>
      <c r="AM937" s="12"/>
    </row>
    <row r="938">
      <c r="A938" s="74"/>
      <c r="B938" s="12"/>
      <c r="C938" s="74"/>
      <c r="D938" s="12"/>
      <c r="E938" s="12"/>
      <c r="F938" s="74"/>
      <c r="G938" s="74"/>
      <c r="H938" s="179"/>
      <c r="I938" s="74"/>
      <c r="J938" s="74"/>
      <c r="K938" s="74"/>
      <c r="L938" s="74"/>
      <c r="M938" s="74"/>
      <c r="N938" s="179"/>
      <c r="O938" s="74"/>
      <c r="P938" s="74"/>
      <c r="Q938" s="74"/>
      <c r="R938" s="74"/>
      <c r="S938" s="74"/>
      <c r="T938" s="74"/>
      <c r="U938" s="74"/>
      <c r="V938" s="74"/>
      <c r="W938" s="74"/>
      <c r="X938" s="74"/>
      <c r="Y938" s="74"/>
      <c r="Z938" s="74"/>
      <c r="AA938" s="74"/>
      <c r="AB938" s="74"/>
      <c r="AC938" s="74"/>
      <c r="AD938" s="74"/>
      <c r="AE938" s="12"/>
      <c r="AF938" s="12"/>
      <c r="AG938" s="12"/>
      <c r="AH938" s="180"/>
      <c r="AI938" s="180"/>
      <c r="AJ938" s="12"/>
      <c r="AK938" s="12"/>
      <c r="AL938" s="12"/>
      <c r="AM938" s="12"/>
    </row>
    <row r="939">
      <c r="A939" s="74"/>
      <c r="B939" s="12"/>
      <c r="C939" s="74"/>
      <c r="D939" s="12"/>
      <c r="E939" s="12"/>
      <c r="F939" s="74"/>
      <c r="G939" s="74"/>
      <c r="H939" s="179"/>
      <c r="I939" s="74"/>
      <c r="J939" s="74"/>
      <c r="K939" s="74"/>
      <c r="L939" s="74"/>
      <c r="M939" s="74"/>
      <c r="N939" s="179"/>
      <c r="O939" s="74"/>
      <c r="P939" s="74"/>
      <c r="Q939" s="74"/>
      <c r="R939" s="74"/>
      <c r="S939" s="74"/>
      <c r="T939" s="74"/>
      <c r="U939" s="74"/>
      <c r="V939" s="74"/>
      <c r="W939" s="74"/>
      <c r="X939" s="74"/>
      <c r="Y939" s="74"/>
      <c r="Z939" s="74"/>
      <c r="AA939" s="74"/>
      <c r="AB939" s="74"/>
      <c r="AC939" s="74"/>
      <c r="AD939" s="74"/>
      <c r="AE939" s="12"/>
      <c r="AF939" s="12"/>
      <c r="AG939" s="12"/>
      <c r="AH939" s="180"/>
      <c r="AI939" s="180"/>
      <c r="AJ939" s="12"/>
      <c r="AK939" s="12"/>
      <c r="AL939" s="12"/>
      <c r="AM939" s="12"/>
    </row>
    <row r="940">
      <c r="A940" s="74"/>
      <c r="B940" s="12"/>
      <c r="C940" s="74"/>
      <c r="D940" s="12"/>
      <c r="E940" s="12"/>
      <c r="F940" s="74"/>
      <c r="G940" s="74"/>
      <c r="H940" s="179"/>
      <c r="I940" s="74"/>
      <c r="J940" s="74"/>
      <c r="K940" s="74"/>
      <c r="L940" s="74"/>
      <c r="M940" s="74"/>
      <c r="N940" s="179"/>
      <c r="O940" s="74"/>
      <c r="P940" s="74"/>
      <c r="Q940" s="74"/>
      <c r="R940" s="74"/>
      <c r="S940" s="74"/>
      <c r="T940" s="74"/>
      <c r="U940" s="74"/>
      <c r="V940" s="74"/>
      <c r="W940" s="74"/>
      <c r="X940" s="74"/>
      <c r="Y940" s="74"/>
      <c r="Z940" s="74"/>
      <c r="AA940" s="74"/>
      <c r="AB940" s="74"/>
      <c r="AC940" s="74"/>
      <c r="AD940" s="74"/>
      <c r="AE940" s="12"/>
      <c r="AF940" s="12"/>
      <c r="AG940" s="12"/>
      <c r="AH940" s="180"/>
      <c r="AI940" s="180"/>
      <c r="AJ940" s="12"/>
      <c r="AK940" s="12"/>
      <c r="AL940" s="12"/>
      <c r="AM940" s="12"/>
    </row>
    <row r="941">
      <c r="A941" s="74"/>
      <c r="B941" s="12"/>
      <c r="C941" s="74"/>
      <c r="D941" s="12"/>
      <c r="E941" s="12"/>
      <c r="F941" s="74"/>
      <c r="G941" s="74"/>
      <c r="H941" s="179"/>
      <c r="I941" s="74"/>
      <c r="J941" s="74"/>
      <c r="K941" s="74"/>
      <c r="L941" s="74"/>
      <c r="M941" s="74"/>
      <c r="N941" s="179"/>
      <c r="O941" s="74"/>
      <c r="P941" s="74"/>
      <c r="Q941" s="74"/>
      <c r="R941" s="74"/>
      <c r="S941" s="74"/>
      <c r="T941" s="74"/>
      <c r="U941" s="74"/>
      <c r="V941" s="74"/>
      <c r="W941" s="74"/>
      <c r="X941" s="74"/>
      <c r="Y941" s="74"/>
      <c r="Z941" s="74"/>
      <c r="AA941" s="74"/>
      <c r="AB941" s="74"/>
      <c r="AC941" s="74"/>
      <c r="AD941" s="74"/>
      <c r="AE941" s="12"/>
      <c r="AF941" s="12"/>
      <c r="AG941" s="12"/>
      <c r="AH941" s="180"/>
      <c r="AI941" s="180"/>
      <c r="AJ941" s="12"/>
      <c r="AK941" s="12"/>
      <c r="AL941" s="12"/>
      <c r="AM941" s="12"/>
    </row>
    <row r="942">
      <c r="A942" s="74"/>
      <c r="B942" s="12"/>
      <c r="C942" s="74"/>
      <c r="D942" s="12"/>
      <c r="E942" s="12"/>
      <c r="F942" s="74"/>
      <c r="G942" s="74"/>
      <c r="H942" s="179"/>
      <c r="I942" s="74"/>
      <c r="J942" s="74"/>
      <c r="K942" s="74"/>
      <c r="L942" s="74"/>
      <c r="M942" s="74"/>
      <c r="N942" s="179"/>
      <c r="O942" s="74"/>
      <c r="P942" s="74"/>
      <c r="Q942" s="74"/>
      <c r="R942" s="74"/>
      <c r="S942" s="74"/>
      <c r="T942" s="74"/>
      <c r="U942" s="74"/>
      <c r="V942" s="74"/>
      <c r="W942" s="74"/>
      <c r="X942" s="74"/>
      <c r="Y942" s="74"/>
      <c r="Z942" s="74"/>
      <c r="AA942" s="74"/>
      <c r="AB942" s="74"/>
      <c r="AC942" s="74"/>
      <c r="AD942" s="74"/>
      <c r="AE942" s="12"/>
      <c r="AF942" s="12"/>
      <c r="AG942" s="12"/>
      <c r="AH942" s="180"/>
      <c r="AI942" s="180"/>
      <c r="AJ942" s="12"/>
      <c r="AK942" s="12"/>
      <c r="AL942" s="12"/>
      <c r="AM942" s="12"/>
    </row>
    <row r="943">
      <c r="A943" s="74"/>
      <c r="B943" s="12"/>
      <c r="C943" s="74"/>
      <c r="D943" s="12"/>
      <c r="E943" s="12"/>
      <c r="F943" s="74"/>
      <c r="G943" s="74"/>
      <c r="H943" s="179"/>
      <c r="I943" s="74"/>
      <c r="J943" s="74"/>
      <c r="K943" s="74"/>
      <c r="L943" s="74"/>
      <c r="M943" s="74"/>
      <c r="N943" s="179"/>
      <c r="O943" s="74"/>
      <c r="P943" s="74"/>
      <c r="Q943" s="74"/>
      <c r="R943" s="74"/>
      <c r="S943" s="74"/>
      <c r="T943" s="74"/>
      <c r="U943" s="74"/>
      <c r="V943" s="74"/>
      <c r="W943" s="74"/>
      <c r="X943" s="74"/>
      <c r="Y943" s="74"/>
      <c r="Z943" s="74"/>
      <c r="AA943" s="74"/>
      <c r="AB943" s="74"/>
      <c r="AC943" s="74"/>
      <c r="AD943" s="74"/>
      <c r="AE943" s="12"/>
      <c r="AF943" s="12"/>
      <c r="AG943" s="12"/>
      <c r="AH943" s="180"/>
      <c r="AI943" s="180"/>
      <c r="AJ943" s="12"/>
      <c r="AK943" s="12"/>
      <c r="AL943" s="12"/>
      <c r="AM943" s="12"/>
    </row>
    <row r="944">
      <c r="A944" s="74"/>
      <c r="B944" s="12"/>
      <c r="C944" s="74"/>
      <c r="D944" s="12"/>
      <c r="E944" s="12"/>
      <c r="F944" s="74"/>
      <c r="G944" s="74"/>
      <c r="H944" s="179"/>
      <c r="I944" s="74"/>
      <c r="J944" s="74"/>
      <c r="K944" s="74"/>
      <c r="L944" s="74"/>
      <c r="M944" s="74"/>
      <c r="N944" s="179"/>
      <c r="O944" s="74"/>
      <c r="P944" s="74"/>
      <c r="Q944" s="74"/>
      <c r="R944" s="74"/>
      <c r="S944" s="74"/>
      <c r="T944" s="74"/>
      <c r="U944" s="74"/>
      <c r="V944" s="74"/>
      <c r="W944" s="74"/>
      <c r="X944" s="74"/>
      <c r="Y944" s="74"/>
      <c r="Z944" s="74"/>
      <c r="AA944" s="74"/>
      <c r="AB944" s="74"/>
      <c r="AC944" s="74"/>
      <c r="AD944" s="74"/>
      <c r="AE944" s="12"/>
      <c r="AF944" s="12"/>
      <c r="AG944" s="12"/>
      <c r="AH944" s="180"/>
      <c r="AI944" s="180"/>
      <c r="AJ944" s="12"/>
      <c r="AK944" s="12"/>
      <c r="AL944" s="12"/>
      <c r="AM944" s="12"/>
    </row>
    <row r="945">
      <c r="A945" s="74"/>
      <c r="B945" s="12"/>
      <c r="C945" s="74"/>
      <c r="D945" s="12"/>
      <c r="E945" s="12"/>
      <c r="F945" s="74"/>
      <c r="G945" s="74"/>
      <c r="H945" s="179"/>
      <c r="I945" s="74"/>
      <c r="J945" s="74"/>
      <c r="K945" s="74"/>
      <c r="L945" s="74"/>
      <c r="M945" s="74"/>
      <c r="N945" s="179"/>
      <c r="O945" s="74"/>
      <c r="P945" s="74"/>
      <c r="Q945" s="74"/>
      <c r="R945" s="74"/>
      <c r="S945" s="74"/>
      <c r="T945" s="74"/>
      <c r="U945" s="74"/>
      <c r="V945" s="74"/>
      <c r="W945" s="74"/>
      <c r="X945" s="74"/>
      <c r="Y945" s="74"/>
      <c r="Z945" s="74"/>
      <c r="AA945" s="74"/>
      <c r="AB945" s="74"/>
      <c r="AC945" s="74"/>
      <c r="AD945" s="74"/>
      <c r="AE945" s="12"/>
      <c r="AF945" s="12"/>
      <c r="AG945" s="12"/>
      <c r="AH945" s="180"/>
      <c r="AI945" s="180"/>
      <c r="AJ945" s="12"/>
      <c r="AK945" s="12"/>
      <c r="AL945" s="12"/>
      <c r="AM945" s="12"/>
    </row>
    <row r="946">
      <c r="A946" s="74"/>
      <c r="B946" s="12"/>
      <c r="C946" s="74"/>
      <c r="D946" s="12"/>
      <c r="E946" s="12"/>
      <c r="F946" s="74"/>
      <c r="G946" s="74"/>
      <c r="H946" s="179"/>
      <c r="I946" s="74"/>
      <c r="J946" s="74"/>
      <c r="K946" s="74"/>
      <c r="L946" s="74"/>
      <c r="M946" s="74"/>
      <c r="N946" s="179"/>
      <c r="O946" s="74"/>
      <c r="P946" s="74"/>
      <c r="Q946" s="74"/>
      <c r="R946" s="74"/>
      <c r="S946" s="74"/>
      <c r="T946" s="74"/>
      <c r="U946" s="74"/>
      <c r="V946" s="74"/>
      <c r="W946" s="74"/>
      <c r="X946" s="74"/>
      <c r="Y946" s="74"/>
      <c r="Z946" s="74"/>
      <c r="AA946" s="74"/>
      <c r="AB946" s="74"/>
      <c r="AC946" s="74"/>
      <c r="AD946" s="74"/>
      <c r="AE946" s="12"/>
      <c r="AF946" s="12"/>
      <c r="AG946" s="12"/>
      <c r="AH946" s="180"/>
      <c r="AI946" s="180"/>
      <c r="AJ946" s="12"/>
      <c r="AK946" s="12"/>
      <c r="AL946" s="12"/>
      <c r="AM946" s="12"/>
    </row>
    <row r="947">
      <c r="A947" s="74"/>
      <c r="B947" s="12"/>
      <c r="C947" s="74"/>
      <c r="D947" s="12"/>
      <c r="E947" s="12"/>
      <c r="F947" s="74"/>
      <c r="G947" s="74"/>
      <c r="H947" s="179"/>
      <c r="I947" s="74"/>
      <c r="J947" s="74"/>
      <c r="K947" s="74"/>
      <c r="L947" s="74"/>
      <c r="M947" s="74"/>
      <c r="N947" s="179"/>
      <c r="O947" s="74"/>
      <c r="P947" s="74"/>
      <c r="Q947" s="74"/>
      <c r="R947" s="74"/>
      <c r="S947" s="74"/>
      <c r="T947" s="74"/>
      <c r="U947" s="74"/>
      <c r="V947" s="74"/>
      <c r="W947" s="74"/>
      <c r="X947" s="74"/>
      <c r="Y947" s="74"/>
      <c r="Z947" s="74"/>
      <c r="AA947" s="74"/>
      <c r="AB947" s="74"/>
      <c r="AC947" s="74"/>
      <c r="AD947" s="74"/>
      <c r="AE947" s="12"/>
      <c r="AF947" s="12"/>
      <c r="AG947" s="12"/>
      <c r="AH947" s="180"/>
      <c r="AI947" s="180"/>
      <c r="AJ947" s="12"/>
      <c r="AK947" s="12"/>
      <c r="AL947" s="12"/>
      <c r="AM947" s="12"/>
    </row>
    <row r="948">
      <c r="A948" s="74"/>
      <c r="B948" s="12"/>
      <c r="C948" s="74"/>
      <c r="D948" s="12"/>
      <c r="E948" s="12"/>
      <c r="F948" s="74"/>
      <c r="G948" s="74"/>
      <c r="H948" s="179"/>
      <c r="I948" s="74"/>
      <c r="J948" s="74"/>
      <c r="K948" s="74"/>
      <c r="L948" s="74"/>
      <c r="M948" s="74"/>
      <c r="N948" s="179"/>
      <c r="O948" s="74"/>
      <c r="P948" s="74"/>
      <c r="Q948" s="74"/>
      <c r="R948" s="74"/>
      <c r="S948" s="74"/>
      <c r="T948" s="74"/>
      <c r="U948" s="74"/>
      <c r="V948" s="74"/>
      <c r="W948" s="74"/>
      <c r="X948" s="74"/>
      <c r="Y948" s="74"/>
      <c r="Z948" s="74"/>
      <c r="AA948" s="74"/>
      <c r="AB948" s="74"/>
      <c r="AC948" s="74"/>
      <c r="AD948" s="74"/>
      <c r="AE948" s="12"/>
      <c r="AF948" s="12"/>
      <c r="AG948" s="12"/>
      <c r="AH948" s="180"/>
      <c r="AI948" s="180"/>
      <c r="AJ948" s="12"/>
      <c r="AK948" s="12"/>
      <c r="AL948" s="12"/>
      <c r="AM948" s="12"/>
    </row>
    <row r="949">
      <c r="A949" s="74"/>
      <c r="B949" s="12"/>
      <c r="C949" s="74"/>
      <c r="D949" s="12"/>
      <c r="E949" s="12"/>
      <c r="F949" s="74"/>
      <c r="G949" s="74"/>
      <c r="H949" s="179"/>
      <c r="I949" s="74"/>
      <c r="J949" s="74"/>
      <c r="K949" s="74"/>
      <c r="L949" s="74"/>
      <c r="M949" s="74"/>
      <c r="N949" s="179"/>
      <c r="O949" s="74"/>
      <c r="P949" s="74"/>
      <c r="Q949" s="74"/>
      <c r="R949" s="74"/>
      <c r="S949" s="74"/>
      <c r="T949" s="74"/>
      <c r="U949" s="74"/>
      <c r="V949" s="74"/>
      <c r="W949" s="74"/>
      <c r="X949" s="74"/>
      <c r="Y949" s="74"/>
      <c r="Z949" s="74"/>
      <c r="AA949" s="74"/>
      <c r="AB949" s="74"/>
      <c r="AC949" s="74"/>
      <c r="AD949" s="74"/>
      <c r="AE949" s="12"/>
      <c r="AF949" s="12"/>
      <c r="AG949" s="12"/>
      <c r="AH949" s="180"/>
      <c r="AI949" s="180"/>
      <c r="AJ949" s="12"/>
      <c r="AK949" s="12"/>
      <c r="AL949" s="12"/>
      <c r="AM949" s="12"/>
    </row>
    <row r="950">
      <c r="A950" s="74"/>
      <c r="B950" s="12"/>
      <c r="C950" s="74"/>
      <c r="D950" s="12"/>
      <c r="E950" s="12"/>
      <c r="F950" s="74"/>
      <c r="G950" s="74"/>
      <c r="H950" s="179"/>
      <c r="I950" s="74"/>
      <c r="J950" s="74"/>
      <c r="K950" s="74"/>
      <c r="L950" s="74"/>
      <c r="M950" s="74"/>
      <c r="N950" s="179"/>
      <c r="O950" s="74"/>
      <c r="P950" s="74"/>
      <c r="Q950" s="74"/>
      <c r="R950" s="74"/>
      <c r="S950" s="74"/>
      <c r="T950" s="74"/>
      <c r="U950" s="74"/>
      <c r="V950" s="74"/>
      <c r="W950" s="74"/>
      <c r="X950" s="74"/>
      <c r="Y950" s="74"/>
      <c r="Z950" s="74"/>
      <c r="AA950" s="74"/>
      <c r="AB950" s="74"/>
      <c r="AC950" s="74"/>
      <c r="AD950" s="74"/>
      <c r="AE950" s="12"/>
      <c r="AF950" s="12"/>
      <c r="AG950" s="12"/>
      <c r="AH950" s="180"/>
      <c r="AI950" s="180"/>
      <c r="AJ950" s="12"/>
      <c r="AK950" s="12"/>
      <c r="AL950" s="12"/>
      <c r="AM950" s="12"/>
    </row>
    <row r="951">
      <c r="A951" s="74"/>
      <c r="B951" s="12"/>
      <c r="C951" s="74"/>
      <c r="D951" s="12"/>
      <c r="E951" s="12"/>
      <c r="F951" s="74"/>
      <c r="G951" s="74"/>
      <c r="H951" s="179"/>
      <c r="I951" s="74"/>
      <c r="J951" s="74"/>
      <c r="K951" s="74"/>
      <c r="L951" s="74"/>
      <c r="M951" s="74"/>
      <c r="N951" s="179"/>
      <c r="O951" s="74"/>
      <c r="P951" s="74"/>
      <c r="Q951" s="74"/>
      <c r="R951" s="74"/>
      <c r="S951" s="74"/>
      <c r="T951" s="74"/>
      <c r="U951" s="74"/>
      <c r="V951" s="74"/>
      <c r="W951" s="74"/>
      <c r="X951" s="74"/>
      <c r="Y951" s="74"/>
      <c r="Z951" s="74"/>
      <c r="AA951" s="74"/>
      <c r="AB951" s="74"/>
      <c r="AC951" s="74"/>
      <c r="AD951" s="74"/>
      <c r="AE951" s="12"/>
      <c r="AF951" s="12"/>
      <c r="AG951" s="12"/>
      <c r="AH951" s="180"/>
      <c r="AI951" s="180"/>
      <c r="AJ951" s="12"/>
      <c r="AK951" s="12"/>
      <c r="AL951" s="12"/>
      <c r="AM951" s="12"/>
    </row>
    <row r="952">
      <c r="A952" s="74"/>
      <c r="B952" s="12"/>
      <c r="C952" s="74"/>
      <c r="D952" s="12"/>
      <c r="E952" s="12"/>
      <c r="F952" s="74"/>
      <c r="G952" s="74"/>
      <c r="H952" s="179"/>
      <c r="I952" s="74"/>
      <c r="J952" s="74"/>
      <c r="K952" s="74"/>
      <c r="L952" s="74"/>
      <c r="M952" s="74"/>
      <c r="N952" s="179"/>
      <c r="O952" s="74"/>
      <c r="P952" s="74"/>
      <c r="Q952" s="74"/>
      <c r="R952" s="74"/>
      <c r="S952" s="74"/>
      <c r="T952" s="74"/>
      <c r="U952" s="74"/>
      <c r="V952" s="74"/>
      <c r="W952" s="74"/>
      <c r="X952" s="74"/>
      <c r="Y952" s="74"/>
      <c r="Z952" s="74"/>
      <c r="AA952" s="74"/>
      <c r="AB952" s="74"/>
      <c r="AC952" s="74"/>
      <c r="AD952" s="74"/>
      <c r="AE952" s="12"/>
      <c r="AF952" s="12"/>
      <c r="AG952" s="12"/>
      <c r="AH952" s="180"/>
      <c r="AI952" s="180"/>
      <c r="AJ952" s="12"/>
      <c r="AK952" s="12"/>
      <c r="AL952" s="12"/>
      <c r="AM952" s="12"/>
    </row>
    <row r="953">
      <c r="A953" s="74"/>
      <c r="B953" s="12"/>
      <c r="C953" s="74"/>
      <c r="D953" s="12"/>
      <c r="E953" s="12"/>
      <c r="F953" s="74"/>
      <c r="G953" s="74"/>
      <c r="H953" s="179"/>
      <c r="I953" s="74"/>
      <c r="J953" s="74"/>
      <c r="K953" s="74"/>
      <c r="L953" s="74"/>
      <c r="M953" s="74"/>
      <c r="N953" s="179"/>
      <c r="O953" s="74"/>
      <c r="P953" s="74"/>
      <c r="Q953" s="74"/>
      <c r="R953" s="74"/>
      <c r="S953" s="74"/>
      <c r="T953" s="74"/>
      <c r="U953" s="74"/>
      <c r="V953" s="74"/>
      <c r="W953" s="74"/>
      <c r="X953" s="74"/>
      <c r="Y953" s="74"/>
      <c r="Z953" s="74"/>
      <c r="AA953" s="74"/>
      <c r="AB953" s="74"/>
      <c r="AC953" s="74"/>
      <c r="AD953" s="74"/>
      <c r="AE953" s="12"/>
      <c r="AF953" s="12"/>
      <c r="AG953" s="12"/>
      <c r="AH953" s="180"/>
      <c r="AI953" s="180"/>
      <c r="AJ953" s="12"/>
      <c r="AK953" s="12"/>
      <c r="AL953" s="12"/>
      <c r="AM953" s="12"/>
    </row>
    <row r="954">
      <c r="A954" s="74"/>
      <c r="B954" s="12"/>
      <c r="C954" s="74"/>
      <c r="D954" s="12"/>
      <c r="E954" s="12"/>
      <c r="F954" s="74"/>
      <c r="G954" s="74"/>
      <c r="H954" s="179"/>
      <c r="I954" s="74"/>
      <c r="J954" s="74"/>
      <c r="K954" s="74"/>
      <c r="L954" s="74"/>
      <c r="M954" s="74"/>
      <c r="N954" s="179"/>
      <c r="O954" s="74"/>
      <c r="P954" s="74"/>
      <c r="Q954" s="74"/>
      <c r="R954" s="74"/>
      <c r="S954" s="74"/>
      <c r="T954" s="74"/>
      <c r="U954" s="74"/>
      <c r="V954" s="74"/>
      <c r="W954" s="74"/>
      <c r="X954" s="74"/>
      <c r="Y954" s="74"/>
      <c r="Z954" s="74"/>
      <c r="AA954" s="74"/>
      <c r="AB954" s="74"/>
      <c r="AC954" s="74"/>
      <c r="AD954" s="74"/>
      <c r="AE954" s="12"/>
      <c r="AF954" s="12"/>
      <c r="AG954" s="12"/>
      <c r="AH954" s="180"/>
      <c r="AI954" s="180"/>
      <c r="AJ954" s="12"/>
      <c r="AK954" s="12"/>
      <c r="AL954" s="12"/>
      <c r="AM954" s="12"/>
    </row>
    <row r="955">
      <c r="A955" s="74"/>
      <c r="B955" s="12"/>
      <c r="C955" s="74"/>
      <c r="D955" s="12"/>
      <c r="E955" s="12"/>
      <c r="F955" s="74"/>
      <c r="G955" s="74"/>
      <c r="H955" s="179"/>
      <c r="I955" s="74"/>
      <c r="J955" s="74"/>
      <c r="K955" s="74"/>
      <c r="L955" s="74"/>
      <c r="M955" s="74"/>
      <c r="N955" s="179"/>
      <c r="O955" s="74"/>
      <c r="P955" s="74"/>
      <c r="Q955" s="74"/>
      <c r="R955" s="74"/>
      <c r="S955" s="74"/>
      <c r="T955" s="74"/>
      <c r="U955" s="74"/>
      <c r="V955" s="74"/>
      <c r="W955" s="74"/>
      <c r="X955" s="74"/>
      <c r="Y955" s="74"/>
      <c r="Z955" s="74"/>
      <c r="AA955" s="74"/>
      <c r="AB955" s="74"/>
      <c r="AC955" s="74"/>
      <c r="AD955" s="74"/>
      <c r="AE955" s="12"/>
      <c r="AF955" s="12"/>
      <c r="AG955" s="12"/>
      <c r="AH955" s="180"/>
      <c r="AI955" s="180"/>
      <c r="AJ955" s="12"/>
      <c r="AK955" s="12"/>
      <c r="AL955" s="12"/>
      <c r="AM955" s="12"/>
    </row>
    <row r="956">
      <c r="A956" s="74"/>
      <c r="B956" s="12"/>
      <c r="C956" s="74"/>
      <c r="D956" s="12"/>
      <c r="E956" s="12"/>
      <c r="F956" s="74"/>
      <c r="G956" s="74"/>
      <c r="H956" s="179"/>
      <c r="I956" s="74"/>
      <c r="J956" s="74"/>
      <c r="K956" s="74"/>
      <c r="L956" s="74"/>
      <c r="M956" s="74"/>
      <c r="N956" s="179"/>
      <c r="O956" s="74"/>
      <c r="P956" s="74"/>
      <c r="Q956" s="74"/>
      <c r="R956" s="74"/>
      <c r="S956" s="74"/>
      <c r="T956" s="74"/>
      <c r="U956" s="74"/>
      <c r="V956" s="74"/>
      <c r="W956" s="74"/>
      <c r="X956" s="74"/>
      <c r="Y956" s="74"/>
      <c r="Z956" s="74"/>
      <c r="AA956" s="74"/>
      <c r="AB956" s="74"/>
      <c r="AC956" s="74"/>
      <c r="AD956" s="74"/>
      <c r="AE956" s="12"/>
      <c r="AF956" s="12"/>
      <c r="AG956" s="12"/>
      <c r="AH956" s="180"/>
      <c r="AI956" s="180"/>
      <c r="AJ956" s="12"/>
      <c r="AK956" s="12"/>
      <c r="AL956" s="12"/>
      <c r="AM956" s="12"/>
    </row>
    <row r="957">
      <c r="A957" s="74"/>
      <c r="B957" s="12"/>
      <c r="C957" s="74"/>
      <c r="D957" s="12"/>
      <c r="E957" s="12"/>
      <c r="F957" s="74"/>
      <c r="G957" s="74"/>
      <c r="H957" s="179"/>
      <c r="I957" s="74"/>
      <c r="J957" s="74"/>
      <c r="K957" s="74"/>
      <c r="L957" s="74"/>
      <c r="M957" s="74"/>
      <c r="N957" s="179"/>
      <c r="O957" s="74"/>
      <c r="P957" s="74"/>
      <c r="Q957" s="74"/>
      <c r="R957" s="74"/>
      <c r="S957" s="74"/>
      <c r="T957" s="74"/>
      <c r="U957" s="74"/>
      <c r="V957" s="74"/>
      <c r="W957" s="74"/>
      <c r="X957" s="74"/>
      <c r="Y957" s="74"/>
      <c r="Z957" s="74"/>
      <c r="AA957" s="74"/>
      <c r="AB957" s="74"/>
      <c r="AC957" s="74"/>
      <c r="AD957" s="74"/>
      <c r="AE957" s="12"/>
      <c r="AF957" s="12"/>
      <c r="AG957" s="12"/>
      <c r="AH957" s="180"/>
      <c r="AI957" s="180"/>
      <c r="AJ957" s="12"/>
      <c r="AK957" s="12"/>
      <c r="AL957" s="12"/>
      <c r="AM957" s="12"/>
    </row>
    <row r="958">
      <c r="A958" s="74"/>
      <c r="B958" s="12"/>
      <c r="C958" s="74"/>
      <c r="D958" s="12"/>
      <c r="E958" s="12"/>
      <c r="F958" s="74"/>
      <c r="G958" s="74"/>
      <c r="H958" s="179"/>
      <c r="I958" s="74"/>
      <c r="J958" s="74"/>
      <c r="K958" s="74"/>
      <c r="L958" s="74"/>
      <c r="M958" s="74"/>
      <c r="N958" s="179"/>
      <c r="O958" s="74"/>
      <c r="P958" s="74"/>
      <c r="Q958" s="74"/>
      <c r="R958" s="74"/>
      <c r="S958" s="74"/>
      <c r="T958" s="74"/>
      <c r="U958" s="74"/>
      <c r="V958" s="74"/>
      <c r="W958" s="74"/>
      <c r="X958" s="74"/>
      <c r="Y958" s="74"/>
      <c r="Z958" s="74"/>
      <c r="AA958" s="74"/>
      <c r="AB958" s="74"/>
      <c r="AC958" s="74"/>
      <c r="AD958" s="74"/>
      <c r="AE958" s="12"/>
      <c r="AF958" s="12"/>
      <c r="AG958" s="12"/>
      <c r="AH958" s="180"/>
      <c r="AI958" s="180"/>
      <c r="AJ958" s="12"/>
      <c r="AK958" s="12"/>
      <c r="AL958" s="12"/>
      <c r="AM958" s="12"/>
    </row>
    <row r="959">
      <c r="A959" s="74"/>
      <c r="B959" s="12"/>
      <c r="C959" s="74"/>
      <c r="D959" s="12"/>
      <c r="E959" s="12"/>
      <c r="F959" s="74"/>
      <c r="G959" s="74"/>
      <c r="H959" s="179"/>
      <c r="I959" s="74"/>
      <c r="J959" s="74"/>
      <c r="K959" s="74"/>
      <c r="L959" s="74"/>
      <c r="M959" s="74"/>
      <c r="N959" s="179"/>
      <c r="O959" s="74"/>
      <c r="P959" s="74"/>
      <c r="Q959" s="74"/>
      <c r="R959" s="74"/>
      <c r="S959" s="74"/>
      <c r="T959" s="74"/>
      <c r="U959" s="74"/>
      <c r="V959" s="74"/>
      <c r="W959" s="74"/>
      <c r="X959" s="74"/>
      <c r="Y959" s="74"/>
      <c r="Z959" s="74"/>
      <c r="AA959" s="74"/>
      <c r="AB959" s="74"/>
      <c r="AC959" s="74"/>
      <c r="AD959" s="74"/>
      <c r="AE959" s="12"/>
      <c r="AF959" s="12"/>
      <c r="AG959" s="12"/>
      <c r="AH959" s="180"/>
      <c r="AI959" s="180"/>
      <c r="AJ959" s="12"/>
      <c r="AK959" s="12"/>
      <c r="AL959" s="12"/>
      <c r="AM959" s="12"/>
    </row>
    <row r="960">
      <c r="A960" s="74"/>
      <c r="B960" s="12"/>
      <c r="C960" s="74"/>
      <c r="D960" s="12"/>
      <c r="E960" s="12"/>
      <c r="F960" s="74"/>
      <c r="G960" s="74"/>
      <c r="H960" s="179"/>
      <c r="I960" s="74"/>
      <c r="J960" s="74"/>
      <c r="K960" s="74"/>
      <c r="L960" s="74"/>
      <c r="M960" s="74"/>
      <c r="N960" s="179"/>
      <c r="O960" s="74"/>
      <c r="P960" s="74"/>
      <c r="Q960" s="74"/>
      <c r="R960" s="74"/>
      <c r="S960" s="74"/>
      <c r="T960" s="74"/>
      <c r="U960" s="74"/>
      <c r="V960" s="74"/>
      <c r="W960" s="74"/>
      <c r="X960" s="74"/>
      <c r="Y960" s="74"/>
      <c r="Z960" s="74"/>
      <c r="AA960" s="74"/>
      <c r="AB960" s="74"/>
      <c r="AC960" s="74"/>
      <c r="AD960" s="74"/>
      <c r="AE960" s="12"/>
      <c r="AF960" s="12"/>
      <c r="AG960" s="12"/>
      <c r="AH960" s="180"/>
      <c r="AI960" s="180"/>
      <c r="AJ960" s="12"/>
      <c r="AK960" s="12"/>
      <c r="AL960" s="12"/>
      <c r="AM960" s="12"/>
    </row>
    <row r="961">
      <c r="A961" s="74"/>
      <c r="B961" s="12"/>
      <c r="C961" s="74"/>
      <c r="D961" s="12"/>
      <c r="E961" s="12"/>
      <c r="F961" s="74"/>
      <c r="G961" s="74"/>
      <c r="H961" s="179"/>
      <c r="I961" s="74"/>
      <c r="J961" s="74"/>
      <c r="K961" s="74"/>
      <c r="L961" s="74"/>
      <c r="M961" s="74"/>
      <c r="N961" s="179"/>
      <c r="O961" s="74"/>
      <c r="P961" s="74"/>
      <c r="Q961" s="74"/>
      <c r="R961" s="74"/>
      <c r="S961" s="74"/>
      <c r="T961" s="74"/>
      <c r="U961" s="74"/>
      <c r="V961" s="74"/>
      <c r="W961" s="74"/>
      <c r="X961" s="74"/>
      <c r="Y961" s="74"/>
      <c r="Z961" s="74"/>
      <c r="AA961" s="74"/>
      <c r="AB961" s="74"/>
      <c r="AC961" s="74"/>
      <c r="AD961" s="74"/>
      <c r="AE961" s="12"/>
      <c r="AF961" s="12"/>
      <c r="AG961" s="12"/>
      <c r="AH961" s="180"/>
      <c r="AI961" s="180"/>
      <c r="AJ961" s="12"/>
      <c r="AK961" s="12"/>
      <c r="AL961" s="12"/>
      <c r="AM961" s="12"/>
    </row>
    <row r="962">
      <c r="A962" s="74"/>
      <c r="B962" s="12"/>
      <c r="C962" s="74"/>
      <c r="D962" s="12"/>
      <c r="E962" s="12"/>
      <c r="F962" s="74"/>
      <c r="G962" s="74"/>
      <c r="H962" s="179"/>
      <c r="I962" s="74"/>
      <c r="J962" s="74"/>
      <c r="K962" s="74"/>
      <c r="L962" s="74"/>
      <c r="M962" s="74"/>
      <c r="N962" s="179"/>
      <c r="O962" s="74"/>
      <c r="P962" s="74"/>
      <c r="Q962" s="74"/>
      <c r="R962" s="74"/>
      <c r="S962" s="74"/>
      <c r="T962" s="74"/>
      <c r="U962" s="74"/>
      <c r="V962" s="74"/>
      <c r="W962" s="74"/>
      <c r="X962" s="74"/>
      <c r="Y962" s="74"/>
      <c r="Z962" s="74"/>
      <c r="AA962" s="74"/>
      <c r="AB962" s="74"/>
      <c r="AC962" s="74"/>
      <c r="AD962" s="74"/>
      <c r="AE962" s="12"/>
      <c r="AF962" s="12"/>
      <c r="AG962" s="12"/>
      <c r="AH962" s="180"/>
      <c r="AI962" s="180"/>
      <c r="AJ962" s="12"/>
      <c r="AK962" s="12"/>
      <c r="AL962" s="12"/>
      <c r="AM962" s="12"/>
    </row>
    <row r="963">
      <c r="A963" s="74"/>
      <c r="B963" s="12"/>
      <c r="C963" s="74"/>
      <c r="D963" s="12"/>
      <c r="E963" s="12"/>
      <c r="F963" s="74"/>
      <c r="G963" s="74"/>
      <c r="H963" s="179"/>
      <c r="I963" s="74"/>
      <c r="J963" s="74"/>
      <c r="K963" s="74"/>
      <c r="L963" s="74"/>
      <c r="M963" s="74"/>
      <c r="N963" s="179"/>
      <c r="O963" s="74"/>
      <c r="P963" s="74"/>
      <c r="Q963" s="74"/>
      <c r="R963" s="74"/>
      <c r="S963" s="74"/>
      <c r="T963" s="74"/>
      <c r="U963" s="74"/>
      <c r="V963" s="74"/>
      <c r="W963" s="74"/>
      <c r="X963" s="74"/>
      <c r="Y963" s="74"/>
      <c r="Z963" s="74"/>
      <c r="AA963" s="74"/>
      <c r="AB963" s="74"/>
      <c r="AC963" s="74"/>
      <c r="AD963" s="74"/>
      <c r="AE963" s="12"/>
      <c r="AF963" s="12"/>
      <c r="AG963" s="12"/>
      <c r="AH963" s="180"/>
      <c r="AI963" s="180"/>
      <c r="AJ963" s="12"/>
      <c r="AK963" s="12"/>
      <c r="AL963" s="12"/>
      <c r="AM963" s="12"/>
    </row>
    <row r="964">
      <c r="A964" s="74"/>
      <c r="B964" s="12"/>
      <c r="C964" s="74"/>
      <c r="D964" s="12"/>
      <c r="E964" s="12"/>
      <c r="F964" s="74"/>
      <c r="G964" s="74"/>
      <c r="H964" s="179"/>
      <c r="I964" s="74"/>
      <c r="J964" s="74"/>
      <c r="K964" s="74"/>
      <c r="L964" s="74"/>
      <c r="M964" s="74"/>
      <c r="N964" s="179"/>
      <c r="O964" s="74"/>
      <c r="P964" s="74"/>
      <c r="Q964" s="74"/>
      <c r="R964" s="74"/>
      <c r="S964" s="74"/>
      <c r="T964" s="74"/>
      <c r="U964" s="74"/>
      <c r="V964" s="74"/>
      <c r="W964" s="74"/>
      <c r="X964" s="74"/>
      <c r="Y964" s="74"/>
      <c r="Z964" s="74"/>
      <c r="AA964" s="74"/>
      <c r="AB964" s="74"/>
      <c r="AC964" s="74"/>
      <c r="AD964" s="74"/>
      <c r="AE964" s="12"/>
      <c r="AF964" s="12"/>
      <c r="AG964" s="12"/>
      <c r="AH964" s="180"/>
      <c r="AI964" s="180"/>
      <c r="AJ964" s="12"/>
      <c r="AK964" s="12"/>
      <c r="AL964" s="12"/>
      <c r="AM964" s="12"/>
    </row>
    <row r="965">
      <c r="A965" s="74"/>
      <c r="B965" s="12"/>
      <c r="C965" s="74"/>
      <c r="D965" s="12"/>
      <c r="E965" s="12"/>
      <c r="F965" s="74"/>
      <c r="G965" s="74"/>
      <c r="H965" s="179"/>
      <c r="I965" s="74"/>
      <c r="J965" s="74"/>
      <c r="K965" s="74"/>
      <c r="L965" s="74"/>
      <c r="M965" s="74"/>
      <c r="N965" s="179"/>
      <c r="O965" s="74"/>
      <c r="P965" s="74"/>
      <c r="Q965" s="74"/>
      <c r="R965" s="74"/>
      <c r="S965" s="74"/>
      <c r="T965" s="74"/>
      <c r="U965" s="74"/>
      <c r="V965" s="74"/>
      <c r="W965" s="74"/>
      <c r="X965" s="74"/>
      <c r="Y965" s="74"/>
      <c r="Z965" s="74"/>
      <c r="AA965" s="74"/>
      <c r="AB965" s="74"/>
      <c r="AC965" s="74"/>
      <c r="AD965" s="74"/>
      <c r="AE965" s="12"/>
      <c r="AF965" s="12"/>
      <c r="AG965" s="12"/>
      <c r="AH965" s="180"/>
      <c r="AI965" s="180"/>
      <c r="AJ965" s="12"/>
      <c r="AK965" s="12"/>
      <c r="AL965" s="12"/>
      <c r="AM965" s="12"/>
    </row>
    <row r="966">
      <c r="A966" s="74"/>
      <c r="B966" s="12"/>
      <c r="C966" s="74"/>
      <c r="D966" s="12"/>
      <c r="E966" s="12"/>
      <c r="F966" s="74"/>
      <c r="G966" s="74"/>
      <c r="H966" s="179"/>
      <c r="I966" s="74"/>
      <c r="J966" s="74"/>
      <c r="K966" s="74"/>
      <c r="L966" s="74"/>
      <c r="M966" s="74"/>
      <c r="N966" s="179"/>
      <c r="O966" s="74"/>
      <c r="P966" s="74"/>
      <c r="Q966" s="74"/>
      <c r="R966" s="74"/>
      <c r="S966" s="74"/>
      <c r="T966" s="74"/>
      <c r="U966" s="74"/>
      <c r="V966" s="74"/>
      <c r="W966" s="74"/>
      <c r="X966" s="74"/>
      <c r="Y966" s="74"/>
      <c r="Z966" s="74"/>
      <c r="AA966" s="74"/>
      <c r="AB966" s="74"/>
      <c r="AC966" s="74"/>
      <c r="AD966" s="74"/>
      <c r="AE966" s="12"/>
      <c r="AF966" s="12"/>
      <c r="AG966" s="12"/>
      <c r="AH966" s="180"/>
      <c r="AI966" s="180"/>
      <c r="AJ966" s="12"/>
      <c r="AK966" s="12"/>
      <c r="AL966" s="12"/>
      <c r="AM966" s="12"/>
    </row>
    <row r="967">
      <c r="A967" s="74"/>
      <c r="B967" s="12"/>
      <c r="C967" s="74"/>
      <c r="D967" s="12"/>
      <c r="E967" s="12"/>
      <c r="F967" s="74"/>
      <c r="G967" s="74"/>
      <c r="H967" s="179"/>
      <c r="I967" s="74"/>
      <c r="J967" s="74"/>
      <c r="K967" s="74"/>
      <c r="L967" s="74"/>
      <c r="M967" s="74"/>
      <c r="N967" s="179"/>
      <c r="O967" s="74"/>
      <c r="P967" s="74"/>
      <c r="Q967" s="74"/>
      <c r="R967" s="74"/>
      <c r="S967" s="74"/>
      <c r="T967" s="74"/>
      <c r="U967" s="74"/>
      <c r="V967" s="74"/>
      <c r="W967" s="74"/>
      <c r="X967" s="74"/>
      <c r="Y967" s="74"/>
      <c r="Z967" s="74"/>
      <c r="AA967" s="74"/>
      <c r="AB967" s="74"/>
      <c r="AC967" s="74"/>
      <c r="AD967" s="74"/>
      <c r="AE967" s="12"/>
      <c r="AF967" s="12"/>
      <c r="AG967" s="12"/>
      <c r="AH967" s="180"/>
      <c r="AI967" s="180"/>
      <c r="AJ967" s="12"/>
      <c r="AK967" s="12"/>
      <c r="AL967" s="12"/>
      <c r="AM967" s="12"/>
    </row>
    <row r="968">
      <c r="A968" s="74"/>
      <c r="B968" s="12"/>
      <c r="C968" s="74"/>
      <c r="D968" s="12"/>
      <c r="E968" s="12"/>
      <c r="F968" s="74"/>
      <c r="G968" s="74"/>
      <c r="H968" s="179"/>
      <c r="I968" s="74"/>
      <c r="J968" s="74"/>
      <c r="K968" s="74"/>
      <c r="L968" s="74"/>
      <c r="M968" s="74"/>
      <c r="N968" s="179"/>
      <c r="O968" s="74"/>
      <c r="P968" s="74"/>
      <c r="Q968" s="74"/>
      <c r="R968" s="74"/>
      <c r="S968" s="74"/>
      <c r="T968" s="74"/>
      <c r="U968" s="74"/>
      <c r="V968" s="74"/>
      <c r="W968" s="74"/>
      <c r="X968" s="74"/>
      <c r="Y968" s="74"/>
      <c r="Z968" s="74"/>
      <c r="AA968" s="74"/>
      <c r="AB968" s="74"/>
      <c r="AC968" s="74"/>
      <c r="AD968" s="74"/>
      <c r="AE968" s="12"/>
      <c r="AF968" s="12"/>
      <c r="AG968" s="12"/>
      <c r="AH968" s="180"/>
      <c r="AI968" s="180"/>
      <c r="AJ968" s="12"/>
      <c r="AK968" s="12"/>
      <c r="AL968" s="12"/>
      <c r="AM968" s="12"/>
    </row>
  </sheetData>
  <autoFilter ref="$A$1:$AL$493"/>
  <conditionalFormatting sqref="A2:AD493 AG2:AM493">
    <cfRule type="expression" dxfId="0" priority="1">
      <formula>$AG2="Excluded"</formula>
    </cfRule>
  </conditionalFormatting>
  <conditionalFormatting sqref="C2:C968 AG2:AM968">
    <cfRule type="cellIs" dxfId="1" priority="2" operator="equal">
      <formula>"patellar"</formula>
    </cfRule>
  </conditionalFormatting>
  <conditionalFormatting sqref="C2:C968 AG2:AM968">
    <cfRule type="cellIs" dxfId="2" priority="3" operator="equal">
      <formula>"hamstring"</formula>
    </cfRule>
  </conditionalFormatting>
  <conditionalFormatting sqref="C2:C968 AG2:AM968">
    <cfRule type="cellIs" dxfId="3" priority="4" operator="equal">
      <formula>"quadriceps"</formula>
    </cfRule>
  </conditionalFormatting>
  <conditionalFormatting sqref="C1:C968">
    <cfRule type="cellIs" dxfId="4" priority="5" operator="equal">
      <formula>"tibialis"</formula>
    </cfRule>
  </conditionalFormatting>
  <dataValidations>
    <dataValidation type="list" allowBlank="1" showErrorMessage="1" sqref="C2:C493">
      <formula1>"AT,BPTB,HT,PLT,QT,TA"</formula1>
    </dataValidation>
    <dataValidation type="list" allowBlank="1" showErrorMessage="1" sqref="AG302">
      <formula1>"Included,Excluded,Maybe"</formula1>
    </dataValidation>
    <dataValidation type="list" allowBlank="1" showErrorMessage="1" sqref="E2:E493">
      <formula1>"continuous,dichotomous"</formula1>
    </dataValidation>
    <dataValidation type="list" allowBlank="1" showErrorMessage="1" sqref="D2:D493 D494:E968">
      <formula1>"ikdc_subjective,ikdc_objective,lysholm,tegner,instrumented_laxity,lachman,pivot_shift,graft rupture"</formula1>
    </dataValidation>
    <dataValidation type="list" allowBlank="1" showErrorMessage="1" sqref="AG2:AG301 AG303:AG493">
      <formula1>"Included,Excluded,?"</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0" max="10" width="21.75"/>
    <col customWidth="1" min="11" max="11" width="5.88"/>
    <col customWidth="1" min="12" max="12" width="3.75"/>
  </cols>
  <sheetData>
    <row r="1">
      <c r="A1" s="6" t="s">
        <v>3</v>
      </c>
      <c r="B1" s="8" t="s">
        <v>4</v>
      </c>
      <c r="C1" s="8" t="s">
        <v>9</v>
      </c>
    </row>
    <row r="2">
      <c r="A2" s="14" t="str">
        <f t="shared" ref="A2:A3" si="1">HYPERLINK("https://github.com/d-wkim/phd/blob/main/data/pdf/ageberg_2009.pdf","Ageberg et al., 2009")</f>
        <v>Ageberg et al., 2009</v>
      </c>
      <c r="B2" s="18" t="s">
        <v>42</v>
      </c>
      <c r="C2" s="18">
        <v>16.0</v>
      </c>
      <c r="D2" s="4" t="str">
        <f>IFERROR(__xludf.DUMMYFUNCTION("join(""; "",A2:C2)"),"Ageberg et al., 2009; BPTB; 16")</f>
        <v>Ageberg et al., 2009; BPTB; 16</v>
      </c>
      <c r="E2" s="4" t="str">
        <f t="array" ref="E2:E127">unique(D2:D349)</f>
        <v>Ageberg et al., 2009; BPTB; 16</v>
      </c>
      <c r="F2" s="4" t="str">
        <f>IFERROR(__xludf.DUMMYFUNCTION("split(E2,"";"",FALSE)"),"Ageberg et al., 2009")</f>
        <v>Ageberg et al., 2009</v>
      </c>
      <c r="G2" s="4" t="str">
        <f>IFERROR(__xludf.DUMMYFUNCTION("""COMPUTED_VALUE""")," BPTB")</f>
        <v> BPTB</v>
      </c>
      <c r="H2" s="4">
        <f>IFERROR(__xludf.DUMMYFUNCTION("""COMPUTED_VALUE"""),16.0)</f>
        <v>16</v>
      </c>
      <c r="J2" s="4" t="s">
        <v>1</v>
      </c>
      <c r="K2" s="4" t="s">
        <v>80</v>
      </c>
      <c r="L2" s="4">
        <v>16.0</v>
      </c>
    </row>
    <row r="3">
      <c r="A3" s="14" t="str">
        <f t="shared" si="1"/>
        <v>Ageberg et al., 2009</v>
      </c>
      <c r="B3" s="18" t="s">
        <v>84</v>
      </c>
      <c r="C3" s="18">
        <v>20.0</v>
      </c>
      <c r="D3" s="4" t="str">
        <f>IFERROR(__xludf.DUMMYFUNCTION("join(""; "",A3:C3)"),"Ageberg et al., 2009; HT; 20")</f>
        <v>Ageberg et al., 2009; HT; 20</v>
      </c>
      <c r="E3" s="4" t="s">
        <v>87</v>
      </c>
      <c r="F3" s="4" t="str">
        <f>IFERROR(__xludf.DUMMYFUNCTION("split(E3,"";"",FALSE)"),"Ageberg et al., 2009")</f>
        <v>Ageberg et al., 2009</v>
      </c>
      <c r="G3" s="4" t="str">
        <f>IFERROR(__xludf.DUMMYFUNCTION("""COMPUTED_VALUE""")," HT")</f>
        <v> HT</v>
      </c>
      <c r="H3" s="4">
        <f>IFERROR(__xludf.DUMMYFUNCTION("""COMPUTED_VALUE"""),20.0)</f>
        <v>20</v>
      </c>
      <c r="J3" s="4" t="s">
        <v>1</v>
      </c>
      <c r="K3" s="4" t="s">
        <v>95</v>
      </c>
      <c r="L3" s="4">
        <v>20.0</v>
      </c>
    </row>
    <row r="4">
      <c r="A4" s="14" t="str">
        <f t="shared" ref="A4:A9" si="2">HYPERLINK("https://github.com/d-wkim/phd/blob/main/data/pdf/aglietti_2004.pdf","Aglietti et al., 2004")</f>
        <v>Aglietti et al., 2004</v>
      </c>
      <c r="B4" s="18" t="s">
        <v>42</v>
      </c>
      <c r="C4" s="18">
        <v>60.0</v>
      </c>
      <c r="D4" s="4" t="str">
        <f>IFERROR(__xludf.DUMMYFUNCTION("join(""; "",A4:C4)"),"Aglietti et al., 2004; BPTB; 60")</f>
        <v>Aglietti et al., 2004; BPTB; 60</v>
      </c>
      <c r="E4" s="4" t="s">
        <v>100</v>
      </c>
      <c r="F4" s="4" t="str">
        <f>IFERROR(__xludf.DUMMYFUNCTION("split(E4,"";"",FALSE)"),"Aglietti et al., 2004")</f>
        <v>Aglietti et al., 2004</v>
      </c>
      <c r="G4" s="4" t="str">
        <f>IFERROR(__xludf.DUMMYFUNCTION("""COMPUTED_VALUE""")," BPTB")</f>
        <v> BPTB</v>
      </c>
      <c r="H4" s="4">
        <f>IFERROR(__xludf.DUMMYFUNCTION("""COMPUTED_VALUE"""),60.0)</f>
        <v>60</v>
      </c>
      <c r="J4" s="4" t="s">
        <v>11</v>
      </c>
      <c r="K4" s="4" t="s">
        <v>80</v>
      </c>
      <c r="L4" s="4">
        <v>60.0</v>
      </c>
    </row>
    <row r="5">
      <c r="A5" s="14" t="str">
        <f t="shared" si="2"/>
        <v>Aglietti et al., 2004</v>
      </c>
      <c r="B5" s="18" t="s">
        <v>42</v>
      </c>
      <c r="C5" s="18">
        <v>60.0</v>
      </c>
      <c r="D5" s="4" t="str">
        <f>IFERROR(__xludf.DUMMYFUNCTION("join(""; "",A5:C5)"),"Aglietti et al., 2004; BPTB; 60")</f>
        <v>Aglietti et al., 2004; BPTB; 60</v>
      </c>
      <c r="E5" s="4" t="s">
        <v>108</v>
      </c>
      <c r="F5" s="4" t="str">
        <f>IFERROR(__xludf.DUMMYFUNCTION("split(E5,"";"",FALSE)"),"Aglietti et al., 2004")</f>
        <v>Aglietti et al., 2004</v>
      </c>
      <c r="G5" s="4" t="str">
        <f>IFERROR(__xludf.DUMMYFUNCTION("""COMPUTED_VALUE""")," HT")</f>
        <v> HT</v>
      </c>
      <c r="H5" s="4">
        <f>IFERROR(__xludf.DUMMYFUNCTION("""COMPUTED_VALUE"""),60.0)</f>
        <v>60</v>
      </c>
      <c r="J5" s="4" t="s">
        <v>11</v>
      </c>
      <c r="K5" s="4" t="s">
        <v>95</v>
      </c>
      <c r="L5" s="4">
        <v>60.0</v>
      </c>
    </row>
    <row r="6">
      <c r="A6" s="14" t="str">
        <f t="shared" si="2"/>
        <v>Aglietti et al., 2004</v>
      </c>
      <c r="B6" s="18" t="s">
        <v>42</v>
      </c>
      <c r="C6" s="18">
        <v>60.0</v>
      </c>
      <c r="D6" s="4" t="str">
        <f>IFERROR(__xludf.DUMMYFUNCTION("join(""; "",A6:C6)"),"Aglietti et al., 2004; BPTB; 60")</f>
        <v>Aglietti et al., 2004; BPTB; 60</v>
      </c>
      <c r="E6" s="4" t="s">
        <v>118</v>
      </c>
      <c r="F6" s="4" t="str">
        <f>IFERROR(__xludf.DUMMYFUNCTION("split(E6,"";"",FALSE)"),"Ahldén et al., 2009")</f>
        <v>Ahldén et al., 2009</v>
      </c>
      <c r="G6" s="4" t="str">
        <f>IFERROR(__xludf.DUMMYFUNCTION("""COMPUTED_VALUE""")," BPTB")</f>
        <v> BPTB</v>
      </c>
      <c r="H6" s="4">
        <f>IFERROR(__xludf.DUMMYFUNCTION("""COMPUTED_VALUE"""),25.0)</f>
        <v>25</v>
      </c>
      <c r="J6" s="4" t="s">
        <v>16</v>
      </c>
      <c r="K6" s="4" t="s">
        <v>80</v>
      </c>
      <c r="L6" s="4">
        <v>25.0</v>
      </c>
    </row>
    <row r="7">
      <c r="A7" s="14" t="str">
        <f t="shared" si="2"/>
        <v>Aglietti et al., 2004</v>
      </c>
      <c r="B7" s="18" t="s">
        <v>84</v>
      </c>
      <c r="C7" s="18">
        <v>60.0</v>
      </c>
      <c r="D7" s="4" t="str">
        <f>IFERROR(__xludf.DUMMYFUNCTION("join(""; "",A7:C7)"),"Aglietti et al., 2004; HT; 60")</f>
        <v>Aglietti et al., 2004; HT; 60</v>
      </c>
      <c r="E7" s="4" t="s">
        <v>127</v>
      </c>
      <c r="F7" s="4" t="str">
        <f>IFERROR(__xludf.DUMMYFUNCTION("split(E7,"";"",FALSE)"),"Ahldén et al., 2009")</f>
        <v>Ahldén et al., 2009</v>
      </c>
      <c r="G7" s="4" t="str">
        <f>IFERROR(__xludf.DUMMYFUNCTION("""COMPUTED_VALUE""")," HT")</f>
        <v> HT</v>
      </c>
      <c r="H7" s="4">
        <f>IFERROR(__xludf.DUMMYFUNCTION("""COMPUTED_VALUE"""),22.0)</f>
        <v>22</v>
      </c>
      <c r="J7" s="4" t="s">
        <v>16</v>
      </c>
      <c r="K7" s="4" t="s">
        <v>95</v>
      </c>
      <c r="L7" s="4">
        <v>22.0</v>
      </c>
    </row>
    <row r="8">
      <c r="A8" s="14" t="str">
        <f t="shared" si="2"/>
        <v>Aglietti et al., 2004</v>
      </c>
      <c r="B8" s="18" t="s">
        <v>84</v>
      </c>
      <c r="C8" s="18">
        <v>60.0</v>
      </c>
      <c r="D8" s="4" t="str">
        <f>IFERROR(__xludf.DUMMYFUNCTION("join(""; "",A8:C8)"),"Aglietti et al., 2004; HT; 60")</f>
        <v>Aglietti et al., 2004; HT; 60</v>
      </c>
      <c r="E8" s="4" t="s">
        <v>138</v>
      </c>
      <c r="F8" s="4" t="str">
        <f>IFERROR(__xludf.DUMMYFUNCTION("split(E8,"";"",FALSE)"),"Anderson et al., 2001")</f>
        <v>Anderson et al., 2001</v>
      </c>
      <c r="G8" s="4" t="str">
        <f>IFERROR(__xludf.DUMMYFUNCTION("""COMPUTED_VALUE""")," BPTB")</f>
        <v> BPTB</v>
      </c>
      <c r="H8" s="4">
        <f>IFERROR(__xludf.DUMMYFUNCTION("""COMPUTED_VALUE"""),35.0)</f>
        <v>35</v>
      </c>
      <c r="J8" s="4" t="s">
        <v>22</v>
      </c>
      <c r="K8" s="4" t="s">
        <v>80</v>
      </c>
      <c r="L8" s="4">
        <v>35.0</v>
      </c>
    </row>
    <row r="9">
      <c r="A9" s="14" t="str">
        <f t="shared" si="2"/>
        <v>Aglietti et al., 2004</v>
      </c>
      <c r="B9" s="18" t="s">
        <v>84</v>
      </c>
      <c r="C9" s="18">
        <v>60.0</v>
      </c>
      <c r="D9" s="4" t="str">
        <f>IFERROR(__xludf.DUMMYFUNCTION("join(""; "",A9:C9)"),"Aglietti et al., 2004; HT; 60")</f>
        <v>Aglietti et al., 2004; HT; 60</v>
      </c>
      <c r="E9" s="4" t="s">
        <v>151</v>
      </c>
      <c r="F9" s="4" t="str">
        <f>IFERROR(__xludf.DUMMYFUNCTION("split(E9,"";"",FALSE)"),"Anderson et al., 2001")</f>
        <v>Anderson et al., 2001</v>
      </c>
      <c r="G9" s="4" t="str">
        <f>IFERROR(__xludf.DUMMYFUNCTION("""COMPUTED_VALUE""")," HT")</f>
        <v> HT</v>
      </c>
      <c r="H9" s="4">
        <f>IFERROR(__xludf.DUMMYFUNCTION("""COMPUTED_VALUE"""),33.0)</f>
        <v>33</v>
      </c>
      <c r="J9" s="4" t="s">
        <v>22</v>
      </c>
      <c r="K9" s="4" t="s">
        <v>95</v>
      </c>
      <c r="L9" s="4">
        <v>33.0</v>
      </c>
    </row>
    <row r="10">
      <c r="A10" s="14" t="str">
        <f t="shared" ref="A10:A15" si="3">HYPERLINK("https://github.com/d-wkim/phd/blob/main/data/pdf/ahldén_2009.pdf","Ahldén et al., 2009")</f>
        <v>Ahldén et al., 2009</v>
      </c>
      <c r="B10" s="18" t="s">
        <v>42</v>
      </c>
      <c r="C10" s="18">
        <v>25.0</v>
      </c>
      <c r="D10" s="4" t="str">
        <f>IFERROR(__xludf.DUMMYFUNCTION("join(""; "",A10:C10)"),"Ahldén et al., 2009; BPTB; 25")</f>
        <v>Ahldén et al., 2009; BPTB; 25</v>
      </c>
      <c r="E10" s="4" t="s">
        <v>156</v>
      </c>
      <c r="F10" s="4" t="str">
        <f>IFERROR(__xludf.DUMMYFUNCTION("split(E10,"";"",FALSE)"),"Anz et al., 2023")</f>
        <v>Anz et al., 2023</v>
      </c>
      <c r="G10" s="4" t="str">
        <f>IFERROR(__xludf.DUMMYFUNCTION("""COMPUTED_VALUE""")," BPTB")</f>
        <v> BPTB</v>
      </c>
      <c r="H10" s="4">
        <f>IFERROR(__xludf.DUMMYFUNCTION("""COMPUTED_VALUE"""),16.0)</f>
        <v>16</v>
      </c>
      <c r="J10" s="4" t="s">
        <v>26</v>
      </c>
      <c r="K10" s="4" t="s">
        <v>80</v>
      </c>
      <c r="L10" s="4">
        <v>16.0</v>
      </c>
    </row>
    <row r="11">
      <c r="A11" s="14" t="str">
        <f t="shared" si="3"/>
        <v>Ahldén et al., 2009</v>
      </c>
      <c r="B11" s="18" t="s">
        <v>42</v>
      </c>
      <c r="C11" s="18">
        <v>25.0</v>
      </c>
      <c r="D11" s="4" t="str">
        <f>IFERROR(__xludf.DUMMYFUNCTION("join(""; "",A11:C11)"),"Ahldén et al., 2009; BPTB; 25")</f>
        <v>Ahldén et al., 2009; BPTB; 25</v>
      </c>
      <c r="E11" s="4" t="s">
        <v>157</v>
      </c>
      <c r="F11" s="4" t="str">
        <f>IFERROR(__xludf.DUMMYFUNCTION("split(E11,"";"",FALSE)"),"Anz et al., 2023")</f>
        <v>Anz et al., 2023</v>
      </c>
      <c r="G11" s="4" t="str">
        <f>IFERROR(__xludf.DUMMYFUNCTION("""COMPUTED_VALUE""")," HT")</f>
        <v> HT</v>
      </c>
      <c r="H11" s="4">
        <f>IFERROR(__xludf.DUMMYFUNCTION("""COMPUTED_VALUE"""),16.0)</f>
        <v>16</v>
      </c>
      <c r="J11" s="4" t="s">
        <v>26</v>
      </c>
      <c r="K11" s="4" t="s">
        <v>95</v>
      </c>
      <c r="L11" s="4">
        <v>16.0</v>
      </c>
    </row>
    <row r="12">
      <c r="A12" s="14" t="str">
        <f t="shared" si="3"/>
        <v>Ahldén et al., 2009</v>
      </c>
      <c r="B12" s="18" t="s">
        <v>42</v>
      </c>
      <c r="C12" s="18">
        <v>25.0</v>
      </c>
      <c r="D12" s="4" t="str">
        <f>IFERROR(__xludf.DUMMYFUNCTION("join(""; "",A12:C12)"),"Ahldén et al., 2009; BPTB; 25")</f>
        <v>Ahldén et al., 2009; BPTB; 25</v>
      </c>
      <c r="E12" s="4" t="s">
        <v>158</v>
      </c>
      <c r="F12" s="4" t="str">
        <f>IFERROR(__xludf.DUMMYFUNCTION("split(E12,"";"",FALSE)"),"Aune et al., 2001")</f>
        <v>Aune et al., 2001</v>
      </c>
      <c r="G12" s="4" t="str">
        <f>IFERROR(__xludf.DUMMYFUNCTION("""COMPUTED_VALUE""")," BPTB")</f>
        <v> BPTB</v>
      </c>
      <c r="H12" s="4">
        <f>IFERROR(__xludf.DUMMYFUNCTION("""COMPUTED_VALUE"""),32.0)</f>
        <v>32</v>
      </c>
      <c r="J12" s="4" t="s">
        <v>30</v>
      </c>
      <c r="K12" s="4" t="s">
        <v>80</v>
      </c>
      <c r="L12" s="4">
        <v>32.0</v>
      </c>
    </row>
    <row r="13">
      <c r="A13" s="14" t="str">
        <f t="shared" si="3"/>
        <v>Ahldén et al., 2009</v>
      </c>
      <c r="B13" s="18" t="s">
        <v>84</v>
      </c>
      <c r="C13" s="18">
        <v>22.0</v>
      </c>
      <c r="D13" s="4" t="str">
        <f>IFERROR(__xludf.DUMMYFUNCTION("join(""; "",A13:C13)"),"Ahldén et al., 2009; HT; 22")</f>
        <v>Ahldén et al., 2009; HT; 22</v>
      </c>
      <c r="E13" s="4" t="s">
        <v>159</v>
      </c>
      <c r="F13" s="4" t="str">
        <f>IFERROR(__xludf.DUMMYFUNCTION("split(E13,"";"",FALSE)"),"Aune et al., 2001")</f>
        <v>Aune et al., 2001</v>
      </c>
      <c r="G13" s="4" t="str">
        <f>IFERROR(__xludf.DUMMYFUNCTION("""COMPUTED_VALUE""")," HT")</f>
        <v> HT</v>
      </c>
      <c r="H13" s="4">
        <f>IFERROR(__xludf.DUMMYFUNCTION("""COMPUTED_VALUE"""),29.0)</f>
        <v>29</v>
      </c>
      <c r="J13" s="4" t="s">
        <v>30</v>
      </c>
      <c r="K13" s="4" t="s">
        <v>95</v>
      </c>
      <c r="L13" s="4">
        <v>29.0</v>
      </c>
    </row>
    <row r="14">
      <c r="A14" s="14" t="str">
        <f t="shared" si="3"/>
        <v>Ahldén et al., 2009</v>
      </c>
      <c r="B14" s="18" t="s">
        <v>84</v>
      </c>
      <c r="C14" s="18">
        <v>22.0</v>
      </c>
      <c r="D14" s="4" t="str">
        <f>IFERROR(__xludf.DUMMYFUNCTION("join(""; "",A14:C14)"),"Ahldén et al., 2009; HT; 22")</f>
        <v>Ahldén et al., 2009; HT; 22</v>
      </c>
      <c r="E14" s="4" t="s">
        <v>160</v>
      </c>
      <c r="F14" s="4" t="str">
        <f>IFERROR(__xludf.DUMMYFUNCTION("split(E14,"";"",FALSE)"),"Barenius et al., 2010")</f>
        <v>Barenius et al., 2010</v>
      </c>
      <c r="G14" s="4" t="str">
        <f>IFERROR(__xludf.DUMMYFUNCTION("""COMPUTED_VALUE""")," BPTB")</f>
        <v> BPTB</v>
      </c>
      <c r="H14" s="4">
        <f>IFERROR(__xludf.DUMMYFUNCTION("""COMPUTED_VALUE"""),78.0)</f>
        <v>78</v>
      </c>
      <c r="J14" s="4" t="s">
        <v>32</v>
      </c>
      <c r="K14" s="4" t="s">
        <v>80</v>
      </c>
      <c r="L14" s="4">
        <v>78.0</v>
      </c>
    </row>
    <row r="15">
      <c r="A15" s="14" t="str">
        <f t="shared" si="3"/>
        <v>Ahldén et al., 2009</v>
      </c>
      <c r="B15" s="18" t="s">
        <v>84</v>
      </c>
      <c r="C15" s="18">
        <v>22.0</v>
      </c>
      <c r="D15" s="4" t="str">
        <f>IFERROR(__xludf.DUMMYFUNCTION("join(""; "",A15:C15)"),"Ahldén et al., 2009; HT; 22")</f>
        <v>Ahldén et al., 2009; HT; 22</v>
      </c>
      <c r="E15" s="4" t="s">
        <v>161</v>
      </c>
      <c r="F15" s="4" t="str">
        <f>IFERROR(__xludf.DUMMYFUNCTION("split(E15,"";"",FALSE)"),"Barenius et al., 2010")</f>
        <v>Barenius et al., 2010</v>
      </c>
      <c r="G15" s="4" t="str">
        <f>IFERROR(__xludf.DUMMYFUNCTION("""COMPUTED_VALUE""")," HT")</f>
        <v> HT</v>
      </c>
      <c r="H15" s="4">
        <f>IFERROR(__xludf.DUMMYFUNCTION("""COMPUTED_VALUE"""),75.0)</f>
        <v>75</v>
      </c>
      <c r="J15" s="4" t="s">
        <v>32</v>
      </c>
      <c r="K15" s="4" t="s">
        <v>95</v>
      </c>
      <c r="L15" s="4">
        <v>75.0</v>
      </c>
    </row>
    <row r="16">
      <c r="A16" s="14" t="str">
        <f t="shared" ref="A16:A19" si="4">HYPERLINK("https://github.com/d-wkim/phd/blob/main/data/pdf/anderson_2001.pdf","Anderson et al., 2001")</f>
        <v>Anderson et al., 2001</v>
      </c>
      <c r="B16" s="18" t="s">
        <v>42</v>
      </c>
      <c r="C16" s="18">
        <v>35.0</v>
      </c>
      <c r="D16" s="4" t="str">
        <f>IFERROR(__xludf.DUMMYFUNCTION("join(""; "",A16:C16)"),"Anderson et al., 2001; BPTB; 35")</f>
        <v>Anderson et al., 2001; BPTB; 35</v>
      </c>
      <c r="E16" s="4" t="s">
        <v>162</v>
      </c>
      <c r="F16" s="4" t="str">
        <f>IFERROR(__xludf.DUMMYFUNCTION("split(E16,"";"",FALSE)"),"Barié et al., 2020")</f>
        <v>Barié et al., 2020</v>
      </c>
      <c r="G16" s="4" t="str">
        <f>IFERROR(__xludf.DUMMYFUNCTION("""COMPUTED_VALUE""")," BPTB")</f>
        <v> BPTB</v>
      </c>
      <c r="H16" s="4">
        <f>IFERROR(__xludf.DUMMYFUNCTION("""COMPUTED_VALUE"""),43.0)</f>
        <v>43</v>
      </c>
      <c r="J16" s="4" t="s">
        <v>35</v>
      </c>
      <c r="K16" s="4" t="s">
        <v>80</v>
      </c>
      <c r="L16" s="4">
        <v>43.0</v>
      </c>
    </row>
    <row r="17">
      <c r="A17" s="14" t="str">
        <f t="shared" si="4"/>
        <v>Anderson et al., 2001</v>
      </c>
      <c r="B17" s="18" t="s">
        <v>42</v>
      </c>
      <c r="C17" s="18">
        <v>35.0</v>
      </c>
      <c r="D17" s="4" t="str">
        <f>IFERROR(__xludf.DUMMYFUNCTION("join(""; "",A17:C17)"),"Anderson et al., 2001; BPTB; 35")</f>
        <v>Anderson et al., 2001; BPTB; 35</v>
      </c>
      <c r="E17" s="4" t="s">
        <v>163</v>
      </c>
      <c r="F17" s="4" t="str">
        <f>IFERROR(__xludf.DUMMYFUNCTION("split(E17,"";"",FALSE)"),"Barié et al., 2020")</f>
        <v>Barié et al., 2020</v>
      </c>
      <c r="G17" s="4" t="str">
        <f>IFERROR(__xludf.DUMMYFUNCTION("""COMPUTED_VALUE""")," QT")</f>
        <v> QT</v>
      </c>
      <c r="H17" s="4">
        <f>IFERROR(__xludf.DUMMYFUNCTION("""COMPUTED_VALUE"""),43.0)</f>
        <v>43</v>
      </c>
      <c r="J17" s="4" t="s">
        <v>35</v>
      </c>
      <c r="K17" s="4" t="s">
        <v>164</v>
      </c>
      <c r="L17" s="4">
        <v>43.0</v>
      </c>
    </row>
    <row r="18">
      <c r="A18" s="14" t="str">
        <f t="shared" si="4"/>
        <v>Anderson et al., 2001</v>
      </c>
      <c r="B18" s="18" t="s">
        <v>84</v>
      </c>
      <c r="C18" s="18">
        <v>33.0</v>
      </c>
      <c r="D18" s="4" t="str">
        <f>IFERROR(__xludf.DUMMYFUNCTION("join(""; "",A18:C18)"),"Anderson et al., 2001; HT; 33")</f>
        <v>Anderson et al., 2001; HT; 33</v>
      </c>
      <c r="E18" s="4" t="s">
        <v>165</v>
      </c>
      <c r="F18" s="4" t="str">
        <f>IFERROR(__xludf.DUMMYFUNCTION("split(E18,"";"",FALSE)"),"Beynnon et al., 2002")</f>
        <v>Beynnon et al., 2002</v>
      </c>
      <c r="G18" s="4" t="str">
        <f>IFERROR(__xludf.DUMMYFUNCTION("""COMPUTED_VALUE""")," BPTB")</f>
        <v> BPTB</v>
      </c>
      <c r="H18" s="4">
        <f>IFERROR(__xludf.DUMMYFUNCTION("""COMPUTED_VALUE"""),22.0)</f>
        <v>22</v>
      </c>
      <c r="J18" s="4" t="s">
        <v>37</v>
      </c>
      <c r="K18" s="4" t="s">
        <v>80</v>
      </c>
      <c r="L18" s="4">
        <v>22.0</v>
      </c>
    </row>
    <row r="19">
      <c r="A19" s="14" t="str">
        <f t="shared" si="4"/>
        <v>Anderson et al., 2001</v>
      </c>
      <c r="B19" s="18" t="s">
        <v>84</v>
      </c>
      <c r="C19" s="18">
        <v>33.0</v>
      </c>
      <c r="D19" s="4" t="str">
        <f>IFERROR(__xludf.DUMMYFUNCTION("join(""; "",A19:C19)"),"Anderson et al., 2001; HT; 33")</f>
        <v>Anderson et al., 2001; HT; 33</v>
      </c>
      <c r="E19" s="4" t="s">
        <v>167</v>
      </c>
      <c r="F19" s="4" t="str">
        <f>IFERROR(__xludf.DUMMYFUNCTION("split(E19,"";"",FALSE)"),"Beynnon et al., 2002")</f>
        <v>Beynnon et al., 2002</v>
      </c>
      <c r="G19" s="4" t="str">
        <f>IFERROR(__xludf.DUMMYFUNCTION("""COMPUTED_VALUE""")," HT")</f>
        <v> HT</v>
      </c>
      <c r="H19" s="4">
        <f>IFERROR(__xludf.DUMMYFUNCTION("""COMPUTED_VALUE"""),22.0)</f>
        <v>22</v>
      </c>
      <c r="J19" s="4" t="s">
        <v>37</v>
      </c>
      <c r="K19" s="4" t="s">
        <v>95</v>
      </c>
      <c r="L19" s="4">
        <v>22.0</v>
      </c>
    </row>
    <row r="20">
      <c r="A20" s="14" t="str">
        <f t="shared" ref="A20:A21" si="5">HYPERLINK("https://github.com/d-wkim/phd/blob/main/data/pdf/anz_2023.pdf","Anz et al., 2023")</f>
        <v>Anz et al., 2023</v>
      </c>
      <c r="B20" s="18" t="s">
        <v>42</v>
      </c>
      <c r="C20" s="18">
        <v>16.0</v>
      </c>
      <c r="D20" s="4" t="str">
        <f>IFERROR(__xludf.DUMMYFUNCTION("join(""; "",A20:C20)"),"Anz et al., 2023; BPTB; 16")</f>
        <v>Anz et al., 2023; BPTB; 16</v>
      </c>
      <c r="E20" s="4" t="s">
        <v>182</v>
      </c>
      <c r="F20" s="4" t="str">
        <f>IFERROR(__xludf.DUMMYFUNCTION("split(E20,"";"",FALSE)"),"Bi et al., 2018")</f>
        <v>Bi et al., 2018</v>
      </c>
      <c r="G20" s="4" t="str">
        <f>IFERROR(__xludf.DUMMYFUNCTION("""COMPUTED_VALUE""")," HT")</f>
        <v> HT</v>
      </c>
      <c r="H20" s="4">
        <f>IFERROR(__xludf.DUMMYFUNCTION("""COMPUTED_VALUE"""),62.0)</f>
        <v>62</v>
      </c>
      <c r="J20" s="4" t="s">
        <v>39</v>
      </c>
      <c r="K20" s="4" t="s">
        <v>95</v>
      </c>
      <c r="L20" s="4">
        <v>62.0</v>
      </c>
    </row>
    <row r="21">
      <c r="A21" s="14" t="str">
        <f t="shared" si="5"/>
        <v>Anz et al., 2023</v>
      </c>
      <c r="B21" s="18" t="s">
        <v>84</v>
      </c>
      <c r="C21" s="18">
        <v>16.0</v>
      </c>
      <c r="D21" s="4" t="str">
        <f>IFERROR(__xludf.DUMMYFUNCTION("join(""; "",A21:C21)"),"Anz et al., 2023; HT; 16")</f>
        <v>Anz et al., 2023; HT; 16</v>
      </c>
      <c r="E21" s="4" t="s">
        <v>184</v>
      </c>
      <c r="F21" s="4" t="str">
        <f>IFERROR(__xludf.DUMMYFUNCTION("split(E21,"";"",FALSE)"),"Bi et al., 2018")</f>
        <v>Bi et al., 2018</v>
      </c>
      <c r="G21" s="4" t="str">
        <f>IFERROR(__xludf.DUMMYFUNCTION("""COMPUTED_VALUE""")," PLT")</f>
        <v> PLT</v>
      </c>
      <c r="H21" s="4">
        <f>IFERROR(__xludf.DUMMYFUNCTION("""COMPUTED_VALUE"""),62.0)</f>
        <v>62</v>
      </c>
      <c r="J21" s="4" t="s">
        <v>39</v>
      </c>
      <c r="K21" s="4" t="s">
        <v>185</v>
      </c>
      <c r="L21" s="4">
        <v>62.0</v>
      </c>
    </row>
    <row r="22">
      <c r="A22" s="14" t="str">
        <f t="shared" ref="A22:A23" si="6">HYPERLINK("https://github.com/d-wkim/phd/blob/main/data/pdf/aune_2001.pdf","Aune et al., 2001")</f>
        <v>Aune et al., 2001</v>
      </c>
      <c r="B22" s="18" t="s">
        <v>42</v>
      </c>
      <c r="C22" s="18">
        <v>32.0</v>
      </c>
      <c r="D22" s="4" t="str">
        <f>IFERROR(__xludf.DUMMYFUNCTION("join(""; "",A22:C22)"),"Aune et al., 2001; BPTB; 32")</f>
        <v>Aune et al., 2001; BPTB; 32</v>
      </c>
      <c r="E22" s="4" t="s">
        <v>187</v>
      </c>
      <c r="F22" s="4" t="str">
        <f>IFERROR(__xludf.DUMMYFUNCTION("split(E22,"";"",FALSE)"),"Björnsson et al., 2016")</f>
        <v>Björnsson et al., 2016</v>
      </c>
      <c r="G22" s="4" t="str">
        <f>IFERROR(__xludf.DUMMYFUNCTION("""COMPUTED_VALUE""")," BPTB")</f>
        <v> BPTB</v>
      </c>
      <c r="H22" s="4">
        <f>IFERROR(__xludf.DUMMYFUNCTION("""COMPUTED_VALUE"""),61.0)</f>
        <v>61</v>
      </c>
      <c r="J22" s="4" t="s">
        <v>43</v>
      </c>
      <c r="K22" s="4" t="s">
        <v>80</v>
      </c>
      <c r="L22" s="4">
        <v>61.0</v>
      </c>
    </row>
    <row r="23">
      <c r="A23" s="14" t="str">
        <f t="shared" si="6"/>
        <v>Aune et al., 2001</v>
      </c>
      <c r="B23" s="18" t="s">
        <v>84</v>
      </c>
      <c r="C23" s="18">
        <v>29.0</v>
      </c>
      <c r="D23" s="4" t="str">
        <f>IFERROR(__xludf.DUMMYFUNCTION("join(""; "",A23:C23)"),"Aune et al., 2001; HT; 29")</f>
        <v>Aune et al., 2001; HT; 29</v>
      </c>
      <c r="E23" s="4" t="s">
        <v>188</v>
      </c>
      <c r="F23" s="4" t="str">
        <f>IFERROR(__xludf.DUMMYFUNCTION("split(E23,"";"",FALSE)"),"Björnsson et al., 2016")</f>
        <v>Björnsson et al., 2016</v>
      </c>
      <c r="G23" s="4" t="str">
        <f>IFERROR(__xludf.DUMMYFUNCTION("""COMPUTED_VALUE""")," HT")</f>
        <v> HT</v>
      </c>
      <c r="H23" s="4">
        <f>IFERROR(__xludf.DUMMYFUNCTION("""COMPUTED_VALUE"""),86.0)</f>
        <v>86</v>
      </c>
      <c r="J23" s="4" t="s">
        <v>43</v>
      </c>
      <c r="K23" s="4" t="s">
        <v>95</v>
      </c>
      <c r="L23" s="4">
        <v>86.0</v>
      </c>
    </row>
    <row r="24">
      <c r="A24" s="14" t="str">
        <f t="shared" ref="A24:A27" si="7">HYPERLINK("https://github.com/d-wkim/phd/blob/main/data/pdf/barenius_2010.pdf","Barenius et al., 2010")</f>
        <v>Barenius et al., 2010</v>
      </c>
      <c r="B24" s="18" t="s">
        <v>42</v>
      </c>
      <c r="C24" s="18">
        <v>78.0</v>
      </c>
      <c r="D24" s="4" t="str">
        <f>IFERROR(__xludf.DUMMYFUNCTION("join(""; "",A24:C24)"),"Barenius et al., 2010; BPTB; 78")</f>
        <v>Barenius et al., 2010; BPTB; 78</v>
      </c>
      <c r="E24" s="4" t="s">
        <v>189</v>
      </c>
      <c r="F24" s="4" t="str">
        <f>IFERROR(__xludf.DUMMYFUNCTION("split(E24,"";"",FALSE)"),"Bottoni et al., 2015")</f>
        <v>Bottoni et al., 2015</v>
      </c>
      <c r="G24" s="4" t="str">
        <f>IFERROR(__xludf.DUMMYFUNCTION("""COMPUTED_VALUE""")," HT")</f>
        <v> HT</v>
      </c>
      <c r="H24" s="4">
        <f>IFERROR(__xludf.DUMMYFUNCTION("""COMPUTED_VALUE"""),44.0)</f>
        <v>44</v>
      </c>
      <c r="J24" s="4" t="s">
        <v>45</v>
      </c>
      <c r="K24" s="4" t="s">
        <v>95</v>
      </c>
      <c r="L24" s="4">
        <v>44.0</v>
      </c>
    </row>
    <row r="25">
      <c r="A25" s="14" t="str">
        <f t="shared" si="7"/>
        <v>Barenius et al., 2010</v>
      </c>
      <c r="B25" s="18" t="s">
        <v>42</v>
      </c>
      <c r="C25" s="18">
        <v>78.0</v>
      </c>
      <c r="D25" s="4" t="str">
        <f>IFERROR(__xludf.DUMMYFUNCTION("join(""; "",A25:C25)"),"Barenius et al., 2010; BPTB; 78")</f>
        <v>Barenius et al., 2010; BPTB; 78</v>
      </c>
      <c r="E25" s="4" t="s">
        <v>190</v>
      </c>
      <c r="F25" s="4" t="str">
        <f>IFERROR(__xludf.DUMMYFUNCTION("split(E25,"";"",FALSE)"),"Bottoni et al., 2015")</f>
        <v>Bottoni et al., 2015</v>
      </c>
      <c r="G25" s="4" t="str">
        <f>IFERROR(__xludf.DUMMYFUNCTION("""COMPUTED_VALUE""")," TA")</f>
        <v> TA</v>
      </c>
      <c r="H25" s="4">
        <f>IFERROR(__xludf.DUMMYFUNCTION("""COMPUTED_VALUE"""),36.0)</f>
        <v>36</v>
      </c>
      <c r="J25" s="4" t="s">
        <v>45</v>
      </c>
      <c r="K25" s="4" t="s">
        <v>191</v>
      </c>
      <c r="L25" s="4">
        <v>36.0</v>
      </c>
    </row>
    <row r="26">
      <c r="A26" s="14" t="str">
        <f t="shared" si="7"/>
        <v>Barenius et al., 2010</v>
      </c>
      <c r="B26" s="18" t="s">
        <v>84</v>
      </c>
      <c r="C26" s="18">
        <v>75.0</v>
      </c>
      <c r="D26" s="4" t="str">
        <f>IFERROR(__xludf.DUMMYFUNCTION("join(""; "",A26:C26)"),"Barenius et al., 2010; HT; 75")</f>
        <v>Barenius et al., 2010; HT; 75</v>
      </c>
      <c r="E26" s="4" t="s">
        <v>193</v>
      </c>
      <c r="F26" s="4" t="str">
        <f>IFERROR(__xludf.DUMMYFUNCTION("split(E26,"";"",FALSE)"),"Butt et al., 2024")</f>
        <v>Butt et al., 2024</v>
      </c>
      <c r="G26" s="4" t="str">
        <f>IFERROR(__xludf.DUMMYFUNCTION("""COMPUTED_VALUE""")," HT")</f>
        <v> HT</v>
      </c>
      <c r="H26" s="4">
        <f>IFERROR(__xludf.DUMMYFUNCTION("""COMPUTED_VALUE"""),30.0)</f>
        <v>30</v>
      </c>
      <c r="J26" s="4" t="s">
        <v>47</v>
      </c>
      <c r="K26" s="4" t="s">
        <v>95</v>
      </c>
      <c r="L26" s="4">
        <v>30.0</v>
      </c>
    </row>
    <row r="27">
      <c r="A27" s="14" t="str">
        <f t="shared" si="7"/>
        <v>Barenius et al., 2010</v>
      </c>
      <c r="B27" s="18" t="s">
        <v>84</v>
      </c>
      <c r="C27" s="18">
        <v>75.0</v>
      </c>
      <c r="D27" s="4" t="str">
        <f>IFERROR(__xludf.DUMMYFUNCTION("join(""; "",A27:C27)"),"Barenius et al., 2010; HT; 75")</f>
        <v>Barenius et al., 2010; HT; 75</v>
      </c>
      <c r="E27" s="4" t="s">
        <v>194</v>
      </c>
      <c r="F27" s="4" t="str">
        <f>IFERROR(__xludf.DUMMYFUNCTION("split(E27,"";"",FALSE)"),"Butt et al., 2024")</f>
        <v>Butt et al., 2024</v>
      </c>
      <c r="G27" s="4" t="str">
        <f>IFERROR(__xludf.DUMMYFUNCTION("""COMPUTED_VALUE""")," PLT")</f>
        <v> PLT</v>
      </c>
      <c r="H27" s="4">
        <f>IFERROR(__xludf.DUMMYFUNCTION("""COMPUTED_VALUE"""),30.0)</f>
        <v>30</v>
      </c>
      <c r="J27" s="4" t="s">
        <v>47</v>
      </c>
      <c r="K27" s="4" t="s">
        <v>185</v>
      </c>
      <c r="L27" s="4">
        <v>30.0</v>
      </c>
    </row>
    <row r="28">
      <c r="A28" s="14" t="str">
        <f t="shared" ref="A28:A35" si="8">HYPERLINK("https://github.com/d-wkim/phd/blob/main/data/pdf/barié_2020.pdf","Barié et al., 2020")</f>
        <v>Barié et al., 2020</v>
      </c>
      <c r="B28" s="18" t="s">
        <v>42</v>
      </c>
      <c r="C28" s="18">
        <v>43.0</v>
      </c>
      <c r="D28" s="4" t="str">
        <f>IFERROR(__xludf.DUMMYFUNCTION("join(""; "",A28:C28)"),"Barié et al., 2020; BPTB; 43")</f>
        <v>Barié et al., 2020; BPTB; 43</v>
      </c>
      <c r="E28" s="4" t="s">
        <v>196</v>
      </c>
      <c r="F28" s="4" t="str">
        <f>IFERROR(__xludf.DUMMYFUNCTION("split(E28,"";"",FALSE)"),"Calvert et al., 2025")</f>
        <v>Calvert et al., 2025</v>
      </c>
      <c r="G28" s="4" t="str">
        <f>IFERROR(__xludf.DUMMYFUNCTION("""COMPUTED_VALUE""")," HT")</f>
        <v> HT</v>
      </c>
      <c r="H28" s="4">
        <f>IFERROR(__xludf.DUMMYFUNCTION("""COMPUTED_VALUE"""),92.0)</f>
        <v>92</v>
      </c>
      <c r="J28" s="4" t="s">
        <v>52</v>
      </c>
      <c r="K28" s="4" t="s">
        <v>95</v>
      </c>
      <c r="L28" s="4">
        <v>92.0</v>
      </c>
    </row>
    <row r="29">
      <c r="A29" s="14" t="str">
        <f t="shared" si="8"/>
        <v>Barié et al., 2020</v>
      </c>
      <c r="B29" s="18" t="s">
        <v>42</v>
      </c>
      <c r="C29" s="18">
        <v>43.0</v>
      </c>
      <c r="D29" s="4" t="str">
        <f>IFERROR(__xludf.DUMMYFUNCTION("join(""; "",A29:C29)"),"Barié et al., 2020; BPTB; 43")</f>
        <v>Barié et al., 2020; BPTB; 43</v>
      </c>
      <c r="E29" s="4" t="s">
        <v>197</v>
      </c>
      <c r="F29" s="4" t="str">
        <f>IFERROR(__xludf.DUMMYFUNCTION("split(E29,"";"",FALSE)"),"Calvert et al., 2025")</f>
        <v>Calvert et al., 2025</v>
      </c>
      <c r="G29" s="4" t="str">
        <f>IFERROR(__xludf.DUMMYFUNCTION("""COMPUTED_VALUE""")," QT")</f>
        <v> QT</v>
      </c>
      <c r="H29" s="4">
        <f>IFERROR(__xludf.DUMMYFUNCTION("""COMPUTED_VALUE"""),89.0)</f>
        <v>89</v>
      </c>
      <c r="J29" s="4" t="s">
        <v>52</v>
      </c>
      <c r="K29" s="4" t="s">
        <v>164</v>
      </c>
      <c r="L29" s="4">
        <v>89.0</v>
      </c>
    </row>
    <row r="30">
      <c r="A30" s="14" t="str">
        <f t="shared" si="8"/>
        <v>Barié et al., 2020</v>
      </c>
      <c r="B30" s="18" t="s">
        <v>42</v>
      </c>
      <c r="C30" s="18">
        <v>43.0</v>
      </c>
      <c r="D30" s="4" t="str">
        <f>IFERROR(__xludf.DUMMYFUNCTION("join(""; "",A30:C30)"),"Barié et al., 2020; BPTB; 43")</f>
        <v>Barié et al., 2020; BPTB; 43</v>
      </c>
      <c r="E30" s="4" t="s">
        <v>198</v>
      </c>
      <c r="F30" s="4" t="str">
        <f>IFERROR(__xludf.DUMMYFUNCTION("split(E30,"";"",FALSE)"),"Ejerhed et al., 2003")</f>
        <v>Ejerhed et al., 2003</v>
      </c>
      <c r="G30" s="4" t="str">
        <f>IFERROR(__xludf.DUMMYFUNCTION("""COMPUTED_VALUE""")," BPTB")</f>
        <v> BPTB</v>
      </c>
      <c r="H30" s="4">
        <f>IFERROR(__xludf.DUMMYFUNCTION("""COMPUTED_VALUE"""),32.0)</f>
        <v>32</v>
      </c>
      <c r="J30" s="4" t="s">
        <v>56</v>
      </c>
      <c r="K30" s="4" t="s">
        <v>80</v>
      </c>
      <c r="L30" s="4">
        <v>32.0</v>
      </c>
    </row>
    <row r="31">
      <c r="A31" s="14" t="str">
        <f t="shared" si="8"/>
        <v>Barié et al., 2020</v>
      </c>
      <c r="B31" s="18" t="s">
        <v>42</v>
      </c>
      <c r="C31" s="18">
        <v>43.0</v>
      </c>
      <c r="D31" s="4" t="str">
        <f>IFERROR(__xludf.DUMMYFUNCTION("join(""; "",A31:C31)"),"Barié et al., 2020; BPTB; 43")</f>
        <v>Barié et al., 2020; BPTB; 43</v>
      </c>
      <c r="E31" s="4" t="s">
        <v>199</v>
      </c>
      <c r="F31" s="4" t="str">
        <f>IFERROR(__xludf.DUMMYFUNCTION("split(E31,"";"",FALSE)"),"Ejerhed et al., 2003")</f>
        <v>Ejerhed et al., 2003</v>
      </c>
      <c r="G31" s="4" t="str">
        <f>IFERROR(__xludf.DUMMYFUNCTION("""COMPUTED_VALUE""")," HT")</f>
        <v> HT</v>
      </c>
      <c r="H31" s="4">
        <f>IFERROR(__xludf.DUMMYFUNCTION("""COMPUTED_VALUE"""),34.0)</f>
        <v>34</v>
      </c>
      <c r="J31" s="4" t="s">
        <v>56</v>
      </c>
      <c r="K31" s="4" t="s">
        <v>95</v>
      </c>
      <c r="L31" s="4">
        <v>34.0</v>
      </c>
    </row>
    <row r="32">
      <c r="A32" s="14" t="str">
        <f t="shared" si="8"/>
        <v>Barié et al., 2020</v>
      </c>
      <c r="B32" s="18" t="s">
        <v>200</v>
      </c>
      <c r="C32" s="18">
        <v>43.0</v>
      </c>
      <c r="D32" s="4" t="str">
        <f>IFERROR(__xludf.DUMMYFUNCTION("join(""; "",A32:C32)"),"Barié et al., 2020; QT; 43")</f>
        <v>Barié et al., 2020; QT; 43</v>
      </c>
      <c r="E32" s="4" t="s">
        <v>201</v>
      </c>
      <c r="F32" s="4" t="str">
        <f>IFERROR(__xludf.DUMMYFUNCTION("split(E32,"";"",FALSE)"),"Eriksson et al., 2001")</f>
        <v>Eriksson et al., 2001</v>
      </c>
      <c r="G32" s="4" t="str">
        <f>IFERROR(__xludf.DUMMYFUNCTION("""COMPUTED_VALUE""")," BPTB")</f>
        <v> BPTB</v>
      </c>
      <c r="H32" s="4">
        <f>IFERROR(__xludf.DUMMYFUNCTION("""COMPUTED_VALUE"""),42.0)</f>
        <v>42</v>
      </c>
      <c r="J32" s="4" t="s">
        <v>58</v>
      </c>
      <c r="K32" s="4" t="s">
        <v>80</v>
      </c>
      <c r="L32" s="4">
        <v>42.0</v>
      </c>
    </row>
    <row r="33">
      <c r="A33" s="14" t="str">
        <f t="shared" si="8"/>
        <v>Barié et al., 2020</v>
      </c>
      <c r="B33" s="18" t="s">
        <v>200</v>
      </c>
      <c r="C33" s="18">
        <v>43.0</v>
      </c>
      <c r="D33" s="4" t="str">
        <f>IFERROR(__xludf.DUMMYFUNCTION("join(""; "",A33:C33)"),"Barié et al., 2020; QT; 43")</f>
        <v>Barié et al., 2020; QT; 43</v>
      </c>
      <c r="E33" s="4" t="s">
        <v>204</v>
      </c>
      <c r="F33" s="4" t="str">
        <f>IFERROR(__xludf.DUMMYFUNCTION("split(E33,"";"",FALSE)"),"Eriksson et al., 2001")</f>
        <v>Eriksson et al., 2001</v>
      </c>
      <c r="G33" s="4" t="str">
        <f>IFERROR(__xludf.DUMMYFUNCTION("""COMPUTED_VALUE""")," HT")</f>
        <v> HT</v>
      </c>
      <c r="H33" s="4">
        <f>IFERROR(__xludf.DUMMYFUNCTION("""COMPUTED_VALUE"""),47.0)</f>
        <v>47</v>
      </c>
      <c r="J33" s="4" t="s">
        <v>58</v>
      </c>
      <c r="K33" s="4" t="s">
        <v>95</v>
      </c>
      <c r="L33" s="4">
        <v>47.0</v>
      </c>
    </row>
    <row r="34">
      <c r="A34" s="14" t="str">
        <f t="shared" si="8"/>
        <v>Barié et al., 2020</v>
      </c>
      <c r="B34" s="18" t="s">
        <v>200</v>
      </c>
      <c r="C34" s="18">
        <v>43.0</v>
      </c>
      <c r="D34" s="4" t="str">
        <f>IFERROR(__xludf.DUMMYFUNCTION("join(""; "",A34:C34)"),"Barié et al., 2020; QT; 43")</f>
        <v>Barié et al., 2020; QT; 43</v>
      </c>
      <c r="E34" s="4" t="s">
        <v>206</v>
      </c>
      <c r="F34" s="4" t="str">
        <f>IFERROR(__xludf.DUMMYFUNCTION("split(E34,"";"",FALSE)"),"Feller &amp; Webster, 2003")</f>
        <v>Feller &amp; Webster, 2003</v>
      </c>
      <c r="G34" s="4" t="str">
        <f>IFERROR(__xludf.DUMMYFUNCTION("""COMPUTED_VALUE""")," BPTB")</f>
        <v> BPTB</v>
      </c>
      <c r="H34" s="4">
        <f>IFERROR(__xludf.DUMMYFUNCTION("""COMPUTED_VALUE"""),27.0)</f>
        <v>27</v>
      </c>
      <c r="J34" s="4" t="s">
        <v>60</v>
      </c>
      <c r="K34" s="4" t="s">
        <v>80</v>
      </c>
      <c r="L34" s="4">
        <v>27.0</v>
      </c>
    </row>
    <row r="35">
      <c r="A35" s="14" t="str">
        <f t="shared" si="8"/>
        <v>Barié et al., 2020</v>
      </c>
      <c r="B35" s="18" t="s">
        <v>200</v>
      </c>
      <c r="C35" s="18">
        <v>43.0</v>
      </c>
      <c r="D35" s="4" t="str">
        <f>IFERROR(__xludf.DUMMYFUNCTION("join(""; "",A35:C35)"),"Barié et al., 2020; QT; 43")</f>
        <v>Barié et al., 2020; QT; 43</v>
      </c>
      <c r="E35" s="4" t="s">
        <v>207</v>
      </c>
      <c r="F35" s="4" t="str">
        <f>IFERROR(__xludf.DUMMYFUNCTION("split(E35,"";"",FALSE)"),"Feller &amp; Webster, 2003")</f>
        <v>Feller &amp; Webster, 2003</v>
      </c>
      <c r="G35" s="4" t="str">
        <f>IFERROR(__xludf.DUMMYFUNCTION("""COMPUTED_VALUE""")," HT")</f>
        <v> HT</v>
      </c>
      <c r="H35" s="4">
        <f>IFERROR(__xludf.DUMMYFUNCTION("""COMPUTED_VALUE"""),21.0)</f>
        <v>21</v>
      </c>
      <c r="J35" s="4" t="s">
        <v>60</v>
      </c>
      <c r="K35" s="4" t="s">
        <v>95</v>
      </c>
      <c r="L35" s="4">
        <v>21.0</v>
      </c>
    </row>
    <row r="36">
      <c r="A36" s="14" t="str">
        <f t="shared" ref="A36:A39" si="9">HYPERLINK("https://github.com/d-wkim/phd/blob/main/data/pdf/beynnon_2002.pdf","Beynnon et al., 2002")</f>
        <v>Beynnon et al., 2002</v>
      </c>
      <c r="B36" s="18" t="s">
        <v>42</v>
      </c>
      <c r="C36" s="18">
        <v>22.0</v>
      </c>
      <c r="D36" s="4" t="str">
        <f>IFERROR(__xludf.DUMMYFUNCTION("join(""; "",A36:C36)"),"Beynnon et al., 2002; BPTB; 22")</f>
        <v>Beynnon et al., 2002; BPTB; 22</v>
      </c>
      <c r="E36" s="4" t="s">
        <v>209</v>
      </c>
      <c r="F36" s="4" t="str">
        <f>IFERROR(__xludf.DUMMYFUNCTION("split(E36,"";"",FALSE)"),"Gifstad et al., 2013")</f>
        <v>Gifstad et al., 2013</v>
      </c>
      <c r="G36" s="4" t="str">
        <f>IFERROR(__xludf.DUMMYFUNCTION("""COMPUTED_VALUE""")," BPTB")</f>
        <v> BPTB</v>
      </c>
      <c r="H36" s="4">
        <f>IFERROR(__xludf.DUMMYFUNCTION("""COMPUTED_VALUE"""),41.0)</f>
        <v>41</v>
      </c>
      <c r="J36" s="4" t="s">
        <v>62</v>
      </c>
      <c r="K36" s="4" t="s">
        <v>80</v>
      </c>
      <c r="L36" s="4">
        <v>41.0</v>
      </c>
    </row>
    <row r="37">
      <c r="A37" s="14" t="str">
        <f t="shared" si="9"/>
        <v>Beynnon et al., 2002</v>
      </c>
      <c r="B37" s="18" t="s">
        <v>42</v>
      </c>
      <c r="C37" s="18">
        <v>22.0</v>
      </c>
      <c r="D37" s="4" t="str">
        <f>IFERROR(__xludf.DUMMYFUNCTION("join(""; "",A37:C37)"),"Beynnon et al., 2002; BPTB; 22")</f>
        <v>Beynnon et al., 2002; BPTB; 22</v>
      </c>
      <c r="E37" s="4" t="s">
        <v>211</v>
      </c>
      <c r="F37" s="4" t="str">
        <f>IFERROR(__xludf.DUMMYFUNCTION("split(E37,"";"",FALSE)"),"Gifstad et al., 2013")</f>
        <v>Gifstad et al., 2013</v>
      </c>
      <c r="G37" s="4" t="str">
        <f>IFERROR(__xludf.DUMMYFUNCTION("""COMPUTED_VALUE""")," HT")</f>
        <v> HT</v>
      </c>
      <c r="H37" s="4">
        <f>IFERROR(__xludf.DUMMYFUNCTION("""COMPUTED_VALUE"""),36.0)</f>
        <v>36</v>
      </c>
      <c r="J37" s="4" t="s">
        <v>62</v>
      </c>
      <c r="K37" s="4" t="s">
        <v>95</v>
      </c>
      <c r="L37" s="4">
        <v>36.0</v>
      </c>
    </row>
    <row r="38">
      <c r="A38" s="14" t="str">
        <f t="shared" si="9"/>
        <v>Beynnon et al., 2002</v>
      </c>
      <c r="B38" s="18" t="s">
        <v>84</v>
      </c>
      <c r="C38" s="18">
        <v>22.0</v>
      </c>
      <c r="D38" s="4" t="str">
        <f>IFERROR(__xludf.DUMMYFUNCTION("join(""; "",A38:C38)"),"Beynnon et al., 2002; HT; 22")</f>
        <v>Beynnon et al., 2002; HT; 22</v>
      </c>
      <c r="E38" s="4" t="s">
        <v>212</v>
      </c>
      <c r="F38" s="4" t="str">
        <f>IFERROR(__xludf.DUMMYFUNCTION("split(E38,"";"",FALSE)"),"Guglielmetti et al., 2021")</f>
        <v>Guglielmetti et al., 2021</v>
      </c>
      <c r="G38" s="4" t="str">
        <f>IFERROR(__xludf.DUMMYFUNCTION("""COMPUTED_VALUE""")," BPTB")</f>
        <v> BPTB</v>
      </c>
      <c r="H38" s="4">
        <f>IFERROR(__xludf.DUMMYFUNCTION("""COMPUTED_VALUE"""),31.0)</f>
        <v>31</v>
      </c>
      <c r="J38" s="4" t="s">
        <v>65</v>
      </c>
      <c r="K38" s="4" t="s">
        <v>80</v>
      </c>
      <c r="L38" s="4">
        <v>31.0</v>
      </c>
    </row>
    <row r="39">
      <c r="A39" s="14" t="str">
        <f t="shared" si="9"/>
        <v>Beynnon et al., 2002</v>
      </c>
      <c r="B39" s="18" t="s">
        <v>84</v>
      </c>
      <c r="C39" s="18">
        <v>22.0</v>
      </c>
      <c r="D39" s="4" t="str">
        <f>IFERROR(__xludf.DUMMYFUNCTION("join(""; "",A39:C39)"),"Beynnon et al., 2002; HT; 22")</f>
        <v>Beynnon et al., 2002; HT; 22</v>
      </c>
      <c r="E39" s="4" t="s">
        <v>213</v>
      </c>
      <c r="F39" s="4" t="str">
        <f>IFERROR(__xludf.DUMMYFUNCTION("split(E39,"";"",FALSE)"),"Guglielmetti et al., 2021")</f>
        <v>Guglielmetti et al., 2021</v>
      </c>
      <c r="G39" s="4" t="str">
        <f>IFERROR(__xludf.DUMMYFUNCTION("""COMPUTED_VALUE""")," HT")</f>
        <v> HT</v>
      </c>
      <c r="H39" s="4">
        <f>IFERROR(__xludf.DUMMYFUNCTION("""COMPUTED_VALUE"""),31.0)</f>
        <v>31</v>
      </c>
      <c r="J39" s="4" t="s">
        <v>65</v>
      </c>
      <c r="K39" s="4" t="s">
        <v>95</v>
      </c>
      <c r="L39" s="4">
        <v>31.0</v>
      </c>
    </row>
    <row r="40">
      <c r="A40" s="14" t="str">
        <f t="shared" ref="A40:A45" si="10">HYPERLINK("https://github.com/d-wkim/phd/blob/main/data/pdf/bi_2018.pdf","Bi et al., 2018")</f>
        <v>Bi et al., 2018</v>
      </c>
      <c r="B40" s="18" t="s">
        <v>84</v>
      </c>
      <c r="C40" s="18">
        <v>62.0</v>
      </c>
      <c r="D40" s="4" t="str">
        <f>IFERROR(__xludf.DUMMYFUNCTION("join(""; "",A40:C40)"),"Bi et al., 2018; HT; 62")</f>
        <v>Bi et al., 2018; HT; 62</v>
      </c>
      <c r="E40" s="4" t="s">
        <v>214</v>
      </c>
      <c r="F40" s="4" t="str">
        <f>IFERROR(__xludf.DUMMYFUNCTION("split(E40,"";"",FALSE)"),"Harilainen et al., 2006")</f>
        <v>Harilainen et al., 2006</v>
      </c>
      <c r="G40" s="4" t="str">
        <f>IFERROR(__xludf.DUMMYFUNCTION("""COMPUTED_VALUE""")," BPTB")</f>
        <v> BPTB</v>
      </c>
      <c r="H40" s="4">
        <f>IFERROR(__xludf.DUMMYFUNCTION("""COMPUTED_VALUE"""),37.0)</f>
        <v>37</v>
      </c>
      <c r="J40" s="4" t="s">
        <v>67</v>
      </c>
      <c r="K40" s="4" t="s">
        <v>80</v>
      </c>
      <c r="L40" s="4">
        <v>37.0</v>
      </c>
    </row>
    <row r="41">
      <c r="A41" s="14" t="str">
        <f t="shared" si="10"/>
        <v>Bi et al., 2018</v>
      </c>
      <c r="B41" s="18" t="s">
        <v>84</v>
      </c>
      <c r="C41" s="18">
        <v>62.0</v>
      </c>
      <c r="D41" s="4" t="str">
        <f>IFERROR(__xludf.DUMMYFUNCTION("join(""; "",A41:C41)"),"Bi et al., 2018; HT; 62")</f>
        <v>Bi et al., 2018; HT; 62</v>
      </c>
      <c r="E41" s="4" t="s">
        <v>216</v>
      </c>
      <c r="F41" s="4" t="str">
        <f>IFERROR(__xludf.DUMMYFUNCTION("split(E41,"";"",FALSE)"),"Harilainen et al., 2006")</f>
        <v>Harilainen et al., 2006</v>
      </c>
      <c r="G41" s="4" t="str">
        <f>IFERROR(__xludf.DUMMYFUNCTION("""COMPUTED_VALUE""")," HT")</f>
        <v> HT</v>
      </c>
      <c r="H41" s="4">
        <f>IFERROR(__xludf.DUMMYFUNCTION("""COMPUTED_VALUE"""),37.0)</f>
        <v>37</v>
      </c>
      <c r="J41" s="4" t="s">
        <v>67</v>
      </c>
      <c r="K41" s="4" t="s">
        <v>95</v>
      </c>
      <c r="L41" s="4">
        <v>37.0</v>
      </c>
    </row>
    <row r="42">
      <c r="A42" s="14" t="str">
        <f t="shared" si="10"/>
        <v>Bi et al., 2018</v>
      </c>
      <c r="B42" s="18" t="s">
        <v>84</v>
      </c>
      <c r="C42" s="18">
        <v>62.0</v>
      </c>
      <c r="D42" s="4" t="str">
        <f>IFERROR(__xludf.DUMMYFUNCTION("join(""; "",A42:C42)"),"Bi et al., 2018; HT; 62")</f>
        <v>Bi et al., 2018; HT; 62</v>
      </c>
      <c r="E42" s="4" t="s">
        <v>217</v>
      </c>
      <c r="F42" s="4" t="str">
        <f>IFERROR(__xludf.DUMMYFUNCTION("split(E42,"";"",FALSE)"),"Heijne &amp; Werner, 2010")</f>
        <v>Heijne &amp; Werner, 2010</v>
      </c>
      <c r="G42" s="4" t="str">
        <f>IFERROR(__xludf.DUMMYFUNCTION("""COMPUTED_VALUE""")," BPTB")</f>
        <v> BPTB</v>
      </c>
      <c r="H42" s="4">
        <f>IFERROR(__xludf.DUMMYFUNCTION("""COMPUTED_VALUE"""),30.0)</f>
        <v>30</v>
      </c>
      <c r="J42" s="4" t="s">
        <v>69</v>
      </c>
      <c r="K42" s="4" t="s">
        <v>80</v>
      </c>
      <c r="L42" s="4">
        <v>30.0</v>
      </c>
    </row>
    <row r="43">
      <c r="A43" s="14" t="str">
        <f t="shared" si="10"/>
        <v>Bi et al., 2018</v>
      </c>
      <c r="B43" s="18" t="s">
        <v>186</v>
      </c>
      <c r="C43" s="18">
        <v>62.0</v>
      </c>
      <c r="D43" s="4" t="str">
        <f>IFERROR(__xludf.DUMMYFUNCTION("join(""; "",A43:C43)"),"Bi et al., 2018; PLT; 62")</f>
        <v>Bi et al., 2018; PLT; 62</v>
      </c>
      <c r="E43" s="4" t="s">
        <v>218</v>
      </c>
      <c r="F43" s="4" t="str">
        <f>IFERROR(__xludf.DUMMYFUNCTION("split(E43,"";"",FALSE)"),"Heijne &amp; Werner, 2010")</f>
        <v>Heijne &amp; Werner, 2010</v>
      </c>
      <c r="G43" s="4" t="str">
        <f>IFERROR(__xludf.DUMMYFUNCTION("""COMPUTED_VALUE""")," HT")</f>
        <v> HT</v>
      </c>
      <c r="H43" s="4">
        <f>IFERROR(__xludf.DUMMYFUNCTION("""COMPUTED_VALUE"""),29.0)</f>
        <v>29</v>
      </c>
      <c r="J43" s="4" t="s">
        <v>69</v>
      </c>
      <c r="K43" s="4" t="s">
        <v>95</v>
      </c>
      <c r="L43" s="4">
        <v>29.0</v>
      </c>
    </row>
    <row r="44">
      <c r="A44" s="14" t="str">
        <f t="shared" si="10"/>
        <v>Bi et al., 2018</v>
      </c>
      <c r="B44" s="18" t="s">
        <v>186</v>
      </c>
      <c r="C44" s="18">
        <v>62.0</v>
      </c>
      <c r="D44" s="4" t="str">
        <f>IFERROR(__xludf.DUMMYFUNCTION("join(""; "",A44:C44)"),"Bi et al., 2018; PLT; 62")</f>
        <v>Bi et al., 2018; PLT; 62</v>
      </c>
      <c r="E44" s="4" t="s">
        <v>219</v>
      </c>
      <c r="F44" s="4" t="str">
        <f>IFERROR(__xludf.DUMMYFUNCTION("split(E44,"";"",FALSE)"),"Holm et al., 2010")</f>
        <v>Holm et al., 2010</v>
      </c>
      <c r="G44" s="4" t="str">
        <f>IFERROR(__xludf.DUMMYFUNCTION("""COMPUTED_VALUE""")," BPTB")</f>
        <v> BPTB</v>
      </c>
      <c r="H44" s="4">
        <f>IFERROR(__xludf.DUMMYFUNCTION("""COMPUTED_VALUE"""),28.0)</f>
        <v>28</v>
      </c>
      <c r="J44" s="4" t="s">
        <v>71</v>
      </c>
      <c r="K44" s="4" t="s">
        <v>80</v>
      </c>
      <c r="L44" s="4">
        <v>28.0</v>
      </c>
    </row>
    <row r="45">
      <c r="A45" s="14" t="str">
        <f t="shared" si="10"/>
        <v>Bi et al., 2018</v>
      </c>
      <c r="B45" s="18" t="s">
        <v>186</v>
      </c>
      <c r="C45" s="18">
        <v>62.0</v>
      </c>
      <c r="D45" s="4" t="str">
        <f>IFERROR(__xludf.DUMMYFUNCTION("join(""; "",A45:C45)"),"Bi et al., 2018; PLT; 62")</f>
        <v>Bi et al., 2018; PLT; 62</v>
      </c>
      <c r="E45" s="4" t="s">
        <v>221</v>
      </c>
      <c r="F45" s="4" t="str">
        <f>IFERROR(__xludf.DUMMYFUNCTION("split(E45,"";"",FALSE)"),"Holm et al., 2010")</f>
        <v>Holm et al., 2010</v>
      </c>
      <c r="G45" s="4" t="str">
        <f>IFERROR(__xludf.DUMMYFUNCTION("""COMPUTED_VALUE""")," HT")</f>
        <v> HT</v>
      </c>
      <c r="H45" s="4">
        <f>IFERROR(__xludf.DUMMYFUNCTION("""COMPUTED_VALUE"""),29.0)</f>
        <v>29</v>
      </c>
      <c r="J45" s="4" t="s">
        <v>71</v>
      </c>
      <c r="K45" s="4" t="s">
        <v>95</v>
      </c>
      <c r="L45" s="4">
        <v>29.0</v>
      </c>
    </row>
    <row r="46">
      <c r="A46" s="14" t="str">
        <f t="shared" ref="A46:A55" si="11">HYPERLINK("https://github.com/d-wkim/phd/blob/main/data/pdf/björnsson_2016.pdf","Björnsson et al., 2016")</f>
        <v>Björnsson et al., 2016</v>
      </c>
      <c r="B46" s="18" t="s">
        <v>42</v>
      </c>
      <c r="C46" s="18">
        <v>61.0</v>
      </c>
      <c r="D46" s="4" t="str">
        <f>IFERROR(__xludf.DUMMYFUNCTION("join(""; "",A46:C46)"),"Björnsson et al., 2016; BPTB; 61")</f>
        <v>Björnsson et al., 2016; BPTB; 61</v>
      </c>
      <c r="E46" s="4" t="s">
        <v>223</v>
      </c>
      <c r="F46" s="4" t="str">
        <f>IFERROR(__xludf.DUMMYFUNCTION("split(E46,"";"",FALSE)"),"Horstmann et al., 2022")</f>
        <v>Horstmann et al., 2022</v>
      </c>
      <c r="G46" s="4" t="str">
        <f>IFERROR(__xludf.DUMMYFUNCTION("""COMPUTED_VALUE""")," HT")</f>
        <v> HT</v>
      </c>
      <c r="H46" s="4">
        <f>IFERROR(__xludf.DUMMYFUNCTION("""COMPUTED_VALUE"""),26.0)</f>
        <v>26</v>
      </c>
      <c r="J46" s="4" t="s">
        <v>73</v>
      </c>
      <c r="K46" s="4" t="s">
        <v>95</v>
      </c>
      <c r="L46" s="4">
        <v>26.0</v>
      </c>
    </row>
    <row r="47">
      <c r="A47" s="14" t="str">
        <f t="shared" si="11"/>
        <v>Björnsson et al., 2016</v>
      </c>
      <c r="B47" s="18" t="s">
        <v>42</v>
      </c>
      <c r="C47" s="18">
        <v>61.0</v>
      </c>
      <c r="D47" s="4" t="str">
        <f>IFERROR(__xludf.DUMMYFUNCTION("join(""; "",A47:C47)"),"Björnsson et al., 2016; BPTB; 61")</f>
        <v>Björnsson et al., 2016; BPTB; 61</v>
      </c>
      <c r="E47" s="4" t="s">
        <v>224</v>
      </c>
      <c r="F47" s="4" t="str">
        <f>IFERROR(__xludf.DUMMYFUNCTION("split(E47,"";"",FALSE)"),"Horstmann et al., 2022")</f>
        <v>Horstmann et al., 2022</v>
      </c>
      <c r="G47" s="4" t="str">
        <f>IFERROR(__xludf.DUMMYFUNCTION("""COMPUTED_VALUE""")," QT")</f>
        <v> QT</v>
      </c>
      <c r="H47" s="4">
        <f>IFERROR(__xludf.DUMMYFUNCTION("""COMPUTED_VALUE"""),23.0)</f>
        <v>23</v>
      </c>
      <c r="J47" s="4" t="s">
        <v>73</v>
      </c>
      <c r="K47" s="4" t="s">
        <v>164</v>
      </c>
      <c r="L47" s="4">
        <v>23.0</v>
      </c>
    </row>
    <row r="48">
      <c r="A48" s="14" t="str">
        <f t="shared" si="11"/>
        <v>Björnsson et al., 2016</v>
      </c>
      <c r="B48" s="18" t="s">
        <v>42</v>
      </c>
      <c r="C48" s="18">
        <v>61.0</v>
      </c>
      <c r="D48" s="4" t="str">
        <f>IFERROR(__xludf.DUMMYFUNCTION("join(""; "",A48:C48)"),"Björnsson et al., 2016; BPTB; 61")</f>
        <v>Björnsson et al., 2016; BPTB; 61</v>
      </c>
      <c r="E48" s="4" t="s">
        <v>225</v>
      </c>
      <c r="F48" s="4" t="str">
        <f>IFERROR(__xludf.DUMMYFUNCTION("split(E48,"";"",FALSE)"),"Ibrahim et al., 2005")</f>
        <v>Ibrahim et al., 2005</v>
      </c>
      <c r="G48" s="4" t="str">
        <f>IFERROR(__xludf.DUMMYFUNCTION("""COMPUTED_VALUE""")," BPTB")</f>
        <v> BPTB</v>
      </c>
      <c r="H48" s="4">
        <f>IFERROR(__xludf.DUMMYFUNCTION("""COMPUTED_VALUE"""),40.0)</f>
        <v>40</v>
      </c>
      <c r="J48" s="4" t="s">
        <v>75</v>
      </c>
      <c r="K48" s="4" t="s">
        <v>80</v>
      </c>
      <c r="L48" s="4">
        <v>40.0</v>
      </c>
    </row>
    <row r="49">
      <c r="A49" s="14" t="str">
        <f t="shared" si="11"/>
        <v>Björnsson et al., 2016</v>
      </c>
      <c r="B49" s="18" t="s">
        <v>42</v>
      </c>
      <c r="C49" s="18">
        <v>61.0</v>
      </c>
      <c r="D49" s="4" t="str">
        <f>IFERROR(__xludf.DUMMYFUNCTION("join(""; "",A49:C49)"),"Björnsson et al., 2016; BPTB; 61")</f>
        <v>Björnsson et al., 2016; BPTB; 61</v>
      </c>
      <c r="E49" s="4" t="s">
        <v>227</v>
      </c>
      <c r="F49" s="4" t="str">
        <f>IFERROR(__xludf.DUMMYFUNCTION("split(E49,"";"",FALSE)"),"Ibrahim et al., 2005")</f>
        <v>Ibrahim et al., 2005</v>
      </c>
      <c r="G49" s="4" t="str">
        <f>IFERROR(__xludf.DUMMYFUNCTION("""COMPUTED_VALUE""")," HT")</f>
        <v> HT</v>
      </c>
      <c r="H49" s="4">
        <f>IFERROR(__xludf.DUMMYFUNCTION("""COMPUTED_VALUE"""),46.0)</f>
        <v>46</v>
      </c>
      <c r="J49" s="4" t="s">
        <v>75</v>
      </c>
      <c r="K49" s="4" t="s">
        <v>95</v>
      </c>
      <c r="L49" s="4">
        <v>46.0</v>
      </c>
    </row>
    <row r="50">
      <c r="A50" s="14" t="str">
        <f t="shared" si="11"/>
        <v>Björnsson et al., 2016</v>
      </c>
      <c r="B50" s="18" t="s">
        <v>42</v>
      </c>
      <c r="C50" s="18">
        <v>61.0</v>
      </c>
      <c r="D50" s="4" t="str">
        <f>IFERROR(__xludf.DUMMYFUNCTION("join(""; "",A50:C50)"),"Björnsson et al., 2016; BPTB; 61")</f>
        <v>Björnsson et al., 2016; BPTB; 61</v>
      </c>
      <c r="E50" s="4" t="s">
        <v>228</v>
      </c>
      <c r="F50" s="4" t="str">
        <f>IFERROR(__xludf.DUMMYFUNCTION("split(E50,"";"",FALSE)"),"Ibrahim et al., 2005")</f>
        <v>Ibrahim et al., 2005</v>
      </c>
      <c r="G50" s="4" t="str">
        <f>IFERROR(__xludf.DUMMYFUNCTION("""COMPUTED_VALUE""")," HT")</f>
        <v> HT</v>
      </c>
      <c r="H50" s="4">
        <f>IFERROR(__xludf.DUMMYFUNCTION("""COMPUTED_VALUE"""),45.0)</f>
        <v>45</v>
      </c>
      <c r="J50" s="4" t="s">
        <v>75</v>
      </c>
      <c r="K50" s="4" t="s">
        <v>95</v>
      </c>
      <c r="L50" s="4">
        <v>45.0</v>
      </c>
    </row>
    <row r="51">
      <c r="A51" s="14" t="str">
        <f t="shared" si="11"/>
        <v>Björnsson et al., 2016</v>
      </c>
      <c r="B51" s="18" t="s">
        <v>84</v>
      </c>
      <c r="C51" s="18">
        <v>86.0</v>
      </c>
      <c r="D51" s="4" t="str">
        <f>IFERROR(__xludf.DUMMYFUNCTION("join(""; "",A51:C51)"),"Björnsson et al., 2016; HT; 86")</f>
        <v>Björnsson et al., 2016; HT; 86</v>
      </c>
      <c r="E51" s="4" t="s">
        <v>229</v>
      </c>
      <c r="F51" s="4" t="str">
        <f>IFERROR(__xludf.DUMMYFUNCTION("split(E51,"";"",FALSE)"),"Iliopoulos et al., 2017")</f>
        <v>Iliopoulos et al., 2017</v>
      </c>
      <c r="G51" s="4" t="str">
        <f>IFERROR(__xludf.DUMMYFUNCTION("""COMPUTED_VALUE""")," BPTB")</f>
        <v> BPTB</v>
      </c>
      <c r="H51" s="4">
        <f>IFERROR(__xludf.DUMMYFUNCTION("""COMPUTED_VALUE"""),45.0)</f>
        <v>45</v>
      </c>
      <c r="J51" s="4" t="s">
        <v>77</v>
      </c>
      <c r="K51" s="4" t="s">
        <v>80</v>
      </c>
      <c r="L51" s="4">
        <v>45.0</v>
      </c>
    </row>
    <row r="52">
      <c r="A52" s="14" t="str">
        <f t="shared" si="11"/>
        <v>Björnsson et al., 2016</v>
      </c>
      <c r="B52" s="18" t="s">
        <v>84</v>
      </c>
      <c r="C52" s="18">
        <v>86.0</v>
      </c>
      <c r="D52" s="4" t="str">
        <f>IFERROR(__xludf.DUMMYFUNCTION("join(""; "",A52:C52)"),"Björnsson et al., 2016; HT; 86")</f>
        <v>Björnsson et al., 2016; HT; 86</v>
      </c>
      <c r="E52" s="4" t="s">
        <v>230</v>
      </c>
      <c r="F52" s="4" t="str">
        <f>IFERROR(__xludf.DUMMYFUNCTION("split(E52,"";"",FALSE)"),"Iliopoulos et al., 2017")</f>
        <v>Iliopoulos et al., 2017</v>
      </c>
      <c r="G52" s="4" t="str">
        <f>IFERROR(__xludf.DUMMYFUNCTION("""COMPUTED_VALUE""")," HT")</f>
        <v> HT</v>
      </c>
      <c r="H52" s="4">
        <f>IFERROR(__xludf.DUMMYFUNCTION("""COMPUTED_VALUE"""),45.0)</f>
        <v>45</v>
      </c>
      <c r="J52" s="4" t="s">
        <v>77</v>
      </c>
      <c r="K52" s="4" t="s">
        <v>95</v>
      </c>
      <c r="L52" s="4">
        <v>45.0</v>
      </c>
    </row>
    <row r="53">
      <c r="A53" s="14" t="str">
        <f t="shared" si="11"/>
        <v>Björnsson et al., 2016</v>
      </c>
      <c r="B53" s="18" t="s">
        <v>84</v>
      </c>
      <c r="C53" s="18">
        <v>86.0</v>
      </c>
      <c r="D53" s="4" t="str">
        <f>IFERROR(__xludf.DUMMYFUNCTION("join(""; "",A53:C53)"),"Björnsson et al., 2016; HT; 86")</f>
        <v>Björnsson et al., 2016; HT; 86</v>
      </c>
      <c r="E53" s="4" t="s">
        <v>231</v>
      </c>
      <c r="F53" s="4" t="str">
        <f>IFERROR(__xludf.DUMMYFUNCTION("split(E53,"";"",FALSE)"),"Jansson et al., 2003")</f>
        <v>Jansson et al., 2003</v>
      </c>
      <c r="G53" s="4" t="str">
        <f>IFERROR(__xludf.DUMMYFUNCTION("""COMPUTED_VALUE""")," BPTB")</f>
        <v> BPTB</v>
      </c>
      <c r="H53" s="4">
        <f>IFERROR(__xludf.DUMMYFUNCTION("""COMPUTED_VALUE"""),43.0)</f>
        <v>43</v>
      </c>
      <c r="J53" s="4" t="s">
        <v>79</v>
      </c>
      <c r="K53" s="4" t="s">
        <v>80</v>
      </c>
      <c r="L53" s="4">
        <v>43.0</v>
      </c>
    </row>
    <row r="54">
      <c r="A54" s="14" t="str">
        <f t="shared" si="11"/>
        <v>Björnsson et al., 2016</v>
      </c>
      <c r="B54" s="18" t="s">
        <v>84</v>
      </c>
      <c r="C54" s="18">
        <v>86.0</v>
      </c>
      <c r="D54" s="4" t="str">
        <f>IFERROR(__xludf.DUMMYFUNCTION("join(""; "",A54:C54)"),"Björnsson et al., 2016; HT; 86")</f>
        <v>Björnsson et al., 2016; HT; 86</v>
      </c>
      <c r="E54" s="4" t="s">
        <v>232</v>
      </c>
      <c r="F54" s="4" t="str">
        <f>IFERROR(__xludf.DUMMYFUNCTION("split(E54,"";"",FALSE)"),"Jansson et al., 2003")</f>
        <v>Jansson et al., 2003</v>
      </c>
      <c r="G54" s="4" t="str">
        <f>IFERROR(__xludf.DUMMYFUNCTION("""COMPUTED_VALUE""")," HT")</f>
        <v> HT</v>
      </c>
      <c r="H54" s="4">
        <f>IFERROR(__xludf.DUMMYFUNCTION("""COMPUTED_VALUE"""),46.0)</f>
        <v>46</v>
      </c>
      <c r="J54" s="4" t="s">
        <v>79</v>
      </c>
      <c r="K54" s="4" t="s">
        <v>95</v>
      </c>
      <c r="L54" s="4">
        <v>46.0</v>
      </c>
    </row>
    <row r="55">
      <c r="A55" s="14" t="str">
        <f t="shared" si="11"/>
        <v>Björnsson et al., 2016</v>
      </c>
      <c r="B55" s="18" t="s">
        <v>84</v>
      </c>
      <c r="C55" s="18">
        <v>86.0</v>
      </c>
      <c r="D55" s="4" t="str">
        <f>IFERROR(__xludf.DUMMYFUNCTION("join(""; "",A55:C55)"),"Björnsson et al., 2016; HT; 86")</f>
        <v>Björnsson et al., 2016; HT; 86</v>
      </c>
      <c r="E55" s="4" t="s">
        <v>234</v>
      </c>
      <c r="F55" s="4" t="str">
        <f>IFERROR(__xludf.DUMMYFUNCTION("split(E55,"";"",FALSE)"),"Kautzner et al., 2015")</f>
        <v>Kautzner et al., 2015</v>
      </c>
      <c r="G55" s="4" t="str">
        <f>IFERROR(__xludf.DUMMYFUNCTION("""COMPUTED_VALUE""")," BPTB")</f>
        <v> BPTB</v>
      </c>
      <c r="H55" s="4">
        <f>IFERROR(__xludf.DUMMYFUNCTION("""COMPUTED_VALUE"""),74.0)</f>
        <v>74</v>
      </c>
      <c r="J55" s="4" t="s">
        <v>82</v>
      </c>
      <c r="K55" s="4" t="s">
        <v>80</v>
      </c>
      <c r="L55" s="4">
        <v>74.0</v>
      </c>
    </row>
    <row r="56">
      <c r="A56" s="14" t="str">
        <f t="shared" ref="A56:A59" si="12">HYPERLINK("https://github.com/d-wkim/phd/blob/main/data/pdf/bottoni_2015.pdf","Bottoni et al., 2015")</f>
        <v>Bottoni et al., 2015</v>
      </c>
      <c r="B56" s="18" t="s">
        <v>84</v>
      </c>
      <c r="C56" s="18">
        <v>44.0</v>
      </c>
      <c r="D56" s="4" t="str">
        <f>IFERROR(__xludf.DUMMYFUNCTION("join(""; "",A56:C56)"),"Bottoni et al., 2015; HT; 44")</f>
        <v>Bottoni et al., 2015; HT; 44</v>
      </c>
      <c r="E56" s="4" t="s">
        <v>235</v>
      </c>
      <c r="F56" s="4" t="str">
        <f>IFERROR(__xludf.DUMMYFUNCTION("split(E56,"";"",FALSE)"),"Kautzner et al., 2015")</f>
        <v>Kautzner et al., 2015</v>
      </c>
      <c r="G56" s="4" t="str">
        <f>IFERROR(__xludf.DUMMYFUNCTION("""COMPUTED_VALUE""")," HT")</f>
        <v> HT</v>
      </c>
      <c r="H56" s="4">
        <f>IFERROR(__xludf.DUMMYFUNCTION("""COMPUTED_VALUE"""),73.0)</f>
        <v>73</v>
      </c>
      <c r="J56" s="4" t="s">
        <v>82</v>
      </c>
      <c r="K56" s="4" t="s">
        <v>95</v>
      </c>
      <c r="L56" s="4">
        <v>73.0</v>
      </c>
    </row>
    <row r="57">
      <c r="A57" s="14" t="str">
        <f t="shared" si="12"/>
        <v>Bottoni et al., 2015</v>
      </c>
      <c r="B57" s="18" t="s">
        <v>84</v>
      </c>
      <c r="C57" s="18">
        <v>44.0</v>
      </c>
      <c r="D57" s="4" t="str">
        <f>IFERROR(__xludf.DUMMYFUNCTION("join(""; "",A57:C57)"),"Bottoni et al., 2015; HT; 44")</f>
        <v>Bottoni et al., 2015; HT; 44</v>
      </c>
      <c r="E57" s="4" t="s">
        <v>236</v>
      </c>
      <c r="F57" s="4" t="str">
        <f>IFERROR(__xludf.DUMMYFUNCTION("split(E57,"";"",FALSE)"),"Komzak et al., 2022")</f>
        <v>Komzak et al., 2022</v>
      </c>
      <c r="G57" s="4" t="str">
        <f>IFERROR(__xludf.DUMMYFUNCTION("""COMPUTED_VALUE""")," BPTB")</f>
        <v> BPTB</v>
      </c>
      <c r="H57" s="4">
        <f>IFERROR(__xludf.DUMMYFUNCTION("""COMPUTED_VALUE"""),36.0)</f>
        <v>36</v>
      </c>
      <c r="J57" s="4" t="s">
        <v>85</v>
      </c>
      <c r="K57" s="4" t="s">
        <v>80</v>
      </c>
      <c r="L57" s="4">
        <v>36.0</v>
      </c>
    </row>
    <row r="58">
      <c r="A58" s="14" t="str">
        <f t="shared" si="12"/>
        <v>Bottoni et al., 2015</v>
      </c>
      <c r="B58" s="18" t="s">
        <v>205</v>
      </c>
      <c r="C58" s="18">
        <v>36.0</v>
      </c>
      <c r="D58" s="4" t="str">
        <f>IFERROR(__xludf.DUMMYFUNCTION("join(""; "",A58:C58)"),"Bottoni et al., 2015; TA; 36")</f>
        <v>Bottoni et al., 2015; TA; 36</v>
      </c>
      <c r="E58" s="4" t="s">
        <v>237</v>
      </c>
      <c r="F58" s="4" t="str">
        <f>IFERROR(__xludf.DUMMYFUNCTION("split(E58,"";"",FALSE)"),"Komzak et al., 2022")</f>
        <v>Komzak et al., 2022</v>
      </c>
      <c r="G58" s="4" t="str">
        <f>IFERROR(__xludf.DUMMYFUNCTION("""COMPUTED_VALUE""")," QT")</f>
        <v> QT</v>
      </c>
      <c r="H58" s="4">
        <f>IFERROR(__xludf.DUMMYFUNCTION("""COMPUTED_VALUE"""),36.0)</f>
        <v>36</v>
      </c>
      <c r="J58" s="4" t="s">
        <v>85</v>
      </c>
      <c r="K58" s="4" t="s">
        <v>164</v>
      </c>
      <c r="L58" s="4">
        <v>36.0</v>
      </c>
    </row>
    <row r="59">
      <c r="A59" s="14" t="str">
        <f t="shared" si="12"/>
        <v>Bottoni et al., 2015</v>
      </c>
      <c r="B59" s="18" t="s">
        <v>205</v>
      </c>
      <c r="C59" s="18">
        <v>36.0</v>
      </c>
      <c r="D59" s="4" t="str">
        <f>IFERROR(__xludf.DUMMYFUNCTION("join(""; "",A59:C59)"),"Bottoni et al., 2015; TA; 36")</f>
        <v>Bottoni et al., 2015; TA; 36</v>
      </c>
      <c r="E59" s="4" t="s">
        <v>241</v>
      </c>
      <c r="F59" s="4" t="str">
        <f>IFERROR(__xludf.DUMMYFUNCTION("split(E59,"";"",FALSE)"),"Konrads et al., 2016")</f>
        <v>Konrads et al., 2016</v>
      </c>
      <c r="G59" s="4" t="str">
        <f>IFERROR(__xludf.DUMMYFUNCTION("""COMPUTED_VALUE""")," BPTB")</f>
        <v> BPTB</v>
      </c>
      <c r="H59" s="4">
        <f>IFERROR(__xludf.DUMMYFUNCTION("""COMPUTED_VALUE"""),24.0)</f>
        <v>24</v>
      </c>
      <c r="J59" s="4" t="s">
        <v>88</v>
      </c>
      <c r="K59" s="4" t="s">
        <v>80</v>
      </c>
      <c r="L59" s="4">
        <v>24.0</v>
      </c>
    </row>
    <row r="60">
      <c r="A60" s="14" t="str">
        <f t="shared" ref="A60:A63" si="13">HYPERLINK("https://github.com/d-wkim/phd/blob/main/data/pdf/butt_2024.pdf","Butt et al., 2024")</f>
        <v>Butt et al., 2024</v>
      </c>
      <c r="B60" s="18" t="s">
        <v>84</v>
      </c>
      <c r="C60" s="18">
        <v>30.0</v>
      </c>
      <c r="D60" s="4" t="str">
        <f>IFERROR(__xludf.DUMMYFUNCTION("join(""; "",A60:C60)"),"Butt et al., 2024; HT; 30")</f>
        <v>Butt et al., 2024; HT; 30</v>
      </c>
      <c r="E60" s="4" t="s">
        <v>242</v>
      </c>
      <c r="F60" s="4" t="str">
        <f>IFERROR(__xludf.DUMMYFUNCTION("split(E60,"";"",FALSE)"),"Konrads et al., 2016")</f>
        <v>Konrads et al., 2016</v>
      </c>
      <c r="G60" s="4" t="str">
        <f>IFERROR(__xludf.DUMMYFUNCTION("""COMPUTED_VALUE""")," HT")</f>
        <v> HT</v>
      </c>
      <c r="H60" s="4">
        <f>IFERROR(__xludf.DUMMYFUNCTION("""COMPUTED_VALUE"""),23.0)</f>
        <v>23</v>
      </c>
      <c r="J60" s="4" t="s">
        <v>88</v>
      </c>
      <c r="K60" s="4" t="s">
        <v>95</v>
      </c>
      <c r="L60" s="4">
        <v>23.0</v>
      </c>
    </row>
    <row r="61">
      <c r="A61" s="14" t="str">
        <f t="shared" si="13"/>
        <v>Butt et al., 2024</v>
      </c>
      <c r="B61" s="18" t="s">
        <v>84</v>
      </c>
      <c r="C61" s="18">
        <v>30.0</v>
      </c>
      <c r="D61" s="4" t="str">
        <f>IFERROR(__xludf.DUMMYFUNCTION("join(""; "",A61:C61)"),"Butt et al., 2024; HT; 30")</f>
        <v>Butt et al., 2024; HT; 30</v>
      </c>
      <c r="E61" s="4" t="s">
        <v>244</v>
      </c>
      <c r="F61" s="4" t="str">
        <f>IFERROR(__xludf.DUMMYFUNCTION("split(E61,"";"",FALSE)"),"Laoruengthana et al., 2009")</f>
        <v>Laoruengthana et al., 2009</v>
      </c>
      <c r="G61" s="4" t="str">
        <f>IFERROR(__xludf.DUMMYFUNCTION("""COMPUTED_VALUE""")," BPTB")</f>
        <v> BPTB</v>
      </c>
      <c r="H61" s="4">
        <f>IFERROR(__xludf.DUMMYFUNCTION("""COMPUTED_VALUE"""),15.0)</f>
        <v>15</v>
      </c>
      <c r="J61" s="4" t="s">
        <v>90</v>
      </c>
      <c r="K61" s="4" t="s">
        <v>80</v>
      </c>
      <c r="L61" s="4">
        <v>15.0</v>
      </c>
    </row>
    <row r="62">
      <c r="A62" s="14" t="str">
        <f t="shared" si="13"/>
        <v>Butt et al., 2024</v>
      </c>
      <c r="B62" s="18" t="s">
        <v>186</v>
      </c>
      <c r="C62" s="18">
        <v>30.0</v>
      </c>
      <c r="D62" s="4" t="str">
        <f>IFERROR(__xludf.DUMMYFUNCTION("join(""; "",A62:C62)"),"Butt et al., 2024; PLT; 30")</f>
        <v>Butt et al., 2024; PLT; 30</v>
      </c>
      <c r="E62" s="4" t="s">
        <v>245</v>
      </c>
      <c r="F62" s="4" t="str">
        <f>IFERROR(__xludf.DUMMYFUNCTION("split(E62,"";"",FALSE)"),"Laoruengthana et al., 2009")</f>
        <v>Laoruengthana et al., 2009</v>
      </c>
      <c r="G62" s="4" t="str">
        <f>IFERROR(__xludf.DUMMYFUNCTION("""COMPUTED_VALUE""")," HT")</f>
        <v> HT</v>
      </c>
      <c r="H62" s="4">
        <f>IFERROR(__xludf.DUMMYFUNCTION("""COMPUTED_VALUE"""),13.0)</f>
        <v>13</v>
      </c>
      <c r="J62" s="4" t="s">
        <v>90</v>
      </c>
      <c r="K62" s="4" t="s">
        <v>95</v>
      </c>
      <c r="L62" s="4">
        <v>13.0</v>
      </c>
    </row>
    <row r="63">
      <c r="A63" s="14" t="str">
        <f t="shared" si="13"/>
        <v>Butt et al., 2024</v>
      </c>
      <c r="B63" s="18" t="s">
        <v>186</v>
      </c>
      <c r="C63" s="18">
        <v>30.0</v>
      </c>
      <c r="D63" s="4" t="str">
        <f>IFERROR(__xludf.DUMMYFUNCTION("join(""; "",A63:C63)"),"Butt et al., 2024; PLT; 30")</f>
        <v>Butt et al., 2024; PLT; 30</v>
      </c>
      <c r="E63" s="4" t="s">
        <v>247</v>
      </c>
      <c r="F63" s="4" t="str">
        <f>IFERROR(__xludf.DUMMYFUNCTION("split(E63,"";"",FALSE)"),"Lawhorn et al., 2012")</f>
        <v>Lawhorn et al., 2012</v>
      </c>
      <c r="G63" s="4" t="str">
        <f>IFERROR(__xludf.DUMMYFUNCTION("""COMPUTED_VALUE""")," HT")</f>
        <v> HT</v>
      </c>
      <c r="H63" s="4">
        <f>IFERROR(__xludf.DUMMYFUNCTION("""COMPUTED_VALUE"""),48.0)</f>
        <v>48</v>
      </c>
      <c r="J63" s="4" t="s">
        <v>91</v>
      </c>
      <c r="K63" s="4" t="s">
        <v>95</v>
      </c>
      <c r="L63" s="4">
        <v>48.0</v>
      </c>
    </row>
    <row r="64">
      <c r="A64" s="14" t="str">
        <f t="shared" ref="A64:A67" si="14">HYPERLINK("https://github.com/d-wkim/phd/blob/main/data/pdf/calvert_2025.pdf","Calvert et al., 2025")</f>
        <v>Calvert et al., 2025</v>
      </c>
      <c r="B64" s="18" t="s">
        <v>84</v>
      </c>
      <c r="C64" s="18">
        <v>92.0</v>
      </c>
      <c r="D64" s="4" t="str">
        <f>IFERROR(__xludf.DUMMYFUNCTION("join(""; "",A64:C64)"),"Calvert et al., 2025; HT; 92")</f>
        <v>Calvert et al., 2025; HT; 92</v>
      </c>
      <c r="E64" s="4" t="s">
        <v>248</v>
      </c>
      <c r="F64" s="4" t="str">
        <f>IFERROR(__xludf.DUMMYFUNCTION("split(E64,"";"",FALSE)"),"Lawhorn et al., 2012")</f>
        <v>Lawhorn et al., 2012</v>
      </c>
      <c r="G64" s="4" t="str">
        <f>IFERROR(__xludf.DUMMYFUNCTION("""COMPUTED_VALUE""")," TA")</f>
        <v> TA</v>
      </c>
      <c r="H64" s="4">
        <f>IFERROR(__xludf.DUMMYFUNCTION("""COMPUTED_VALUE"""),44.0)</f>
        <v>44</v>
      </c>
      <c r="J64" s="4" t="s">
        <v>91</v>
      </c>
      <c r="K64" s="4" t="s">
        <v>191</v>
      </c>
      <c r="L64" s="4">
        <v>44.0</v>
      </c>
    </row>
    <row r="65">
      <c r="A65" s="14" t="str">
        <f t="shared" si="14"/>
        <v>Calvert et al., 2025</v>
      </c>
      <c r="B65" s="18" t="s">
        <v>84</v>
      </c>
      <c r="C65" s="18">
        <v>92.0</v>
      </c>
      <c r="D65" s="4" t="str">
        <f>IFERROR(__xludf.DUMMYFUNCTION("join(""; "",A65:C65)"),"Calvert et al., 2025; HT; 92")</f>
        <v>Calvert et al., 2025; HT; 92</v>
      </c>
      <c r="E65" s="4" t="s">
        <v>249</v>
      </c>
      <c r="F65" s="4" t="str">
        <f>IFERROR(__xludf.DUMMYFUNCTION("split(E65,"";"",FALSE)"),"Laxdal et al., 2005")</f>
        <v>Laxdal et al., 2005</v>
      </c>
      <c r="G65" s="4" t="str">
        <f>IFERROR(__xludf.DUMMYFUNCTION("""COMPUTED_VALUE""")," BPTB")</f>
        <v> BPTB</v>
      </c>
      <c r="H65" s="4">
        <f>IFERROR(__xludf.DUMMYFUNCTION("""COMPUTED_VALUE"""),40.0)</f>
        <v>40</v>
      </c>
      <c r="J65" s="4" t="s">
        <v>93</v>
      </c>
      <c r="K65" s="4" t="s">
        <v>80</v>
      </c>
      <c r="L65" s="4">
        <v>40.0</v>
      </c>
    </row>
    <row r="66">
      <c r="A66" s="14" t="str">
        <f t="shared" si="14"/>
        <v>Calvert et al., 2025</v>
      </c>
      <c r="B66" s="18" t="s">
        <v>200</v>
      </c>
      <c r="C66" s="18">
        <v>89.0</v>
      </c>
      <c r="D66" s="4" t="str">
        <f>IFERROR(__xludf.DUMMYFUNCTION("join(""; "",A66:C66)"),"Calvert et al., 2025; QT; 89")</f>
        <v>Calvert et al., 2025; QT; 89</v>
      </c>
      <c r="E66" s="4" t="s">
        <v>250</v>
      </c>
      <c r="F66" s="4" t="str">
        <f>IFERROR(__xludf.DUMMYFUNCTION("split(E66,"";"",FALSE)"),"Laxdal et al., 2005")</f>
        <v>Laxdal et al., 2005</v>
      </c>
      <c r="G66" s="4" t="str">
        <f>IFERROR(__xludf.DUMMYFUNCTION("""COMPUTED_VALUE""")," HT")</f>
        <v> HT</v>
      </c>
      <c r="H66" s="4">
        <f>IFERROR(__xludf.DUMMYFUNCTION("""COMPUTED_VALUE"""),78.0)</f>
        <v>78</v>
      </c>
      <c r="J66" s="4" t="s">
        <v>93</v>
      </c>
      <c r="K66" s="4" t="s">
        <v>95</v>
      </c>
      <c r="L66" s="4">
        <v>78.0</v>
      </c>
    </row>
    <row r="67">
      <c r="A67" s="14" t="str">
        <f t="shared" si="14"/>
        <v>Calvert et al., 2025</v>
      </c>
      <c r="B67" s="18" t="s">
        <v>200</v>
      </c>
      <c r="C67" s="18">
        <v>89.0</v>
      </c>
      <c r="D67" s="4" t="str">
        <f>IFERROR(__xludf.DUMMYFUNCTION("join(""; "",A67:C67)"),"Calvert et al., 2025; QT; 89")</f>
        <v>Calvert et al., 2025; QT; 89</v>
      </c>
      <c r="E67" s="4" t="s">
        <v>251</v>
      </c>
      <c r="F67" s="4" t="str">
        <f>IFERROR(__xludf.DUMMYFUNCTION("split(E67,"";"",FALSE)"),"Li et al., 2015")</f>
        <v>Li et al., 2015</v>
      </c>
      <c r="G67" s="4" t="str">
        <f>IFERROR(__xludf.DUMMYFUNCTION("""COMPUTED_VALUE""")," HT")</f>
        <v> HT</v>
      </c>
      <c r="H67" s="4">
        <f>IFERROR(__xludf.DUMMYFUNCTION("""COMPUTED_VALUE"""),32.0)</f>
        <v>32</v>
      </c>
      <c r="J67" s="4" t="s">
        <v>96</v>
      </c>
      <c r="K67" s="4" t="s">
        <v>95</v>
      </c>
      <c r="L67" s="4">
        <v>32.0</v>
      </c>
    </row>
    <row r="68">
      <c r="A68" s="14" t="str">
        <f t="shared" ref="A68:A75" si="15">HYPERLINK("https://github.com/d-wkim/phd/blob/main/data/pdf/ejerhed_2003.pdf","Ejerhed et al., 2003")</f>
        <v>Ejerhed et al., 2003</v>
      </c>
      <c r="B68" s="18" t="s">
        <v>42</v>
      </c>
      <c r="C68" s="18">
        <v>32.0</v>
      </c>
      <c r="D68" s="4" t="str">
        <f>IFERROR(__xludf.DUMMYFUNCTION("join(""; "",A68:C68)"),"Ejerhed et al., 2003; BPTB; 32")</f>
        <v>Ejerhed et al., 2003; BPTB; 32</v>
      </c>
      <c r="E68" s="4" t="s">
        <v>253</v>
      </c>
      <c r="F68" s="4" t="str">
        <f>IFERROR(__xludf.DUMMYFUNCTION("split(E68,"";"",FALSE)"),"Li et al., 2015")</f>
        <v>Li et al., 2015</v>
      </c>
      <c r="G68" s="4" t="str">
        <f>IFERROR(__xludf.DUMMYFUNCTION("""COMPUTED_VALUE""")," TA")</f>
        <v> TA</v>
      </c>
      <c r="H68" s="4">
        <f>IFERROR(__xludf.DUMMYFUNCTION("""COMPUTED_VALUE"""),32.0)</f>
        <v>32</v>
      </c>
      <c r="J68" s="4" t="s">
        <v>96</v>
      </c>
      <c r="K68" s="4" t="s">
        <v>191</v>
      </c>
      <c r="L68" s="4">
        <v>32.0</v>
      </c>
    </row>
    <row r="69">
      <c r="A69" s="14" t="str">
        <f t="shared" si="15"/>
        <v>Ejerhed et al., 2003</v>
      </c>
      <c r="B69" s="18" t="s">
        <v>42</v>
      </c>
      <c r="C69" s="18">
        <v>32.0</v>
      </c>
      <c r="D69" s="4" t="str">
        <f>IFERROR(__xludf.DUMMYFUNCTION("join(""; "",A69:C69)"),"Ejerhed et al., 2003; BPTB; 32")</f>
        <v>Ejerhed et al., 2003; BPTB; 32</v>
      </c>
      <c r="E69" s="4" t="s">
        <v>254</v>
      </c>
      <c r="F69" s="4" t="str">
        <f>IFERROR(__xludf.DUMMYFUNCTION("split(E69,"";"",FALSE)"),"Lidén et al., 2007")</f>
        <v>Lidén et al., 2007</v>
      </c>
      <c r="G69" s="4" t="str">
        <f>IFERROR(__xludf.DUMMYFUNCTION("""COMPUTED_VALUE""")," BPTB")</f>
        <v> BPTB</v>
      </c>
      <c r="H69" s="4">
        <f>IFERROR(__xludf.DUMMYFUNCTION("""COMPUTED_VALUE"""),30.0)</f>
        <v>30</v>
      </c>
      <c r="J69" s="4" t="s">
        <v>98</v>
      </c>
      <c r="K69" s="4" t="s">
        <v>80</v>
      </c>
      <c r="L69" s="4">
        <v>30.0</v>
      </c>
    </row>
    <row r="70">
      <c r="A70" s="14" t="str">
        <f t="shared" si="15"/>
        <v>Ejerhed et al., 2003</v>
      </c>
      <c r="B70" s="18" t="s">
        <v>42</v>
      </c>
      <c r="C70" s="18">
        <v>32.0</v>
      </c>
      <c r="D70" s="4" t="str">
        <f>IFERROR(__xludf.DUMMYFUNCTION("join(""; "",A70:C70)"),"Ejerhed et al., 2003; BPTB; 32")</f>
        <v>Ejerhed et al., 2003; BPTB; 32</v>
      </c>
      <c r="E70" s="4" t="s">
        <v>256</v>
      </c>
      <c r="F70" s="4" t="str">
        <f>IFERROR(__xludf.DUMMYFUNCTION("split(E70,"";"",FALSE)"),"Lidén et al., 2007")</f>
        <v>Lidén et al., 2007</v>
      </c>
      <c r="G70" s="4" t="str">
        <f>IFERROR(__xludf.DUMMYFUNCTION("""COMPUTED_VALUE""")," HT")</f>
        <v> HT</v>
      </c>
      <c r="H70" s="4">
        <f>IFERROR(__xludf.DUMMYFUNCTION("""COMPUTED_VALUE"""),32.0)</f>
        <v>32</v>
      </c>
      <c r="J70" s="4" t="s">
        <v>98</v>
      </c>
      <c r="K70" s="4" t="s">
        <v>95</v>
      </c>
      <c r="L70" s="4">
        <v>32.0</v>
      </c>
    </row>
    <row r="71">
      <c r="A71" s="14" t="str">
        <f t="shared" si="15"/>
        <v>Ejerhed et al., 2003</v>
      </c>
      <c r="B71" s="18" t="s">
        <v>42</v>
      </c>
      <c r="C71" s="18">
        <v>32.0</v>
      </c>
      <c r="D71" s="4" t="str">
        <f>IFERROR(__xludf.DUMMYFUNCTION("join(""; "",A71:C71)"),"Ejerhed et al., 2003; BPTB; 32")</f>
        <v>Ejerhed et al., 2003; BPTB; 32</v>
      </c>
      <c r="E71" s="4" t="s">
        <v>257</v>
      </c>
      <c r="F71" s="4" t="str">
        <f>IFERROR(__xludf.DUMMYFUNCTION("split(E71,"";"",FALSE)"),"Lind et al., 2020")</f>
        <v>Lind et al., 2020</v>
      </c>
      <c r="G71" s="4" t="str">
        <f>IFERROR(__xludf.DUMMYFUNCTION("""COMPUTED_VALUE""")," HT")</f>
        <v> HT</v>
      </c>
      <c r="H71" s="4">
        <f>IFERROR(__xludf.DUMMYFUNCTION("""COMPUTED_VALUE"""),49.0)</f>
        <v>49</v>
      </c>
      <c r="J71" s="4" t="s">
        <v>102</v>
      </c>
      <c r="K71" s="4" t="s">
        <v>95</v>
      </c>
      <c r="L71" s="4">
        <v>49.0</v>
      </c>
    </row>
    <row r="72">
      <c r="A72" s="14" t="str">
        <f t="shared" si="15"/>
        <v>Ejerhed et al., 2003</v>
      </c>
      <c r="B72" s="18" t="s">
        <v>84</v>
      </c>
      <c r="C72" s="18">
        <v>34.0</v>
      </c>
      <c r="D72" s="4" t="str">
        <f>IFERROR(__xludf.DUMMYFUNCTION("join(""; "",A72:C72)"),"Ejerhed et al., 2003; HT; 34")</f>
        <v>Ejerhed et al., 2003; HT; 34</v>
      </c>
      <c r="E72" s="4" t="s">
        <v>258</v>
      </c>
      <c r="F72" s="4" t="str">
        <f>IFERROR(__xludf.DUMMYFUNCTION("split(E72,"";"",FALSE)"),"Lind et al., 2020")</f>
        <v>Lind et al., 2020</v>
      </c>
      <c r="G72" s="4" t="str">
        <f>IFERROR(__xludf.DUMMYFUNCTION("""COMPUTED_VALUE""")," QT")</f>
        <v> QT</v>
      </c>
      <c r="H72" s="4">
        <f>IFERROR(__xludf.DUMMYFUNCTION("""COMPUTED_VALUE"""),47.0)</f>
        <v>47</v>
      </c>
      <c r="J72" s="4" t="s">
        <v>102</v>
      </c>
      <c r="K72" s="4" t="s">
        <v>164</v>
      </c>
      <c r="L72" s="4">
        <v>47.0</v>
      </c>
    </row>
    <row r="73">
      <c r="A73" s="14" t="str">
        <f t="shared" si="15"/>
        <v>Ejerhed et al., 2003</v>
      </c>
      <c r="B73" s="18" t="s">
        <v>84</v>
      </c>
      <c r="C73" s="18">
        <v>34.0</v>
      </c>
      <c r="D73" s="4" t="str">
        <f>IFERROR(__xludf.DUMMYFUNCTION("join(""; "",A73:C73)"),"Ejerhed et al., 2003; HT; 34")</f>
        <v>Ejerhed et al., 2003; HT; 34</v>
      </c>
      <c r="E73" s="4" t="s">
        <v>259</v>
      </c>
      <c r="F73" s="4" t="str">
        <f>IFERROR(__xludf.DUMMYFUNCTION("split(E73,"";"",FALSE)"),"Lucidi et al., 2025")</f>
        <v>Lucidi et al., 2025</v>
      </c>
      <c r="G73" s="4" t="str">
        <f>IFERROR(__xludf.DUMMYFUNCTION("""COMPUTED_VALUE""")," BPTB")</f>
        <v> BPTB</v>
      </c>
      <c r="H73" s="4">
        <f>IFERROR(__xludf.DUMMYFUNCTION("""COMPUTED_VALUE"""),19.0)</f>
        <v>19</v>
      </c>
      <c r="J73" s="4" t="s">
        <v>104</v>
      </c>
      <c r="K73" s="4" t="s">
        <v>80</v>
      </c>
      <c r="L73" s="4">
        <v>19.0</v>
      </c>
    </row>
    <row r="74">
      <c r="A74" s="14" t="str">
        <f t="shared" si="15"/>
        <v>Ejerhed et al., 2003</v>
      </c>
      <c r="B74" s="18" t="s">
        <v>84</v>
      </c>
      <c r="C74" s="18">
        <v>34.0</v>
      </c>
      <c r="D74" s="4" t="str">
        <f>IFERROR(__xludf.DUMMYFUNCTION("join(""; "",A74:C74)"),"Ejerhed et al., 2003; HT; 34")</f>
        <v>Ejerhed et al., 2003; HT; 34</v>
      </c>
      <c r="E74" s="4" t="s">
        <v>261</v>
      </c>
      <c r="F74" s="4" t="str">
        <f>IFERROR(__xludf.DUMMYFUNCTION("split(E74,"";"",FALSE)"),"Lucidi et al., 2025")</f>
        <v>Lucidi et al., 2025</v>
      </c>
      <c r="G74" s="4" t="str">
        <f>IFERROR(__xludf.DUMMYFUNCTION("""COMPUTED_VALUE""")," HT")</f>
        <v> HT</v>
      </c>
      <c r="H74" s="4">
        <f>IFERROR(__xludf.DUMMYFUNCTION("""COMPUTED_VALUE"""),20.0)</f>
        <v>20</v>
      </c>
      <c r="J74" s="4" t="s">
        <v>104</v>
      </c>
      <c r="K74" s="4" t="s">
        <v>95</v>
      </c>
      <c r="L74" s="4">
        <v>20.0</v>
      </c>
    </row>
    <row r="75">
      <c r="A75" s="14" t="str">
        <f t="shared" si="15"/>
        <v>Ejerhed et al., 2003</v>
      </c>
      <c r="B75" s="18" t="s">
        <v>84</v>
      </c>
      <c r="C75" s="18">
        <v>34.0</v>
      </c>
      <c r="D75" s="4" t="str">
        <f>IFERROR(__xludf.DUMMYFUNCTION("join(""; "",A75:C75)"),"Ejerhed et al., 2003; HT; 34")</f>
        <v>Ejerhed et al., 2003; HT; 34</v>
      </c>
      <c r="E75" s="4" t="s">
        <v>262</v>
      </c>
      <c r="F75" s="4" t="str">
        <f>IFERROR(__xludf.DUMMYFUNCTION("split(E75,"";"",FALSE)"),"Lui et al., 2012")</f>
        <v>Lui et al., 2012</v>
      </c>
      <c r="G75" s="4" t="str">
        <f>IFERROR(__xludf.DUMMYFUNCTION("""COMPUTED_VALUE""")," BPTB")</f>
        <v> BPTB</v>
      </c>
      <c r="H75" s="4">
        <f>IFERROR(__xludf.DUMMYFUNCTION("""COMPUTED_VALUE"""),14.0)</f>
        <v>14</v>
      </c>
      <c r="J75" s="4" t="s">
        <v>106</v>
      </c>
      <c r="K75" s="4" t="s">
        <v>80</v>
      </c>
      <c r="L75" s="4">
        <v>14.0</v>
      </c>
    </row>
    <row r="76">
      <c r="A76" s="14" t="str">
        <f t="shared" ref="A76:A79" si="16">HYPERLINK("https://github.com/d-wkim/phd/blob/main/data/pdf/eriksson_2006.pdf","Eriksson et al., 2001")</f>
        <v>Eriksson et al., 2001</v>
      </c>
      <c r="B76" s="18" t="s">
        <v>42</v>
      </c>
      <c r="C76" s="18">
        <v>42.0</v>
      </c>
      <c r="D76" s="4" t="str">
        <f>IFERROR(__xludf.DUMMYFUNCTION("join(""; "",A76:C76)"),"Eriksson et al., 2001; BPTB; 42")</f>
        <v>Eriksson et al., 2001; BPTB; 42</v>
      </c>
      <c r="E76" s="4" t="s">
        <v>263</v>
      </c>
      <c r="F76" s="4" t="str">
        <f>IFERROR(__xludf.DUMMYFUNCTION("split(E76,"";"",FALSE)"),"Lui et al., 2012")</f>
        <v>Lui et al., 2012</v>
      </c>
      <c r="G76" s="4" t="str">
        <f>IFERROR(__xludf.DUMMYFUNCTION("""COMPUTED_VALUE""")," HT")</f>
        <v> HT</v>
      </c>
      <c r="H76" s="4">
        <f>IFERROR(__xludf.DUMMYFUNCTION("""COMPUTED_VALUE"""),17.0)</f>
        <v>17</v>
      </c>
      <c r="J76" s="4" t="s">
        <v>106</v>
      </c>
      <c r="K76" s="4" t="s">
        <v>95</v>
      </c>
      <c r="L76" s="4">
        <v>17.0</v>
      </c>
    </row>
    <row r="77">
      <c r="A77" s="14" t="str">
        <f t="shared" si="16"/>
        <v>Eriksson et al., 2001</v>
      </c>
      <c r="B77" s="18" t="s">
        <v>42</v>
      </c>
      <c r="C77" s="18">
        <v>42.0</v>
      </c>
      <c r="D77" s="4" t="str">
        <f>IFERROR(__xludf.DUMMYFUNCTION("join(""; "",A77:C77)"),"Eriksson et al., 2001; BPTB; 42")</f>
        <v>Eriksson et al., 2001; BPTB; 42</v>
      </c>
      <c r="E77" s="4" t="s">
        <v>264</v>
      </c>
      <c r="F77" s="4" t="str">
        <f>IFERROR(__xludf.DUMMYFUNCTION("split(E77,"";"",FALSE)"),"Lund et al., 2014")</f>
        <v>Lund et al., 2014</v>
      </c>
      <c r="G77" s="4" t="str">
        <f>IFERROR(__xludf.DUMMYFUNCTION("""COMPUTED_VALUE""")," BPTB")</f>
        <v> BPTB</v>
      </c>
      <c r="H77" s="4">
        <f>IFERROR(__xludf.DUMMYFUNCTION("""COMPUTED_VALUE"""),18.0)</f>
        <v>18</v>
      </c>
      <c r="J77" s="4" t="s">
        <v>110</v>
      </c>
      <c r="K77" s="4" t="s">
        <v>80</v>
      </c>
      <c r="L77" s="4">
        <v>18.0</v>
      </c>
    </row>
    <row r="78">
      <c r="A78" s="14" t="str">
        <f t="shared" si="16"/>
        <v>Eriksson et al., 2001</v>
      </c>
      <c r="B78" s="18" t="s">
        <v>84</v>
      </c>
      <c r="C78" s="18">
        <v>47.0</v>
      </c>
      <c r="D78" s="4" t="str">
        <f>IFERROR(__xludf.DUMMYFUNCTION("join(""; "",A78:C78)"),"Eriksson et al., 2001; HT; 47")</f>
        <v>Eriksson et al., 2001; HT; 47</v>
      </c>
      <c r="E78" s="4" t="s">
        <v>265</v>
      </c>
      <c r="F78" s="4" t="str">
        <f>IFERROR(__xludf.DUMMYFUNCTION("split(E78,"";"",FALSE)"),"Lund et al., 2014")</f>
        <v>Lund et al., 2014</v>
      </c>
      <c r="G78" s="4" t="str">
        <f>IFERROR(__xludf.DUMMYFUNCTION("""COMPUTED_VALUE""")," QT")</f>
        <v> QT</v>
      </c>
      <c r="H78" s="4">
        <f>IFERROR(__xludf.DUMMYFUNCTION("""COMPUTED_VALUE"""),21.0)</f>
        <v>21</v>
      </c>
      <c r="J78" s="4" t="s">
        <v>110</v>
      </c>
      <c r="K78" s="4" t="s">
        <v>164</v>
      </c>
      <c r="L78" s="4">
        <v>21.0</v>
      </c>
    </row>
    <row r="79">
      <c r="A79" s="14" t="str">
        <f t="shared" si="16"/>
        <v>Eriksson et al., 2001</v>
      </c>
      <c r="B79" s="18" t="s">
        <v>84</v>
      </c>
      <c r="C79" s="18">
        <v>47.0</v>
      </c>
      <c r="D79" s="4" t="str">
        <f>IFERROR(__xludf.DUMMYFUNCTION("join(""; "",A79:C79)"),"Eriksson et al., 2001; HT; 47")</f>
        <v>Eriksson et al., 2001; HT; 47</v>
      </c>
      <c r="E79" s="4" t="s">
        <v>266</v>
      </c>
      <c r="F79" s="4" t="str">
        <f>IFERROR(__xludf.DUMMYFUNCTION("split(E79,"";"",FALSE)"),"Malik et al., 2026")</f>
        <v>Malik et al., 2026</v>
      </c>
      <c r="G79" s="4" t="str">
        <f>IFERROR(__xludf.DUMMYFUNCTION("""COMPUTED_VALUE""")," HT")</f>
        <v> HT</v>
      </c>
      <c r="H79" s="4">
        <f>IFERROR(__xludf.DUMMYFUNCTION("""COMPUTED_VALUE"""),25.0)</f>
        <v>25</v>
      </c>
      <c r="J79" s="4" t="s">
        <v>112</v>
      </c>
      <c r="K79" s="4" t="s">
        <v>95</v>
      </c>
      <c r="L79" s="4">
        <v>25.0</v>
      </c>
    </row>
    <row r="80">
      <c r="A80" s="14" t="str">
        <f t="shared" ref="A80:A85" si="17">HYPERLINK("https://github.com/d-wkim/phd/blob/main/data/pdf/feller_webster_2003.pdf","Feller &amp; Webster, 2003")</f>
        <v>Feller &amp; Webster, 2003</v>
      </c>
      <c r="B80" s="18" t="s">
        <v>42</v>
      </c>
      <c r="C80" s="18">
        <v>27.0</v>
      </c>
      <c r="D80" s="4" t="str">
        <f>IFERROR(__xludf.DUMMYFUNCTION("join(""; "",A80:C80)"),"Feller &amp; Webster, 2003; BPTB; 27")</f>
        <v>Feller &amp; Webster, 2003; BPTB; 27</v>
      </c>
      <c r="E80" s="4" t="s">
        <v>267</v>
      </c>
      <c r="F80" s="4" t="str">
        <f>IFERROR(__xludf.DUMMYFUNCTION("split(E80,"";"",FALSE)"),"Malik et al., 2026")</f>
        <v>Malik et al., 2026</v>
      </c>
      <c r="G80" s="4" t="str">
        <f>IFERROR(__xludf.DUMMYFUNCTION("""COMPUTED_VALUE""")," PLT")</f>
        <v> PLT</v>
      </c>
      <c r="H80" s="4">
        <f>IFERROR(__xludf.DUMMYFUNCTION("""COMPUTED_VALUE"""),25.0)</f>
        <v>25</v>
      </c>
      <c r="J80" s="4" t="s">
        <v>112</v>
      </c>
      <c r="K80" s="4" t="s">
        <v>185</v>
      </c>
      <c r="L80" s="4">
        <v>25.0</v>
      </c>
    </row>
    <row r="81">
      <c r="A81" s="14" t="str">
        <f t="shared" si="17"/>
        <v>Feller &amp; Webster, 2003</v>
      </c>
      <c r="B81" s="18" t="s">
        <v>42</v>
      </c>
      <c r="C81" s="18">
        <v>27.0</v>
      </c>
      <c r="D81" s="4" t="str">
        <f>IFERROR(__xludf.DUMMYFUNCTION("join(""; "",A81:C81)"),"Feller &amp; Webster, 2003; BPTB; 27")</f>
        <v>Feller &amp; Webster, 2003; BPTB; 27</v>
      </c>
      <c r="E81" s="4" t="s">
        <v>268</v>
      </c>
      <c r="F81" s="4" t="str">
        <f>IFERROR(__xludf.DUMMYFUNCTION("split(E81,"";"",FALSE)"),"Matsumoto et al., 2006")</f>
        <v>Matsumoto et al., 2006</v>
      </c>
      <c r="G81" s="4" t="str">
        <f>IFERROR(__xludf.DUMMYFUNCTION("""COMPUTED_VALUE""")," BPTB")</f>
        <v> BPTB</v>
      </c>
      <c r="H81" s="4">
        <f>IFERROR(__xludf.DUMMYFUNCTION("""COMPUTED_VALUE"""),37.0)</f>
        <v>37</v>
      </c>
      <c r="J81" s="4" t="s">
        <v>114</v>
      </c>
      <c r="K81" s="4" t="s">
        <v>80</v>
      </c>
      <c r="L81" s="4">
        <v>37.0</v>
      </c>
    </row>
    <row r="82">
      <c r="A82" s="14" t="str">
        <f t="shared" si="17"/>
        <v>Feller &amp; Webster, 2003</v>
      </c>
      <c r="B82" s="18" t="s">
        <v>42</v>
      </c>
      <c r="C82" s="18">
        <v>27.0</v>
      </c>
      <c r="D82" s="4" t="str">
        <f>IFERROR(__xludf.DUMMYFUNCTION("join(""; "",A82:C82)"),"Feller &amp; Webster, 2003; BPTB; 27")</f>
        <v>Feller &amp; Webster, 2003; BPTB; 27</v>
      </c>
      <c r="E82" s="4" t="s">
        <v>269</v>
      </c>
      <c r="F82" s="4" t="str">
        <f>IFERROR(__xludf.DUMMYFUNCTION("split(E82,"";"",FALSE)"),"Matsumoto et al., 2006")</f>
        <v>Matsumoto et al., 2006</v>
      </c>
      <c r="G82" s="4" t="str">
        <f>IFERROR(__xludf.DUMMYFUNCTION("""COMPUTED_VALUE""")," HT")</f>
        <v> HT</v>
      </c>
      <c r="H82" s="4">
        <f>IFERROR(__xludf.DUMMYFUNCTION("""COMPUTED_VALUE"""),35.0)</f>
        <v>35</v>
      </c>
      <c r="J82" s="4" t="s">
        <v>114</v>
      </c>
      <c r="K82" s="4" t="s">
        <v>95</v>
      </c>
      <c r="L82" s="4">
        <v>35.0</v>
      </c>
    </row>
    <row r="83">
      <c r="A83" s="14" t="str">
        <f t="shared" si="17"/>
        <v>Feller &amp; Webster, 2003</v>
      </c>
      <c r="B83" s="18" t="s">
        <v>84</v>
      </c>
      <c r="C83" s="18">
        <v>21.0</v>
      </c>
      <c r="D83" s="4" t="str">
        <f>IFERROR(__xludf.DUMMYFUNCTION("join(""; "",A83:C83)"),"Feller &amp; Webster, 2003; HT; 21")</f>
        <v>Feller &amp; Webster, 2003; HT; 21</v>
      </c>
      <c r="E83" s="4" t="s">
        <v>270</v>
      </c>
      <c r="F83" s="4" t="str">
        <f>IFERROR(__xludf.DUMMYFUNCTION("split(E83,"";"",FALSE)"),"Mohtadi et al., 2016")</f>
        <v>Mohtadi et al., 2016</v>
      </c>
      <c r="G83" s="4" t="str">
        <f>IFERROR(__xludf.DUMMYFUNCTION("""COMPUTED_VALUE""")," BPTB")</f>
        <v> BPTB</v>
      </c>
      <c r="H83" s="4">
        <f>IFERROR(__xludf.DUMMYFUNCTION("""COMPUTED_VALUE"""),110.0)</f>
        <v>110</v>
      </c>
      <c r="J83" s="4" t="s">
        <v>116</v>
      </c>
      <c r="K83" s="4" t="s">
        <v>80</v>
      </c>
      <c r="L83" s="4">
        <v>110.0</v>
      </c>
    </row>
    <row r="84">
      <c r="A84" s="14" t="str">
        <f t="shared" si="17"/>
        <v>Feller &amp; Webster, 2003</v>
      </c>
      <c r="B84" s="18" t="s">
        <v>84</v>
      </c>
      <c r="C84" s="18">
        <v>21.0</v>
      </c>
      <c r="D84" s="4" t="str">
        <f>IFERROR(__xludf.DUMMYFUNCTION("join(""; "",A84:C84)"),"Feller &amp; Webster, 2003; HT; 21")</f>
        <v>Feller &amp; Webster, 2003; HT; 21</v>
      </c>
      <c r="E84" s="4" t="s">
        <v>271</v>
      </c>
      <c r="F84" s="4" t="str">
        <f>IFERROR(__xludf.DUMMYFUNCTION("split(E84,"";"",FALSE)"),"Mohtadi et al., 2016")</f>
        <v>Mohtadi et al., 2016</v>
      </c>
      <c r="G84" s="4" t="str">
        <f>IFERROR(__xludf.DUMMYFUNCTION("""COMPUTED_VALUE""")," HT")</f>
        <v> HT</v>
      </c>
      <c r="H84" s="4">
        <f>IFERROR(__xludf.DUMMYFUNCTION("""COMPUTED_VALUE"""),110.0)</f>
        <v>110</v>
      </c>
      <c r="J84" s="4" t="s">
        <v>116</v>
      </c>
      <c r="K84" s="4" t="s">
        <v>95</v>
      </c>
      <c r="L84" s="4">
        <v>110.0</v>
      </c>
    </row>
    <row r="85">
      <c r="A85" s="14" t="str">
        <f t="shared" si="17"/>
        <v>Feller &amp; Webster, 2003</v>
      </c>
      <c r="B85" s="18" t="s">
        <v>84</v>
      </c>
      <c r="C85" s="18">
        <v>21.0</v>
      </c>
      <c r="D85" s="4" t="str">
        <f>IFERROR(__xludf.DUMMYFUNCTION("join(""; "",A85:C85)"),"Feller &amp; Webster, 2003; HT; 21")</f>
        <v>Feller &amp; Webster, 2003; HT; 21</v>
      </c>
      <c r="E85" s="4" t="s">
        <v>272</v>
      </c>
      <c r="F85" s="4" t="str">
        <f>IFERROR(__xludf.DUMMYFUNCTION("split(E85,"";"",FALSE)"),"Moraiti et al., 2010")</f>
        <v>Moraiti et al., 2010</v>
      </c>
      <c r="G85" s="4" t="str">
        <f>IFERROR(__xludf.DUMMYFUNCTION("""COMPUTED_VALUE""")," BPTB")</f>
        <v> BPTB</v>
      </c>
      <c r="H85" s="4">
        <f>IFERROR(__xludf.DUMMYFUNCTION("""COMPUTED_VALUE"""),6.0)</f>
        <v>6</v>
      </c>
      <c r="J85" s="4" t="s">
        <v>119</v>
      </c>
      <c r="K85" s="4" t="s">
        <v>80</v>
      </c>
      <c r="L85" s="4">
        <v>6.0</v>
      </c>
    </row>
    <row r="86">
      <c r="A86" s="14" t="str">
        <f t="shared" ref="A86:A89" si="18">HYPERLINK("https://github.com/d-wkim/phd/blob/main/data/pdf/gifstad_2013.pdf","Gifstad et al., 2013")</f>
        <v>Gifstad et al., 2013</v>
      </c>
      <c r="B86" s="18" t="s">
        <v>42</v>
      </c>
      <c r="C86" s="18">
        <v>41.0</v>
      </c>
      <c r="D86" s="4" t="str">
        <f>IFERROR(__xludf.DUMMYFUNCTION("join(""; "",A86:C86)"),"Gifstad et al., 2013; BPTB; 41")</f>
        <v>Gifstad et al., 2013; BPTB; 41</v>
      </c>
      <c r="E86" s="4" t="s">
        <v>273</v>
      </c>
      <c r="F86" s="4" t="str">
        <f>IFERROR(__xludf.DUMMYFUNCTION("split(E86,"";"",FALSE)"),"Moraiti et al., 2010")</f>
        <v>Moraiti et al., 2010</v>
      </c>
      <c r="G86" s="4" t="str">
        <f>IFERROR(__xludf.DUMMYFUNCTION("""COMPUTED_VALUE""")," HT")</f>
        <v> HT</v>
      </c>
      <c r="H86" s="4">
        <f>IFERROR(__xludf.DUMMYFUNCTION("""COMPUTED_VALUE"""),6.0)</f>
        <v>6</v>
      </c>
      <c r="J86" s="4" t="s">
        <v>119</v>
      </c>
      <c r="K86" s="4" t="s">
        <v>95</v>
      </c>
      <c r="L86" s="4">
        <v>6.0</v>
      </c>
    </row>
    <row r="87">
      <c r="A87" s="14" t="str">
        <f t="shared" si="18"/>
        <v>Gifstad et al., 2013</v>
      </c>
      <c r="B87" s="18" t="s">
        <v>42</v>
      </c>
      <c r="C87" s="18">
        <v>41.0</v>
      </c>
      <c r="D87" s="4" t="str">
        <f>IFERROR(__xludf.DUMMYFUNCTION("join(""; "",A87:C87)"),"Gifstad et al., 2013; BPTB; 41")</f>
        <v>Gifstad et al., 2013; BPTB; 41</v>
      </c>
      <c r="E87" s="4" t="s">
        <v>274</v>
      </c>
      <c r="F87" s="4" t="str">
        <f>IFERROR(__xludf.DUMMYFUNCTION("split(E87,"";"",FALSE)"),"Noh et al., 2011")</f>
        <v>Noh et al., 2011</v>
      </c>
      <c r="G87" s="4" t="str">
        <f>IFERROR(__xludf.DUMMYFUNCTION("""COMPUTED_VALUE""")," HT")</f>
        <v> HT</v>
      </c>
      <c r="H87" s="4">
        <f>IFERROR(__xludf.DUMMYFUNCTION("""COMPUTED_VALUE"""),33.0)</f>
        <v>33</v>
      </c>
      <c r="J87" s="4" t="s">
        <v>121</v>
      </c>
      <c r="K87" s="4" t="s">
        <v>95</v>
      </c>
      <c r="L87" s="4">
        <v>33.0</v>
      </c>
    </row>
    <row r="88">
      <c r="A88" s="14" t="str">
        <f t="shared" si="18"/>
        <v>Gifstad et al., 2013</v>
      </c>
      <c r="B88" s="18" t="s">
        <v>84</v>
      </c>
      <c r="C88" s="18">
        <v>36.0</v>
      </c>
      <c r="D88" s="4" t="str">
        <f>IFERROR(__xludf.DUMMYFUNCTION("join(""; "",A88:C88)"),"Gifstad et al., 2013; HT; 36")</f>
        <v>Gifstad et al., 2013; HT; 36</v>
      </c>
      <c r="E88" s="4" t="s">
        <v>275</v>
      </c>
      <c r="F88" s="4" t="str">
        <f>IFERROR(__xludf.DUMMYFUNCTION("split(E88,"";"",FALSE)"),"Noh et al., 2011")</f>
        <v>Noh et al., 2011</v>
      </c>
      <c r="G88" s="4" t="str">
        <f>IFERROR(__xludf.DUMMYFUNCTION("""COMPUTED_VALUE""")," AT")</f>
        <v> AT</v>
      </c>
      <c r="H88" s="4">
        <f>IFERROR(__xludf.DUMMYFUNCTION("""COMPUTED_VALUE"""),32.0)</f>
        <v>32</v>
      </c>
      <c r="J88" s="4" t="s">
        <v>121</v>
      </c>
      <c r="K88" s="4" t="s">
        <v>276</v>
      </c>
      <c r="L88" s="4">
        <v>32.0</v>
      </c>
    </row>
    <row r="89">
      <c r="A89" s="14" t="str">
        <f t="shared" si="18"/>
        <v>Gifstad et al., 2013</v>
      </c>
      <c r="B89" s="18" t="s">
        <v>84</v>
      </c>
      <c r="C89" s="18">
        <v>36.0</v>
      </c>
      <c r="D89" s="4" t="str">
        <f>IFERROR(__xludf.DUMMYFUNCTION("join(""; "",A89:C89)"),"Gifstad et al., 2013; HT; 36")</f>
        <v>Gifstad et al., 2013; HT; 36</v>
      </c>
      <c r="E89" s="4" t="s">
        <v>277</v>
      </c>
      <c r="F89" s="4" t="str">
        <f>IFERROR(__xludf.DUMMYFUNCTION("split(E89,"";"",FALSE)"),"Papalia et al., 2015")</f>
        <v>Papalia et al., 2015</v>
      </c>
      <c r="G89" s="4" t="str">
        <f>IFERROR(__xludf.DUMMYFUNCTION("""COMPUTED_VALUE""")," BPTB")</f>
        <v> BPTB</v>
      </c>
      <c r="H89" s="4">
        <f>IFERROR(__xludf.DUMMYFUNCTION("""COMPUTED_VALUE"""),20.0)</f>
        <v>20</v>
      </c>
      <c r="J89" s="4" t="s">
        <v>123</v>
      </c>
      <c r="K89" s="4" t="s">
        <v>80</v>
      </c>
      <c r="L89" s="4">
        <v>20.0</v>
      </c>
    </row>
    <row r="90">
      <c r="A90" s="14" t="str">
        <f t="shared" ref="A90:A97" si="19">HYPERLINK("https://github.com/d-wkim/phd/blob/main/data/pdf/guglielmetti_2021.pdf","Guglielmetti et al., 2021")</f>
        <v>Guglielmetti et al., 2021</v>
      </c>
      <c r="B90" s="18" t="s">
        <v>42</v>
      </c>
      <c r="C90" s="18">
        <v>31.0</v>
      </c>
      <c r="D90" s="4" t="str">
        <f>IFERROR(__xludf.DUMMYFUNCTION("join(""; "",A90:C90)"),"Guglielmetti et al., 2021; BPTB; 31")</f>
        <v>Guglielmetti et al., 2021; BPTB; 31</v>
      </c>
      <c r="E90" s="4" t="s">
        <v>278</v>
      </c>
      <c r="F90" s="4" t="str">
        <f>IFERROR(__xludf.DUMMYFUNCTION("split(E90,"";"",FALSE)"),"Papalia et al., 2015")</f>
        <v>Papalia et al., 2015</v>
      </c>
      <c r="G90" s="4" t="str">
        <f>IFERROR(__xludf.DUMMYFUNCTION("""COMPUTED_VALUE""")," HT")</f>
        <v> HT</v>
      </c>
      <c r="H90" s="4">
        <f>IFERROR(__xludf.DUMMYFUNCTION("""COMPUTED_VALUE"""),20.0)</f>
        <v>20</v>
      </c>
      <c r="J90" s="4" t="s">
        <v>123</v>
      </c>
      <c r="K90" s="4" t="s">
        <v>95</v>
      </c>
      <c r="L90" s="4">
        <v>20.0</v>
      </c>
    </row>
    <row r="91">
      <c r="A91" s="14" t="str">
        <f t="shared" si="19"/>
        <v>Guglielmetti et al., 2021</v>
      </c>
      <c r="B91" s="18" t="s">
        <v>42</v>
      </c>
      <c r="C91" s="18">
        <v>31.0</v>
      </c>
      <c r="D91" s="4" t="str">
        <f>IFERROR(__xludf.DUMMYFUNCTION("join(""; "",A91:C91)"),"Guglielmetti et al., 2021; BPTB; 31")</f>
        <v>Guglielmetti et al., 2021; BPTB; 31</v>
      </c>
      <c r="E91" s="4" t="s">
        <v>279</v>
      </c>
      <c r="F91" s="4" t="str">
        <f>IFERROR(__xludf.DUMMYFUNCTION("split(E91,"";"",FALSE)"),"Pinczewski et al., 2007")</f>
        <v>Pinczewski et al., 2007</v>
      </c>
      <c r="G91" s="4" t="str">
        <f>IFERROR(__xludf.DUMMYFUNCTION("""COMPUTED_VALUE""")," BPTB")</f>
        <v> BPTB</v>
      </c>
      <c r="H91" s="4">
        <f>IFERROR(__xludf.DUMMYFUNCTION("""COMPUTED_VALUE"""),53.0)</f>
        <v>53</v>
      </c>
      <c r="J91" s="4" t="s">
        <v>125</v>
      </c>
      <c r="K91" s="4" t="s">
        <v>80</v>
      </c>
      <c r="L91" s="4">
        <v>53.0</v>
      </c>
    </row>
    <row r="92">
      <c r="A92" s="14" t="str">
        <f t="shared" si="19"/>
        <v>Guglielmetti et al., 2021</v>
      </c>
      <c r="B92" s="18" t="s">
        <v>42</v>
      </c>
      <c r="C92" s="18">
        <v>31.0</v>
      </c>
      <c r="D92" s="4" t="str">
        <f>IFERROR(__xludf.DUMMYFUNCTION("join(""; "",A92:C92)"),"Guglielmetti et al., 2021; BPTB; 31")</f>
        <v>Guglielmetti et al., 2021; BPTB; 31</v>
      </c>
      <c r="E92" s="4" t="s">
        <v>280</v>
      </c>
      <c r="F92" s="4" t="str">
        <f>IFERROR(__xludf.DUMMYFUNCTION("split(E92,"";"",FALSE)"),"Pinczewski et al., 2007")</f>
        <v>Pinczewski et al., 2007</v>
      </c>
      <c r="G92" s="4" t="str">
        <f>IFERROR(__xludf.DUMMYFUNCTION("""COMPUTED_VALUE""")," BPTB")</f>
        <v> BPTB</v>
      </c>
      <c r="H92" s="4">
        <f>IFERROR(__xludf.DUMMYFUNCTION("""COMPUTED_VALUE"""),54.0)</f>
        <v>54</v>
      </c>
      <c r="J92" s="4" t="s">
        <v>125</v>
      </c>
      <c r="K92" s="4" t="s">
        <v>80</v>
      </c>
      <c r="L92" s="4">
        <v>54.0</v>
      </c>
    </row>
    <row r="93">
      <c r="A93" s="14" t="str">
        <f t="shared" si="19"/>
        <v>Guglielmetti et al., 2021</v>
      </c>
      <c r="B93" s="18" t="s">
        <v>42</v>
      </c>
      <c r="C93" s="18">
        <v>31.0</v>
      </c>
      <c r="D93" s="4" t="str">
        <f>IFERROR(__xludf.DUMMYFUNCTION("join(""; "",A93:C93)"),"Guglielmetti et al., 2021; BPTB; 31")</f>
        <v>Guglielmetti et al., 2021; BPTB; 31</v>
      </c>
      <c r="E93" s="4" t="s">
        <v>281</v>
      </c>
      <c r="F93" s="4" t="str">
        <f>IFERROR(__xludf.DUMMYFUNCTION("split(E93,"";"",FALSE)"),"Pinczewski et al., 2007")</f>
        <v>Pinczewski et al., 2007</v>
      </c>
      <c r="G93" s="4" t="str">
        <f>IFERROR(__xludf.DUMMYFUNCTION("""COMPUTED_VALUE""")," BPTB")</f>
        <v> BPTB</v>
      </c>
      <c r="H93" s="4">
        <f>IFERROR(__xludf.DUMMYFUNCTION("""COMPUTED_VALUE"""),90.0)</f>
        <v>90</v>
      </c>
      <c r="J93" s="4" t="s">
        <v>125</v>
      </c>
      <c r="K93" s="4" t="s">
        <v>80</v>
      </c>
      <c r="L93" s="4">
        <v>90.0</v>
      </c>
    </row>
    <row r="94">
      <c r="A94" s="14" t="str">
        <f t="shared" si="19"/>
        <v>Guglielmetti et al., 2021</v>
      </c>
      <c r="B94" s="18" t="s">
        <v>84</v>
      </c>
      <c r="C94" s="18">
        <v>31.0</v>
      </c>
      <c r="D94" s="4" t="str">
        <f>IFERROR(__xludf.DUMMYFUNCTION("join(""; "",A94:C94)"),"Guglielmetti et al., 2021; HT; 31")</f>
        <v>Guglielmetti et al., 2021; HT; 31</v>
      </c>
      <c r="E94" s="4" t="s">
        <v>282</v>
      </c>
      <c r="F94" s="4" t="str">
        <f>IFERROR(__xludf.DUMMYFUNCTION("split(E94,"";"",FALSE)"),"Pinczewski et al., 2007")</f>
        <v>Pinczewski et al., 2007</v>
      </c>
      <c r="G94" s="4" t="str">
        <f>IFERROR(__xludf.DUMMYFUNCTION("""COMPUTED_VALUE""")," HT")</f>
        <v> HT</v>
      </c>
      <c r="H94" s="4">
        <f>IFERROR(__xludf.DUMMYFUNCTION("""COMPUTED_VALUE"""),58.0)</f>
        <v>58</v>
      </c>
      <c r="J94" s="4" t="s">
        <v>125</v>
      </c>
      <c r="K94" s="4" t="s">
        <v>95</v>
      </c>
      <c r="L94" s="4">
        <v>58.0</v>
      </c>
    </row>
    <row r="95">
      <c r="A95" s="14" t="str">
        <f t="shared" si="19"/>
        <v>Guglielmetti et al., 2021</v>
      </c>
      <c r="B95" s="18" t="s">
        <v>84</v>
      </c>
      <c r="C95" s="18">
        <v>31.0</v>
      </c>
      <c r="D95" s="4" t="str">
        <f>IFERROR(__xludf.DUMMYFUNCTION("join(""; "",A95:C95)"),"Guglielmetti et al., 2021; HT; 31")</f>
        <v>Guglielmetti et al., 2021; HT; 31</v>
      </c>
      <c r="E95" s="4" t="s">
        <v>283</v>
      </c>
      <c r="F95" s="4" t="str">
        <f>IFERROR(__xludf.DUMMYFUNCTION("split(E95,"";"",FALSE)"),"Pinczewski et al., 2007")</f>
        <v>Pinczewski et al., 2007</v>
      </c>
      <c r="G95" s="4" t="str">
        <f>IFERROR(__xludf.DUMMYFUNCTION("""COMPUTED_VALUE""")," HT")</f>
        <v> HT</v>
      </c>
      <c r="H95" s="4">
        <f>IFERROR(__xludf.DUMMYFUNCTION("""COMPUTED_VALUE"""),90.0)</f>
        <v>90</v>
      </c>
      <c r="J95" s="4" t="s">
        <v>125</v>
      </c>
      <c r="K95" s="4" t="s">
        <v>95</v>
      </c>
      <c r="L95" s="4">
        <v>90.0</v>
      </c>
    </row>
    <row r="96">
      <c r="A96" s="14" t="str">
        <f t="shared" si="19"/>
        <v>Guglielmetti et al., 2021</v>
      </c>
      <c r="B96" s="18" t="s">
        <v>84</v>
      </c>
      <c r="C96" s="18">
        <v>31.0</v>
      </c>
      <c r="D96" s="4" t="str">
        <f>IFERROR(__xludf.DUMMYFUNCTION("join(""; "",A96:C96)"),"Guglielmetti et al., 2021; HT; 31")</f>
        <v>Guglielmetti et al., 2021; HT; 31</v>
      </c>
      <c r="E96" s="4" t="s">
        <v>284</v>
      </c>
      <c r="F96" s="4" t="str">
        <f>IFERROR(__xludf.DUMMYFUNCTION("split(E96,"";"",FALSE)"),"Popovic et al., 2024")</f>
        <v>Popovic et al., 2024</v>
      </c>
      <c r="G96" s="4" t="str">
        <f>IFERROR(__xludf.DUMMYFUNCTION("""COMPUTED_VALUE""")," BPTB")</f>
        <v> BPTB</v>
      </c>
      <c r="H96" s="4">
        <f>IFERROR(__xludf.DUMMYFUNCTION("""COMPUTED_VALUE"""),38.0)</f>
        <v>38</v>
      </c>
      <c r="J96" s="4" t="s">
        <v>128</v>
      </c>
      <c r="K96" s="4" t="s">
        <v>80</v>
      </c>
      <c r="L96" s="4">
        <v>38.0</v>
      </c>
    </row>
    <row r="97">
      <c r="A97" s="14" t="str">
        <f t="shared" si="19"/>
        <v>Guglielmetti et al., 2021</v>
      </c>
      <c r="B97" s="18" t="s">
        <v>84</v>
      </c>
      <c r="C97" s="18">
        <v>31.0</v>
      </c>
      <c r="D97" s="4" t="str">
        <f>IFERROR(__xludf.DUMMYFUNCTION("join(""; "",A97:C97)"),"Guglielmetti et al., 2021; HT; 31")</f>
        <v>Guglielmetti et al., 2021; HT; 31</v>
      </c>
      <c r="E97" s="4" t="s">
        <v>285</v>
      </c>
      <c r="F97" s="4" t="str">
        <f>IFERROR(__xludf.DUMMYFUNCTION("split(E97,"";"",FALSE)"),"Popovic et al., 2024")</f>
        <v>Popovic et al., 2024</v>
      </c>
      <c r="G97" s="4" t="str">
        <f>IFERROR(__xludf.DUMMYFUNCTION("""COMPUTED_VALUE""")," HT")</f>
        <v> HT</v>
      </c>
      <c r="H97" s="4">
        <f>IFERROR(__xludf.DUMMYFUNCTION("""COMPUTED_VALUE"""),33.0)</f>
        <v>33</v>
      </c>
      <c r="J97" s="4" t="s">
        <v>128</v>
      </c>
      <c r="K97" s="4" t="s">
        <v>95</v>
      </c>
      <c r="L97" s="4">
        <v>33.0</v>
      </c>
    </row>
    <row r="98">
      <c r="A98" s="14" t="str">
        <f t="shared" ref="A98:A107" si="20">HYPERLINK("https://github.com/d-wkim/phd/blob/main/data/pdf/harilainen_2006.pdf","Harilainen et al., 2006")</f>
        <v>Harilainen et al., 2006</v>
      </c>
      <c r="B98" s="18" t="s">
        <v>42</v>
      </c>
      <c r="C98" s="18">
        <v>37.0</v>
      </c>
      <c r="D98" s="4" t="str">
        <f>IFERROR(__xludf.DUMMYFUNCTION("join(""; "",A98:C98)"),"Harilainen et al., 2006; BPTB; 37")</f>
        <v>Harilainen et al., 2006; BPTB; 37</v>
      </c>
      <c r="E98" s="4" t="s">
        <v>286</v>
      </c>
      <c r="F98" s="4" t="str">
        <f>IFERROR(__xludf.DUMMYFUNCTION("split(E98,"";"",FALSE)"),"Sajovic et al., 2018")</f>
        <v>Sajovic et al., 2018</v>
      </c>
      <c r="G98" s="4" t="str">
        <f>IFERROR(__xludf.DUMMYFUNCTION("""COMPUTED_VALUE""")," BPTB")</f>
        <v> BPTB</v>
      </c>
      <c r="H98" s="4">
        <f>IFERROR(__xludf.DUMMYFUNCTION("""COMPUTED_VALUE"""),24.0)</f>
        <v>24</v>
      </c>
      <c r="J98" s="4" t="s">
        <v>130</v>
      </c>
      <c r="K98" s="4" t="s">
        <v>80</v>
      </c>
      <c r="L98" s="4">
        <v>24.0</v>
      </c>
    </row>
    <row r="99">
      <c r="A99" s="14" t="str">
        <f t="shared" si="20"/>
        <v>Harilainen et al., 2006</v>
      </c>
      <c r="B99" s="18" t="s">
        <v>42</v>
      </c>
      <c r="C99" s="18">
        <v>37.0</v>
      </c>
      <c r="D99" s="4" t="str">
        <f>IFERROR(__xludf.DUMMYFUNCTION("join(""; "",A99:C99)"),"Harilainen et al., 2006; BPTB; 37")</f>
        <v>Harilainen et al., 2006; BPTB; 37</v>
      </c>
      <c r="E99" s="4" t="s">
        <v>287</v>
      </c>
      <c r="F99" s="4" t="str">
        <f>IFERROR(__xludf.DUMMYFUNCTION("split(E99,"";"",FALSE)"),"Sajovic et al., 2018")</f>
        <v>Sajovic et al., 2018</v>
      </c>
      <c r="G99" s="4" t="str">
        <f>IFERROR(__xludf.DUMMYFUNCTION("""COMPUTED_VALUE""")," HT")</f>
        <v> HT</v>
      </c>
      <c r="H99" s="4">
        <f>IFERROR(__xludf.DUMMYFUNCTION("""COMPUTED_VALUE"""),24.0)</f>
        <v>24</v>
      </c>
      <c r="J99" s="4" t="s">
        <v>130</v>
      </c>
      <c r="K99" s="4" t="s">
        <v>95</v>
      </c>
      <c r="L99" s="4">
        <v>24.0</v>
      </c>
    </row>
    <row r="100">
      <c r="A100" s="14" t="str">
        <f t="shared" si="20"/>
        <v>Harilainen et al., 2006</v>
      </c>
      <c r="B100" s="18" t="s">
        <v>42</v>
      </c>
      <c r="C100" s="18">
        <v>37.0</v>
      </c>
      <c r="D100" s="4" t="str">
        <f>IFERROR(__xludf.DUMMYFUNCTION("join(""; "",A100:C100)"),"Harilainen et al., 2006; BPTB; 37")</f>
        <v>Harilainen et al., 2006; BPTB; 37</v>
      </c>
      <c r="E100" s="4" t="s">
        <v>288</v>
      </c>
      <c r="F100" s="4" t="str">
        <f>IFERROR(__xludf.DUMMYFUNCTION("split(E100,"";"",FALSE)"),"Sinding et al., 2020")</f>
        <v>Sinding et al., 2020</v>
      </c>
      <c r="G100" s="4" t="str">
        <f>IFERROR(__xludf.DUMMYFUNCTION("""COMPUTED_VALUE""")," HT")</f>
        <v> HT</v>
      </c>
      <c r="H100" s="4">
        <f>IFERROR(__xludf.DUMMYFUNCTION("""COMPUTED_VALUE"""),43.0)</f>
        <v>43</v>
      </c>
      <c r="J100" s="4" t="s">
        <v>132</v>
      </c>
      <c r="K100" s="4" t="s">
        <v>95</v>
      </c>
      <c r="L100" s="4">
        <v>43.0</v>
      </c>
    </row>
    <row r="101">
      <c r="A101" s="14" t="str">
        <f t="shared" si="20"/>
        <v>Harilainen et al., 2006</v>
      </c>
      <c r="B101" s="18" t="s">
        <v>42</v>
      </c>
      <c r="C101" s="18">
        <v>37.0</v>
      </c>
      <c r="D101" s="4" t="str">
        <f>IFERROR(__xludf.DUMMYFUNCTION("join(""; "",A101:C101)"),"Harilainen et al., 2006; BPTB; 37")</f>
        <v>Harilainen et al., 2006; BPTB; 37</v>
      </c>
      <c r="E101" s="4" t="s">
        <v>289</v>
      </c>
      <c r="F101" s="4" t="str">
        <f>IFERROR(__xludf.DUMMYFUNCTION("split(E101,"";"",FALSE)"),"Sinding et al., 2020")</f>
        <v>Sinding et al., 2020</v>
      </c>
      <c r="G101" s="4" t="str">
        <f>IFERROR(__xludf.DUMMYFUNCTION("""COMPUTED_VALUE""")," QT")</f>
        <v> QT</v>
      </c>
      <c r="H101" s="4">
        <f>IFERROR(__xludf.DUMMYFUNCTION("""COMPUTED_VALUE"""),42.0)</f>
        <v>42</v>
      </c>
      <c r="J101" s="4" t="s">
        <v>132</v>
      </c>
      <c r="K101" s="4" t="s">
        <v>164</v>
      </c>
      <c r="L101" s="4">
        <v>42.0</v>
      </c>
    </row>
    <row r="102">
      <c r="A102" s="14" t="str">
        <f t="shared" si="20"/>
        <v>Harilainen et al., 2006</v>
      </c>
      <c r="B102" s="18" t="s">
        <v>42</v>
      </c>
      <c r="C102" s="18">
        <v>37.0</v>
      </c>
      <c r="D102" s="4" t="str">
        <f>IFERROR(__xludf.DUMMYFUNCTION("join(""; "",A102:C102)"),"Harilainen et al., 2006; BPTB; 37")</f>
        <v>Harilainen et al., 2006; BPTB; 37</v>
      </c>
      <c r="E102" s="4" t="s">
        <v>290</v>
      </c>
      <c r="F102" s="4" t="str">
        <f>IFERROR(__xludf.DUMMYFUNCTION("split(E102,"";"",FALSE)"),"Smith et al., 2020")</f>
        <v>Smith et al., 2020</v>
      </c>
      <c r="G102" s="4" t="str">
        <f>IFERROR(__xludf.DUMMYFUNCTION("""COMPUTED_VALUE""")," BPTB")</f>
        <v> BPTB</v>
      </c>
      <c r="H102" s="4">
        <f>IFERROR(__xludf.DUMMYFUNCTION("""COMPUTED_VALUE"""),32.0)</f>
        <v>32</v>
      </c>
      <c r="J102" s="4" t="s">
        <v>134</v>
      </c>
      <c r="K102" s="4" t="s">
        <v>80</v>
      </c>
      <c r="L102" s="4">
        <v>32.0</v>
      </c>
    </row>
    <row r="103">
      <c r="A103" s="14" t="str">
        <f t="shared" si="20"/>
        <v>Harilainen et al., 2006</v>
      </c>
      <c r="B103" s="18" t="s">
        <v>84</v>
      </c>
      <c r="C103" s="18">
        <v>37.0</v>
      </c>
      <c r="D103" s="4" t="str">
        <f>IFERROR(__xludf.DUMMYFUNCTION("join(""; "",A103:C103)"),"Harilainen et al., 2006; HT; 37")</f>
        <v>Harilainen et al., 2006; HT; 37</v>
      </c>
      <c r="E103" s="4" t="s">
        <v>291</v>
      </c>
      <c r="F103" s="4" t="str">
        <f>IFERROR(__xludf.DUMMYFUNCTION("split(E103,"";"",FALSE)"),"Smith et al., 2020")</f>
        <v>Smith et al., 2020</v>
      </c>
      <c r="G103" s="4" t="str">
        <f>IFERROR(__xludf.DUMMYFUNCTION("""COMPUTED_VALUE""")," HT")</f>
        <v> HT</v>
      </c>
      <c r="H103" s="4">
        <f>IFERROR(__xludf.DUMMYFUNCTION("""COMPUTED_VALUE"""),32.0)</f>
        <v>32</v>
      </c>
      <c r="J103" s="4" t="s">
        <v>134</v>
      </c>
      <c r="K103" s="4" t="s">
        <v>95</v>
      </c>
      <c r="L103" s="4">
        <v>32.0</v>
      </c>
    </row>
    <row r="104">
      <c r="A104" s="14" t="str">
        <f t="shared" si="20"/>
        <v>Harilainen et al., 2006</v>
      </c>
      <c r="B104" s="18" t="s">
        <v>84</v>
      </c>
      <c r="C104" s="18">
        <v>37.0</v>
      </c>
      <c r="D104" s="4" t="str">
        <f>IFERROR(__xludf.DUMMYFUNCTION("join(""; "",A104:C104)"),"Harilainen et al., 2006; HT; 37")</f>
        <v>Harilainen et al., 2006; HT; 37</v>
      </c>
      <c r="E104" s="4" t="s">
        <v>292</v>
      </c>
      <c r="F104" s="4" t="str">
        <f>IFERROR(__xludf.DUMMYFUNCTION("split(E104,"";"",FALSE)"),"Sonnery-cottet et al., 2026")</f>
        <v>Sonnery-cottet et al., 2026</v>
      </c>
      <c r="G104" s="4" t="str">
        <f>IFERROR(__xludf.DUMMYFUNCTION("""COMPUTED_VALUE""")," BPTB")</f>
        <v> BPTB</v>
      </c>
      <c r="H104" s="4">
        <f>IFERROR(__xludf.DUMMYFUNCTION("""COMPUTED_VALUE"""),296.0)</f>
        <v>296</v>
      </c>
      <c r="J104" s="4" t="s">
        <v>136</v>
      </c>
      <c r="K104" s="4" t="s">
        <v>80</v>
      </c>
      <c r="L104" s="4">
        <v>296.0</v>
      </c>
    </row>
    <row r="105">
      <c r="A105" s="14" t="str">
        <f t="shared" si="20"/>
        <v>Harilainen et al., 2006</v>
      </c>
      <c r="B105" s="18" t="s">
        <v>84</v>
      </c>
      <c r="C105" s="18">
        <v>37.0</v>
      </c>
      <c r="D105" s="4" t="str">
        <f>IFERROR(__xludf.DUMMYFUNCTION("join(""; "",A105:C105)"),"Harilainen et al., 2006; HT; 37")</f>
        <v>Harilainen et al., 2006; HT; 37</v>
      </c>
      <c r="E105" s="4" t="s">
        <v>293</v>
      </c>
      <c r="F105" s="4" t="str">
        <f>IFERROR(__xludf.DUMMYFUNCTION("split(E105,"";"",FALSE)"),"Sonnery-cottet et al., 2026")</f>
        <v>Sonnery-cottet et al., 2026</v>
      </c>
      <c r="G105" s="4" t="str">
        <f>IFERROR(__xludf.DUMMYFUNCTION("""COMPUTED_VALUE""")," BPTB")</f>
        <v> BPTB</v>
      </c>
      <c r="H105" s="4">
        <f>IFERROR(__xludf.DUMMYFUNCTION("""COMPUTED_VALUE"""),273.0)</f>
        <v>273</v>
      </c>
      <c r="J105" s="4" t="s">
        <v>136</v>
      </c>
      <c r="K105" s="4" t="s">
        <v>80</v>
      </c>
      <c r="L105" s="4">
        <v>273.0</v>
      </c>
    </row>
    <row r="106">
      <c r="A106" s="14" t="str">
        <f t="shared" si="20"/>
        <v>Harilainen et al., 2006</v>
      </c>
      <c r="B106" s="18" t="s">
        <v>84</v>
      </c>
      <c r="C106" s="18">
        <v>37.0</v>
      </c>
      <c r="D106" s="4" t="str">
        <f>IFERROR(__xludf.DUMMYFUNCTION("join(""; "",A106:C106)"),"Harilainen et al., 2006; HT; 37")</f>
        <v>Harilainen et al., 2006; HT; 37</v>
      </c>
      <c r="E106" s="4" t="s">
        <v>294</v>
      </c>
      <c r="F106" s="4" t="str">
        <f>IFERROR(__xludf.DUMMYFUNCTION("split(E106,"";"",FALSE)"),"Sonnery-cottet et al., 2026")</f>
        <v>Sonnery-cottet et al., 2026</v>
      </c>
      <c r="G106" s="4" t="str">
        <f>IFERROR(__xludf.DUMMYFUNCTION("""COMPUTED_VALUE""")," HT")</f>
        <v> HT</v>
      </c>
      <c r="H106" s="4">
        <f>IFERROR(__xludf.DUMMYFUNCTION("""COMPUTED_VALUE"""),297.0)</f>
        <v>297</v>
      </c>
      <c r="J106" s="4" t="s">
        <v>136</v>
      </c>
      <c r="K106" s="4" t="s">
        <v>95</v>
      </c>
      <c r="L106" s="4">
        <v>297.0</v>
      </c>
    </row>
    <row r="107">
      <c r="A107" s="14" t="str">
        <f t="shared" si="20"/>
        <v>Harilainen et al., 2006</v>
      </c>
      <c r="B107" s="18" t="s">
        <v>84</v>
      </c>
      <c r="C107" s="18">
        <v>37.0</v>
      </c>
      <c r="D107" s="4" t="str">
        <f>IFERROR(__xludf.DUMMYFUNCTION("join(""; "",A107:C107)"),"Harilainen et al., 2006; HT; 37")</f>
        <v>Harilainen et al., 2006; HT; 37</v>
      </c>
      <c r="E107" s="4" t="s">
        <v>295</v>
      </c>
      <c r="F107" s="4" t="str">
        <f>IFERROR(__xludf.DUMMYFUNCTION("split(E107,"";"",FALSE)"),"Sonnery-cottet et al., 2026")</f>
        <v>Sonnery-cottet et al., 2026</v>
      </c>
      <c r="G107" s="4" t="str">
        <f>IFERROR(__xludf.DUMMYFUNCTION("""COMPUTED_VALUE""")," HT")</f>
        <v> HT</v>
      </c>
      <c r="H107" s="4">
        <f>IFERROR(__xludf.DUMMYFUNCTION("""COMPUTED_VALUE"""),283.0)</f>
        <v>283</v>
      </c>
      <c r="J107" s="4" t="s">
        <v>136</v>
      </c>
      <c r="K107" s="4" t="s">
        <v>95</v>
      </c>
      <c r="L107" s="4">
        <v>283.0</v>
      </c>
    </row>
    <row r="108">
      <c r="A108" s="14" t="str">
        <f t="shared" ref="A108:A111" si="21">HYPERLINK("https://github.com/d-wkim/phd/blob/main/data/pdf/heijne_werner_2010.pdf","Heijne &amp; Werner, 2010")</f>
        <v>Heijne &amp; Werner, 2010</v>
      </c>
      <c r="B108" s="18" t="s">
        <v>42</v>
      </c>
      <c r="C108" s="18">
        <v>30.0</v>
      </c>
      <c r="D108" s="4" t="str">
        <f>IFERROR(__xludf.DUMMYFUNCTION("join(""; "",A108:C108)"),"Heijne &amp; Werner, 2010; BPTB; 30")</f>
        <v>Heijne &amp; Werner, 2010; BPTB; 30</v>
      </c>
      <c r="E108" s="4" t="s">
        <v>296</v>
      </c>
      <c r="F108" s="4" t="str">
        <f>IFERROR(__xludf.DUMMYFUNCTION("split(E108,"";"",FALSE)"),"Tang et al., 2023")</f>
        <v>Tang et al., 2023</v>
      </c>
      <c r="G108" s="4" t="str">
        <f>IFERROR(__xludf.DUMMYFUNCTION("""COMPUTED_VALUE""")," HT")</f>
        <v> HT</v>
      </c>
      <c r="H108" s="4">
        <f>IFERROR(__xludf.DUMMYFUNCTION("""COMPUTED_VALUE"""),16.0)</f>
        <v>16</v>
      </c>
      <c r="J108" s="4" t="s">
        <v>139</v>
      </c>
      <c r="K108" s="4" t="s">
        <v>95</v>
      </c>
      <c r="L108" s="4">
        <v>16.0</v>
      </c>
    </row>
    <row r="109">
      <c r="A109" s="14" t="str">
        <f t="shared" si="21"/>
        <v>Heijne &amp; Werner, 2010</v>
      </c>
      <c r="B109" s="18" t="s">
        <v>42</v>
      </c>
      <c r="C109" s="18">
        <v>30.0</v>
      </c>
      <c r="D109" s="4" t="str">
        <f>IFERROR(__xludf.DUMMYFUNCTION("join(""; "",A109:C109)"),"Heijne &amp; Werner, 2010; BPTB; 30")</f>
        <v>Heijne &amp; Werner, 2010; BPTB; 30</v>
      </c>
      <c r="E109" s="4" t="s">
        <v>297</v>
      </c>
      <c r="F109" s="4" t="str">
        <f>IFERROR(__xludf.DUMMYFUNCTION("split(E109,"";"",FALSE)"),"Tang et al., 2023")</f>
        <v>Tang et al., 2023</v>
      </c>
      <c r="G109" s="4" t="str">
        <f>IFERROR(__xludf.DUMMYFUNCTION("""COMPUTED_VALUE""")," QT")</f>
        <v> QT</v>
      </c>
      <c r="H109" s="4">
        <f>IFERROR(__xludf.DUMMYFUNCTION("""COMPUTED_VALUE"""),17.0)</f>
        <v>17</v>
      </c>
      <c r="J109" s="4" t="s">
        <v>139</v>
      </c>
      <c r="K109" s="4" t="s">
        <v>164</v>
      </c>
      <c r="L109" s="4">
        <v>17.0</v>
      </c>
    </row>
    <row r="110">
      <c r="A110" s="14" t="str">
        <f t="shared" si="21"/>
        <v>Heijne &amp; Werner, 2010</v>
      </c>
      <c r="B110" s="18" t="s">
        <v>84</v>
      </c>
      <c r="C110" s="18">
        <v>29.0</v>
      </c>
      <c r="D110" s="4" t="str">
        <f>IFERROR(__xludf.DUMMYFUNCTION("join(""; "",A110:C110)"),"Heijne &amp; Werner, 2010; HT; 29")</f>
        <v>Heijne &amp; Werner, 2010; HT; 29</v>
      </c>
      <c r="E110" s="4" t="s">
        <v>298</v>
      </c>
      <c r="F110" s="4" t="str">
        <f>IFERROR(__xludf.DUMMYFUNCTION("split(E110,"";"",FALSE)"),"Taylor et al., 2009")</f>
        <v>Taylor et al., 2009</v>
      </c>
      <c r="G110" s="4" t="str">
        <f>IFERROR(__xludf.DUMMYFUNCTION("""COMPUTED_VALUE""")," BPTB")</f>
        <v> BPTB</v>
      </c>
      <c r="H110" s="4">
        <f>IFERROR(__xludf.DUMMYFUNCTION("""COMPUTED_VALUE"""),20.0)</f>
        <v>20</v>
      </c>
      <c r="J110" s="4" t="s">
        <v>141</v>
      </c>
      <c r="K110" s="4" t="s">
        <v>80</v>
      </c>
      <c r="L110" s="4">
        <v>20.0</v>
      </c>
    </row>
    <row r="111">
      <c r="A111" s="14" t="str">
        <f t="shared" si="21"/>
        <v>Heijne &amp; Werner, 2010</v>
      </c>
      <c r="B111" s="18" t="s">
        <v>84</v>
      </c>
      <c r="C111" s="18">
        <v>29.0</v>
      </c>
      <c r="D111" s="4" t="str">
        <f>IFERROR(__xludf.DUMMYFUNCTION("join(""; "",A111:C111)"),"Heijne &amp; Werner, 2010; HT; 29")</f>
        <v>Heijne &amp; Werner, 2010; HT; 29</v>
      </c>
      <c r="E111" s="4" t="s">
        <v>299</v>
      </c>
      <c r="F111" s="4" t="str">
        <f>IFERROR(__xludf.DUMMYFUNCTION("split(E111,"";"",FALSE)"),"Taylor et al., 2009")</f>
        <v>Taylor et al., 2009</v>
      </c>
      <c r="G111" s="4" t="str">
        <f>IFERROR(__xludf.DUMMYFUNCTION("""COMPUTED_VALUE""")," BPTB")</f>
        <v> BPTB</v>
      </c>
      <c r="H111" s="4">
        <f>IFERROR(__xludf.DUMMYFUNCTION("""COMPUTED_VALUE"""),21.0)</f>
        <v>21</v>
      </c>
      <c r="J111" s="4" t="s">
        <v>141</v>
      </c>
      <c r="K111" s="4" t="s">
        <v>80</v>
      </c>
      <c r="L111" s="4">
        <v>21.0</v>
      </c>
    </row>
    <row r="112">
      <c r="A112" s="14" t="str">
        <f t="shared" ref="A112:A115" si="22">HYPERLINK("https://github.com/d-wkim/phd/blob/main/data/pdf/holm_2010.pdf","Holm et al., 2010")</f>
        <v>Holm et al., 2010</v>
      </c>
      <c r="B112" s="18" t="s">
        <v>42</v>
      </c>
      <c r="C112" s="18">
        <v>28.0</v>
      </c>
      <c r="D112" s="4" t="str">
        <f>IFERROR(__xludf.DUMMYFUNCTION("join(""; "",A112:C112)"),"Holm et al., 2010; BPTB; 28")</f>
        <v>Holm et al., 2010; BPTB; 28</v>
      </c>
      <c r="E112" s="4" t="s">
        <v>300</v>
      </c>
      <c r="F112" s="4" t="str">
        <f>IFERROR(__xludf.DUMMYFUNCTION("split(E112,"";"",FALSE)"),"Taylor et al., 2009")</f>
        <v>Taylor et al., 2009</v>
      </c>
      <c r="G112" s="4" t="str">
        <f>IFERROR(__xludf.DUMMYFUNCTION("""COMPUTED_VALUE""")," BPTB")</f>
        <v> BPTB</v>
      </c>
      <c r="H112" s="4">
        <f>IFERROR(__xludf.DUMMYFUNCTION("""COMPUTED_VALUE"""),32.0)</f>
        <v>32</v>
      </c>
      <c r="J112" s="4" t="s">
        <v>141</v>
      </c>
      <c r="K112" s="4" t="s">
        <v>80</v>
      </c>
      <c r="L112" s="4">
        <v>32.0</v>
      </c>
    </row>
    <row r="113">
      <c r="A113" s="14" t="str">
        <f t="shared" si="22"/>
        <v>Holm et al., 2010</v>
      </c>
      <c r="B113" s="18" t="s">
        <v>42</v>
      </c>
      <c r="C113" s="18">
        <v>28.0</v>
      </c>
      <c r="D113" s="4" t="str">
        <f>IFERROR(__xludf.DUMMYFUNCTION("join(""; "",A113:C113)"),"Holm et al., 2010; BPTB; 28")</f>
        <v>Holm et al., 2010; BPTB; 28</v>
      </c>
      <c r="E113" s="4" t="s">
        <v>301</v>
      </c>
      <c r="F113" s="4" t="str">
        <f>IFERROR(__xludf.DUMMYFUNCTION("split(E113,"";"",FALSE)"),"Taylor et al., 2009")</f>
        <v>Taylor et al., 2009</v>
      </c>
      <c r="G113" s="4" t="str">
        <f>IFERROR(__xludf.DUMMYFUNCTION("""COMPUTED_VALUE""")," HT")</f>
        <v> HT</v>
      </c>
      <c r="H113" s="4">
        <f>IFERROR(__xludf.DUMMYFUNCTION("""COMPUTED_VALUE"""),24.0)</f>
        <v>24</v>
      </c>
      <c r="J113" s="4" t="s">
        <v>141</v>
      </c>
      <c r="K113" s="4" t="s">
        <v>95</v>
      </c>
      <c r="L113" s="4">
        <v>24.0</v>
      </c>
    </row>
    <row r="114">
      <c r="A114" s="14" t="str">
        <f t="shared" si="22"/>
        <v>Holm et al., 2010</v>
      </c>
      <c r="B114" s="18" t="s">
        <v>84</v>
      </c>
      <c r="C114" s="18">
        <v>29.0</v>
      </c>
      <c r="D114" s="4" t="str">
        <f>IFERROR(__xludf.DUMMYFUNCTION("join(""; "",A114:C114)"),"Holm et al., 2010; HT; 29")</f>
        <v>Holm et al., 2010; HT; 29</v>
      </c>
      <c r="E114" s="4" t="s">
        <v>302</v>
      </c>
      <c r="F114" s="4" t="str">
        <f>IFERROR(__xludf.DUMMYFUNCTION("split(E114,"";"",FALSE)"),"Taylor et al., 2009")</f>
        <v>Taylor et al., 2009</v>
      </c>
      <c r="G114" s="4" t="str">
        <f>IFERROR(__xludf.DUMMYFUNCTION("""COMPUTED_VALUE""")," HT")</f>
        <v> HT</v>
      </c>
      <c r="H114" s="4">
        <f>IFERROR(__xludf.DUMMYFUNCTION("""COMPUTED_VALUE"""),23.0)</f>
        <v>23</v>
      </c>
      <c r="J114" s="4" t="s">
        <v>141</v>
      </c>
      <c r="K114" s="4" t="s">
        <v>95</v>
      </c>
      <c r="L114" s="4">
        <v>23.0</v>
      </c>
    </row>
    <row r="115">
      <c r="A115" s="14" t="str">
        <f t="shared" si="22"/>
        <v>Holm et al., 2010</v>
      </c>
      <c r="B115" s="18" t="s">
        <v>84</v>
      </c>
      <c r="C115" s="18">
        <v>29.0</v>
      </c>
      <c r="D115" s="4" t="str">
        <f>IFERROR(__xludf.DUMMYFUNCTION("join(""; "",A115:C115)"),"Holm et al., 2010; HT; 29")</f>
        <v>Holm et al., 2010; HT; 29</v>
      </c>
      <c r="E115" s="4" t="s">
        <v>303</v>
      </c>
      <c r="F115" s="4" t="str">
        <f>IFERROR(__xludf.DUMMYFUNCTION("split(E115,"";"",FALSE)"),"Taylor et al., 2009")</f>
        <v>Taylor et al., 2009</v>
      </c>
      <c r="G115" s="4" t="str">
        <f>IFERROR(__xludf.DUMMYFUNCTION("""COMPUTED_VALUE""")," HT")</f>
        <v> HT</v>
      </c>
      <c r="H115" s="4">
        <f>IFERROR(__xludf.DUMMYFUNCTION("""COMPUTED_VALUE"""),32.0)</f>
        <v>32</v>
      </c>
      <c r="J115" s="4" t="s">
        <v>141</v>
      </c>
      <c r="K115" s="4" t="s">
        <v>95</v>
      </c>
      <c r="L115" s="4">
        <v>32.0</v>
      </c>
    </row>
    <row r="116">
      <c r="A116" s="14" t="str">
        <f t="shared" ref="A116:A123" si="23">HYPERLINK("https://github.com/d-wkim/phd/blob/main/data/pdf/horstmann_2022.pdf","Horstmann et al., 2022")</f>
        <v>Horstmann et al., 2022</v>
      </c>
      <c r="B116" s="18" t="s">
        <v>84</v>
      </c>
      <c r="C116" s="65">
        <v>26.0</v>
      </c>
      <c r="D116" s="4" t="str">
        <f>IFERROR(__xludf.DUMMYFUNCTION("join(""; "",A116:C116)"),"Horstmann et al., 2022; HT; 26")</f>
        <v>Horstmann et al., 2022; HT; 26</v>
      </c>
      <c r="E116" s="4" t="s">
        <v>304</v>
      </c>
      <c r="F116" s="4" t="str">
        <f>IFERROR(__xludf.DUMMYFUNCTION("split(E116,"";"",FALSE)"),"Vilchez-cavazos et al., 2020")</f>
        <v>Vilchez-cavazos et al., 2020</v>
      </c>
      <c r="G116" s="4" t="str">
        <f>IFERROR(__xludf.DUMMYFUNCTION("""COMPUTED_VALUE""")," BPTB")</f>
        <v> BPTB</v>
      </c>
      <c r="H116" s="4">
        <f>IFERROR(__xludf.DUMMYFUNCTION("""COMPUTED_VALUE"""),14.0)</f>
        <v>14</v>
      </c>
      <c r="J116" s="4" t="s">
        <v>143</v>
      </c>
      <c r="K116" s="4" t="s">
        <v>80</v>
      </c>
      <c r="L116" s="4">
        <v>14.0</v>
      </c>
    </row>
    <row r="117">
      <c r="A117" s="14" t="str">
        <f t="shared" si="23"/>
        <v>Horstmann et al., 2022</v>
      </c>
      <c r="B117" s="18" t="s">
        <v>84</v>
      </c>
      <c r="C117" s="18">
        <v>26.0</v>
      </c>
      <c r="D117" s="4" t="str">
        <f>IFERROR(__xludf.DUMMYFUNCTION("join(""; "",A117:C117)"),"Horstmann et al., 2022; HT; 26")</f>
        <v>Horstmann et al., 2022; HT; 26</v>
      </c>
      <c r="E117" s="4" t="s">
        <v>305</v>
      </c>
      <c r="F117" s="4" t="str">
        <f>IFERROR(__xludf.DUMMYFUNCTION("split(E117,"";"",FALSE)"),"Vilchez-cavazos et al., 2020")</f>
        <v>Vilchez-cavazos et al., 2020</v>
      </c>
      <c r="G117" s="4" t="str">
        <f>IFERROR(__xludf.DUMMYFUNCTION("""COMPUTED_VALUE""")," QT")</f>
        <v> QT</v>
      </c>
      <c r="H117" s="4">
        <f>IFERROR(__xludf.DUMMYFUNCTION("""COMPUTED_VALUE"""),14.0)</f>
        <v>14</v>
      </c>
      <c r="J117" s="4" t="s">
        <v>143</v>
      </c>
      <c r="K117" s="4" t="s">
        <v>164</v>
      </c>
      <c r="L117" s="4">
        <v>14.0</v>
      </c>
    </row>
    <row r="118">
      <c r="A118" s="14" t="str">
        <f t="shared" si="23"/>
        <v>Horstmann et al., 2022</v>
      </c>
      <c r="B118" s="18" t="s">
        <v>84</v>
      </c>
      <c r="C118" s="18">
        <v>26.0</v>
      </c>
      <c r="D118" s="4" t="str">
        <f>IFERROR(__xludf.DUMMYFUNCTION("join(""; "",A118:C118)"),"Horstmann et al., 2022; HT; 26")</f>
        <v>Horstmann et al., 2022; HT; 26</v>
      </c>
      <c r="E118" s="4" t="s">
        <v>306</v>
      </c>
      <c r="F118" s="4" t="str">
        <f>IFERROR(__xludf.DUMMYFUNCTION("split(E118,"";"",FALSE)"),"Webster et al., 2001")</f>
        <v>Webster et al., 2001</v>
      </c>
      <c r="G118" s="4" t="str">
        <f>IFERROR(__xludf.DUMMYFUNCTION("""COMPUTED_VALUE""")," BPTB")</f>
        <v> BPTB</v>
      </c>
      <c r="H118" s="4">
        <f>IFERROR(__xludf.DUMMYFUNCTION("""COMPUTED_VALUE"""),23.0)</f>
        <v>23</v>
      </c>
      <c r="J118" s="4" t="s">
        <v>145</v>
      </c>
      <c r="K118" s="4" t="s">
        <v>80</v>
      </c>
      <c r="L118" s="4">
        <v>23.0</v>
      </c>
    </row>
    <row r="119">
      <c r="A119" s="14" t="str">
        <f t="shared" si="23"/>
        <v>Horstmann et al., 2022</v>
      </c>
      <c r="B119" s="18" t="s">
        <v>84</v>
      </c>
      <c r="C119" s="18">
        <v>26.0</v>
      </c>
      <c r="D119" s="4" t="str">
        <f>IFERROR(__xludf.DUMMYFUNCTION("join(""; "",A119:C119)"),"Horstmann et al., 2022; HT; 26")</f>
        <v>Horstmann et al., 2022; HT; 26</v>
      </c>
      <c r="E119" s="4" t="s">
        <v>307</v>
      </c>
      <c r="F119" s="4" t="str">
        <f>IFERROR(__xludf.DUMMYFUNCTION("split(E119,"";"",FALSE)"),"Webster et al., 2001")</f>
        <v>Webster et al., 2001</v>
      </c>
      <c r="G119" s="4" t="str">
        <f>IFERROR(__xludf.DUMMYFUNCTION("""COMPUTED_VALUE""")," HT")</f>
        <v> HT</v>
      </c>
      <c r="H119" s="4">
        <f>IFERROR(__xludf.DUMMYFUNCTION("""COMPUTED_VALUE"""),31.0)</f>
        <v>31</v>
      </c>
      <c r="J119" s="4" t="s">
        <v>145</v>
      </c>
      <c r="K119" s="4" t="s">
        <v>95</v>
      </c>
      <c r="L119" s="4">
        <v>31.0</v>
      </c>
    </row>
    <row r="120">
      <c r="A120" s="14" t="str">
        <f t="shared" si="23"/>
        <v>Horstmann et al., 2022</v>
      </c>
      <c r="B120" s="18" t="s">
        <v>200</v>
      </c>
      <c r="C120" s="18">
        <v>23.0</v>
      </c>
      <c r="D120" s="4" t="str">
        <f>IFERROR(__xludf.DUMMYFUNCTION("join(""; "",A120:C120)"),"Horstmann et al., 2022; QT; 23")</f>
        <v>Horstmann et al., 2022; QT; 23</v>
      </c>
      <c r="E120" s="4" t="s">
        <v>308</v>
      </c>
      <c r="F120" s="4" t="str">
        <f>IFERROR(__xludf.DUMMYFUNCTION("split(E120,"";"",FALSE)"),"Wipfler et al., 2011")</f>
        <v>Wipfler et al., 2011</v>
      </c>
      <c r="G120" s="4" t="str">
        <f>IFERROR(__xludf.DUMMYFUNCTION("""COMPUTED_VALUE""")," BPTB")</f>
        <v> BPTB</v>
      </c>
      <c r="H120" s="4">
        <f>IFERROR(__xludf.DUMMYFUNCTION("""COMPUTED_VALUE"""),29.0)</f>
        <v>29</v>
      </c>
      <c r="J120" s="4" t="s">
        <v>147</v>
      </c>
      <c r="K120" s="4" t="s">
        <v>80</v>
      </c>
      <c r="L120" s="4">
        <v>29.0</v>
      </c>
    </row>
    <row r="121">
      <c r="A121" s="14" t="str">
        <f t="shared" si="23"/>
        <v>Horstmann et al., 2022</v>
      </c>
      <c r="B121" s="18" t="s">
        <v>200</v>
      </c>
      <c r="C121" s="18">
        <v>23.0</v>
      </c>
      <c r="D121" s="4" t="str">
        <f>IFERROR(__xludf.DUMMYFUNCTION("join(""; "",A121:C121)"),"Horstmann et al., 2022; QT; 23")</f>
        <v>Horstmann et al., 2022; QT; 23</v>
      </c>
      <c r="E121" s="4" t="s">
        <v>309</v>
      </c>
      <c r="F121" s="4" t="str">
        <f>IFERROR(__xludf.DUMMYFUNCTION("split(E121,"";"",FALSE)"),"Wipfler et al., 2011")</f>
        <v>Wipfler et al., 2011</v>
      </c>
      <c r="G121" s="4" t="str">
        <f>IFERROR(__xludf.DUMMYFUNCTION("""COMPUTED_VALUE""")," HT")</f>
        <v> HT</v>
      </c>
      <c r="H121" s="4">
        <f>IFERROR(__xludf.DUMMYFUNCTION("""COMPUTED_VALUE"""),25.0)</f>
        <v>25</v>
      </c>
      <c r="J121" s="4" t="s">
        <v>147</v>
      </c>
      <c r="K121" s="4" t="s">
        <v>95</v>
      </c>
      <c r="L121" s="4">
        <v>25.0</v>
      </c>
    </row>
    <row r="122">
      <c r="A122" s="14" t="str">
        <f t="shared" si="23"/>
        <v>Horstmann et al., 2022</v>
      </c>
      <c r="B122" s="18" t="s">
        <v>200</v>
      </c>
      <c r="C122" s="18">
        <v>23.0</v>
      </c>
      <c r="D122" s="4" t="str">
        <f>IFERROR(__xludf.DUMMYFUNCTION("join(""; "",A122:C122)"),"Horstmann et al., 2022; QT; 23")</f>
        <v>Horstmann et al., 2022; QT; 23</v>
      </c>
      <c r="E122" s="4" t="s">
        <v>310</v>
      </c>
      <c r="F122" s="4" t="str">
        <f>IFERROR(__xludf.DUMMYFUNCTION("split(E122,"";"",FALSE)"),"Yadav et al., 2025")</f>
        <v>Yadav et al., 2025</v>
      </c>
      <c r="G122" s="4" t="str">
        <f>IFERROR(__xludf.DUMMYFUNCTION("""COMPUTED_VALUE""")," HT")</f>
        <v> HT</v>
      </c>
      <c r="H122" s="4">
        <f>IFERROR(__xludf.DUMMYFUNCTION("""COMPUTED_VALUE"""),36.0)</f>
        <v>36</v>
      </c>
      <c r="J122" s="4" t="s">
        <v>149</v>
      </c>
      <c r="K122" s="4" t="s">
        <v>95</v>
      </c>
      <c r="L122" s="4">
        <v>36.0</v>
      </c>
    </row>
    <row r="123">
      <c r="A123" s="14" t="str">
        <f t="shared" si="23"/>
        <v>Horstmann et al., 2022</v>
      </c>
      <c r="B123" s="18" t="s">
        <v>200</v>
      </c>
      <c r="C123" s="18">
        <v>23.0</v>
      </c>
      <c r="D123" s="4" t="str">
        <f>IFERROR(__xludf.DUMMYFUNCTION("join(""; "",A123:C123)"),"Horstmann et al., 2022; QT; 23")</f>
        <v>Horstmann et al., 2022; QT; 23</v>
      </c>
      <c r="E123" s="4" t="s">
        <v>311</v>
      </c>
      <c r="F123" s="4" t="str">
        <f>IFERROR(__xludf.DUMMYFUNCTION("split(E123,"";"",FALSE)"),"Yadav et al., 2025")</f>
        <v>Yadav et al., 2025</v>
      </c>
      <c r="G123" s="4" t="str">
        <f>IFERROR(__xludf.DUMMYFUNCTION("""COMPUTED_VALUE""")," QT")</f>
        <v> QT</v>
      </c>
      <c r="H123" s="4">
        <f>IFERROR(__xludf.DUMMYFUNCTION("""COMPUTED_VALUE"""),33.0)</f>
        <v>33</v>
      </c>
      <c r="J123" s="4" t="s">
        <v>149</v>
      </c>
      <c r="K123" s="4" t="s">
        <v>164</v>
      </c>
      <c r="L123" s="4">
        <v>33.0</v>
      </c>
    </row>
    <row r="124">
      <c r="A124" s="14" t="str">
        <f t="shared" ref="A124:A129" si="24">HYPERLINK("https://github.com/d-wkim/phd/blob/main/data/pdf/ibrahim_2005.pdf","Ibrahim et al., 2005")</f>
        <v>Ibrahim et al., 2005</v>
      </c>
      <c r="B124" s="18" t="s">
        <v>42</v>
      </c>
      <c r="C124" s="18">
        <v>40.0</v>
      </c>
      <c r="D124" s="4" t="str">
        <f>IFERROR(__xludf.DUMMYFUNCTION("join(""; "",A124:C124)"),"Ibrahim et al., 2005; BPTB; 40")</f>
        <v>Ibrahim et al., 2005; BPTB; 40</v>
      </c>
      <c r="E124" s="4" t="s">
        <v>312</v>
      </c>
      <c r="F124" s="4" t="str">
        <f>IFERROR(__xludf.DUMMYFUNCTION("split(E124,"";"",FALSE)"),"Yoo et al., 2017")</f>
        <v>Yoo et al., 2017</v>
      </c>
      <c r="G124" s="4" t="str">
        <f>IFERROR(__xludf.DUMMYFUNCTION("""COMPUTED_VALUE""")," HT")</f>
        <v> HT</v>
      </c>
      <c r="H124" s="4">
        <f>IFERROR(__xludf.DUMMYFUNCTION("""COMPUTED_VALUE"""),68.0)</f>
        <v>68</v>
      </c>
      <c r="J124" s="4" t="s">
        <v>152</v>
      </c>
      <c r="K124" s="4" t="s">
        <v>95</v>
      </c>
      <c r="L124" s="4">
        <v>68.0</v>
      </c>
    </row>
    <row r="125">
      <c r="A125" s="14" t="str">
        <f t="shared" si="24"/>
        <v>Ibrahim et al., 2005</v>
      </c>
      <c r="B125" s="18" t="s">
        <v>42</v>
      </c>
      <c r="C125" s="18">
        <v>40.0</v>
      </c>
      <c r="D125" s="4" t="str">
        <f>IFERROR(__xludf.DUMMYFUNCTION("join(""; "",A125:C125)"),"Ibrahim et al., 2005; BPTB; 40")</f>
        <v>Ibrahim et al., 2005; BPTB; 40</v>
      </c>
      <c r="E125" s="4" t="s">
        <v>313</v>
      </c>
      <c r="F125" s="4" t="str">
        <f>IFERROR(__xludf.DUMMYFUNCTION("split(E125,"";"",FALSE)"),"Yoo et al., 2017")</f>
        <v>Yoo et al., 2017</v>
      </c>
      <c r="G125" s="4" t="str">
        <f>IFERROR(__xludf.DUMMYFUNCTION("""COMPUTED_VALUE""")," TA")</f>
        <v> TA</v>
      </c>
      <c r="H125" s="4">
        <f>IFERROR(__xludf.DUMMYFUNCTION("""COMPUTED_VALUE"""),64.0)</f>
        <v>64</v>
      </c>
      <c r="J125" s="4" t="s">
        <v>152</v>
      </c>
      <c r="K125" s="4" t="s">
        <v>191</v>
      </c>
      <c r="L125" s="4">
        <v>64.0</v>
      </c>
    </row>
    <row r="126">
      <c r="A126" s="14" t="str">
        <f t="shared" si="24"/>
        <v>Ibrahim et al., 2005</v>
      </c>
      <c r="B126" s="18" t="s">
        <v>42</v>
      </c>
      <c r="C126" s="18">
        <v>40.0</v>
      </c>
      <c r="D126" s="4" t="str">
        <f>IFERROR(__xludf.DUMMYFUNCTION("join(""; "",A126:C126)"),"Ibrahim et al., 2005; BPTB; 40")</f>
        <v>Ibrahim et al., 2005; BPTB; 40</v>
      </c>
      <c r="E126" s="4" t="s">
        <v>314</v>
      </c>
      <c r="F126" s="4" t="str">
        <f>IFERROR(__xludf.DUMMYFUNCTION("split(E126,"";"",FALSE)"),"Zaffagnini et al., 2011")</f>
        <v>Zaffagnini et al., 2011</v>
      </c>
      <c r="G126" s="4" t="str">
        <f>IFERROR(__xludf.DUMMYFUNCTION("""COMPUTED_VALUE""")," BPTB")</f>
        <v> BPTB</v>
      </c>
      <c r="H126" s="4">
        <f>IFERROR(__xludf.DUMMYFUNCTION("""COMPUTED_VALUE"""),40.0)</f>
        <v>40</v>
      </c>
      <c r="J126" s="4" t="s">
        <v>154</v>
      </c>
      <c r="K126" s="4" t="s">
        <v>80</v>
      </c>
      <c r="L126" s="4">
        <v>40.0</v>
      </c>
    </row>
    <row r="127">
      <c r="A127" s="14" t="str">
        <f t="shared" si="24"/>
        <v>Ibrahim et al., 2005</v>
      </c>
      <c r="B127" s="18" t="s">
        <v>84</v>
      </c>
      <c r="C127" s="18">
        <v>46.0</v>
      </c>
      <c r="D127" s="4" t="str">
        <f>IFERROR(__xludf.DUMMYFUNCTION("join(""; "",A127:C127)"),"Ibrahim et al., 2005; HT; 46")</f>
        <v>Ibrahim et al., 2005; HT; 46</v>
      </c>
      <c r="E127" s="4" t="s">
        <v>315</v>
      </c>
      <c r="F127" s="4" t="str">
        <f>IFERROR(__xludf.DUMMYFUNCTION("split(E127,"";"",FALSE)"),"Zaffagnini et al., 2011")</f>
        <v>Zaffagnini et al., 2011</v>
      </c>
      <c r="G127" s="4" t="str">
        <f>IFERROR(__xludf.DUMMYFUNCTION("""COMPUTED_VALUE""")," HT")</f>
        <v> HT</v>
      </c>
      <c r="H127" s="4">
        <f>IFERROR(__xludf.DUMMYFUNCTION("""COMPUTED_VALUE"""),39.0)</f>
        <v>39</v>
      </c>
      <c r="J127" s="4" t="s">
        <v>154</v>
      </c>
      <c r="K127" s="4" t="s">
        <v>95</v>
      </c>
      <c r="L127" s="4">
        <v>39.0</v>
      </c>
    </row>
    <row r="128">
      <c r="A128" s="14" t="str">
        <f t="shared" si="24"/>
        <v>Ibrahim et al., 2005</v>
      </c>
      <c r="B128" s="18" t="s">
        <v>84</v>
      </c>
      <c r="C128" s="18">
        <v>46.0</v>
      </c>
      <c r="D128" s="4" t="str">
        <f>IFERROR(__xludf.DUMMYFUNCTION("join(""; "",A128:C128)"),"Ibrahim et al., 2005; HT; 46")</f>
        <v>Ibrahim et al., 2005; HT; 46</v>
      </c>
    </row>
    <row r="129">
      <c r="A129" s="14" t="str">
        <f t="shared" si="24"/>
        <v>Ibrahim et al., 2005</v>
      </c>
      <c r="B129" s="18" t="s">
        <v>84</v>
      </c>
      <c r="C129" s="18">
        <v>45.0</v>
      </c>
      <c r="D129" s="4" t="str">
        <f>IFERROR(__xludf.DUMMYFUNCTION("join(""; "",A129:C129)"),"Ibrahim et al., 2005; HT; 45")</f>
        <v>Ibrahim et al., 2005; HT; 45</v>
      </c>
    </row>
    <row r="130">
      <c r="A130" s="14" t="str">
        <f t="shared" ref="A130:A133" si="25">HYPERLINK("https://github.com/d-wkim/phd/blob/main/data/pdf/iliopoulos_2017.pdf","Iliopoulos et al., 2017")</f>
        <v>Iliopoulos et al., 2017</v>
      </c>
      <c r="B130" s="18" t="s">
        <v>42</v>
      </c>
      <c r="C130" s="65">
        <v>45.0</v>
      </c>
      <c r="D130" s="4" t="str">
        <f>IFERROR(__xludf.DUMMYFUNCTION("join(""; "",A130:C130)"),"Iliopoulos et al., 2017; BPTB; 45")</f>
        <v>Iliopoulos et al., 2017; BPTB; 45</v>
      </c>
    </row>
    <row r="131">
      <c r="A131" s="14" t="str">
        <f t="shared" si="25"/>
        <v>Iliopoulos et al., 2017</v>
      </c>
      <c r="B131" s="18" t="s">
        <v>42</v>
      </c>
      <c r="C131" s="18">
        <v>45.0</v>
      </c>
      <c r="D131" s="4" t="str">
        <f>IFERROR(__xludf.DUMMYFUNCTION("join(""; "",A131:C131)"),"Iliopoulos et al., 2017; BPTB; 45")</f>
        <v>Iliopoulos et al., 2017; BPTB; 45</v>
      </c>
    </row>
    <row r="132">
      <c r="A132" s="14" t="str">
        <f t="shared" si="25"/>
        <v>Iliopoulos et al., 2017</v>
      </c>
      <c r="B132" s="18" t="s">
        <v>84</v>
      </c>
      <c r="C132" s="18">
        <v>45.0</v>
      </c>
      <c r="D132" s="4" t="str">
        <f>IFERROR(__xludf.DUMMYFUNCTION("join(""; "",A132:C132)"),"Iliopoulos et al., 2017; HT; 45")</f>
        <v>Iliopoulos et al., 2017; HT; 45</v>
      </c>
    </row>
    <row r="133">
      <c r="A133" s="14" t="str">
        <f t="shared" si="25"/>
        <v>Iliopoulos et al., 2017</v>
      </c>
      <c r="B133" s="18" t="s">
        <v>84</v>
      </c>
      <c r="C133" s="18">
        <v>45.0</v>
      </c>
      <c r="D133" s="4" t="str">
        <f>IFERROR(__xludf.DUMMYFUNCTION("join(""; "",A133:C133)"),"Iliopoulos et al., 2017; HT; 45")</f>
        <v>Iliopoulos et al., 2017; HT; 45</v>
      </c>
    </row>
    <row r="134">
      <c r="A134" s="14" t="str">
        <f t="shared" ref="A134:A141" si="26">HYPERLINK("https://github.com/d-wkim/phd/blob/main/data/pdf/jansson_2003.pdf","Jansson et al., 2003")</f>
        <v>Jansson et al., 2003</v>
      </c>
      <c r="B134" s="18" t="s">
        <v>42</v>
      </c>
      <c r="C134" s="18">
        <v>43.0</v>
      </c>
      <c r="D134" s="4" t="str">
        <f>IFERROR(__xludf.DUMMYFUNCTION("join(""; "",A134:C134)"),"Jansson et al., 2003; BPTB; 43")</f>
        <v>Jansson et al., 2003; BPTB; 43</v>
      </c>
    </row>
    <row r="135">
      <c r="A135" s="14" t="str">
        <f t="shared" si="26"/>
        <v>Jansson et al., 2003</v>
      </c>
      <c r="B135" s="18" t="s">
        <v>42</v>
      </c>
      <c r="C135" s="18">
        <v>43.0</v>
      </c>
      <c r="D135" s="4" t="str">
        <f>IFERROR(__xludf.DUMMYFUNCTION("join(""; "",A135:C135)"),"Jansson et al., 2003; BPTB; 43")</f>
        <v>Jansson et al., 2003; BPTB; 43</v>
      </c>
    </row>
    <row r="136">
      <c r="A136" s="14" t="str">
        <f t="shared" si="26"/>
        <v>Jansson et al., 2003</v>
      </c>
      <c r="B136" s="18" t="s">
        <v>42</v>
      </c>
      <c r="C136" s="18">
        <v>43.0</v>
      </c>
      <c r="D136" s="4" t="str">
        <f>IFERROR(__xludf.DUMMYFUNCTION("join(""; "",A136:C136)"),"Jansson et al., 2003; BPTB; 43")</f>
        <v>Jansson et al., 2003; BPTB; 43</v>
      </c>
    </row>
    <row r="137">
      <c r="A137" s="14" t="str">
        <f t="shared" si="26"/>
        <v>Jansson et al., 2003</v>
      </c>
      <c r="B137" s="18" t="s">
        <v>42</v>
      </c>
      <c r="C137" s="18">
        <v>43.0</v>
      </c>
      <c r="D137" s="4" t="str">
        <f>IFERROR(__xludf.DUMMYFUNCTION("join(""; "",A137:C137)"),"Jansson et al., 2003; BPTB; 43")</f>
        <v>Jansson et al., 2003; BPTB; 43</v>
      </c>
    </row>
    <row r="138">
      <c r="A138" s="14" t="str">
        <f t="shared" si="26"/>
        <v>Jansson et al., 2003</v>
      </c>
      <c r="B138" s="18" t="s">
        <v>84</v>
      </c>
      <c r="C138" s="18">
        <v>46.0</v>
      </c>
      <c r="D138" s="4" t="str">
        <f>IFERROR(__xludf.DUMMYFUNCTION("join(""; "",A138:C138)"),"Jansson et al., 2003; HT; 46")</f>
        <v>Jansson et al., 2003; HT; 46</v>
      </c>
    </row>
    <row r="139">
      <c r="A139" s="14" t="str">
        <f t="shared" si="26"/>
        <v>Jansson et al., 2003</v>
      </c>
      <c r="B139" s="18" t="s">
        <v>84</v>
      </c>
      <c r="C139" s="18">
        <v>46.0</v>
      </c>
      <c r="D139" s="4" t="str">
        <f>IFERROR(__xludf.DUMMYFUNCTION("join(""; "",A139:C139)"),"Jansson et al., 2003; HT; 46")</f>
        <v>Jansson et al., 2003; HT; 46</v>
      </c>
    </row>
    <row r="140">
      <c r="A140" s="14" t="str">
        <f t="shared" si="26"/>
        <v>Jansson et al., 2003</v>
      </c>
      <c r="B140" s="18" t="s">
        <v>84</v>
      </c>
      <c r="C140" s="18">
        <v>46.0</v>
      </c>
      <c r="D140" s="4" t="str">
        <f>IFERROR(__xludf.DUMMYFUNCTION("join(""; "",A140:C140)"),"Jansson et al., 2003; HT; 46")</f>
        <v>Jansson et al., 2003; HT; 46</v>
      </c>
    </row>
    <row r="141">
      <c r="A141" s="14" t="str">
        <f t="shared" si="26"/>
        <v>Jansson et al., 2003</v>
      </c>
      <c r="B141" s="18" t="s">
        <v>84</v>
      </c>
      <c r="C141" s="18">
        <v>46.0</v>
      </c>
      <c r="D141" s="4" t="str">
        <f>IFERROR(__xludf.DUMMYFUNCTION("join(""; "",A141:C141)"),"Jansson et al., 2003; HT; 46")</f>
        <v>Jansson et al., 2003; HT; 46</v>
      </c>
    </row>
    <row r="142">
      <c r="A142" s="14" t="str">
        <f t="shared" ref="A142:A147" si="27">HYPERLINK("https://github.com/d-wkim/phd/blob/main/data/pdf/kautzner_2015.pdf","Kautzner et al., 2015")</f>
        <v>Kautzner et al., 2015</v>
      </c>
      <c r="B142" s="18" t="s">
        <v>42</v>
      </c>
      <c r="C142" s="18">
        <v>74.0</v>
      </c>
      <c r="D142" s="4" t="str">
        <f>IFERROR(__xludf.DUMMYFUNCTION("join(""; "",A142:C142)"),"Kautzner et al., 2015; BPTB; 74")</f>
        <v>Kautzner et al., 2015; BPTB; 74</v>
      </c>
    </row>
    <row r="143">
      <c r="A143" s="14" t="str">
        <f t="shared" si="27"/>
        <v>Kautzner et al., 2015</v>
      </c>
      <c r="B143" s="18" t="s">
        <v>42</v>
      </c>
      <c r="C143" s="18">
        <v>74.0</v>
      </c>
      <c r="D143" s="4" t="str">
        <f>IFERROR(__xludf.DUMMYFUNCTION("join(""; "",A143:C143)"),"Kautzner et al., 2015; BPTB; 74")</f>
        <v>Kautzner et al., 2015; BPTB; 74</v>
      </c>
    </row>
    <row r="144">
      <c r="A144" s="14" t="str">
        <f t="shared" si="27"/>
        <v>Kautzner et al., 2015</v>
      </c>
      <c r="B144" s="18" t="s">
        <v>42</v>
      </c>
      <c r="C144" s="18">
        <v>74.0</v>
      </c>
      <c r="D144" s="4" t="str">
        <f>IFERROR(__xludf.DUMMYFUNCTION("join(""; "",A144:C144)"),"Kautzner et al., 2015; BPTB; 74")</f>
        <v>Kautzner et al., 2015; BPTB; 74</v>
      </c>
    </row>
    <row r="145">
      <c r="A145" s="14" t="str">
        <f t="shared" si="27"/>
        <v>Kautzner et al., 2015</v>
      </c>
      <c r="B145" s="18" t="s">
        <v>84</v>
      </c>
      <c r="C145" s="18">
        <v>73.0</v>
      </c>
      <c r="D145" s="4" t="str">
        <f>IFERROR(__xludf.DUMMYFUNCTION("join(""; "",A145:C145)"),"Kautzner et al., 2015; HT; 73")</f>
        <v>Kautzner et al., 2015; HT; 73</v>
      </c>
    </row>
    <row r="146">
      <c r="A146" s="14" t="str">
        <f t="shared" si="27"/>
        <v>Kautzner et al., 2015</v>
      </c>
      <c r="B146" s="18" t="s">
        <v>84</v>
      </c>
      <c r="C146" s="18">
        <v>73.0</v>
      </c>
      <c r="D146" s="4" t="str">
        <f>IFERROR(__xludf.DUMMYFUNCTION("join(""; "",A146:C146)"),"Kautzner et al., 2015; HT; 73")</f>
        <v>Kautzner et al., 2015; HT; 73</v>
      </c>
    </row>
    <row r="147">
      <c r="A147" s="14" t="str">
        <f t="shared" si="27"/>
        <v>Kautzner et al., 2015</v>
      </c>
      <c r="B147" s="18" t="s">
        <v>84</v>
      </c>
      <c r="C147" s="18">
        <v>73.0</v>
      </c>
      <c r="D147" s="4" t="str">
        <f>IFERROR(__xludf.DUMMYFUNCTION("join(""; "",A147:C147)"),"Kautzner et al., 2015; HT; 73")</f>
        <v>Kautzner et al., 2015; HT; 73</v>
      </c>
    </row>
    <row r="148">
      <c r="A148" s="14" t="str">
        <f t="shared" ref="A148:A151" si="28">HYPERLINK("https://github.com/d-wkim/phd/blob/main/data/pdf/komzak_2022.pdf","Komzak et al., 2022")</f>
        <v>Komzak et al., 2022</v>
      </c>
      <c r="B148" s="18" t="s">
        <v>42</v>
      </c>
      <c r="C148" s="18">
        <v>36.0</v>
      </c>
      <c r="D148" s="4" t="str">
        <f>IFERROR(__xludf.DUMMYFUNCTION("join(""; "",A148:C148)"),"Komzak et al., 2022; BPTB; 36")</f>
        <v>Komzak et al., 2022; BPTB; 36</v>
      </c>
    </row>
    <row r="149">
      <c r="A149" s="14" t="str">
        <f t="shared" si="28"/>
        <v>Komzak et al., 2022</v>
      </c>
      <c r="B149" s="18" t="s">
        <v>42</v>
      </c>
      <c r="C149" s="18">
        <v>36.0</v>
      </c>
      <c r="D149" s="4" t="str">
        <f>IFERROR(__xludf.DUMMYFUNCTION("join(""; "",A149:C149)"),"Komzak et al., 2022; BPTB; 36")</f>
        <v>Komzak et al., 2022; BPTB; 36</v>
      </c>
    </row>
    <row r="150">
      <c r="A150" s="14" t="str">
        <f t="shared" si="28"/>
        <v>Komzak et al., 2022</v>
      </c>
      <c r="B150" s="18" t="s">
        <v>200</v>
      </c>
      <c r="C150" s="18">
        <v>36.0</v>
      </c>
      <c r="D150" s="4" t="str">
        <f>IFERROR(__xludf.DUMMYFUNCTION("join(""; "",A150:C150)"),"Komzak et al., 2022; QT; 36")</f>
        <v>Komzak et al., 2022; QT; 36</v>
      </c>
    </row>
    <row r="151">
      <c r="A151" s="14" t="str">
        <f t="shared" si="28"/>
        <v>Komzak et al., 2022</v>
      </c>
      <c r="B151" s="18" t="s">
        <v>200</v>
      </c>
      <c r="C151" s="18">
        <v>36.0</v>
      </c>
      <c r="D151" s="4" t="str">
        <f>IFERROR(__xludf.DUMMYFUNCTION("join(""; "",A151:C151)"),"Komzak et al., 2022; QT; 36")</f>
        <v>Komzak et al., 2022; QT; 36</v>
      </c>
    </row>
    <row r="152">
      <c r="A152" s="14" t="str">
        <f t="shared" ref="A152:A159" si="29">HYPERLINK("https://github.com/d-wkim/phd/blob/main/data/pdf/konrads_2016.pdf","Konrads et al., 2016")</f>
        <v>Konrads et al., 2016</v>
      </c>
      <c r="B152" s="18" t="s">
        <v>42</v>
      </c>
      <c r="C152" s="18">
        <v>24.0</v>
      </c>
      <c r="D152" s="4" t="str">
        <f>IFERROR(__xludf.DUMMYFUNCTION("join(""; "",A152:C152)"),"Konrads et al., 2016; BPTB; 24")</f>
        <v>Konrads et al., 2016; BPTB; 24</v>
      </c>
    </row>
    <row r="153">
      <c r="A153" s="14" t="str">
        <f t="shared" si="29"/>
        <v>Konrads et al., 2016</v>
      </c>
      <c r="B153" s="18" t="s">
        <v>42</v>
      </c>
      <c r="C153" s="18">
        <v>24.0</v>
      </c>
      <c r="D153" s="4" t="str">
        <f>IFERROR(__xludf.DUMMYFUNCTION("join(""; "",A153:C153)"),"Konrads et al., 2016; BPTB; 24")</f>
        <v>Konrads et al., 2016; BPTB; 24</v>
      </c>
    </row>
    <row r="154">
      <c r="A154" s="14" t="str">
        <f t="shared" si="29"/>
        <v>Konrads et al., 2016</v>
      </c>
      <c r="B154" s="18" t="s">
        <v>42</v>
      </c>
      <c r="C154" s="18">
        <v>24.0</v>
      </c>
      <c r="D154" s="4" t="str">
        <f>IFERROR(__xludf.DUMMYFUNCTION("join(""; "",A154:C154)"),"Konrads et al., 2016; BPTB; 24")</f>
        <v>Konrads et al., 2016; BPTB; 24</v>
      </c>
    </row>
    <row r="155">
      <c r="A155" s="14" t="str">
        <f t="shared" si="29"/>
        <v>Konrads et al., 2016</v>
      </c>
      <c r="B155" s="18" t="s">
        <v>42</v>
      </c>
      <c r="C155" s="18">
        <v>24.0</v>
      </c>
      <c r="D155" s="4" t="str">
        <f>IFERROR(__xludf.DUMMYFUNCTION("join(""; "",A155:C155)"),"Konrads et al., 2016; BPTB; 24")</f>
        <v>Konrads et al., 2016; BPTB; 24</v>
      </c>
    </row>
    <row r="156">
      <c r="A156" s="14" t="str">
        <f t="shared" si="29"/>
        <v>Konrads et al., 2016</v>
      </c>
      <c r="B156" s="18" t="s">
        <v>84</v>
      </c>
      <c r="C156" s="18">
        <v>23.0</v>
      </c>
      <c r="D156" s="4" t="str">
        <f>IFERROR(__xludf.DUMMYFUNCTION("join(""; "",A156:C156)"),"Konrads et al., 2016; HT; 23")</f>
        <v>Konrads et al., 2016; HT; 23</v>
      </c>
    </row>
    <row r="157">
      <c r="A157" s="14" t="str">
        <f t="shared" si="29"/>
        <v>Konrads et al., 2016</v>
      </c>
      <c r="B157" s="18" t="s">
        <v>84</v>
      </c>
      <c r="C157" s="18">
        <v>23.0</v>
      </c>
      <c r="D157" s="4" t="str">
        <f>IFERROR(__xludf.DUMMYFUNCTION("join(""; "",A157:C157)"),"Konrads et al., 2016; HT; 23")</f>
        <v>Konrads et al., 2016; HT; 23</v>
      </c>
    </row>
    <row r="158">
      <c r="A158" s="14" t="str">
        <f t="shared" si="29"/>
        <v>Konrads et al., 2016</v>
      </c>
      <c r="B158" s="18" t="s">
        <v>84</v>
      </c>
      <c r="C158" s="18">
        <v>23.0</v>
      </c>
      <c r="D158" s="4" t="str">
        <f>IFERROR(__xludf.DUMMYFUNCTION("join(""; "",A158:C158)"),"Konrads et al., 2016; HT; 23")</f>
        <v>Konrads et al., 2016; HT; 23</v>
      </c>
    </row>
    <row r="159">
      <c r="A159" s="14" t="str">
        <f t="shared" si="29"/>
        <v>Konrads et al., 2016</v>
      </c>
      <c r="B159" s="18" t="s">
        <v>84</v>
      </c>
      <c r="C159" s="18">
        <v>23.0</v>
      </c>
      <c r="D159" s="4" t="str">
        <f>IFERROR(__xludf.DUMMYFUNCTION("join(""; "",A159:C159)"),"Konrads et al., 2016; HT; 23")</f>
        <v>Konrads et al., 2016; HT; 23</v>
      </c>
    </row>
    <row r="160">
      <c r="A160" s="14" t="str">
        <f t="shared" ref="A160:A163" si="30">HYPERLINK("https://github.com/d-wkim/phd/blob/main/data/pdf/laoruengthana_2009.pdf","Laoruengthana et al., 2009")</f>
        <v>Laoruengthana et al., 2009</v>
      </c>
      <c r="B160" s="18" t="s">
        <v>42</v>
      </c>
      <c r="C160" s="18">
        <v>15.0</v>
      </c>
      <c r="D160" s="4" t="str">
        <f>IFERROR(__xludf.DUMMYFUNCTION("join(""; "",A160:C160)"),"Laoruengthana et al., 2009; BPTB; 15")</f>
        <v>Laoruengthana et al., 2009; BPTB; 15</v>
      </c>
    </row>
    <row r="161">
      <c r="A161" s="14" t="str">
        <f t="shared" si="30"/>
        <v>Laoruengthana et al., 2009</v>
      </c>
      <c r="B161" s="18" t="s">
        <v>42</v>
      </c>
      <c r="C161" s="18">
        <v>15.0</v>
      </c>
      <c r="D161" s="4" t="str">
        <f>IFERROR(__xludf.DUMMYFUNCTION("join(""; "",A161:C161)"),"Laoruengthana et al., 2009; BPTB; 15")</f>
        <v>Laoruengthana et al., 2009; BPTB; 15</v>
      </c>
    </row>
    <row r="162">
      <c r="A162" s="14" t="str">
        <f t="shared" si="30"/>
        <v>Laoruengthana et al., 2009</v>
      </c>
      <c r="B162" s="18" t="s">
        <v>84</v>
      </c>
      <c r="C162" s="18">
        <v>13.0</v>
      </c>
      <c r="D162" s="4" t="str">
        <f>IFERROR(__xludf.DUMMYFUNCTION("join(""; "",A162:C162)"),"Laoruengthana et al., 2009; HT; 13")</f>
        <v>Laoruengthana et al., 2009; HT; 13</v>
      </c>
    </row>
    <row r="163">
      <c r="A163" s="14" t="str">
        <f t="shared" si="30"/>
        <v>Laoruengthana et al., 2009</v>
      </c>
      <c r="B163" s="18" t="s">
        <v>84</v>
      </c>
      <c r="C163" s="18">
        <v>13.0</v>
      </c>
      <c r="D163" s="4" t="str">
        <f>IFERROR(__xludf.DUMMYFUNCTION("join(""; "",A163:C163)"),"Laoruengthana et al., 2009; HT; 13")</f>
        <v>Laoruengthana et al., 2009; HT; 13</v>
      </c>
    </row>
    <row r="164">
      <c r="A164" s="14" t="str">
        <f t="shared" ref="A164:A165" si="31">HYPERLINK("https://github.com/d-wkim/phd/blob/main/data/pdf/lawhorn_2012.pdf","Lawhorn et al., 2012")</f>
        <v>Lawhorn et al., 2012</v>
      </c>
      <c r="B164" s="18" t="s">
        <v>84</v>
      </c>
      <c r="C164" s="18">
        <v>48.0</v>
      </c>
      <c r="D164" s="4" t="str">
        <f>IFERROR(__xludf.DUMMYFUNCTION("join(""; "",A164:C164)"),"Lawhorn et al., 2012; HT; 48")</f>
        <v>Lawhorn et al., 2012; HT; 48</v>
      </c>
    </row>
    <row r="165">
      <c r="A165" s="14" t="str">
        <f t="shared" si="31"/>
        <v>Lawhorn et al., 2012</v>
      </c>
      <c r="B165" s="18" t="s">
        <v>205</v>
      </c>
      <c r="C165" s="18">
        <v>44.0</v>
      </c>
      <c r="D165" s="4" t="str">
        <f>IFERROR(__xludf.DUMMYFUNCTION("join(""; "",A165:C165)"),"Lawhorn et al., 2012; TA; 44")</f>
        <v>Lawhorn et al., 2012; TA; 44</v>
      </c>
    </row>
    <row r="166">
      <c r="A166" s="14" t="str">
        <f t="shared" ref="A166:A173" si="32">HYPERLINK("https://github.com/d-wkim/phd/blob/main/data/pdf/laxdal_2005.pdf","Laxdal et al., 2005")</f>
        <v>Laxdal et al., 2005</v>
      </c>
      <c r="B166" s="18" t="s">
        <v>42</v>
      </c>
      <c r="C166" s="18">
        <v>40.0</v>
      </c>
      <c r="D166" s="4" t="str">
        <f>IFERROR(__xludf.DUMMYFUNCTION("join(""; "",A166:C166)"),"Laxdal et al., 2005; BPTB; 40")</f>
        <v>Laxdal et al., 2005; BPTB; 40</v>
      </c>
    </row>
    <row r="167">
      <c r="A167" s="14" t="str">
        <f t="shared" si="32"/>
        <v>Laxdal et al., 2005</v>
      </c>
      <c r="B167" s="18" t="s">
        <v>42</v>
      </c>
      <c r="C167" s="18">
        <v>40.0</v>
      </c>
      <c r="D167" s="4" t="str">
        <f>IFERROR(__xludf.DUMMYFUNCTION("join(""; "",A167:C167)"),"Laxdal et al., 2005; BPTB; 40")</f>
        <v>Laxdal et al., 2005; BPTB; 40</v>
      </c>
    </row>
    <row r="168">
      <c r="A168" s="14" t="str">
        <f t="shared" si="32"/>
        <v>Laxdal et al., 2005</v>
      </c>
      <c r="B168" s="18" t="s">
        <v>42</v>
      </c>
      <c r="C168" s="18">
        <v>40.0</v>
      </c>
      <c r="D168" s="4" t="str">
        <f>IFERROR(__xludf.DUMMYFUNCTION("join(""; "",A168:C168)"),"Laxdal et al., 2005; BPTB; 40")</f>
        <v>Laxdal et al., 2005; BPTB; 40</v>
      </c>
    </row>
    <row r="169">
      <c r="A169" s="14" t="str">
        <f t="shared" si="32"/>
        <v>Laxdal et al., 2005</v>
      </c>
      <c r="B169" s="18" t="s">
        <v>42</v>
      </c>
      <c r="C169" s="18">
        <v>40.0</v>
      </c>
      <c r="D169" s="4" t="str">
        <f>IFERROR(__xludf.DUMMYFUNCTION("join(""; "",A169:C169)"),"Laxdal et al., 2005; BPTB; 40")</f>
        <v>Laxdal et al., 2005; BPTB; 40</v>
      </c>
    </row>
    <row r="170">
      <c r="A170" s="14" t="str">
        <f t="shared" si="32"/>
        <v>Laxdal et al., 2005</v>
      </c>
      <c r="B170" s="18" t="s">
        <v>84</v>
      </c>
      <c r="C170" s="18">
        <v>78.0</v>
      </c>
      <c r="D170" s="4" t="str">
        <f>IFERROR(__xludf.DUMMYFUNCTION("join(""; "",A170:C170)"),"Laxdal et al., 2005; HT; 78")</f>
        <v>Laxdal et al., 2005; HT; 78</v>
      </c>
    </row>
    <row r="171">
      <c r="A171" s="14" t="str">
        <f t="shared" si="32"/>
        <v>Laxdal et al., 2005</v>
      </c>
      <c r="B171" s="18" t="s">
        <v>84</v>
      </c>
      <c r="C171" s="18">
        <v>78.0</v>
      </c>
      <c r="D171" s="4" t="str">
        <f>IFERROR(__xludf.DUMMYFUNCTION("join(""; "",A171:C171)"),"Laxdal et al., 2005; HT; 78")</f>
        <v>Laxdal et al., 2005; HT; 78</v>
      </c>
    </row>
    <row r="172">
      <c r="A172" s="14" t="str">
        <f t="shared" si="32"/>
        <v>Laxdal et al., 2005</v>
      </c>
      <c r="B172" s="18" t="s">
        <v>84</v>
      </c>
      <c r="C172" s="18">
        <v>78.0</v>
      </c>
      <c r="D172" s="4" t="str">
        <f>IFERROR(__xludf.DUMMYFUNCTION("join(""; "",A172:C172)"),"Laxdal et al., 2005; HT; 78")</f>
        <v>Laxdal et al., 2005; HT; 78</v>
      </c>
    </row>
    <row r="173">
      <c r="A173" s="14" t="str">
        <f t="shared" si="32"/>
        <v>Laxdal et al., 2005</v>
      </c>
      <c r="B173" s="18" t="s">
        <v>84</v>
      </c>
      <c r="C173" s="18">
        <v>78.0</v>
      </c>
      <c r="D173" s="4" t="str">
        <f>IFERROR(__xludf.DUMMYFUNCTION("join(""; "",A173:C173)"),"Laxdal et al., 2005; HT; 78")</f>
        <v>Laxdal et al., 2005; HT; 78</v>
      </c>
    </row>
    <row r="174">
      <c r="A174" s="14" t="str">
        <f t="shared" ref="A174:A185" si="33">HYPERLINK("https://github.com/d-wkim/phd/blob/main/data/pdf/li_2015.pdf","Li et al., 2015")</f>
        <v>Li et al., 2015</v>
      </c>
      <c r="B174" s="18" t="s">
        <v>84</v>
      </c>
      <c r="C174" s="18">
        <v>32.0</v>
      </c>
      <c r="D174" s="4" t="str">
        <f>IFERROR(__xludf.DUMMYFUNCTION("join(""; "",A174:C174)"),"Li et al., 2015; HT; 32")</f>
        <v>Li et al., 2015; HT; 32</v>
      </c>
    </row>
    <row r="175">
      <c r="A175" s="14" t="str">
        <f t="shared" si="33"/>
        <v>Li et al., 2015</v>
      </c>
      <c r="B175" s="18" t="s">
        <v>84</v>
      </c>
      <c r="C175" s="18">
        <v>32.0</v>
      </c>
      <c r="D175" s="4" t="str">
        <f>IFERROR(__xludf.DUMMYFUNCTION("join(""; "",A175:C175)"),"Li et al., 2015; HT; 32")</f>
        <v>Li et al., 2015; HT; 32</v>
      </c>
    </row>
    <row r="176">
      <c r="A176" s="14" t="str">
        <f t="shared" si="33"/>
        <v>Li et al., 2015</v>
      </c>
      <c r="B176" s="18" t="s">
        <v>84</v>
      </c>
      <c r="C176" s="18">
        <v>32.0</v>
      </c>
      <c r="D176" s="4" t="str">
        <f>IFERROR(__xludf.DUMMYFUNCTION("join(""; "",A176:C176)"),"Li et al., 2015; HT; 32")</f>
        <v>Li et al., 2015; HT; 32</v>
      </c>
    </row>
    <row r="177">
      <c r="A177" s="14" t="str">
        <f t="shared" si="33"/>
        <v>Li et al., 2015</v>
      </c>
      <c r="B177" s="18" t="s">
        <v>84</v>
      </c>
      <c r="C177" s="18">
        <v>32.0</v>
      </c>
      <c r="D177" s="4" t="str">
        <f>IFERROR(__xludf.DUMMYFUNCTION("join(""; "",A177:C177)"),"Li et al., 2015; HT; 32")</f>
        <v>Li et al., 2015; HT; 32</v>
      </c>
    </row>
    <row r="178">
      <c r="A178" s="14" t="str">
        <f t="shared" si="33"/>
        <v>Li et al., 2015</v>
      </c>
      <c r="B178" s="18" t="s">
        <v>84</v>
      </c>
      <c r="C178" s="18">
        <v>32.0</v>
      </c>
      <c r="D178" s="4" t="str">
        <f>IFERROR(__xludf.DUMMYFUNCTION("join(""; "",A178:C178)"),"Li et al., 2015; HT; 32")</f>
        <v>Li et al., 2015; HT; 32</v>
      </c>
    </row>
    <row r="179">
      <c r="A179" s="14" t="str">
        <f t="shared" si="33"/>
        <v>Li et al., 2015</v>
      </c>
      <c r="B179" s="18" t="s">
        <v>84</v>
      </c>
      <c r="C179" s="18">
        <v>32.0</v>
      </c>
      <c r="D179" s="4" t="str">
        <f>IFERROR(__xludf.DUMMYFUNCTION("join(""; "",A179:C179)"),"Li et al., 2015; HT; 32")</f>
        <v>Li et al., 2015; HT; 32</v>
      </c>
    </row>
    <row r="180">
      <c r="A180" s="14" t="str">
        <f t="shared" si="33"/>
        <v>Li et al., 2015</v>
      </c>
      <c r="B180" s="18" t="s">
        <v>205</v>
      </c>
      <c r="C180" s="18">
        <v>32.0</v>
      </c>
      <c r="D180" s="4" t="str">
        <f>IFERROR(__xludf.DUMMYFUNCTION("join(""; "",A180:C180)"),"Li et al., 2015; TA; 32")</f>
        <v>Li et al., 2015; TA; 32</v>
      </c>
    </row>
    <row r="181">
      <c r="A181" s="14" t="str">
        <f t="shared" si="33"/>
        <v>Li et al., 2015</v>
      </c>
      <c r="B181" s="18" t="s">
        <v>205</v>
      </c>
      <c r="C181" s="18">
        <v>32.0</v>
      </c>
      <c r="D181" s="4" t="str">
        <f>IFERROR(__xludf.DUMMYFUNCTION("join(""; "",A181:C181)"),"Li et al., 2015; TA; 32")</f>
        <v>Li et al., 2015; TA; 32</v>
      </c>
    </row>
    <row r="182">
      <c r="A182" s="14" t="str">
        <f t="shared" si="33"/>
        <v>Li et al., 2015</v>
      </c>
      <c r="B182" s="18" t="s">
        <v>205</v>
      </c>
      <c r="C182" s="18">
        <v>32.0</v>
      </c>
      <c r="D182" s="4" t="str">
        <f>IFERROR(__xludf.DUMMYFUNCTION("join(""; "",A182:C182)"),"Li et al., 2015; TA; 32")</f>
        <v>Li et al., 2015; TA; 32</v>
      </c>
    </row>
    <row r="183">
      <c r="A183" s="14" t="str">
        <f t="shared" si="33"/>
        <v>Li et al., 2015</v>
      </c>
      <c r="B183" s="18" t="s">
        <v>205</v>
      </c>
      <c r="C183" s="18">
        <v>32.0</v>
      </c>
      <c r="D183" s="4" t="str">
        <f>IFERROR(__xludf.DUMMYFUNCTION("join(""; "",A183:C183)"),"Li et al., 2015; TA; 32")</f>
        <v>Li et al., 2015; TA; 32</v>
      </c>
    </row>
    <row r="184">
      <c r="A184" s="14" t="str">
        <f t="shared" si="33"/>
        <v>Li et al., 2015</v>
      </c>
      <c r="B184" s="18" t="s">
        <v>205</v>
      </c>
      <c r="C184" s="18">
        <v>32.0</v>
      </c>
      <c r="D184" s="4" t="str">
        <f>IFERROR(__xludf.DUMMYFUNCTION("join(""; "",A184:C184)"),"Li et al., 2015; TA; 32")</f>
        <v>Li et al., 2015; TA; 32</v>
      </c>
    </row>
    <row r="185">
      <c r="A185" s="14" t="str">
        <f t="shared" si="33"/>
        <v>Li et al., 2015</v>
      </c>
      <c r="B185" s="18" t="s">
        <v>205</v>
      </c>
      <c r="C185" s="18">
        <v>32.0</v>
      </c>
      <c r="D185" s="4" t="str">
        <f>IFERROR(__xludf.DUMMYFUNCTION("join(""; "",A185:C185)"),"Li et al., 2015; TA; 32")</f>
        <v>Li et al., 2015; TA; 32</v>
      </c>
    </row>
    <row r="186">
      <c r="A186" s="14" t="str">
        <f t="shared" ref="A186:A193" si="34">HYPERLINK("https://github.com/d-wkim/phd/blob/main/data/pdf/lidén_2007.pdf","Lidén et al., 2007")</f>
        <v>Lidén et al., 2007</v>
      </c>
      <c r="B186" s="18" t="s">
        <v>42</v>
      </c>
      <c r="C186" s="18">
        <v>30.0</v>
      </c>
      <c r="D186" s="4" t="str">
        <f>IFERROR(__xludf.DUMMYFUNCTION("join(""; "",A186:C186)"),"Lidén et al., 2007; BPTB; 30")</f>
        <v>Lidén et al., 2007; BPTB; 30</v>
      </c>
    </row>
    <row r="187">
      <c r="A187" s="14" t="str">
        <f t="shared" si="34"/>
        <v>Lidén et al., 2007</v>
      </c>
      <c r="B187" s="18" t="s">
        <v>42</v>
      </c>
      <c r="C187" s="18">
        <v>30.0</v>
      </c>
      <c r="D187" s="4" t="str">
        <f>IFERROR(__xludf.DUMMYFUNCTION("join(""; "",A187:C187)"),"Lidén et al., 2007; BPTB; 30")</f>
        <v>Lidén et al., 2007; BPTB; 30</v>
      </c>
    </row>
    <row r="188">
      <c r="A188" s="14" t="str">
        <f t="shared" si="34"/>
        <v>Lidén et al., 2007</v>
      </c>
      <c r="B188" s="18" t="s">
        <v>42</v>
      </c>
      <c r="C188" s="18">
        <v>30.0</v>
      </c>
      <c r="D188" s="4" t="str">
        <f>IFERROR(__xludf.DUMMYFUNCTION("join(""; "",A188:C188)"),"Lidén et al., 2007; BPTB; 30")</f>
        <v>Lidén et al., 2007; BPTB; 30</v>
      </c>
    </row>
    <row r="189">
      <c r="A189" s="14" t="str">
        <f t="shared" si="34"/>
        <v>Lidén et al., 2007</v>
      </c>
      <c r="B189" s="18" t="s">
        <v>42</v>
      </c>
      <c r="C189" s="18">
        <v>30.0</v>
      </c>
      <c r="D189" s="4" t="str">
        <f>IFERROR(__xludf.DUMMYFUNCTION("join(""; "",A189:C189)"),"Lidén et al., 2007; BPTB; 30")</f>
        <v>Lidén et al., 2007; BPTB; 30</v>
      </c>
    </row>
    <row r="190">
      <c r="A190" s="14" t="str">
        <f t="shared" si="34"/>
        <v>Lidén et al., 2007</v>
      </c>
      <c r="B190" s="18" t="s">
        <v>84</v>
      </c>
      <c r="C190" s="18">
        <v>32.0</v>
      </c>
      <c r="D190" s="4" t="str">
        <f>IFERROR(__xludf.DUMMYFUNCTION("join(""; "",A190:C190)"),"Lidén et al., 2007; HT; 32")</f>
        <v>Lidén et al., 2007; HT; 32</v>
      </c>
    </row>
    <row r="191">
      <c r="A191" s="14" t="str">
        <f t="shared" si="34"/>
        <v>Lidén et al., 2007</v>
      </c>
      <c r="B191" s="18" t="s">
        <v>84</v>
      </c>
      <c r="C191" s="18">
        <v>32.0</v>
      </c>
      <c r="D191" s="4" t="str">
        <f>IFERROR(__xludf.DUMMYFUNCTION("join(""; "",A191:C191)"),"Lidén et al., 2007; HT; 32")</f>
        <v>Lidén et al., 2007; HT; 32</v>
      </c>
    </row>
    <row r="192">
      <c r="A192" s="14" t="str">
        <f t="shared" si="34"/>
        <v>Lidén et al., 2007</v>
      </c>
      <c r="B192" s="18" t="s">
        <v>84</v>
      </c>
      <c r="C192" s="18">
        <v>32.0</v>
      </c>
      <c r="D192" s="4" t="str">
        <f>IFERROR(__xludf.DUMMYFUNCTION("join(""; "",A192:C192)"),"Lidén et al., 2007; HT; 32")</f>
        <v>Lidén et al., 2007; HT; 32</v>
      </c>
    </row>
    <row r="193">
      <c r="A193" s="14" t="str">
        <f t="shared" si="34"/>
        <v>Lidén et al., 2007</v>
      </c>
      <c r="B193" s="18" t="s">
        <v>84</v>
      </c>
      <c r="C193" s="18">
        <v>32.0</v>
      </c>
      <c r="D193" s="4" t="str">
        <f>IFERROR(__xludf.DUMMYFUNCTION("join(""; "",A193:C193)"),"Lidén et al., 2007; HT; 32")</f>
        <v>Lidén et al., 2007; HT; 32</v>
      </c>
    </row>
    <row r="194">
      <c r="A194" s="14" t="str">
        <f t="shared" ref="A194:A201" si="35">HYPERLINK("https://github.com/d-wkim/phd/blob/main/data/pdf/lind_2020.pdf","Lind et al., 2020")</f>
        <v>Lind et al., 2020</v>
      </c>
      <c r="B194" s="18" t="s">
        <v>84</v>
      </c>
      <c r="C194" s="18">
        <v>49.0</v>
      </c>
      <c r="D194" s="4" t="str">
        <f>IFERROR(__xludf.DUMMYFUNCTION("join(""; "",A194:C194)"),"Lind et al., 2020; HT; 49")</f>
        <v>Lind et al., 2020; HT; 49</v>
      </c>
    </row>
    <row r="195">
      <c r="A195" s="14" t="str">
        <f t="shared" si="35"/>
        <v>Lind et al., 2020</v>
      </c>
      <c r="B195" s="18" t="s">
        <v>84</v>
      </c>
      <c r="C195" s="18">
        <v>49.0</v>
      </c>
      <c r="D195" s="4" t="str">
        <f>IFERROR(__xludf.DUMMYFUNCTION("join(""; "",A195:C195)"),"Lind et al., 2020; HT; 49")</f>
        <v>Lind et al., 2020; HT; 49</v>
      </c>
    </row>
    <row r="196">
      <c r="A196" s="14" t="str">
        <f t="shared" si="35"/>
        <v>Lind et al., 2020</v>
      </c>
      <c r="B196" s="18" t="s">
        <v>84</v>
      </c>
      <c r="C196" s="18">
        <v>49.0</v>
      </c>
      <c r="D196" s="4" t="str">
        <f>IFERROR(__xludf.DUMMYFUNCTION("join(""; "",A196:C196)"),"Lind et al., 2020; HT; 49")</f>
        <v>Lind et al., 2020; HT; 49</v>
      </c>
    </row>
    <row r="197">
      <c r="A197" s="14" t="str">
        <f t="shared" si="35"/>
        <v>Lind et al., 2020</v>
      </c>
      <c r="B197" s="18" t="s">
        <v>84</v>
      </c>
      <c r="C197" s="18">
        <v>49.0</v>
      </c>
      <c r="D197" s="4" t="str">
        <f>IFERROR(__xludf.DUMMYFUNCTION("join(""; "",A197:C197)"),"Lind et al., 2020; HT; 49")</f>
        <v>Lind et al., 2020; HT; 49</v>
      </c>
    </row>
    <row r="198">
      <c r="A198" s="14" t="str">
        <f t="shared" si="35"/>
        <v>Lind et al., 2020</v>
      </c>
      <c r="B198" s="18" t="s">
        <v>200</v>
      </c>
      <c r="C198" s="18">
        <v>47.0</v>
      </c>
      <c r="D198" s="4" t="str">
        <f>IFERROR(__xludf.DUMMYFUNCTION("join(""; "",A198:C198)"),"Lind et al., 2020; QT; 47")</f>
        <v>Lind et al., 2020; QT; 47</v>
      </c>
    </row>
    <row r="199">
      <c r="A199" s="14" t="str">
        <f t="shared" si="35"/>
        <v>Lind et al., 2020</v>
      </c>
      <c r="B199" s="18" t="s">
        <v>200</v>
      </c>
      <c r="C199" s="18">
        <v>47.0</v>
      </c>
      <c r="D199" s="4" t="str">
        <f>IFERROR(__xludf.DUMMYFUNCTION("join(""; "",A199:C199)"),"Lind et al., 2020; QT; 47")</f>
        <v>Lind et al., 2020; QT; 47</v>
      </c>
    </row>
    <row r="200">
      <c r="A200" s="14" t="str">
        <f t="shared" si="35"/>
        <v>Lind et al., 2020</v>
      </c>
      <c r="B200" s="18" t="s">
        <v>200</v>
      </c>
      <c r="C200" s="18">
        <v>47.0</v>
      </c>
      <c r="D200" s="4" t="str">
        <f>IFERROR(__xludf.DUMMYFUNCTION("join(""; "",A200:C200)"),"Lind et al., 2020; QT; 47")</f>
        <v>Lind et al., 2020; QT; 47</v>
      </c>
    </row>
    <row r="201">
      <c r="A201" s="14" t="str">
        <f t="shared" si="35"/>
        <v>Lind et al., 2020</v>
      </c>
      <c r="B201" s="18" t="s">
        <v>200</v>
      </c>
      <c r="C201" s="18">
        <v>47.0</v>
      </c>
      <c r="D201" s="4" t="str">
        <f>IFERROR(__xludf.DUMMYFUNCTION("join(""; "",A201:C201)"),"Lind et al., 2020; QT; 47")</f>
        <v>Lind et al., 2020; QT; 47</v>
      </c>
    </row>
    <row r="202">
      <c r="A202" s="14" t="str">
        <f t="shared" ref="A202:A213" si="36">HYPERLINK("https://github.com/d-wkim/phd/blob/main/data/pdf/lucidi_2025.pdf","Lucidi et al., 2025")</f>
        <v>Lucidi et al., 2025</v>
      </c>
      <c r="B202" s="18" t="s">
        <v>42</v>
      </c>
      <c r="C202" s="18">
        <v>19.0</v>
      </c>
      <c r="D202" s="4" t="str">
        <f>IFERROR(__xludf.DUMMYFUNCTION("join(""; "",A202:C202)"),"Lucidi et al., 2025; BPTB; 19")</f>
        <v>Lucidi et al., 2025; BPTB; 19</v>
      </c>
    </row>
    <row r="203">
      <c r="A203" s="14" t="str">
        <f t="shared" si="36"/>
        <v>Lucidi et al., 2025</v>
      </c>
      <c r="B203" s="18" t="s">
        <v>42</v>
      </c>
      <c r="C203" s="18">
        <v>19.0</v>
      </c>
      <c r="D203" s="4" t="str">
        <f>IFERROR(__xludf.DUMMYFUNCTION("join(""; "",A203:C203)"),"Lucidi et al., 2025; BPTB; 19")</f>
        <v>Lucidi et al., 2025; BPTB; 19</v>
      </c>
    </row>
    <row r="204">
      <c r="A204" s="14" t="str">
        <f t="shared" si="36"/>
        <v>Lucidi et al., 2025</v>
      </c>
      <c r="B204" s="18" t="s">
        <v>42</v>
      </c>
      <c r="C204" s="18">
        <v>19.0</v>
      </c>
      <c r="D204" s="4" t="str">
        <f>IFERROR(__xludf.DUMMYFUNCTION("join(""; "",A204:C204)"),"Lucidi et al., 2025; BPTB; 19")</f>
        <v>Lucidi et al., 2025; BPTB; 19</v>
      </c>
    </row>
    <row r="205">
      <c r="A205" s="14" t="str">
        <f t="shared" si="36"/>
        <v>Lucidi et al., 2025</v>
      </c>
      <c r="B205" s="18" t="s">
        <v>42</v>
      </c>
      <c r="C205" s="18">
        <v>19.0</v>
      </c>
      <c r="D205" s="4" t="str">
        <f>IFERROR(__xludf.DUMMYFUNCTION("join(""; "",A205:C205)"),"Lucidi et al., 2025; BPTB; 19")</f>
        <v>Lucidi et al., 2025; BPTB; 19</v>
      </c>
    </row>
    <row r="206">
      <c r="A206" s="14" t="str">
        <f t="shared" si="36"/>
        <v>Lucidi et al., 2025</v>
      </c>
      <c r="B206" s="18" t="s">
        <v>42</v>
      </c>
      <c r="C206" s="18">
        <v>19.0</v>
      </c>
      <c r="D206" s="4" t="str">
        <f>IFERROR(__xludf.DUMMYFUNCTION("join(""; "",A206:C206)"),"Lucidi et al., 2025; BPTB; 19")</f>
        <v>Lucidi et al., 2025; BPTB; 19</v>
      </c>
    </row>
    <row r="207">
      <c r="A207" s="14" t="str">
        <f t="shared" si="36"/>
        <v>Lucidi et al., 2025</v>
      </c>
      <c r="B207" s="18" t="s">
        <v>42</v>
      </c>
      <c r="C207" s="18">
        <v>19.0</v>
      </c>
      <c r="D207" s="4" t="str">
        <f>IFERROR(__xludf.DUMMYFUNCTION("join(""; "",A207:C207)"),"Lucidi et al., 2025; BPTB; 19")</f>
        <v>Lucidi et al., 2025; BPTB; 19</v>
      </c>
    </row>
    <row r="208">
      <c r="A208" s="14" t="str">
        <f t="shared" si="36"/>
        <v>Lucidi et al., 2025</v>
      </c>
      <c r="B208" s="18" t="s">
        <v>84</v>
      </c>
      <c r="C208" s="18">
        <v>20.0</v>
      </c>
      <c r="D208" s="4" t="str">
        <f>IFERROR(__xludf.DUMMYFUNCTION("join(""; "",A208:C208)"),"Lucidi et al., 2025; HT; 20")</f>
        <v>Lucidi et al., 2025; HT; 20</v>
      </c>
    </row>
    <row r="209">
      <c r="A209" s="14" t="str">
        <f t="shared" si="36"/>
        <v>Lucidi et al., 2025</v>
      </c>
      <c r="B209" s="18" t="s">
        <v>84</v>
      </c>
      <c r="C209" s="18">
        <v>20.0</v>
      </c>
      <c r="D209" s="4" t="str">
        <f>IFERROR(__xludf.DUMMYFUNCTION("join(""; "",A209:C209)"),"Lucidi et al., 2025; HT; 20")</f>
        <v>Lucidi et al., 2025; HT; 20</v>
      </c>
    </row>
    <row r="210">
      <c r="A210" s="14" t="str">
        <f t="shared" si="36"/>
        <v>Lucidi et al., 2025</v>
      </c>
      <c r="B210" s="18" t="s">
        <v>84</v>
      </c>
      <c r="C210" s="18">
        <v>20.0</v>
      </c>
      <c r="D210" s="4" t="str">
        <f>IFERROR(__xludf.DUMMYFUNCTION("join(""; "",A210:C210)"),"Lucidi et al., 2025; HT; 20")</f>
        <v>Lucidi et al., 2025; HT; 20</v>
      </c>
    </row>
    <row r="211">
      <c r="A211" s="14" t="str">
        <f t="shared" si="36"/>
        <v>Lucidi et al., 2025</v>
      </c>
      <c r="B211" s="18" t="s">
        <v>84</v>
      </c>
      <c r="C211" s="18">
        <v>20.0</v>
      </c>
      <c r="D211" s="4" t="str">
        <f>IFERROR(__xludf.DUMMYFUNCTION("join(""; "",A211:C211)"),"Lucidi et al., 2025; HT; 20")</f>
        <v>Lucidi et al., 2025; HT; 20</v>
      </c>
    </row>
    <row r="212">
      <c r="A212" s="14" t="str">
        <f t="shared" si="36"/>
        <v>Lucidi et al., 2025</v>
      </c>
      <c r="B212" s="18" t="s">
        <v>84</v>
      </c>
      <c r="C212" s="18">
        <v>20.0</v>
      </c>
      <c r="D212" s="4" t="str">
        <f>IFERROR(__xludf.DUMMYFUNCTION("join(""; "",A212:C212)"),"Lucidi et al., 2025; HT; 20")</f>
        <v>Lucidi et al., 2025; HT; 20</v>
      </c>
    </row>
    <row r="213">
      <c r="A213" s="14" t="str">
        <f t="shared" si="36"/>
        <v>Lucidi et al., 2025</v>
      </c>
      <c r="B213" s="18" t="s">
        <v>84</v>
      </c>
      <c r="C213" s="18">
        <v>20.0</v>
      </c>
      <c r="D213" s="4" t="str">
        <f>IFERROR(__xludf.DUMMYFUNCTION("join(""; "",A213:C213)"),"Lucidi et al., 2025; HT; 20")</f>
        <v>Lucidi et al., 2025; HT; 20</v>
      </c>
    </row>
    <row r="214">
      <c r="A214" s="14" t="str">
        <f t="shared" ref="A214:A221" si="37">HYPERLINK("https://github.com/d-wkim/phd/blob/main/data/pdf/lui_2012.pdf","Lui et al., 2012")</f>
        <v>Lui et al., 2012</v>
      </c>
      <c r="B214" s="18" t="s">
        <v>42</v>
      </c>
      <c r="C214" s="18">
        <v>14.0</v>
      </c>
      <c r="D214" s="4" t="str">
        <f>IFERROR(__xludf.DUMMYFUNCTION("join(""; "",A214:C214)"),"Lui et al., 2012; BPTB; 14")</f>
        <v>Lui et al., 2012; BPTB; 14</v>
      </c>
    </row>
    <row r="215">
      <c r="A215" s="14" t="str">
        <f t="shared" si="37"/>
        <v>Lui et al., 2012</v>
      </c>
      <c r="B215" s="18" t="s">
        <v>42</v>
      </c>
      <c r="C215" s="18">
        <v>14.0</v>
      </c>
      <c r="D215" s="4" t="str">
        <f>IFERROR(__xludf.DUMMYFUNCTION("join(""; "",A215:C215)"),"Lui et al., 2012; BPTB; 14")</f>
        <v>Lui et al., 2012; BPTB; 14</v>
      </c>
    </row>
    <row r="216">
      <c r="A216" s="14" t="str">
        <f t="shared" si="37"/>
        <v>Lui et al., 2012</v>
      </c>
      <c r="B216" s="18" t="s">
        <v>42</v>
      </c>
      <c r="C216" s="18">
        <v>14.0</v>
      </c>
      <c r="D216" s="4" t="str">
        <f>IFERROR(__xludf.DUMMYFUNCTION("join(""; "",A216:C216)"),"Lui et al., 2012; BPTB; 14")</f>
        <v>Lui et al., 2012; BPTB; 14</v>
      </c>
    </row>
    <row r="217">
      <c r="A217" s="14" t="str">
        <f t="shared" si="37"/>
        <v>Lui et al., 2012</v>
      </c>
      <c r="B217" s="18" t="s">
        <v>42</v>
      </c>
      <c r="C217" s="18">
        <v>14.0</v>
      </c>
      <c r="D217" s="4" t="str">
        <f>IFERROR(__xludf.DUMMYFUNCTION("join(""; "",A217:C217)"),"Lui et al., 2012; BPTB; 14")</f>
        <v>Lui et al., 2012; BPTB; 14</v>
      </c>
    </row>
    <row r="218">
      <c r="A218" s="14" t="str">
        <f t="shared" si="37"/>
        <v>Lui et al., 2012</v>
      </c>
      <c r="B218" s="18" t="s">
        <v>84</v>
      </c>
      <c r="C218" s="18">
        <v>17.0</v>
      </c>
      <c r="D218" s="4" t="str">
        <f>IFERROR(__xludf.DUMMYFUNCTION("join(""; "",A218:C218)"),"Lui et al., 2012; HT; 17")</f>
        <v>Lui et al., 2012; HT; 17</v>
      </c>
    </row>
    <row r="219">
      <c r="A219" s="14" t="str">
        <f t="shared" si="37"/>
        <v>Lui et al., 2012</v>
      </c>
      <c r="B219" s="18" t="s">
        <v>84</v>
      </c>
      <c r="C219" s="18">
        <v>17.0</v>
      </c>
      <c r="D219" s="4" t="str">
        <f>IFERROR(__xludf.DUMMYFUNCTION("join(""; "",A219:C219)"),"Lui et al., 2012; HT; 17")</f>
        <v>Lui et al., 2012; HT; 17</v>
      </c>
    </row>
    <row r="220">
      <c r="A220" s="14" t="str">
        <f t="shared" si="37"/>
        <v>Lui et al., 2012</v>
      </c>
      <c r="B220" s="18" t="s">
        <v>84</v>
      </c>
      <c r="C220" s="18">
        <v>17.0</v>
      </c>
      <c r="D220" s="4" t="str">
        <f>IFERROR(__xludf.DUMMYFUNCTION("join(""; "",A220:C220)"),"Lui et al., 2012; HT; 17")</f>
        <v>Lui et al., 2012; HT; 17</v>
      </c>
    </row>
    <row r="221">
      <c r="A221" s="14" t="str">
        <f t="shared" si="37"/>
        <v>Lui et al., 2012</v>
      </c>
      <c r="B221" s="18" t="s">
        <v>84</v>
      </c>
      <c r="C221" s="18">
        <v>17.0</v>
      </c>
      <c r="D221" s="4" t="str">
        <f>IFERROR(__xludf.DUMMYFUNCTION("join(""; "",A221:C221)"),"Lui et al., 2012; HT; 17")</f>
        <v>Lui et al., 2012; HT; 17</v>
      </c>
    </row>
    <row r="222">
      <c r="A222" s="14" t="str">
        <f t="shared" ref="A222:A227" si="38">HYPERLINK("https://github.com/d-wkim/phd/blob/main/data/pdf/lund_2014.pdf","Lund et al., 2014")</f>
        <v>Lund et al., 2014</v>
      </c>
      <c r="B222" s="18" t="s">
        <v>42</v>
      </c>
      <c r="C222" s="18">
        <v>18.0</v>
      </c>
      <c r="D222" s="4" t="str">
        <f>IFERROR(__xludf.DUMMYFUNCTION("join(""; "",A222:C222)"),"Lund et al., 2014; BPTB; 18")</f>
        <v>Lund et al., 2014; BPTB; 18</v>
      </c>
    </row>
    <row r="223">
      <c r="A223" s="14" t="str">
        <f t="shared" si="38"/>
        <v>Lund et al., 2014</v>
      </c>
      <c r="B223" s="18" t="s">
        <v>42</v>
      </c>
      <c r="C223" s="18">
        <v>18.0</v>
      </c>
      <c r="D223" s="4" t="str">
        <f>IFERROR(__xludf.DUMMYFUNCTION("join(""; "",A223:C223)"),"Lund et al., 2014; BPTB; 18")</f>
        <v>Lund et al., 2014; BPTB; 18</v>
      </c>
    </row>
    <row r="224">
      <c r="A224" s="14" t="str">
        <f t="shared" si="38"/>
        <v>Lund et al., 2014</v>
      </c>
      <c r="B224" s="18" t="s">
        <v>42</v>
      </c>
      <c r="C224" s="18">
        <v>18.0</v>
      </c>
      <c r="D224" s="4" t="str">
        <f>IFERROR(__xludf.DUMMYFUNCTION("join(""; "",A224:C224)"),"Lund et al., 2014; BPTB; 18")</f>
        <v>Lund et al., 2014; BPTB; 18</v>
      </c>
    </row>
    <row r="225">
      <c r="A225" s="14" t="str">
        <f t="shared" si="38"/>
        <v>Lund et al., 2014</v>
      </c>
      <c r="B225" s="18" t="s">
        <v>200</v>
      </c>
      <c r="C225" s="18">
        <v>21.0</v>
      </c>
      <c r="D225" s="4" t="str">
        <f>IFERROR(__xludf.DUMMYFUNCTION("join(""; "",A225:C225)"),"Lund et al., 2014; QT; 21")</f>
        <v>Lund et al., 2014; QT; 21</v>
      </c>
    </row>
    <row r="226">
      <c r="A226" s="14" t="str">
        <f t="shared" si="38"/>
        <v>Lund et al., 2014</v>
      </c>
      <c r="B226" s="18" t="s">
        <v>200</v>
      </c>
      <c r="C226" s="18">
        <v>21.0</v>
      </c>
      <c r="D226" s="4" t="str">
        <f>IFERROR(__xludf.DUMMYFUNCTION("join(""; "",A226:C226)"),"Lund et al., 2014; QT; 21")</f>
        <v>Lund et al., 2014; QT; 21</v>
      </c>
    </row>
    <row r="227">
      <c r="A227" s="14" t="str">
        <f t="shared" si="38"/>
        <v>Lund et al., 2014</v>
      </c>
      <c r="B227" s="18" t="s">
        <v>200</v>
      </c>
      <c r="C227" s="18">
        <v>21.0</v>
      </c>
      <c r="D227" s="4" t="str">
        <f>IFERROR(__xludf.DUMMYFUNCTION("join(""; "",A227:C227)"),"Lund et al., 2014; QT; 21")</f>
        <v>Lund et al., 2014; QT; 21</v>
      </c>
    </row>
    <row r="228">
      <c r="A228" s="14" t="str">
        <f t="shared" ref="A228:A239" si="39">HYPERLINK("https://github.com/d-wkim/phd/blob/main/data/pdf/malik_2026.pdf","Malik et al., 2026")</f>
        <v>Malik et al., 2026</v>
      </c>
      <c r="B228" s="18" t="s">
        <v>84</v>
      </c>
      <c r="C228" s="18">
        <v>25.0</v>
      </c>
      <c r="D228" s="4" t="str">
        <f>IFERROR(__xludf.DUMMYFUNCTION("join(""; "",A228:C228)"),"Malik et al., 2026; HT; 25")</f>
        <v>Malik et al., 2026; HT; 25</v>
      </c>
    </row>
    <row r="229">
      <c r="A229" s="14" t="str">
        <f t="shared" si="39"/>
        <v>Malik et al., 2026</v>
      </c>
      <c r="B229" s="18" t="s">
        <v>84</v>
      </c>
      <c r="C229" s="18">
        <v>25.0</v>
      </c>
      <c r="D229" s="4" t="str">
        <f>IFERROR(__xludf.DUMMYFUNCTION("join(""; "",A229:C229)"),"Malik et al., 2026; HT; 25")</f>
        <v>Malik et al., 2026; HT; 25</v>
      </c>
    </row>
    <row r="230">
      <c r="A230" s="14" t="str">
        <f t="shared" si="39"/>
        <v>Malik et al., 2026</v>
      </c>
      <c r="B230" s="18" t="s">
        <v>84</v>
      </c>
      <c r="C230" s="18">
        <v>25.0</v>
      </c>
      <c r="D230" s="4" t="str">
        <f>IFERROR(__xludf.DUMMYFUNCTION("join(""; "",A230:C230)"),"Malik et al., 2026; HT; 25")</f>
        <v>Malik et al., 2026; HT; 25</v>
      </c>
    </row>
    <row r="231">
      <c r="A231" s="14" t="str">
        <f t="shared" si="39"/>
        <v>Malik et al., 2026</v>
      </c>
      <c r="B231" s="18" t="s">
        <v>84</v>
      </c>
      <c r="C231" s="18">
        <v>25.0</v>
      </c>
      <c r="D231" s="4" t="str">
        <f>IFERROR(__xludf.DUMMYFUNCTION("join(""; "",A231:C231)"),"Malik et al., 2026; HT; 25")</f>
        <v>Malik et al., 2026; HT; 25</v>
      </c>
    </row>
    <row r="232">
      <c r="A232" s="14" t="str">
        <f t="shared" si="39"/>
        <v>Malik et al., 2026</v>
      </c>
      <c r="B232" s="18" t="s">
        <v>84</v>
      </c>
      <c r="C232" s="18">
        <v>25.0</v>
      </c>
      <c r="D232" s="4" t="str">
        <f>IFERROR(__xludf.DUMMYFUNCTION("join(""; "",A232:C232)"),"Malik et al., 2026; HT; 25")</f>
        <v>Malik et al., 2026; HT; 25</v>
      </c>
    </row>
    <row r="233">
      <c r="A233" s="14" t="str">
        <f t="shared" si="39"/>
        <v>Malik et al., 2026</v>
      </c>
      <c r="B233" s="18" t="s">
        <v>84</v>
      </c>
      <c r="C233" s="18">
        <v>25.0</v>
      </c>
      <c r="D233" s="4" t="str">
        <f>IFERROR(__xludf.DUMMYFUNCTION("join(""; "",A233:C233)"),"Malik et al., 2026; HT; 25")</f>
        <v>Malik et al., 2026; HT; 25</v>
      </c>
    </row>
    <row r="234">
      <c r="A234" s="14" t="str">
        <f t="shared" si="39"/>
        <v>Malik et al., 2026</v>
      </c>
      <c r="B234" s="18" t="s">
        <v>186</v>
      </c>
      <c r="C234" s="18">
        <v>25.0</v>
      </c>
      <c r="D234" s="4" t="str">
        <f>IFERROR(__xludf.DUMMYFUNCTION("join(""; "",A234:C234)"),"Malik et al., 2026; PLT; 25")</f>
        <v>Malik et al., 2026; PLT; 25</v>
      </c>
    </row>
    <row r="235">
      <c r="A235" s="14" t="str">
        <f t="shared" si="39"/>
        <v>Malik et al., 2026</v>
      </c>
      <c r="B235" s="18" t="s">
        <v>186</v>
      </c>
      <c r="C235" s="18">
        <v>25.0</v>
      </c>
      <c r="D235" s="4" t="str">
        <f>IFERROR(__xludf.DUMMYFUNCTION("join(""; "",A235:C235)"),"Malik et al., 2026; PLT; 25")</f>
        <v>Malik et al., 2026; PLT; 25</v>
      </c>
    </row>
    <row r="236">
      <c r="A236" s="14" t="str">
        <f t="shared" si="39"/>
        <v>Malik et al., 2026</v>
      </c>
      <c r="B236" s="18" t="s">
        <v>186</v>
      </c>
      <c r="C236" s="18">
        <v>25.0</v>
      </c>
      <c r="D236" s="4" t="str">
        <f>IFERROR(__xludf.DUMMYFUNCTION("join(""; "",A236:C236)"),"Malik et al., 2026; PLT; 25")</f>
        <v>Malik et al., 2026; PLT; 25</v>
      </c>
    </row>
    <row r="237">
      <c r="A237" s="14" t="str">
        <f t="shared" si="39"/>
        <v>Malik et al., 2026</v>
      </c>
      <c r="B237" s="18" t="s">
        <v>186</v>
      </c>
      <c r="C237" s="18">
        <v>25.0</v>
      </c>
      <c r="D237" s="4" t="str">
        <f>IFERROR(__xludf.DUMMYFUNCTION("join(""; "",A237:C237)"),"Malik et al., 2026; PLT; 25")</f>
        <v>Malik et al., 2026; PLT; 25</v>
      </c>
    </row>
    <row r="238">
      <c r="A238" s="14" t="str">
        <f t="shared" si="39"/>
        <v>Malik et al., 2026</v>
      </c>
      <c r="B238" s="18" t="s">
        <v>186</v>
      </c>
      <c r="C238" s="18">
        <v>25.0</v>
      </c>
      <c r="D238" s="4" t="str">
        <f>IFERROR(__xludf.DUMMYFUNCTION("join(""; "",A238:C238)"),"Malik et al., 2026; PLT; 25")</f>
        <v>Malik et al., 2026; PLT; 25</v>
      </c>
    </row>
    <row r="239">
      <c r="A239" s="14" t="str">
        <f t="shared" si="39"/>
        <v>Malik et al., 2026</v>
      </c>
      <c r="B239" s="18" t="s">
        <v>186</v>
      </c>
      <c r="C239" s="18">
        <v>25.0</v>
      </c>
      <c r="D239" s="4" t="str">
        <f>IFERROR(__xludf.DUMMYFUNCTION("join(""; "",A239:C239)"),"Malik et al., 2026; PLT; 25")</f>
        <v>Malik et al., 2026; PLT; 25</v>
      </c>
    </row>
    <row r="240">
      <c r="A240" s="14" t="str">
        <f t="shared" ref="A240:A243" si="40">HYPERLINK("https://github.com/d-wkim/phd/blob/main/data/pdf/matsumoto_2006.pdf","Matsumoto et al., 2006")</f>
        <v>Matsumoto et al., 2006</v>
      </c>
      <c r="B240" s="18" t="s">
        <v>42</v>
      </c>
      <c r="C240" s="18">
        <v>37.0</v>
      </c>
      <c r="D240" s="4" t="str">
        <f>IFERROR(__xludf.DUMMYFUNCTION("join(""; "",A240:C240)"),"Matsumoto et al., 2006; BPTB; 37")</f>
        <v>Matsumoto et al., 2006; BPTB; 37</v>
      </c>
    </row>
    <row r="241">
      <c r="A241" s="14" t="str">
        <f t="shared" si="40"/>
        <v>Matsumoto et al., 2006</v>
      </c>
      <c r="B241" s="18" t="s">
        <v>42</v>
      </c>
      <c r="C241" s="18">
        <v>37.0</v>
      </c>
      <c r="D241" s="4" t="str">
        <f>IFERROR(__xludf.DUMMYFUNCTION("join(""; "",A241:C241)"),"Matsumoto et al., 2006; BPTB; 37")</f>
        <v>Matsumoto et al., 2006; BPTB; 37</v>
      </c>
    </row>
    <row r="242">
      <c r="A242" s="14" t="str">
        <f t="shared" si="40"/>
        <v>Matsumoto et al., 2006</v>
      </c>
      <c r="B242" s="18" t="s">
        <v>84</v>
      </c>
      <c r="C242" s="18">
        <v>35.0</v>
      </c>
      <c r="D242" s="4" t="str">
        <f>IFERROR(__xludf.DUMMYFUNCTION("join(""; "",A242:C242)"),"Matsumoto et al., 2006; HT; 35")</f>
        <v>Matsumoto et al., 2006; HT; 35</v>
      </c>
    </row>
    <row r="243">
      <c r="A243" s="14" t="str">
        <f t="shared" si="40"/>
        <v>Matsumoto et al., 2006</v>
      </c>
      <c r="B243" s="18" t="s">
        <v>84</v>
      </c>
      <c r="C243" s="18">
        <v>35.0</v>
      </c>
      <c r="D243" s="4" t="str">
        <f>IFERROR(__xludf.DUMMYFUNCTION("join(""; "",A243:C243)"),"Matsumoto et al., 2006; HT; 35")</f>
        <v>Matsumoto et al., 2006; HT; 35</v>
      </c>
    </row>
    <row r="244">
      <c r="A244" s="14" t="str">
        <f t="shared" ref="A244:A245" si="41">HYPERLINK("https://github.com/d-wkim/phd/blob/main/data/pdf/mohtadi_2016a.pdf","Mohtadi et al., 2016")</f>
        <v>Mohtadi et al., 2016</v>
      </c>
      <c r="B244" s="18" t="s">
        <v>42</v>
      </c>
      <c r="C244" s="18">
        <v>110.0</v>
      </c>
      <c r="D244" s="4" t="str">
        <f>IFERROR(__xludf.DUMMYFUNCTION("join(""; "",A244:C244)"),"Mohtadi et al., 2016; BPTB; 110")</f>
        <v>Mohtadi et al., 2016; BPTB; 110</v>
      </c>
    </row>
    <row r="245">
      <c r="A245" s="14" t="str">
        <f t="shared" si="41"/>
        <v>Mohtadi et al., 2016</v>
      </c>
      <c r="B245" s="18" t="s">
        <v>84</v>
      </c>
      <c r="C245" s="18">
        <v>110.0</v>
      </c>
      <c r="D245" s="4" t="str">
        <f>IFERROR(__xludf.DUMMYFUNCTION("join(""; "",A245:C245)"),"Mohtadi et al., 2016; HT; 110")</f>
        <v>Mohtadi et al., 2016; HT; 110</v>
      </c>
    </row>
    <row r="246">
      <c r="A246" s="14" t="str">
        <f t="shared" ref="A246:A249" si="42">HYPERLINK("https://github.com/d-wkim/phd/blob/main/data/pdf/moraiti_2010.pdf","Moraiti et al., 2010")</f>
        <v>Moraiti et al., 2010</v>
      </c>
      <c r="B246" s="18" t="s">
        <v>42</v>
      </c>
      <c r="C246" s="18">
        <v>6.0</v>
      </c>
      <c r="D246" s="4" t="str">
        <f>IFERROR(__xludf.DUMMYFUNCTION("join(""; "",A246:C246)"),"Moraiti et al., 2010; BPTB; 6")</f>
        <v>Moraiti et al., 2010; BPTB; 6</v>
      </c>
    </row>
    <row r="247">
      <c r="A247" s="14" t="str">
        <f t="shared" si="42"/>
        <v>Moraiti et al., 2010</v>
      </c>
      <c r="B247" s="18" t="s">
        <v>42</v>
      </c>
      <c r="C247" s="18">
        <v>6.0</v>
      </c>
      <c r="D247" s="4" t="str">
        <f>IFERROR(__xludf.DUMMYFUNCTION("join(""; "",A247:C247)"),"Moraiti et al., 2010; BPTB; 6")</f>
        <v>Moraiti et al., 2010; BPTB; 6</v>
      </c>
    </row>
    <row r="248">
      <c r="A248" s="14" t="str">
        <f t="shared" si="42"/>
        <v>Moraiti et al., 2010</v>
      </c>
      <c r="B248" s="18" t="s">
        <v>84</v>
      </c>
      <c r="C248" s="18">
        <v>6.0</v>
      </c>
      <c r="D248" s="4" t="str">
        <f>IFERROR(__xludf.DUMMYFUNCTION("join(""; "",A248:C248)"),"Moraiti et al., 2010; HT; 6")</f>
        <v>Moraiti et al., 2010; HT; 6</v>
      </c>
    </row>
    <row r="249">
      <c r="A249" s="14" t="str">
        <f t="shared" si="42"/>
        <v>Moraiti et al., 2010</v>
      </c>
      <c r="B249" s="18" t="s">
        <v>84</v>
      </c>
      <c r="C249" s="18">
        <v>6.0</v>
      </c>
      <c r="D249" s="4" t="str">
        <f>IFERROR(__xludf.DUMMYFUNCTION("join(""; "",A249:C249)"),"Moraiti et al., 2010; HT; 6")</f>
        <v>Moraiti et al., 2010; HT; 6</v>
      </c>
    </row>
    <row r="250">
      <c r="A250" s="14" t="str">
        <f t="shared" ref="A250:A257" si="43">HYPERLINK("https://github.com/d-wkim/phd/blob/main/data/pdf/noh_2011.pdf","Noh et al., 2011")</f>
        <v>Noh et al., 2011</v>
      </c>
      <c r="B250" s="18" t="s">
        <v>84</v>
      </c>
      <c r="C250" s="18">
        <v>33.0</v>
      </c>
      <c r="D250" s="4" t="str">
        <f>IFERROR(__xludf.DUMMYFUNCTION("join(""; "",A250:C250)"),"Noh et al., 2011; HT; 33")</f>
        <v>Noh et al., 2011; HT; 33</v>
      </c>
    </row>
    <row r="251">
      <c r="A251" s="14" t="str">
        <f t="shared" si="43"/>
        <v>Noh et al., 2011</v>
      </c>
      <c r="B251" s="18" t="s">
        <v>84</v>
      </c>
      <c r="C251" s="18">
        <v>33.0</v>
      </c>
      <c r="D251" s="4" t="str">
        <f>IFERROR(__xludf.DUMMYFUNCTION("join(""; "",A251:C251)"),"Noh et al., 2011; HT; 33")</f>
        <v>Noh et al., 2011; HT; 33</v>
      </c>
    </row>
    <row r="252">
      <c r="A252" s="14" t="str">
        <f t="shared" si="43"/>
        <v>Noh et al., 2011</v>
      </c>
      <c r="B252" s="18" t="s">
        <v>84</v>
      </c>
      <c r="C252" s="18">
        <v>33.0</v>
      </c>
      <c r="D252" s="4" t="str">
        <f>IFERROR(__xludf.DUMMYFUNCTION("join(""; "",A252:C252)"),"Noh et al., 2011; HT; 33")</f>
        <v>Noh et al., 2011; HT; 33</v>
      </c>
    </row>
    <row r="253">
      <c r="A253" s="14" t="str">
        <f t="shared" si="43"/>
        <v>Noh et al., 2011</v>
      </c>
      <c r="B253" s="18" t="s">
        <v>84</v>
      </c>
      <c r="C253" s="18">
        <v>33.0</v>
      </c>
      <c r="D253" s="4" t="str">
        <f>IFERROR(__xludf.DUMMYFUNCTION("join(""; "",A253:C253)"),"Noh et al., 2011; HT; 33")</f>
        <v>Noh et al., 2011; HT; 33</v>
      </c>
    </row>
    <row r="254">
      <c r="A254" s="14" t="str">
        <f t="shared" si="43"/>
        <v>Noh et al., 2011</v>
      </c>
      <c r="B254" s="18" t="s">
        <v>246</v>
      </c>
      <c r="C254" s="18">
        <v>32.0</v>
      </c>
      <c r="D254" s="4" t="str">
        <f>IFERROR(__xludf.DUMMYFUNCTION("join(""; "",A254:C254)"),"Noh et al., 2011; AT; 32")</f>
        <v>Noh et al., 2011; AT; 32</v>
      </c>
    </row>
    <row r="255">
      <c r="A255" s="14" t="str">
        <f t="shared" si="43"/>
        <v>Noh et al., 2011</v>
      </c>
      <c r="B255" s="18" t="s">
        <v>246</v>
      </c>
      <c r="C255" s="18">
        <v>32.0</v>
      </c>
      <c r="D255" s="4" t="str">
        <f>IFERROR(__xludf.DUMMYFUNCTION("join(""; "",A255:C255)"),"Noh et al., 2011; AT; 32")</f>
        <v>Noh et al., 2011; AT; 32</v>
      </c>
    </row>
    <row r="256">
      <c r="A256" s="14" t="str">
        <f t="shared" si="43"/>
        <v>Noh et al., 2011</v>
      </c>
      <c r="B256" s="18" t="s">
        <v>246</v>
      </c>
      <c r="C256" s="18">
        <v>32.0</v>
      </c>
      <c r="D256" s="4" t="str">
        <f>IFERROR(__xludf.DUMMYFUNCTION("join(""; "",A256:C256)"),"Noh et al., 2011; AT; 32")</f>
        <v>Noh et al., 2011; AT; 32</v>
      </c>
    </row>
    <row r="257">
      <c r="A257" s="14" t="str">
        <f t="shared" si="43"/>
        <v>Noh et al., 2011</v>
      </c>
      <c r="B257" s="18" t="s">
        <v>246</v>
      </c>
      <c r="C257" s="18">
        <v>32.0</v>
      </c>
      <c r="D257" s="4" t="str">
        <f>IFERROR(__xludf.DUMMYFUNCTION("join(""; "",A257:C257)"),"Noh et al., 2011; AT; 32")</f>
        <v>Noh et al., 2011; AT; 32</v>
      </c>
    </row>
    <row r="258">
      <c r="A258" s="14" t="str">
        <f t="shared" ref="A258:A261" si="44">HYPERLINK("https://github.com/d-wkim/phd/blob/main/data/pdf/papalia_2015.pdf","Papalia et al., 2015")</f>
        <v>Papalia et al., 2015</v>
      </c>
      <c r="B258" s="18" t="s">
        <v>42</v>
      </c>
      <c r="C258" s="18">
        <v>20.0</v>
      </c>
      <c r="D258" s="4" t="str">
        <f>IFERROR(__xludf.DUMMYFUNCTION("join(""; "",A258:C258)"),"Papalia et al., 2015; BPTB; 20")</f>
        <v>Papalia et al., 2015; BPTB; 20</v>
      </c>
    </row>
    <row r="259">
      <c r="A259" s="14" t="str">
        <f t="shared" si="44"/>
        <v>Papalia et al., 2015</v>
      </c>
      <c r="B259" s="18" t="s">
        <v>42</v>
      </c>
      <c r="C259" s="18">
        <v>20.0</v>
      </c>
      <c r="D259" s="4" t="str">
        <f>IFERROR(__xludf.DUMMYFUNCTION("join(""; "",A259:C259)"),"Papalia et al., 2015; BPTB; 20")</f>
        <v>Papalia et al., 2015; BPTB; 20</v>
      </c>
    </row>
    <row r="260">
      <c r="A260" s="14" t="str">
        <f t="shared" si="44"/>
        <v>Papalia et al., 2015</v>
      </c>
      <c r="B260" s="18" t="s">
        <v>84</v>
      </c>
      <c r="C260" s="18">
        <v>20.0</v>
      </c>
      <c r="D260" s="4" t="str">
        <f>IFERROR(__xludf.DUMMYFUNCTION("join(""; "",A260:C260)"),"Papalia et al., 2015; HT; 20")</f>
        <v>Papalia et al., 2015; HT; 20</v>
      </c>
    </row>
    <row r="261">
      <c r="A261" s="14" t="str">
        <f t="shared" si="44"/>
        <v>Papalia et al., 2015</v>
      </c>
      <c r="B261" s="18" t="s">
        <v>84</v>
      </c>
      <c r="C261" s="18">
        <v>20.0</v>
      </c>
      <c r="D261" s="4" t="str">
        <f>IFERROR(__xludf.DUMMYFUNCTION("join(""; "",A261:C261)"),"Papalia et al., 2015; HT; 20")</f>
        <v>Papalia et al., 2015; HT; 20</v>
      </c>
    </row>
    <row r="262">
      <c r="A262" s="14" t="str">
        <f t="shared" ref="A262:A269" si="45">HYPERLINK("https://github.com/d-wkim/phd/blob/main/data/pdf/pinczewski_2007.pdf","Pinczewski et al., 2007")</f>
        <v>Pinczewski et al., 2007</v>
      </c>
      <c r="B262" s="18" t="s">
        <v>42</v>
      </c>
      <c r="C262" s="18">
        <v>53.0</v>
      </c>
      <c r="D262" s="4" t="str">
        <f>IFERROR(__xludf.DUMMYFUNCTION("join(""; "",A262:C262)"),"Pinczewski et al., 2007; BPTB; 53")</f>
        <v>Pinczewski et al., 2007; BPTB; 53</v>
      </c>
    </row>
    <row r="263">
      <c r="A263" s="14" t="str">
        <f t="shared" si="45"/>
        <v>Pinczewski et al., 2007</v>
      </c>
      <c r="B263" s="18" t="s">
        <v>42</v>
      </c>
      <c r="C263" s="18">
        <v>53.0</v>
      </c>
      <c r="D263" s="4" t="str">
        <f>IFERROR(__xludf.DUMMYFUNCTION("join(""; "",A263:C263)"),"Pinczewski et al., 2007; BPTB; 53")</f>
        <v>Pinczewski et al., 2007; BPTB; 53</v>
      </c>
    </row>
    <row r="264">
      <c r="A264" s="14" t="str">
        <f t="shared" si="45"/>
        <v>Pinczewski et al., 2007</v>
      </c>
      <c r="B264" s="18" t="s">
        <v>42</v>
      </c>
      <c r="C264" s="18">
        <v>54.0</v>
      </c>
      <c r="D264" s="4" t="str">
        <f>IFERROR(__xludf.DUMMYFUNCTION("join(""; "",A264:C264)"),"Pinczewski et al., 2007; BPTB; 54")</f>
        <v>Pinczewski et al., 2007; BPTB; 54</v>
      </c>
    </row>
    <row r="265">
      <c r="A265" s="14" t="str">
        <f t="shared" si="45"/>
        <v>Pinczewski et al., 2007</v>
      </c>
      <c r="B265" s="18" t="s">
        <v>42</v>
      </c>
      <c r="C265" s="18">
        <v>90.0</v>
      </c>
      <c r="D265" s="4" t="str">
        <f>IFERROR(__xludf.DUMMYFUNCTION("join(""; "",A265:C265)"),"Pinczewski et al., 2007; BPTB; 90")</f>
        <v>Pinczewski et al., 2007; BPTB; 90</v>
      </c>
    </row>
    <row r="266">
      <c r="A266" s="14" t="str">
        <f t="shared" si="45"/>
        <v>Pinczewski et al., 2007</v>
      </c>
      <c r="B266" s="18" t="s">
        <v>84</v>
      </c>
      <c r="C266" s="18">
        <v>58.0</v>
      </c>
      <c r="D266" s="4" t="str">
        <f>IFERROR(__xludf.DUMMYFUNCTION("join(""; "",A266:C266)"),"Pinczewski et al., 2007; HT; 58")</f>
        <v>Pinczewski et al., 2007; HT; 58</v>
      </c>
    </row>
    <row r="267">
      <c r="A267" s="14" t="str">
        <f t="shared" si="45"/>
        <v>Pinczewski et al., 2007</v>
      </c>
      <c r="B267" s="18" t="s">
        <v>84</v>
      </c>
      <c r="C267" s="18">
        <v>58.0</v>
      </c>
      <c r="D267" s="4" t="str">
        <f>IFERROR(__xludf.DUMMYFUNCTION("join(""; "",A267:C267)"),"Pinczewski et al., 2007; HT; 58")</f>
        <v>Pinczewski et al., 2007; HT; 58</v>
      </c>
    </row>
    <row r="268">
      <c r="A268" s="14" t="str">
        <f t="shared" si="45"/>
        <v>Pinczewski et al., 2007</v>
      </c>
      <c r="B268" s="18" t="s">
        <v>84</v>
      </c>
      <c r="C268" s="18">
        <v>58.0</v>
      </c>
      <c r="D268" s="4" t="str">
        <f>IFERROR(__xludf.DUMMYFUNCTION("join(""; "",A268:C268)"),"Pinczewski et al., 2007; HT; 58")</f>
        <v>Pinczewski et al., 2007; HT; 58</v>
      </c>
    </row>
    <row r="269">
      <c r="A269" s="14" t="str">
        <f t="shared" si="45"/>
        <v>Pinczewski et al., 2007</v>
      </c>
      <c r="B269" s="18" t="s">
        <v>84</v>
      </c>
      <c r="C269" s="18">
        <v>90.0</v>
      </c>
      <c r="D269" s="4" t="str">
        <f>IFERROR(__xludf.DUMMYFUNCTION("join(""; "",A269:C269)"),"Pinczewski et al., 2007; HT; 90")</f>
        <v>Pinczewski et al., 2007; HT; 90</v>
      </c>
    </row>
    <row r="270">
      <c r="A270" s="14" t="str">
        <f t="shared" ref="A270:A281" si="46">HYPERLINK("https://github.com/d-wkim/phd/blob/main/data/pdf/popovic_2024.pdf","Popovic et al., 2024")</f>
        <v>Popovic et al., 2024</v>
      </c>
      <c r="B270" s="18" t="s">
        <v>42</v>
      </c>
      <c r="C270" s="18">
        <v>38.0</v>
      </c>
      <c r="D270" s="4" t="str">
        <f>IFERROR(__xludf.DUMMYFUNCTION("join(""; "",A270:C270)"),"Popovic et al., 2024; BPTB; 38")</f>
        <v>Popovic et al., 2024; BPTB; 38</v>
      </c>
    </row>
    <row r="271">
      <c r="A271" s="14" t="str">
        <f t="shared" si="46"/>
        <v>Popovic et al., 2024</v>
      </c>
      <c r="B271" s="18" t="s">
        <v>42</v>
      </c>
      <c r="C271" s="18">
        <v>38.0</v>
      </c>
      <c r="D271" s="4" t="str">
        <f>IFERROR(__xludf.DUMMYFUNCTION("join(""; "",A271:C271)"),"Popovic et al., 2024; BPTB; 38")</f>
        <v>Popovic et al., 2024; BPTB; 38</v>
      </c>
    </row>
    <row r="272">
      <c r="A272" s="14" t="str">
        <f t="shared" si="46"/>
        <v>Popovic et al., 2024</v>
      </c>
      <c r="B272" s="18" t="s">
        <v>42</v>
      </c>
      <c r="C272" s="18">
        <v>38.0</v>
      </c>
      <c r="D272" s="4" t="str">
        <f>IFERROR(__xludf.DUMMYFUNCTION("join(""; "",A272:C272)"),"Popovic et al., 2024; BPTB; 38")</f>
        <v>Popovic et al., 2024; BPTB; 38</v>
      </c>
    </row>
    <row r="273">
      <c r="A273" s="14" t="str">
        <f t="shared" si="46"/>
        <v>Popovic et al., 2024</v>
      </c>
      <c r="B273" s="18" t="s">
        <v>42</v>
      </c>
      <c r="C273" s="18">
        <v>38.0</v>
      </c>
      <c r="D273" s="4" t="str">
        <f>IFERROR(__xludf.DUMMYFUNCTION("join(""; "",A273:C273)"),"Popovic et al., 2024; BPTB; 38")</f>
        <v>Popovic et al., 2024; BPTB; 38</v>
      </c>
    </row>
    <row r="274">
      <c r="A274" s="14" t="str">
        <f t="shared" si="46"/>
        <v>Popovic et al., 2024</v>
      </c>
      <c r="B274" s="18" t="s">
        <v>42</v>
      </c>
      <c r="C274" s="18">
        <v>38.0</v>
      </c>
      <c r="D274" s="4" t="str">
        <f>IFERROR(__xludf.DUMMYFUNCTION("join(""; "",A274:C274)"),"Popovic et al., 2024; BPTB; 38")</f>
        <v>Popovic et al., 2024; BPTB; 38</v>
      </c>
    </row>
    <row r="275">
      <c r="A275" s="14" t="str">
        <f t="shared" si="46"/>
        <v>Popovic et al., 2024</v>
      </c>
      <c r="B275" s="18" t="s">
        <v>42</v>
      </c>
      <c r="C275" s="18">
        <v>38.0</v>
      </c>
      <c r="D275" s="4" t="str">
        <f>IFERROR(__xludf.DUMMYFUNCTION("join(""; "",A275:C275)"),"Popovic et al., 2024; BPTB; 38")</f>
        <v>Popovic et al., 2024; BPTB; 38</v>
      </c>
    </row>
    <row r="276">
      <c r="A276" s="14" t="str">
        <f t="shared" si="46"/>
        <v>Popovic et al., 2024</v>
      </c>
      <c r="B276" s="18" t="s">
        <v>84</v>
      </c>
      <c r="C276" s="18">
        <v>33.0</v>
      </c>
      <c r="D276" s="4" t="str">
        <f>IFERROR(__xludf.DUMMYFUNCTION("join(""; "",A276:C276)"),"Popovic et al., 2024; HT; 33")</f>
        <v>Popovic et al., 2024; HT; 33</v>
      </c>
    </row>
    <row r="277">
      <c r="A277" s="14" t="str">
        <f t="shared" si="46"/>
        <v>Popovic et al., 2024</v>
      </c>
      <c r="B277" s="18" t="s">
        <v>84</v>
      </c>
      <c r="C277" s="18">
        <v>33.0</v>
      </c>
      <c r="D277" s="4" t="str">
        <f>IFERROR(__xludf.DUMMYFUNCTION("join(""; "",A277:C277)"),"Popovic et al., 2024; HT; 33")</f>
        <v>Popovic et al., 2024; HT; 33</v>
      </c>
    </row>
    <row r="278">
      <c r="A278" s="14" t="str">
        <f t="shared" si="46"/>
        <v>Popovic et al., 2024</v>
      </c>
      <c r="B278" s="18" t="s">
        <v>84</v>
      </c>
      <c r="C278" s="18">
        <v>33.0</v>
      </c>
      <c r="D278" s="4" t="str">
        <f>IFERROR(__xludf.DUMMYFUNCTION("join(""; "",A278:C278)"),"Popovic et al., 2024; HT; 33")</f>
        <v>Popovic et al., 2024; HT; 33</v>
      </c>
    </row>
    <row r="279">
      <c r="A279" s="14" t="str">
        <f t="shared" si="46"/>
        <v>Popovic et al., 2024</v>
      </c>
      <c r="B279" s="18" t="s">
        <v>84</v>
      </c>
      <c r="C279" s="18">
        <v>33.0</v>
      </c>
      <c r="D279" s="4" t="str">
        <f>IFERROR(__xludf.DUMMYFUNCTION("join(""; "",A279:C279)"),"Popovic et al., 2024; HT; 33")</f>
        <v>Popovic et al., 2024; HT; 33</v>
      </c>
    </row>
    <row r="280">
      <c r="A280" s="14" t="str">
        <f t="shared" si="46"/>
        <v>Popovic et al., 2024</v>
      </c>
      <c r="B280" s="18" t="s">
        <v>84</v>
      </c>
      <c r="C280" s="18">
        <v>33.0</v>
      </c>
      <c r="D280" s="4" t="str">
        <f>IFERROR(__xludf.DUMMYFUNCTION("join(""; "",A280:C280)"),"Popovic et al., 2024; HT; 33")</f>
        <v>Popovic et al., 2024; HT; 33</v>
      </c>
    </row>
    <row r="281">
      <c r="A281" s="14" t="str">
        <f t="shared" si="46"/>
        <v>Popovic et al., 2024</v>
      </c>
      <c r="B281" s="18" t="s">
        <v>84</v>
      </c>
      <c r="C281" s="18">
        <v>33.0</v>
      </c>
      <c r="D281" s="4" t="str">
        <f>IFERROR(__xludf.DUMMYFUNCTION("join(""; "",A281:C281)"),"Popovic et al., 2024; HT; 33")</f>
        <v>Popovic et al., 2024; HT; 33</v>
      </c>
    </row>
    <row r="282">
      <c r="A282" s="14" t="str">
        <f t="shared" ref="A282:A285" si="47">HYPERLINK("https://github.com/d-wkim/phd/blob/main/data/pdf/sajovic_2018.pdf","Sajovic et al., 2018")</f>
        <v>Sajovic et al., 2018</v>
      </c>
      <c r="B282" s="18" t="s">
        <v>42</v>
      </c>
      <c r="C282" s="18">
        <v>24.0</v>
      </c>
      <c r="D282" s="4" t="str">
        <f>IFERROR(__xludf.DUMMYFUNCTION("join(""; "",A282:C282)"),"Sajovic et al., 2018; BPTB; 24")</f>
        <v>Sajovic et al., 2018; BPTB; 24</v>
      </c>
    </row>
    <row r="283">
      <c r="A283" s="14" t="str">
        <f t="shared" si="47"/>
        <v>Sajovic et al., 2018</v>
      </c>
      <c r="B283" s="18" t="s">
        <v>42</v>
      </c>
      <c r="C283" s="18">
        <v>24.0</v>
      </c>
      <c r="D283" s="4" t="str">
        <f>IFERROR(__xludf.DUMMYFUNCTION("join(""; "",A283:C283)"),"Sajovic et al., 2018; BPTB; 24")</f>
        <v>Sajovic et al., 2018; BPTB; 24</v>
      </c>
    </row>
    <row r="284">
      <c r="A284" s="14" t="str">
        <f t="shared" si="47"/>
        <v>Sajovic et al., 2018</v>
      </c>
      <c r="B284" s="18" t="s">
        <v>84</v>
      </c>
      <c r="C284" s="18">
        <v>24.0</v>
      </c>
      <c r="D284" s="4" t="str">
        <f>IFERROR(__xludf.DUMMYFUNCTION("join(""; "",A284:C284)"),"Sajovic et al., 2018; HT; 24")</f>
        <v>Sajovic et al., 2018; HT; 24</v>
      </c>
    </row>
    <row r="285">
      <c r="A285" s="14" t="str">
        <f t="shared" si="47"/>
        <v>Sajovic et al., 2018</v>
      </c>
      <c r="B285" s="18" t="s">
        <v>84</v>
      </c>
      <c r="C285" s="18">
        <v>24.0</v>
      </c>
      <c r="D285" s="4" t="str">
        <f>IFERROR(__xludf.DUMMYFUNCTION("join(""; "",A285:C285)"),"Sajovic et al., 2018; HT; 24")</f>
        <v>Sajovic et al., 2018; HT; 24</v>
      </c>
    </row>
    <row r="286">
      <c r="A286" s="14" t="str">
        <f t="shared" ref="A286:A287" si="48">HYPERLINK("https://github.com/d-wkim/phd/blob/main/data/pdf/sinding_2020.pdf","Sinding et al., 2020")</f>
        <v>Sinding et al., 2020</v>
      </c>
      <c r="B286" s="18" t="s">
        <v>84</v>
      </c>
      <c r="C286" s="18">
        <v>43.0</v>
      </c>
      <c r="D286" s="4" t="str">
        <f>IFERROR(__xludf.DUMMYFUNCTION("join(""; "",A286:C286)"),"Sinding et al., 2020; HT; 43")</f>
        <v>Sinding et al., 2020; HT; 43</v>
      </c>
    </row>
    <row r="287">
      <c r="A287" s="14" t="str">
        <f t="shared" si="48"/>
        <v>Sinding et al., 2020</v>
      </c>
      <c r="B287" s="18" t="s">
        <v>200</v>
      </c>
      <c r="C287" s="18">
        <v>42.0</v>
      </c>
      <c r="D287" s="4" t="str">
        <f>IFERROR(__xludf.DUMMYFUNCTION("join(""; "",A287:C287)"),"Sinding et al., 2020; QT; 42")</f>
        <v>Sinding et al., 2020; QT; 42</v>
      </c>
    </row>
    <row r="288">
      <c r="A288" s="14" t="str">
        <f t="shared" ref="A288:A293" si="49">HYPERLINK("https://github.com/d-wkim/phd/blob/main/data/pdf/smith_2020.pdf","Smith et al., 2020")</f>
        <v>Smith et al., 2020</v>
      </c>
      <c r="B288" s="18" t="s">
        <v>42</v>
      </c>
      <c r="C288" s="18">
        <v>32.0</v>
      </c>
      <c r="D288" s="4" t="str">
        <f>IFERROR(__xludf.DUMMYFUNCTION("join(""; "",A288:C288)"),"Smith et al., 2020; BPTB; 32")</f>
        <v>Smith et al., 2020; BPTB; 32</v>
      </c>
    </row>
    <row r="289">
      <c r="A289" s="14" t="str">
        <f t="shared" si="49"/>
        <v>Smith et al., 2020</v>
      </c>
      <c r="B289" s="18" t="s">
        <v>42</v>
      </c>
      <c r="C289" s="18">
        <v>32.0</v>
      </c>
      <c r="D289" s="4" t="str">
        <f>IFERROR(__xludf.DUMMYFUNCTION("join(""; "",A289:C289)"),"Smith et al., 2020; BPTB; 32")</f>
        <v>Smith et al., 2020; BPTB; 32</v>
      </c>
    </row>
    <row r="290">
      <c r="A290" s="14" t="str">
        <f t="shared" si="49"/>
        <v>Smith et al., 2020</v>
      </c>
      <c r="B290" s="18" t="s">
        <v>42</v>
      </c>
      <c r="C290" s="18">
        <v>32.0</v>
      </c>
      <c r="D290" s="4" t="str">
        <f>IFERROR(__xludf.DUMMYFUNCTION("join(""; "",A290:C290)"),"Smith et al., 2020; BPTB; 32")</f>
        <v>Smith et al., 2020; BPTB; 32</v>
      </c>
    </row>
    <row r="291">
      <c r="A291" s="14" t="str">
        <f t="shared" si="49"/>
        <v>Smith et al., 2020</v>
      </c>
      <c r="B291" s="18" t="s">
        <v>84</v>
      </c>
      <c r="C291" s="18">
        <v>32.0</v>
      </c>
      <c r="D291" s="4" t="str">
        <f>IFERROR(__xludf.DUMMYFUNCTION("join(""; "",A291:C291)"),"Smith et al., 2020; HT; 32")</f>
        <v>Smith et al., 2020; HT; 32</v>
      </c>
    </row>
    <row r="292">
      <c r="A292" s="14" t="str">
        <f t="shared" si="49"/>
        <v>Smith et al., 2020</v>
      </c>
      <c r="B292" s="18" t="s">
        <v>84</v>
      </c>
      <c r="C292" s="18">
        <v>32.0</v>
      </c>
      <c r="D292" s="4" t="str">
        <f>IFERROR(__xludf.DUMMYFUNCTION("join(""; "",A292:C292)"),"Smith et al., 2020; HT; 32")</f>
        <v>Smith et al., 2020; HT; 32</v>
      </c>
    </row>
    <row r="293">
      <c r="A293" s="14" t="str">
        <f t="shared" si="49"/>
        <v>Smith et al., 2020</v>
      </c>
      <c r="B293" s="18" t="s">
        <v>84</v>
      </c>
      <c r="C293" s="18">
        <v>32.0</v>
      </c>
      <c r="D293" s="4" t="str">
        <f>IFERROR(__xludf.DUMMYFUNCTION("join(""; "",A293:C293)"),"Smith et al., 2020; HT; 32")</f>
        <v>Smith et al., 2020; HT; 32</v>
      </c>
    </row>
    <row r="294">
      <c r="A294" s="14" t="str">
        <f t="shared" ref="A294:A303" si="50">HYPERLINK("https://github.com/d-wkim/phd/blob/main/data/pdf/sonnery-cottet_2026.pdf","Sonnery-cottet et al., 2026")</f>
        <v>Sonnery-cottet et al., 2026</v>
      </c>
      <c r="B294" s="18" t="s">
        <v>42</v>
      </c>
      <c r="C294" s="18">
        <v>296.0</v>
      </c>
      <c r="D294" s="4" t="str">
        <f>IFERROR(__xludf.DUMMYFUNCTION("join(""; "",A294:C294)"),"Sonnery-cottet et al., 2026; BPTB; 296")</f>
        <v>Sonnery-cottet et al., 2026; BPTB; 296</v>
      </c>
    </row>
    <row r="295">
      <c r="A295" s="14" t="str">
        <f t="shared" si="50"/>
        <v>Sonnery-cottet et al., 2026</v>
      </c>
      <c r="B295" s="18" t="s">
        <v>42</v>
      </c>
      <c r="C295" s="18">
        <v>296.0</v>
      </c>
      <c r="D295" s="4" t="str">
        <f>IFERROR(__xludf.DUMMYFUNCTION("join(""; "",A295:C295)"),"Sonnery-cottet et al., 2026; BPTB; 296")</f>
        <v>Sonnery-cottet et al., 2026; BPTB; 296</v>
      </c>
    </row>
    <row r="296">
      <c r="A296" s="14" t="str">
        <f t="shared" si="50"/>
        <v>Sonnery-cottet et al., 2026</v>
      </c>
      <c r="B296" s="18" t="s">
        <v>42</v>
      </c>
      <c r="C296" s="18">
        <v>296.0</v>
      </c>
      <c r="D296" s="4" t="str">
        <f>IFERROR(__xludf.DUMMYFUNCTION("join(""; "",A296:C296)"),"Sonnery-cottet et al., 2026; BPTB; 296")</f>
        <v>Sonnery-cottet et al., 2026; BPTB; 296</v>
      </c>
    </row>
    <row r="297">
      <c r="A297" s="14" t="str">
        <f t="shared" si="50"/>
        <v>Sonnery-cottet et al., 2026</v>
      </c>
      <c r="B297" s="18" t="s">
        <v>42</v>
      </c>
      <c r="C297" s="18">
        <v>296.0</v>
      </c>
      <c r="D297" s="4" t="str">
        <f>IFERROR(__xludf.DUMMYFUNCTION("join(""; "",A297:C297)"),"Sonnery-cottet et al., 2026; BPTB; 296")</f>
        <v>Sonnery-cottet et al., 2026; BPTB; 296</v>
      </c>
    </row>
    <row r="298">
      <c r="A298" s="14" t="str">
        <f t="shared" si="50"/>
        <v>Sonnery-cottet et al., 2026</v>
      </c>
      <c r="B298" s="18" t="s">
        <v>42</v>
      </c>
      <c r="C298" s="18">
        <v>273.0</v>
      </c>
      <c r="D298" s="4" t="str">
        <f>IFERROR(__xludf.DUMMYFUNCTION("join(""; "",A298:C298)"),"Sonnery-cottet et al., 2026; BPTB; 273")</f>
        <v>Sonnery-cottet et al., 2026; BPTB; 273</v>
      </c>
    </row>
    <row r="299">
      <c r="A299" s="14" t="str">
        <f t="shared" si="50"/>
        <v>Sonnery-cottet et al., 2026</v>
      </c>
      <c r="B299" s="18" t="s">
        <v>84</v>
      </c>
      <c r="C299" s="18">
        <v>297.0</v>
      </c>
      <c r="D299" s="4" t="str">
        <f>IFERROR(__xludf.DUMMYFUNCTION("join(""; "",A299:C299)"),"Sonnery-cottet et al., 2026; HT; 297")</f>
        <v>Sonnery-cottet et al., 2026; HT; 297</v>
      </c>
    </row>
    <row r="300">
      <c r="A300" s="14" t="str">
        <f t="shared" si="50"/>
        <v>Sonnery-cottet et al., 2026</v>
      </c>
      <c r="B300" s="18" t="s">
        <v>84</v>
      </c>
      <c r="C300" s="18">
        <v>297.0</v>
      </c>
      <c r="D300" s="4" t="str">
        <f>IFERROR(__xludf.DUMMYFUNCTION("join(""; "",A300:C300)"),"Sonnery-cottet et al., 2026; HT; 297")</f>
        <v>Sonnery-cottet et al., 2026; HT; 297</v>
      </c>
    </row>
    <row r="301">
      <c r="A301" s="14" t="str">
        <f t="shared" si="50"/>
        <v>Sonnery-cottet et al., 2026</v>
      </c>
      <c r="B301" s="18" t="s">
        <v>84</v>
      </c>
      <c r="C301" s="18">
        <v>297.0</v>
      </c>
      <c r="D301" s="4" t="str">
        <f>IFERROR(__xludf.DUMMYFUNCTION("join(""; "",A301:C301)"),"Sonnery-cottet et al., 2026; HT; 297")</f>
        <v>Sonnery-cottet et al., 2026; HT; 297</v>
      </c>
    </row>
    <row r="302">
      <c r="A302" s="14" t="str">
        <f t="shared" si="50"/>
        <v>Sonnery-cottet et al., 2026</v>
      </c>
      <c r="B302" s="18" t="s">
        <v>84</v>
      </c>
      <c r="C302" s="18">
        <v>297.0</v>
      </c>
      <c r="D302" s="4" t="str">
        <f>IFERROR(__xludf.DUMMYFUNCTION("join(""; "",A302:C302)"),"Sonnery-cottet et al., 2026; HT; 297")</f>
        <v>Sonnery-cottet et al., 2026; HT; 297</v>
      </c>
    </row>
    <row r="303">
      <c r="A303" s="14" t="str">
        <f t="shared" si="50"/>
        <v>Sonnery-cottet et al., 2026</v>
      </c>
      <c r="B303" s="18" t="s">
        <v>84</v>
      </c>
      <c r="C303" s="18">
        <v>283.0</v>
      </c>
      <c r="D303" s="4" t="str">
        <f>IFERROR(__xludf.DUMMYFUNCTION("join(""; "",A303:C303)"),"Sonnery-cottet et al., 2026; HT; 283")</f>
        <v>Sonnery-cottet et al., 2026; HT; 283</v>
      </c>
    </row>
    <row r="304">
      <c r="A304" s="14" t="str">
        <f t="shared" ref="A304:A307" si="51">HYPERLINK("https://github.com/d-wkim/phd/blob/main/data/pdf/tang_2023.pdf","Tang et al., 2023")</f>
        <v>Tang et al., 2023</v>
      </c>
      <c r="B304" s="18" t="s">
        <v>84</v>
      </c>
      <c r="C304" s="18">
        <v>16.0</v>
      </c>
      <c r="D304" s="4" t="str">
        <f>IFERROR(__xludf.DUMMYFUNCTION("join(""; "",A304:C304)"),"Tang et al., 2023; HT; 16")</f>
        <v>Tang et al., 2023; HT; 16</v>
      </c>
    </row>
    <row r="305">
      <c r="A305" s="14" t="str">
        <f t="shared" si="51"/>
        <v>Tang et al., 2023</v>
      </c>
      <c r="B305" s="18" t="s">
        <v>84</v>
      </c>
      <c r="C305" s="18">
        <v>16.0</v>
      </c>
      <c r="D305" s="4" t="str">
        <f>IFERROR(__xludf.DUMMYFUNCTION("join(""; "",A305:C305)"),"Tang et al., 2023; HT; 16")</f>
        <v>Tang et al., 2023; HT; 16</v>
      </c>
    </row>
    <row r="306">
      <c r="A306" s="14" t="str">
        <f t="shared" si="51"/>
        <v>Tang et al., 2023</v>
      </c>
      <c r="B306" s="18" t="s">
        <v>200</v>
      </c>
      <c r="C306" s="18">
        <v>17.0</v>
      </c>
      <c r="D306" s="4" t="str">
        <f>IFERROR(__xludf.DUMMYFUNCTION("join(""; "",A306:C306)"),"Tang et al., 2023; QT; 17")</f>
        <v>Tang et al., 2023; QT; 17</v>
      </c>
    </row>
    <row r="307">
      <c r="A307" s="14" t="str">
        <f t="shared" si="51"/>
        <v>Tang et al., 2023</v>
      </c>
      <c r="B307" s="18" t="s">
        <v>200</v>
      </c>
      <c r="C307" s="18">
        <v>17.0</v>
      </c>
      <c r="D307" s="4" t="str">
        <f>IFERROR(__xludf.DUMMYFUNCTION("join(""; "",A307:C307)"),"Tang et al., 2023; QT; 17")</f>
        <v>Tang et al., 2023; QT; 17</v>
      </c>
    </row>
    <row r="308">
      <c r="A308" s="14" t="str">
        <f t="shared" ref="A308:A313" si="52">HYPERLINK("https://github.com/d-wkim/phd/blob/main/data/pdf/taylor_2009.pdf","Taylor et al., 2009")</f>
        <v>Taylor et al., 2009</v>
      </c>
      <c r="B308" s="18" t="s">
        <v>42</v>
      </c>
      <c r="C308" s="18">
        <v>20.0</v>
      </c>
      <c r="D308" s="4" t="str">
        <f>IFERROR(__xludf.DUMMYFUNCTION("join(""; "",A308:C308)"),"Taylor et al., 2009; BPTB; 20")</f>
        <v>Taylor et al., 2009; BPTB; 20</v>
      </c>
    </row>
    <row r="309">
      <c r="A309" s="14" t="str">
        <f t="shared" si="52"/>
        <v>Taylor et al., 2009</v>
      </c>
      <c r="B309" s="18" t="s">
        <v>42</v>
      </c>
      <c r="C309" s="18">
        <v>21.0</v>
      </c>
      <c r="D309" s="4" t="str">
        <f>IFERROR(__xludf.DUMMYFUNCTION("join(""; "",A309:C309)"),"Taylor et al., 2009; BPTB; 21")</f>
        <v>Taylor et al., 2009; BPTB; 21</v>
      </c>
    </row>
    <row r="310">
      <c r="A310" s="14" t="str">
        <f t="shared" si="52"/>
        <v>Taylor et al., 2009</v>
      </c>
      <c r="B310" s="18" t="s">
        <v>42</v>
      </c>
      <c r="C310" s="18">
        <v>32.0</v>
      </c>
      <c r="D310" s="4" t="str">
        <f>IFERROR(__xludf.DUMMYFUNCTION("join(""; "",A310:C310)"),"Taylor et al., 2009; BPTB; 32")</f>
        <v>Taylor et al., 2009; BPTB; 32</v>
      </c>
    </row>
    <row r="311">
      <c r="A311" s="14" t="str">
        <f t="shared" si="52"/>
        <v>Taylor et al., 2009</v>
      </c>
      <c r="B311" s="18" t="s">
        <v>84</v>
      </c>
      <c r="C311" s="18">
        <v>24.0</v>
      </c>
      <c r="D311" s="4" t="str">
        <f>IFERROR(__xludf.DUMMYFUNCTION("join(""; "",A311:C311)"),"Taylor et al., 2009; HT; 24")</f>
        <v>Taylor et al., 2009; HT; 24</v>
      </c>
    </row>
    <row r="312">
      <c r="A312" s="14" t="str">
        <f t="shared" si="52"/>
        <v>Taylor et al., 2009</v>
      </c>
      <c r="B312" s="18" t="s">
        <v>84</v>
      </c>
      <c r="C312" s="18">
        <v>23.0</v>
      </c>
      <c r="D312" s="4" t="str">
        <f>IFERROR(__xludf.DUMMYFUNCTION("join(""; "",A312:C312)"),"Taylor et al., 2009; HT; 23")</f>
        <v>Taylor et al., 2009; HT; 23</v>
      </c>
    </row>
    <row r="313">
      <c r="A313" s="14" t="str">
        <f t="shared" si="52"/>
        <v>Taylor et al., 2009</v>
      </c>
      <c r="B313" s="18" t="s">
        <v>84</v>
      </c>
      <c r="C313" s="18">
        <v>32.0</v>
      </c>
      <c r="D313" s="4" t="str">
        <f>IFERROR(__xludf.DUMMYFUNCTION("join(""; "",A313:C313)"),"Taylor et al., 2009; HT; 32")</f>
        <v>Taylor et al., 2009; HT; 32</v>
      </c>
    </row>
    <row r="314">
      <c r="A314" s="14" t="str">
        <f t="shared" ref="A314:A317" si="53">HYPERLINK("https://github.com/d-wkim/phd/blob/main/data/pdf/vilchez-cavazos_2020.pdf","Vilchez-cavazos et al., 2020")</f>
        <v>Vilchez-cavazos et al., 2020</v>
      </c>
      <c r="B314" s="18" t="s">
        <v>42</v>
      </c>
      <c r="C314" s="18">
        <v>14.0</v>
      </c>
      <c r="D314" s="4" t="str">
        <f>IFERROR(__xludf.DUMMYFUNCTION("join(""; "",A314:C314)"),"Vilchez-cavazos et al., 2020; BPTB; 14")</f>
        <v>Vilchez-cavazos et al., 2020; BPTB; 14</v>
      </c>
    </row>
    <row r="315">
      <c r="A315" s="14" t="str">
        <f t="shared" si="53"/>
        <v>Vilchez-cavazos et al., 2020</v>
      </c>
      <c r="B315" s="18" t="s">
        <v>42</v>
      </c>
      <c r="C315" s="18">
        <v>14.0</v>
      </c>
      <c r="D315" s="4" t="str">
        <f>IFERROR(__xludf.DUMMYFUNCTION("join(""; "",A315:C315)"),"Vilchez-cavazos et al., 2020; BPTB; 14")</f>
        <v>Vilchez-cavazos et al., 2020; BPTB; 14</v>
      </c>
    </row>
    <row r="316">
      <c r="A316" s="14" t="str">
        <f t="shared" si="53"/>
        <v>Vilchez-cavazos et al., 2020</v>
      </c>
      <c r="B316" s="18" t="s">
        <v>200</v>
      </c>
      <c r="C316" s="18">
        <v>14.0</v>
      </c>
      <c r="D316" s="4" t="str">
        <f>IFERROR(__xludf.DUMMYFUNCTION("join(""; "",A316:C316)"),"Vilchez-cavazos et al., 2020; QT; 14")</f>
        <v>Vilchez-cavazos et al., 2020; QT; 14</v>
      </c>
    </row>
    <row r="317">
      <c r="A317" s="14" t="str">
        <f t="shared" si="53"/>
        <v>Vilchez-cavazos et al., 2020</v>
      </c>
      <c r="B317" s="18" t="s">
        <v>200</v>
      </c>
      <c r="C317" s="18">
        <v>14.0</v>
      </c>
      <c r="D317" s="4" t="str">
        <f>IFERROR(__xludf.DUMMYFUNCTION("join(""; "",A317:C317)"),"Vilchez-cavazos et al., 2020; QT; 14")</f>
        <v>Vilchez-cavazos et al., 2020; QT; 14</v>
      </c>
    </row>
    <row r="318">
      <c r="A318" s="14" t="str">
        <f t="shared" ref="A318:A319" si="54">HYPERLINK("https://github.com/d-wkim/phd/blob/main/data/pdf/webster_2001.pdf","Webster et al., 2001")</f>
        <v>Webster et al., 2001</v>
      </c>
      <c r="B318" s="18" t="s">
        <v>42</v>
      </c>
      <c r="C318" s="18">
        <v>23.0</v>
      </c>
      <c r="D318" s="4" t="str">
        <f>IFERROR(__xludf.DUMMYFUNCTION("join(""; "",A318:C318)"),"Webster et al., 2001; BPTB; 23")</f>
        <v>Webster et al., 2001; BPTB; 23</v>
      </c>
    </row>
    <row r="319">
      <c r="A319" s="14" t="str">
        <f t="shared" si="54"/>
        <v>Webster et al., 2001</v>
      </c>
      <c r="B319" s="18" t="s">
        <v>84</v>
      </c>
      <c r="C319" s="18">
        <v>31.0</v>
      </c>
      <c r="D319" s="4" t="str">
        <f>IFERROR(__xludf.DUMMYFUNCTION("join(""; "",A319:C319)"),"Webster et al., 2001; HT; 31")</f>
        <v>Webster et al., 2001; HT; 31</v>
      </c>
    </row>
    <row r="320">
      <c r="A320" s="14" t="str">
        <f t="shared" ref="A320:A329" si="55">HYPERLINK("https://github.com/d-wkim/phd/blob/main/data/pdf/wipfler_2011.pdf","Wipfler et al., 2011")</f>
        <v>Wipfler et al., 2011</v>
      </c>
      <c r="B320" s="18" t="s">
        <v>42</v>
      </c>
      <c r="C320" s="18">
        <v>29.0</v>
      </c>
      <c r="D320" s="4" t="str">
        <f>IFERROR(__xludf.DUMMYFUNCTION("join(""; "",A320:C320)"),"Wipfler et al., 2011; BPTB; 29")</f>
        <v>Wipfler et al., 2011; BPTB; 29</v>
      </c>
    </row>
    <row r="321">
      <c r="A321" s="14" t="str">
        <f t="shared" si="55"/>
        <v>Wipfler et al., 2011</v>
      </c>
      <c r="B321" s="18" t="s">
        <v>42</v>
      </c>
      <c r="C321" s="18">
        <v>29.0</v>
      </c>
      <c r="D321" s="4" t="str">
        <f>IFERROR(__xludf.DUMMYFUNCTION("join(""; "",A321:C321)"),"Wipfler et al., 2011; BPTB; 29")</f>
        <v>Wipfler et al., 2011; BPTB; 29</v>
      </c>
    </row>
    <row r="322">
      <c r="A322" s="14" t="str">
        <f t="shared" si="55"/>
        <v>Wipfler et al., 2011</v>
      </c>
      <c r="B322" s="18" t="s">
        <v>42</v>
      </c>
      <c r="C322" s="18">
        <v>29.0</v>
      </c>
      <c r="D322" s="4" t="str">
        <f>IFERROR(__xludf.DUMMYFUNCTION("join(""; "",A322:C322)"),"Wipfler et al., 2011; BPTB; 29")</f>
        <v>Wipfler et al., 2011; BPTB; 29</v>
      </c>
    </row>
    <row r="323">
      <c r="A323" s="14" t="str">
        <f t="shared" si="55"/>
        <v>Wipfler et al., 2011</v>
      </c>
      <c r="B323" s="18" t="s">
        <v>42</v>
      </c>
      <c r="C323" s="18">
        <v>29.0</v>
      </c>
      <c r="D323" s="4" t="str">
        <f>IFERROR(__xludf.DUMMYFUNCTION("join(""; "",A323:C323)"),"Wipfler et al., 2011; BPTB; 29")</f>
        <v>Wipfler et al., 2011; BPTB; 29</v>
      </c>
    </row>
    <row r="324">
      <c r="A324" s="14" t="str">
        <f t="shared" si="55"/>
        <v>Wipfler et al., 2011</v>
      </c>
      <c r="B324" s="18" t="s">
        <v>42</v>
      </c>
      <c r="C324" s="18">
        <v>29.0</v>
      </c>
      <c r="D324" s="4" t="str">
        <f>IFERROR(__xludf.DUMMYFUNCTION("join(""; "",A324:C324)"),"Wipfler et al., 2011; BPTB; 29")</f>
        <v>Wipfler et al., 2011; BPTB; 29</v>
      </c>
    </row>
    <row r="325">
      <c r="A325" s="14" t="str">
        <f t="shared" si="55"/>
        <v>Wipfler et al., 2011</v>
      </c>
      <c r="B325" s="18" t="s">
        <v>84</v>
      </c>
      <c r="C325" s="18">
        <v>25.0</v>
      </c>
      <c r="D325" s="4" t="str">
        <f>IFERROR(__xludf.DUMMYFUNCTION("join(""; "",A325:C325)"),"Wipfler et al., 2011; HT; 25")</f>
        <v>Wipfler et al., 2011; HT; 25</v>
      </c>
    </row>
    <row r="326">
      <c r="A326" s="14" t="str">
        <f t="shared" si="55"/>
        <v>Wipfler et al., 2011</v>
      </c>
      <c r="B326" s="18" t="s">
        <v>84</v>
      </c>
      <c r="C326" s="18">
        <v>25.0</v>
      </c>
      <c r="D326" s="4" t="str">
        <f>IFERROR(__xludf.DUMMYFUNCTION("join(""; "",A326:C326)"),"Wipfler et al., 2011; HT; 25")</f>
        <v>Wipfler et al., 2011; HT; 25</v>
      </c>
    </row>
    <row r="327">
      <c r="A327" s="14" t="str">
        <f t="shared" si="55"/>
        <v>Wipfler et al., 2011</v>
      </c>
      <c r="B327" s="18" t="s">
        <v>84</v>
      </c>
      <c r="C327" s="18">
        <v>25.0</v>
      </c>
      <c r="D327" s="4" t="str">
        <f>IFERROR(__xludf.DUMMYFUNCTION("join(""; "",A327:C327)"),"Wipfler et al., 2011; HT; 25")</f>
        <v>Wipfler et al., 2011; HT; 25</v>
      </c>
    </row>
    <row r="328">
      <c r="A328" s="14" t="str">
        <f t="shared" si="55"/>
        <v>Wipfler et al., 2011</v>
      </c>
      <c r="B328" s="18" t="s">
        <v>84</v>
      </c>
      <c r="C328" s="18">
        <v>25.0</v>
      </c>
      <c r="D328" s="4" t="str">
        <f>IFERROR(__xludf.DUMMYFUNCTION("join(""; "",A328:C328)"),"Wipfler et al., 2011; HT; 25")</f>
        <v>Wipfler et al., 2011; HT; 25</v>
      </c>
    </row>
    <row r="329">
      <c r="A329" s="14" t="str">
        <f t="shared" si="55"/>
        <v>Wipfler et al., 2011</v>
      </c>
      <c r="B329" s="18" t="s">
        <v>84</v>
      </c>
      <c r="C329" s="18">
        <v>25.0</v>
      </c>
      <c r="D329" s="4" t="str">
        <f>IFERROR(__xludf.DUMMYFUNCTION("join(""; "",A329:C329)"),"Wipfler et al., 2011; HT; 25")</f>
        <v>Wipfler et al., 2011; HT; 25</v>
      </c>
    </row>
    <row r="330">
      <c r="A330" s="14" t="str">
        <f t="shared" ref="A330:A337" si="56">HYPERLINK("https://github.com/d-wkim/phd/blob/main/data/pdf/yadav_2025.pdf","Yadav et al., 2025")</f>
        <v>Yadav et al., 2025</v>
      </c>
      <c r="B330" s="18" t="s">
        <v>84</v>
      </c>
      <c r="C330" s="18">
        <v>36.0</v>
      </c>
      <c r="D330" s="4" t="str">
        <f>IFERROR(__xludf.DUMMYFUNCTION("join(""; "",A330:C330)"),"Yadav et al., 2025; HT; 36")</f>
        <v>Yadav et al., 2025; HT; 36</v>
      </c>
    </row>
    <row r="331">
      <c r="A331" s="14" t="str">
        <f t="shared" si="56"/>
        <v>Yadav et al., 2025</v>
      </c>
      <c r="B331" s="18" t="s">
        <v>84</v>
      </c>
      <c r="C331" s="18">
        <v>36.0</v>
      </c>
      <c r="D331" s="4" t="str">
        <f>IFERROR(__xludf.DUMMYFUNCTION("join(""; "",A331:C331)"),"Yadav et al., 2025; HT; 36")</f>
        <v>Yadav et al., 2025; HT; 36</v>
      </c>
    </row>
    <row r="332">
      <c r="A332" s="14" t="str">
        <f t="shared" si="56"/>
        <v>Yadav et al., 2025</v>
      </c>
      <c r="B332" s="18" t="s">
        <v>84</v>
      </c>
      <c r="C332" s="18">
        <v>36.0</v>
      </c>
      <c r="D332" s="4" t="str">
        <f>IFERROR(__xludf.DUMMYFUNCTION("join(""; "",A332:C332)"),"Yadav et al., 2025; HT; 36")</f>
        <v>Yadav et al., 2025; HT; 36</v>
      </c>
    </row>
    <row r="333">
      <c r="A333" s="14" t="str">
        <f t="shared" si="56"/>
        <v>Yadav et al., 2025</v>
      </c>
      <c r="B333" s="18" t="s">
        <v>84</v>
      </c>
      <c r="C333" s="18">
        <v>36.0</v>
      </c>
      <c r="D333" s="4" t="str">
        <f>IFERROR(__xludf.DUMMYFUNCTION("join(""; "",A333:C333)"),"Yadav et al., 2025; HT; 36")</f>
        <v>Yadav et al., 2025; HT; 36</v>
      </c>
    </row>
    <row r="334">
      <c r="A334" s="14" t="str">
        <f t="shared" si="56"/>
        <v>Yadav et al., 2025</v>
      </c>
      <c r="B334" s="18" t="s">
        <v>200</v>
      </c>
      <c r="C334" s="18">
        <v>33.0</v>
      </c>
      <c r="D334" s="4" t="str">
        <f>IFERROR(__xludf.DUMMYFUNCTION("join(""; "",A334:C334)"),"Yadav et al., 2025; QT; 33")</f>
        <v>Yadav et al., 2025; QT; 33</v>
      </c>
    </row>
    <row r="335">
      <c r="A335" s="14" t="str">
        <f t="shared" si="56"/>
        <v>Yadav et al., 2025</v>
      </c>
      <c r="B335" s="18" t="s">
        <v>200</v>
      </c>
      <c r="C335" s="18">
        <v>33.0</v>
      </c>
      <c r="D335" s="4" t="str">
        <f>IFERROR(__xludf.DUMMYFUNCTION("join(""; "",A335:C335)"),"Yadav et al., 2025; QT; 33")</f>
        <v>Yadav et al., 2025; QT; 33</v>
      </c>
    </row>
    <row r="336">
      <c r="A336" s="14" t="str">
        <f t="shared" si="56"/>
        <v>Yadav et al., 2025</v>
      </c>
      <c r="B336" s="18" t="s">
        <v>200</v>
      </c>
      <c r="C336" s="18">
        <v>33.0</v>
      </c>
      <c r="D336" s="4" t="str">
        <f>IFERROR(__xludf.DUMMYFUNCTION("join(""; "",A336:C336)"),"Yadav et al., 2025; QT; 33")</f>
        <v>Yadav et al., 2025; QT; 33</v>
      </c>
    </row>
    <row r="337">
      <c r="A337" s="14" t="str">
        <f t="shared" si="56"/>
        <v>Yadav et al., 2025</v>
      </c>
      <c r="B337" s="18" t="s">
        <v>200</v>
      </c>
      <c r="C337" s="18">
        <v>33.0</v>
      </c>
      <c r="D337" s="4" t="str">
        <f>IFERROR(__xludf.DUMMYFUNCTION("join(""; "",A337:C337)"),"Yadav et al., 2025; QT; 33")</f>
        <v>Yadav et al., 2025; QT; 33</v>
      </c>
    </row>
    <row r="338">
      <c r="A338" s="14" t="str">
        <f t="shared" ref="A338:A345" si="57">HYPERLINK("https://github.com/d-wkim/phd/blob/main/data/pdf/yoo_2017.pdf","Yoo et al., 2017")</f>
        <v>Yoo et al., 2017</v>
      </c>
      <c r="B338" s="18" t="s">
        <v>84</v>
      </c>
      <c r="C338" s="18">
        <v>68.0</v>
      </c>
      <c r="D338" s="4" t="str">
        <f>IFERROR(__xludf.DUMMYFUNCTION("join(""; "",A338:C338)"),"Yoo et al., 2017; HT; 68")</f>
        <v>Yoo et al., 2017; HT; 68</v>
      </c>
    </row>
    <row r="339">
      <c r="A339" s="14" t="str">
        <f t="shared" si="57"/>
        <v>Yoo et al., 2017</v>
      </c>
      <c r="B339" s="18" t="s">
        <v>84</v>
      </c>
      <c r="C339" s="18">
        <v>68.0</v>
      </c>
      <c r="D339" s="4" t="str">
        <f>IFERROR(__xludf.DUMMYFUNCTION("join(""; "",A339:C339)"),"Yoo et al., 2017; HT; 68")</f>
        <v>Yoo et al., 2017; HT; 68</v>
      </c>
    </row>
    <row r="340">
      <c r="A340" s="14" t="str">
        <f t="shared" si="57"/>
        <v>Yoo et al., 2017</v>
      </c>
      <c r="B340" s="18" t="s">
        <v>84</v>
      </c>
      <c r="C340" s="18">
        <v>68.0</v>
      </c>
      <c r="D340" s="4" t="str">
        <f>IFERROR(__xludf.DUMMYFUNCTION("join(""; "",A340:C340)"),"Yoo et al., 2017; HT; 68")</f>
        <v>Yoo et al., 2017; HT; 68</v>
      </c>
    </row>
    <row r="341">
      <c r="A341" s="14" t="str">
        <f t="shared" si="57"/>
        <v>Yoo et al., 2017</v>
      </c>
      <c r="B341" s="18" t="s">
        <v>84</v>
      </c>
      <c r="C341" s="18">
        <v>68.0</v>
      </c>
      <c r="D341" s="4" t="str">
        <f>IFERROR(__xludf.DUMMYFUNCTION("join(""; "",A341:C341)"),"Yoo et al., 2017; HT; 68")</f>
        <v>Yoo et al., 2017; HT; 68</v>
      </c>
    </row>
    <row r="342">
      <c r="A342" s="14" t="str">
        <f t="shared" si="57"/>
        <v>Yoo et al., 2017</v>
      </c>
      <c r="B342" s="18" t="s">
        <v>205</v>
      </c>
      <c r="C342" s="18">
        <v>64.0</v>
      </c>
      <c r="D342" s="4" t="str">
        <f>IFERROR(__xludf.DUMMYFUNCTION("join(""; "",A342:C342)"),"Yoo et al., 2017; TA; 64")</f>
        <v>Yoo et al., 2017; TA; 64</v>
      </c>
    </row>
    <row r="343">
      <c r="A343" s="14" t="str">
        <f t="shared" si="57"/>
        <v>Yoo et al., 2017</v>
      </c>
      <c r="B343" s="18" t="s">
        <v>205</v>
      </c>
      <c r="C343" s="18">
        <v>64.0</v>
      </c>
      <c r="D343" s="4" t="str">
        <f>IFERROR(__xludf.DUMMYFUNCTION("join(""; "",A343:C343)"),"Yoo et al., 2017; TA; 64")</f>
        <v>Yoo et al., 2017; TA; 64</v>
      </c>
    </row>
    <row r="344">
      <c r="A344" s="14" t="str">
        <f t="shared" si="57"/>
        <v>Yoo et al., 2017</v>
      </c>
      <c r="B344" s="18" t="s">
        <v>205</v>
      </c>
      <c r="C344" s="18">
        <v>64.0</v>
      </c>
      <c r="D344" s="4" t="str">
        <f>IFERROR(__xludf.DUMMYFUNCTION("join(""; "",A344:C344)"),"Yoo et al., 2017; TA; 64")</f>
        <v>Yoo et al., 2017; TA; 64</v>
      </c>
    </row>
    <row r="345">
      <c r="A345" s="14" t="str">
        <f t="shared" si="57"/>
        <v>Yoo et al., 2017</v>
      </c>
      <c r="B345" s="18" t="s">
        <v>205</v>
      </c>
      <c r="C345" s="18">
        <v>64.0</v>
      </c>
      <c r="D345" s="4" t="str">
        <f>IFERROR(__xludf.DUMMYFUNCTION("join(""; "",A345:C345)"),"Yoo et al., 2017; TA; 64")</f>
        <v>Yoo et al., 2017; TA; 64</v>
      </c>
    </row>
    <row r="346">
      <c r="A346" s="14" t="str">
        <f t="shared" ref="A346:A349" si="58">HYPERLINK("https://github.com/d-wkim/phd/blob/main/data/pdf/zaffagnini_2011.pdf","Zaffagnini et al., 2011")</f>
        <v>Zaffagnini et al., 2011</v>
      </c>
      <c r="B346" s="18" t="s">
        <v>42</v>
      </c>
      <c r="C346" s="18">
        <v>40.0</v>
      </c>
      <c r="D346" s="4" t="str">
        <f>IFERROR(__xludf.DUMMYFUNCTION("join(""; "",A346:C346)"),"Zaffagnini et al., 2011; BPTB; 40")</f>
        <v>Zaffagnini et al., 2011; BPTB; 40</v>
      </c>
    </row>
    <row r="347">
      <c r="A347" s="14" t="str">
        <f t="shared" si="58"/>
        <v>Zaffagnini et al., 2011</v>
      </c>
      <c r="B347" s="18" t="s">
        <v>42</v>
      </c>
      <c r="C347" s="18">
        <v>40.0</v>
      </c>
      <c r="D347" s="4" t="str">
        <f>IFERROR(__xludf.DUMMYFUNCTION("join(""; "",A347:C347)"),"Zaffagnini et al., 2011; BPTB; 40")</f>
        <v>Zaffagnini et al., 2011; BPTB; 40</v>
      </c>
    </row>
    <row r="348">
      <c r="A348" s="14" t="str">
        <f t="shared" si="58"/>
        <v>Zaffagnini et al., 2011</v>
      </c>
      <c r="B348" s="18" t="s">
        <v>84</v>
      </c>
      <c r="C348" s="18">
        <v>39.0</v>
      </c>
      <c r="D348" s="4" t="str">
        <f>IFERROR(__xludf.DUMMYFUNCTION("join(""; "",A348:C348)"),"Zaffagnini et al., 2011; HT; 39")</f>
        <v>Zaffagnini et al., 2011; HT; 39</v>
      </c>
    </row>
    <row r="349">
      <c r="A349" s="14" t="str">
        <f t="shared" si="58"/>
        <v>Zaffagnini et al., 2011</v>
      </c>
      <c r="B349" s="18" t="s">
        <v>84</v>
      </c>
      <c r="C349" s="18">
        <v>39.0</v>
      </c>
      <c r="D349" s="4" t="str">
        <f>IFERROR(__xludf.DUMMYFUNCTION("join(""; "",A349:C349)"),"Zaffagnini et al., 2011; HT; 39")</f>
        <v>Zaffagnini et al., 2011; HT; 39</v>
      </c>
    </row>
    <row r="350">
      <c r="A350" s="67"/>
      <c r="B350" s="67"/>
      <c r="C350" s="67"/>
    </row>
    <row r="351">
      <c r="A351" s="67"/>
      <c r="B351" s="67"/>
      <c r="C351" s="67"/>
    </row>
    <row r="352">
      <c r="A352" s="67"/>
      <c r="B352" s="67"/>
      <c r="C352" s="67"/>
    </row>
    <row r="353">
      <c r="A353" s="67"/>
      <c r="B353" s="67"/>
      <c r="C353" s="67"/>
    </row>
    <row r="354">
      <c r="A354" s="67"/>
      <c r="B354" s="67"/>
      <c r="C354" s="67"/>
    </row>
    <row r="355">
      <c r="A355" s="67"/>
      <c r="B355" s="67"/>
      <c r="C355" s="67"/>
    </row>
    <row r="356">
      <c r="A356" s="67"/>
      <c r="B356" s="67"/>
      <c r="C356" s="67"/>
    </row>
    <row r="357">
      <c r="A357" s="67"/>
      <c r="B357" s="67"/>
      <c r="C357" s="67"/>
    </row>
    <row r="358">
      <c r="A358" s="67"/>
      <c r="B358" s="67"/>
      <c r="C358" s="67"/>
    </row>
    <row r="359">
      <c r="A359" s="67"/>
      <c r="B359" s="67"/>
      <c r="C359" s="67"/>
    </row>
    <row r="360">
      <c r="A360" s="67"/>
      <c r="B360" s="67"/>
      <c r="C360" s="67"/>
    </row>
    <row r="361">
      <c r="A361" s="67"/>
      <c r="B361" s="67"/>
      <c r="C361" s="67"/>
    </row>
    <row r="362">
      <c r="A362" s="67"/>
      <c r="B362" s="67"/>
      <c r="C362" s="67"/>
    </row>
    <row r="363">
      <c r="A363" s="67"/>
      <c r="B363" s="67"/>
      <c r="C363" s="67"/>
    </row>
    <row r="364">
      <c r="A364" s="67"/>
      <c r="B364" s="67"/>
      <c r="C364" s="67"/>
    </row>
    <row r="365">
      <c r="A365" s="67"/>
      <c r="B365" s="67"/>
      <c r="C365" s="67"/>
    </row>
    <row r="366">
      <c r="A366" s="67"/>
      <c r="B366" s="67"/>
      <c r="C366" s="67"/>
    </row>
    <row r="367">
      <c r="A367" s="67"/>
      <c r="B367" s="67"/>
      <c r="C367" s="67"/>
    </row>
    <row r="368">
      <c r="A368" s="67"/>
      <c r="B368" s="67"/>
      <c r="C368" s="67"/>
    </row>
    <row r="369">
      <c r="A369" s="67"/>
      <c r="B369" s="67"/>
      <c r="C369" s="67"/>
    </row>
    <row r="370">
      <c r="A370" s="67"/>
      <c r="B370" s="67"/>
      <c r="C370" s="67"/>
    </row>
    <row r="371">
      <c r="A371" s="67"/>
      <c r="B371" s="67"/>
      <c r="C371" s="67"/>
    </row>
    <row r="372">
      <c r="A372" s="67"/>
      <c r="B372" s="67"/>
      <c r="C372" s="67"/>
    </row>
    <row r="373">
      <c r="A373" s="67"/>
      <c r="B373" s="67"/>
      <c r="C373" s="67"/>
    </row>
    <row r="374">
      <c r="A374" s="67"/>
      <c r="B374" s="67"/>
      <c r="C374" s="67"/>
    </row>
    <row r="375">
      <c r="A375" s="67"/>
      <c r="B375" s="67"/>
      <c r="C375" s="67"/>
    </row>
    <row r="376">
      <c r="A376" s="67"/>
      <c r="B376" s="67"/>
      <c r="C376" s="67"/>
    </row>
    <row r="377">
      <c r="A377" s="67"/>
      <c r="B377" s="67"/>
      <c r="C377" s="67"/>
    </row>
    <row r="378">
      <c r="A378" s="67"/>
      <c r="B378" s="67"/>
      <c r="C378" s="67"/>
    </row>
    <row r="379">
      <c r="A379" s="67"/>
      <c r="B379" s="67"/>
      <c r="C379" s="67"/>
    </row>
    <row r="380">
      <c r="A380" s="67"/>
      <c r="B380" s="67"/>
      <c r="C380" s="67"/>
    </row>
    <row r="381">
      <c r="A381" s="67"/>
      <c r="B381" s="67"/>
      <c r="C381" s="67"/>
    </row>
    <row r="382">
      <c r="A382" s="67"/>
      <c r="B382" s="67"/>
      <c r="C382" s="67"/>
    </row>
    <row r="383">
      <c r="A383" s="67"/>
      <c r="B383" s="67"/>
      <c r="C383" s="67"/>
    </row>
    <row r="384">
      <c r="A384" s="67"/>
      <c r="B384" s="67"/>
      <c r="C384" s="67"/>
    </row>
    <row r="385">
      <c r="A385" s="67"/>
      <c r="B385" s="67"/>
      <c r="C385" s="67"/>
    </row>
    <row r="386">
      <c r="A386" s="67"/>
      <c r="B386" s="67"/>
      <c r="C386" s="67"/>
    </row>
    <row r="387">
      <c r="A387" s="67"/>
      <c r="B387" s="67"/>
      <c r="C387" s="67"/>
    </row>
    <row r="388">
      <c r="A388" s="67"/>
      <c r="B388" s="67"/>
      <c r="C388" s="67"/>
    </row>
    <row r="389">
      <c r="A389" s="67"/>
      <c r="B389" s="67"/>
      <c r="C389" s="67"/>
    </row>
    <row r="390">
      <c r="A390" s="67"/>
      <c r="B390" s="67"/>
      <c r="C390" s="67"/>
    </row>
    <row r="391">
      <c r="A391" s="67"/>
      <c r="B391" s="67"/>
      <c r="C391" s="67"/>
    </row>
    <row r="392">
      <c r="A392" s="67"/>
      <c r="B392" s="67"/>
      <c r="C392" s="67"/>
    </row>
    <row r="393">
      <c r="A393" s="67"/>
      <c r="B393" s="67"/>
      <c r="C393" s="67"/>
    </row>
    <row r="394">
      <c r="A394" s="67"/>
      <c r="B394" s="67"/>
      <c r="C394" s="67"/>
    </row>
    <row r="395">
      <c r="A395" s="67"/>
      <c r="B395" s="67"/>
      <c r="C395" s="67"/>
    </row>
    <row r="396">
      <c r="A396" s="67"/>
      <c r="B396" s="67"/>
      <c r="C396" s="67"/>
    </row>
    <row r="397">
      <c r="A397" s="67"/>
      <c r="B397" s="67"/>
      <c r="C397" s="67"/>
    </row>
    <row r="398">
      <c r="A398" s="67"/>
      <c r="B398" s="67"/>
      <c r="C398" s="67"/>
    </row>
    <row r="399">
      <c r="A399" s="67"/>
      <c r="B399" s="67"/>
      <c r="C399" s="67"/>
    </row>
    <row r="400">
      <c r="A400" s="67"/>
      <c r="B400" s="67"/>
      <c r="C400" s="67"/>
    </row>
    <row r="401">
      <c r="A401" s="67"/>
      <c r="B401" s="67"/>
      <c r="C401" s="67"/>
    </row>
    <row r="402">
      <c r="A402" s="67"/>
      <c r="B402" s="67"/>
      <c r="C402" s="67"/>
    </row>
    <row r="403">
      <c r="A403" s="67"/>
      <c r="B403" s="67"/>
      <c r="C403" s="67"/>
    </row>
    <row r="404">
      <c r="A404" s="67"/>
      <c r="B404" s="67"/>
      <c r="C404" s="67"/>
    </row>
    <row r="405">
      <c r="A405" s="67"/>
      <c r="B405" s="67"/>
      <c r="C405" s="67"/>
    </row>
    <row r="406">
      <c r="A406" s="67"/>
      <c r="B406" s="67"/>
      <c r="C406" s="67"/>
    </row>
    <row r="407">
      <c r="A407" s="67"/>
      <c r="B407" s="67"/>
      <c r="C407" s="67"/>
    </row>
    <row r="408">
      <c r="A408" s="67"/>
      <c r="B408" s="67"/>
      <c r="C408" s="67"/>
    </row>
    <row r="409">
      <c r="A409" s="67"/>
      <c r="B409" s="67"/>
      <c r="C409" s="67"/>
    </row>
    <row r="410">
      <c r="A410" s="67"/>
      <c r="B410" s="67"/>
      <c r="C410" s="67"/>
    </row>
    <row r="411">
      <c r="A411" s="67"/>
      <c r="B411" s="67"/>
      <c r="C411" s="67"/>
    </row>
    <row r="412">
      <c r="A412" s="67"/>
      <c r="B412" s="67"/>
      <c r="C412" s="67"/>
    </row>
    <row r="413">
      <c r="A413" s="67"/>
      <c r="B413" s="67"/>
      <c r="C413" s="67"/>
    </row>
    <row r="414">
      <c r="A414" s="67"/>
      <c r="B414" s="67"/>
      <c r="C414" s="67"/>
    </row>
    <row r="415">
      <c r="A415" s="67"/>
      <c r="B415" s="67"/>
      <c r="C415" s="67"/>
    </row>
    <row r="416">
      <c r="A416" s="67"/>
      <c r="B416" s="67"/>
      <c r="C416" s="67"/>
    </row>
    <row r="417">
      <c r="A417" s="67"/>
      <c r="B417" s="67"/>
      <c r="C417" s="67"/>
    </row>
    <row r="418">
      <c r="A418" s="67"/>
      <c r="B418" s="67"/>
      <c r="C418" s="67"/>
    </row>
    <row r="419">
      <c r="A419" s="67"/>
      <c r="B419" s="67"/>
      <c r="C419" s="67"/>
    </row>
    <row r="420">
      <c r="A420" s="67"/>
      <c r="B420" s="67"/>
      <c r="C420" s="67"/>
    </row>
    <row r="421">
      <c r="A421" s="67"/>
      <c r="B421" s="67"/>
      <c r="C421" s="67"/>
    </row>
    <row r="422">
      <c r="A422" s="67"/>
      <c r="B422" s="67"/>
      <c r="C422" s="67"/>
    </row>
    <row r="423">
      <c r="A423" s="67"/>
      <c r="B423" s="67"/>
      <c r="C423" s="67"/>
    </row>
    <row r="424">
      <c r="A424" s="67"/>
      <c r="B424" s="67"/>
      <c r="C424" s="67"/>
    </row>
    <row r="425">
      <c r="A425" s="67"/>
      <c r="B425" s="67"/>
      <c r="C425" s="67"/>
    </row>
    <row r="426">
      <c r="A426" s="67"/>
      <c r="B426" s="67"/>
      <c r="C426" s="67"/>
    </row>
    <row r="427">
      <c r="A427" s="67"/>
      <c r="B427" s="67"/>
      <c r="C427" s="67"/>
    </row>
    <row r="428">
      <c r="A428" s="67"/>
      <c r="B428" s="67"/>
      <c r="C428" s="67"/>
    </row>
    <row r="429">
      <c r="A429" s="67"/>
      <c r="B429" s="67"/>
      <c r="C429" s="67"/>
    </row>
    <row r="430">
      <c r="A430" s="67"/>
      <c r="B430" s="67"/>
      <c r="C430" s="67"/>
    </row>
    <row r="431">
      <c r="A431" s="67"/>
      <c r="B431" s="67"/>
      <c r="C431" s="67"/>
    </row>
    <row r="432">
      <c r="A432" s="67"/>
      <c r="B432" s="67"/>
      <c r="C432" s="67"/>
    </row>
    <row r="433">
      <c r="A433" s="67"/>
      <c r="B433" s="67"/>
      <c r="C433" s="67"/>
    </row>
    <row r="434">
      <c r="A434" s="67"/>
      <c r="B434" s="67"/>
      <c r="C434" s="67"/>
    </row>
    <row r="435">
      <c r="A435" s="67"/>
      <c r="B435" s="67"/>
      <c r="C435" s="67"/>
    </row>
    <row r="436">
      <c r="A436" s="67"/>
      <c r="B436" s="67"/>
      <c r="C436" s="67"/>
    </row>
    <row r="437">
      <c r="A437" s="67"/>
      <c r="B437" s="67"/>
      <c r="C437" s="67"/>
    </row>
    <row r="438">
      <c r="A438" s="67"/>
      <c r="B438" s="67"/>
      <c r="C438" s="67"/>
    </row>
    <row r="439">
      <c r="A439" s="67"/>
      <c r="B439" s="67"/>
      <c r="C439" s="67"/>
    </row>
    <row r="440">
      <c r="A440" s="67"/>
      <c r="B440" s="67"/>
      <c r="C440" s="67"/>
    </row>
    <row r="441">
      <c r="A441" s="67"/>
      <c r="B441" s="67"/>
      <c r="C441" s="67"/>
    </row>
    <row r="442">
      <c r="A442" s="67"/>
      <c r="B442" s="67"/>
      <c r="C442" s="67"/>
    </row>
    <row r="443">
      <c r="A443" s="67"/>
      <c r="B443" s="67"/>
      <c r="C443" s="67"/>
    </row>
    <row r="444">
      <c r="A444" s="67"/>
      <c r="B444" s="67"/>
      <c r="C444" s="67"/>
    </row>
    <row r="445">
      <c r="A445" s="67"/>
      <c r="B445" s="67"/>
      <c r="C445" s="67"/>
    </row>
    <row r="446">
      <c r="A446" s="67"/>
      <c r="B446" s="67"/>
      <c r="C446" s="67"/>
    </row>
    <row r="447">
      <c r="A447" s="67"/>
      <c r="B447" s="67"/>
      <c r="C447" s="67"/>
    </row>
    <row r="448">
      <c r="A448" s="67"/>
      <c r="B448" s="67"/>
      <c r="C448" s="67"/>
    </row>
    <row r="449">
      <c r="A449" s="67"/>
      <c r="B449" s="67"/>
      <c r="C449" s="67"/>
    </row>
    <row r="450">
      <c r="A450" s="67"/>
      <c r="B450" s="67"/>
      <c r="C450" s="67"/>
    </row>
    <row r="451">
      <c r="A451" s="67"/>
      <c r="B451" s="67"/>
      <c r="C451" s="67"/>
    </row>
    <row r="452">
      <c r="A452" s="67"/>
      <c r="B452" s="67"/>
      <c r="C452" s="67"/>
    </row>
    <row r="453">
      <c r="A453" s="67"/>
      <c r="B453" s="67"/>
      <c r="C453" s="67"/>
    </row>
    <row r="454">
      <c r="A454" s="67"/>
      <c r="B454" s="67"/>
      <c r="C454" s="67"/>
    </row>
    <row r="455">
      <c r="A455" s="67"/>
      <c r="B455" s="67"/>
      <c r="C455" s="67"/>
    </row>
    <row r="456">
      <c r="A456" s="67"/>
      <c r="B456" s="67"/>
      <c r="C456" s="67"/>
    </row>
    <row r="457">
      <c r="A457" s="67"/>
      <c r="B457" s="67"/>
      <c r="C457" s="67"/>
    </row>
    <row r="458">
      <c r="A458" s="67"/>
      <c r="B458" s="67"/>
      <c r="C458" s="67"/>
    </row>
    <row r="459">
      <c r="A459" s="67"/>
      <c r="B459" s="67"/>
      <c r="C459" s="67"/>
    </row>
    <row r="460">
      <c r="A460" s="67"/>
      <c r="B460" s="67"/>
      <c r="C460" s="67"/>
    </row>
    <row r="461">
      <c r="A461" s="67"/>
      <c r="B461" s="67"/>
      <c r="C461" s="67"/>
    </row>
    <row r="462">
      <c r="A462" s="67"/>
      <c r="B462" s="67"/>
      <c r="C462" s="67"/>
    </row>
    <row r="463">
      <c r="A463" s="67"/>
      <c r="B463" s="67"/>
      <c r="C463" s="67"/>
    </row>
    <row r="464">
      <c r="A464" s="67"/>
      <c r="B464" s="67"/>
      <c r="C464" s="67"/>
    </row>
    <row r="465">
      <c r="A465" s="67"/>
      <c r="B465" s="67"/>
      <c r="C465" s="67"/>
    </row>
    <row r="466">
      <c r="A466" s="67"/>
      <c r="B466" s="67"/>
      <c r="C466" s="67"/>
    </row>
    <row r="467">
      <c r="A467" s="67"/>
      <c r="B467" s="67"/>
      <c r="C467" s="67"/>
    </row>
    <row r="468">
      <c r="A468" s="67"/>
      <c r="B468" s="67"/>
      <c r="C468" s="67"/>
    </row>
    <row r="469">
      <c r="A469" s="67"/>
      <c r="B469" s="67"/>
      <c r="C469" s="67"/>
    </row>
    <row r="470">
      <c r="A470" s="67"/>
      <c r="B470" s="67"/>
      <c r="C470" s="67"/>
    </row>
    <row r="471">
      <c r="A471" s="67"/>
      <c r="B471" s="67"/>
      <c r="C471" s="67"/>
    </row>
    <row r="472">
      <c r="A472" s="67"/>
      <c r="B472" s="67"/>
      <c r="C472" s="67"/>
    </row>
    <row r="473">
      <c r="A473" s="67"/>
      <c r="B473" s="67"/>
      <c r="C473" s="67"/>
    </row>
    <row r="474">
      <c r="A474" s="67"/>
      <c r="B474" s="67"/>
      <c r="C474" s="67"/>
    </row>
    <row r="475">
      <c r="A475" s="67"/>
      <c r="B475" s="67"/>
      <c r="C475" s="67"/>
    </row>
    <row r="476">
      <c r="A476" s="67"/>
      <c r="B476" s="67"/>
      <c r="C476" s="67"/>
    </row>
    <row r="477">
      <c r="A477" s="67"/>
      <c r="B477" s="67"/>
      <c r="C477" s="67"/>
    </row>
    <row r="478">
      <c r="A478" s="67"/>
      <c r="B478" s="67"/>
      <c r="C478" s="67"/>
    </row>
    <row r="479">
      <c r="A479" s="67"/>
      <c r="B479" s="67"/>
      <c r="C479" s="67"/>
    </row>
    <row r="480">
      <c r="A480" s="67"/>
      <c r="B480" s="67"/>
      <c r="C480" s="67"/>
    </row>
    <row r="481">
      <c r="A481" s="67"/>
      <c r="B481" s="67"/>
      <c r="C481" s="67"/>
    </row>
    <row r="482">
      <c r="A482" s="67"/>
      <c r="B482" s="67"/>
      <c r="C482" s="67"/>
    </row>
    <row r="483">
      <c r="A483" s="67"/>
      <c r="B483" s="67"/>
      <c r="C483" s="67"/>
    </row>
    <row r="484">
      <c r="A484" s="67"/>
      <c r="B484" s="67"/>
      <c r="C484" s="67"/>
    </row>
    <row r="485">
      <c r="A485" s="67"/>
      <c r="B485" s="67"/>
      <c r="C485" s="67"/>
    </row>
    <row r="486">
      <c r="A486" s="67"/>
      <c r="B486" s="67"/>
      <c r="C486" s="67"/>
    </row>
    <row r="487">
      <c r="A487" s="67"/>
      <c r="B487" s="67"/>
      <c r="C487" s="67"/>
    </row>
    <row r="488">
      <c r="A488" s="67"/>
      <c r="B488" s="67"/>
      <c r="C488" s="67"/>
    </row>
    <row r="489">
      <c r="A489" s="67"/>
      <c r="B489" s="67"/>
      <c r="C489" s="67"/>
    </row>
    <row r="490">
      <c r="A490" s="67"/>
      <c r="B490" s="67"/>
      <c r="C490" s="67"/>
    </row>
    <row r="491">
      <c r="A491" s="67"/>
      <c r="B491" s="67"/>
      <c r="C491" s="67"/>
    </row>
    <row r="492">
      <c r="A492" s="67"/>
      <c r="B492" s="67"/>
      <c r="C492" s="67"/>
    </row>
    <row r="493">
      <c r="A493" s="67"/>
      <c r="B493" s="67"/>
      <c r="C493" s="67"/>
    </row>
    <row r="494">
      <c r="A494" s="67"/>
      <c r="B494" s="67"/>
      <c r="C494" s="67"/>
    </row>
    <row r="495">
      <c r="A495" s="67"/>
      <c r="B495" s="67"/>
      <c r="C495" s="67"/>
    </row>
    <row r="496">
      <c r="A496" s="67"/>
      <c r="B496" s="67"/>
      <c r="C496" s="67"/>
    </row>
    <row r="497">
      <c r="A497" s="67"/>
      <c r="B497" s="67"/>
      <c r="C497" s="67"/>
    </row>
    <row r="498">
      <c r="A498" s="67"/>
      <c r="B498" s="67"/>
      <c r="C498" s="67"/>
    </row>
    <row r="499">
      <c r="A499" s="67"/>
      <c r="B499" s="67"/>
      <c r="C499" s="67"/>
    </row>
    <row r="500">
      <c r="A500" s="67"/>
      <c r="B500" s="67"/>
      <c r="C500" s="67"/>
    </row>
    <row r="501">
      <c r="A501" s="67"/>
      <c r="B501" s="67"/>
      <c r="C501" s="67"/>
    </row>
    <row r="502">
      <c r="A502" s="67"/>
      <c r="B502" s="67"/>
      <c r="C502" s="67"/>
    </row>
    <row r="503">
      <c r="A503" s="67"/>
      <c r="B503" s="67"/>
      <c r="C503" s="67"/>
    </row>
    <row r="504">
      <c r="A504" s="67"/>
      <c r="B504" s="67"/>
      <c r="C504" s="67"/>
    </row>
    <row r="505">
      <c r="A505" s="67"/>
      <c r="B505" s="67"/>
      <c r="C505" s="67"/>
    </row>
    <row r="506">
      <c r="A506" s="67"/>
      <c r="B506" s="67"/>
      <c r="C506" s="67"/>
    </row>
    <row r="507">
      <c r="A507" s="67"/>
      <c r="B507" s="67"/>
      <c r="C507" s="67"/>
    </row>
    <row r="508">
      <c r="A508" s="67"/>
      <c r="B508" s="67"/>
      <c r="C508" s="67"/>
    </row>
    <row r="509">
      <c r="A509" s="67"/>
      <c r="B509" s="67"/>
      <c r="C509" s="67"/>
    </row>
    <row r="510">
      <c r="A510" s="67"/>
      <c r="B510" s="67"/>
      <c r="C510" s="67"/>
    </row>
    <row r="511">
      <c r="A511" s="67"/>
      <c r="B511" s="67"/>
      <c r="C511" s="67"/>
    </row>
    <row r="512">
      <c r="A512" s="67"/>
      <c r="B512" s="67"/>
      <c r="C512" s="67"/>
    </row>
    <row r="513">
      <c r="A513" s="67"/>
      <c r="B513" s="67"/>
      <c r="C513" s="67"/>
    </row>
    <row r="514">
      <c r="A514" s="67"/>
      <c r="B514" s="67"/>
      <c r="C514" s="67"/>
    </row>
    <row r="515">
      <c r="A515" s="67"/>
      <c r="B515" s="67"/>
      <c r="C515" s="67"/>
    </row>
    <row r="516">
      <c r="A516" s="67"/>
      <c r="B516" s="67"/>
      <c r="C516" s="67"/>
    </row>
    <row r="517">
      <c r="A517" s="67"/>
      <c r="B517" s="67"/>
      <c r="C517" s="67"/>
    </row>
    <row r="518">
      <c r="A518" s="67"/>
      <c r="B518" s="67"/>
      <c r="C518" s="67"/>
    </row>
    <row r="519">
      <c r="A519" s="67"/>
      <c r="B519" s="67"/>
      <c r="C519" s="67"/>
    </row>
    <row r="520">
      <c r="A520" s="67"/>
      <c r="B520" s="67"/>
      <c r="C520" s="67"/>
    </row>
    <row r="521">
      <c r="A521" s="67"/>
      <c r="B521" s="67"/>
      <c r="C521" s="67"/>
    </row>
    <row r="522">
      <c r="A522" s="67"/>
      <c r="B522" s="67"/>
      <c r="C522" s="67"/>
    </row>
    <row r="523">
      <c r="A523" s="67"/>
      <c r="B523" s="67"/>
      <c r="C523" s="67"/>
    </row>
    <row r="524">
      <c r="A524" s="67"/>
      <c r="B524" s="67"/>
      <c r="C524" s="67"/>
    </row>
    <row r="525">
      <c r="A525" s="67"/>
      <c r="B525" s="67"/>
      <c r="C525" s="67"/>
    </row>
    <row r="526">
      <c r="A526" s="67"/>
      <c r="B526" s="67"/>
      <c r="C526" s="67"/>
    </row>
    <row r="527">
      <c r="A527" s="67"/>
      <c r="B527" s="67"/>
      <c r="C527" s="67"/>
    </row>
    <row r="528">
      <c r="A528" s="67"/>
      <c r="B528" s="67"/>
      <c r="C528" s="67"/>
    </row>
    <row r="529">
      <c r="A529" s="67"/>
      <c r="B529" s="67"/>
      <c r="C529" s="67"/>
    </row>
    <row r="530">
      <c r="A530" s="67"/>
      <c r="B530" s="67"/>
      <c r="C530" s="67"/>
    </row>
    <row r="531">
      <c r="A531" s="67"/>
      <c r="B531" s="67"/>
      <c r="C531" s="67"/>
    </row>
    <row r="532">
      <c r="A532" s="67"/>
      <c r="B532" s="67"/>
      <c r="C532" s="67"/>
    </row>
    <row r="533">
      <c r="A533" s="67"/>
      <c r="B533" s="67"/>
      <c r="C533" s="67"/>
    </row>
    <row r="534">
      <c r="A534" s="67"/>
      <c r="B534" s="67"/>
      <c r="C534" s="67"/>
    </row>
    <row r="535">
      <c r="A535" s="67"/>
      <c r="B535" s="67"/>
      <c r="C535" s="67"/>
    </row>
    <row r="536">
      <c r="A536" s="67"/>
      <c r="B536" s="67"/>
      <c r="C536" s="67"/>
    </row>
    <row r="537">
      <c r="A537" s="67"/>
      <c r="B537" s="67"/>
      <c r="C537" s="67"/>
    </row>
    <row r="538">
      <c r="A538" s="67"/>
      <c r="B538" s="67"/>
      <c r="C538" s="67"/>
    </row>
    <row r="539">
      <c r="A539" s="67"/>
      <c r="B539" s="67"/>
      <c r="C539" s="67"/>
    </row>
    <row r="540">
      <c r="A540" s="67"/>
      <c r="B540" s="67"/>
      <c r="C540" s="67"/>
    </row>
    <row r="541">
      <c r="A541" s="67"/>
      <c r="B541" s="67"/>
      <c r="C541" s="67"/>
    </row>
    <row r="542">
      <c r="A542" s="67"/>
      <c r="B542" s="67"/>
      <c r="C542" s="67"/>
    </row>
    <row r="543">
      <c r="A543" s="67"/>
      <c r="B543" s="67"/>
      <c r="C543" s="67"/>
    </row>
    <row r="544">
      <c r="A544" s="67"/>
      <c r="B544" s="67"/>
      <c r="C544" s="67"/>
    </row>
    <row r="545">
      <c r="A545" s="67"/>
      <c r="B545" s="67"/>
      <c r="C545" s="67"/>
    </row>
    <row r="546">
      <c r="A546" s="67"/>
      <c r="B546" s="67"/>
      <c r="C546" s="67"/>
    </row>
    <row r="547">
      <c r="A547" s="67"/>
      <c r="B547" s="67"/>
      <c r="C547" s="67"/>
    </row>
    <row r="548">
      <c r="A548" s="67"/>
      <c r="B548" s="67"/>
      <c r="C548" s="67"/>
    </row>
    <row r="549">
      <c r="A549" s="67"/>
      <c r="B549" s="67"/>
      <c r="C549" s="67"/>
    </row>
    <row r="550">
      <c r="A550" s="67"/>
      <c r="B550" s="67"/>
      <c r="C550" s="67"/>
    </row>
    <row r="551">
      <c r="A551" s="67"/>
      <c r="B551" s="67"/>
      <c r="C551" s="67"/>
    </row>
    <row r="552">
      <c r="A552" s="67"/>
      <c r="B552" s="67"/>
      <c r="C552" s="67"/>
    </row>
    <row r="553">
      <c r="A553" s="67"/>
      <c r="B553" s="67"/>
      <c r="C553" s="67"/>
    </row>
    <row r="554">
      <c r="A554" s="67"/>
      <c r="B554" s="67"/>
      <c r="C554" s="67"/>
    </row>
    <row r="555">
      <c r="A555" s="67"/>
      <c r="B555" s="67"/>
      <c r="C555" s="67"/>
    </row>
    <row r="556">
      <c r="A556" s="67"/>
      <c r="B556" s="67"/>
      <c r="C556" s="67"/>
    </row>
    <row r="557">
      <c r="A557" s="67"/>
      <c r="B557" s="67"/>
      <c r="C557" s="67"/>
    </row>
    <row r="558">
      <c r="A558" s="67"/>
      <c r="B558" s="67"/>
      <c r="C558" s="67"/>
    </row>
    <row r="559">
      <c r="A559" s="67"/>
      <c r="B559" s="67"/>
      <c r="C559" s="67"/>
    </row>
    <row r="560">
      <c r="A560" s="67"/>
      <c r="B560" s="67"/>
      <c r="C560" s="67"/>
    </row>
    <row r="561">
      <c r="A561" s="67"/>
      <c r="B561" s="67"/>
      <c r="C561" s="67"/>
    </row>
    <row r="562">
      <c r="A562" s="67"/>
      <c r="B562" s="67"/>
      <c r="C562" s="67"/>
    </row>
    <row r="563">
      <c r="A563" s="67"/>
      <c r="B563" s="67"/>
      <c r="C563" s="67"/>
    </row>
    <row r="564">
      <c r="A564" s="67"/>
      <c r="B564" s="67"/>
      <c r="C564" s="67"/>
    </row>
    <row r="565">
      <c r="A565" s="67"/>
      <c r="B565" s="67"/>
      <c r="C565" s="67"/>
    </row>
    <row r="566">
      <c r="A566" s="67"/>
      <c r="B566" s="67"/>
      <c r="C566" s="67"/>
    </row>
    <row r="567">
      <c r="A567" s="67"/>
      <c r="B567" s="67"/>
      <c r="C567" s="67"/>
    </row>
    <row r="568">
      <c r="A568" s="67"/>
      <c r="B568" s="67"/>
      <c r="C568" s="67"/>
    </row>
    <row r="569">
      <c r="A569" s="67"/>
      <c r="B569" s="67"/>
      <c r="C569" s="67"/>
    </row>
    <row r="570">
      <c r="A570" s="67"/>
      <c r="B570" s="67"/>
      <c r="C570" s="67"/>
    </row>
    <row r="571">
      <c r="A571" s="67"/>
      <c r="B571" s="67"/>
      <c r="C571" s="67"/>
    </row>
    <row r="572">
      <c r="A572" s="67"/>
      <c r="B572" s="67"/>
      <c r="C572" s="67"/>
    </row>
    <row r="573">
      <c r="A573" s="67"/>
      <c r="B573" s="67"/>
      <c r="C573" s="67"/>
    </row>
    <row r="574">
      <c r="A574" s="67"/>
      <c r="B574" s="67"/>
      <c r="C574" s="67"/>
    </row>
    <row r="575">
      <c r="A575" s="67"/>
      <c r="B575" s="67"/>
      <c r="C575" s="67"/>
    </row>
    <row r="576">
      <c r="A576" s="67"/>
      <c r="B576" s="67"/>
      <c r="C576" s="67"/>
    </row>
    <row r="577">
      <c r="A577" s="67"/>
      <c r="B577" s="67"/>
      <c r="C577" s="67"/>
    </row>
    <row r="578">
      <c r="A578" s="67"/>
      <c r="B578" s="67"/>
      <c r="C578" s="67"/>
    </row>
    <row r="579">
      <c r="A579" s="67"/>
      <c r="B579" s="67"/>
      <c r="C579" s="67"/>
    </row>
    <row r="580">
      <c r="A580" s="67"/>
      <c r="B580" s="67"/>
      <c r="C580" s="67"/>
    </row>
    <row r="581">
      <c r="A581" s="67"/>
      <c r="B581" s="67"/>
      <c r="C581" s="67"/>
    </row>
    <row r="582">
      <c r="A582" s="67"/>
      <c r="B582" s="67"/>
      <c r="C582" s="67"/>
    </row>
    <row r="583">
      <c r="A583" s="67"/>
      <c r="B583" s="67"/>
      <c r="C583" s="67"/>
    </row>
    <row r="584">
      <c r="A584" s="67"/>
      <c r="B584" s="67"/>
      <c r="C584" s="67"/>
    </row>
    <row r="585">
      <c r="A585" s="67"/>
      <c r="B585" s="67"/>
      <c r="C585" s="67"/>
    </row>
    <row r="586">
      <c r="A586" s="67"/>
      <c r="B586" s="67"/>
      <c r="C586" s="67"/>
    </row>
    <row r="587">
      <c r="A587" s="67"/>
      <c r="B587" s="67"/>
      <c r="C587" s="67"/>
    </row>
    <row r="588">
      <c r="A588" s="67"/>
      <c r="B588" s="67"/>
      <c r="C588" s="67"/>
    </row>
    <row r="589">
      <c r="A589" s="67"/>
      <c r="B589" s="67"/>
      <c r="C589" s="67"/>
    </row>
    <row r="590">
      <c r="A590" s="67"/>
      <c r="B590" s="67"/>
      <c r="C590" s="67"/>
    </row>
    <row r="591">
      <c r="A591" s="67"/>
      <c r="B591" s="67"/>
      <c r="C591" s="67"/>
    </row>
    <row r="592">
      <c r="A592" s="67"/>
      <c r="B592" s="67"/>
      <c r="C592" s="67"/>
    </row>
    <row r="593">
      <c r="A593" s="67"/>
      <c r="B593" s="67"/>
      <c r="C593" s="67"/>
    </row>
    <row r="594">
      <c r="A594" s="67"/>
      <c r="B594" s="67"/>
      <c r="C594" s="67"/>
    </row>
    <row r="595">
      <c r="A595" s="67"/>
      <c r="B595" s="67"/>
      <c r="C595" s="67"/>
    </row>
    <row r="596">
      <c r="A596" s="67"/>
      <c r="B596" s="67"/>
      <c r="C596" s="67"/>
    </row>
    <row r="597">
      <c r="A597" s="67"/>
      <c r="B597" s="67"/>
      <c r="C597" s="67"/>
    </row>
    <row r="598">
      <c r="A598" s="67"/>
      <c r="B598" s="67"/>
      <c r="C598" s="67"/>
    </row>
    <row r="599">
      <c r="A599" s="67"/>
      <c r="B599" s="67"/>
      <c r="C599" s="67"/>
    </row>
    <row r="600">
      <c r="A600" s="67"/>
      <c r="B600" s="67"/>
      <c r="C600" s="67"/>
    </row>
    <row r="601">
      <c r="A601" s="67"/>
      <c r="B601" s="67"/>
      <c r="C601" s="67"/>
    </row>
    <row r="602">
      <c r="A602" s="67"/>
      <c r="B602" s="67"/>
      <c r="C602" s="67"/>
    </row>
    <row r="603">
      <c r="A603" s="67"/>
      <c r="B603" s="67"/>
      <c r="C603" s="67"/>
    </row>
    <row r="604">
      <c r="A604" s="67"/>
      <c r="B604" s="67"/>
      <c r="C604" s="67"/>
    </row>
    <row r="605">
      <c r="A605" s="67"/>
      <c r="B605" s="67"/>
      <c r="C605" s="67"/>
    </row>
    <row r="606">
      <c r="A606" s="67"/>
      <c r="B606" s="67"/>
      <c r="C606" s="67"/>
    </row>
    <row r="607">
      <c r="A607" s="67"/>
      <c r="B607" s="67"/>
      <c r="C607" s="67"/>
    </row>
    <row r="608">
      <c r="A608" s="67"/>
      <c r="B608" s="67"/>
      <c r="C608" s="67"/>
    </row>
    <row r="609">
      <c r="A609" s="67"/>
      <c r="B609" s="67"/>
      <c r="C609" s="67"/>
    </row>
    <row r="610">
      <c r="A610" s="67"/>
      <c r="B610" s="67"/>
      <c r="C610" s="67"/>
    </row>
    <row r="611">
      <c r="A611" s="67"/>
      <c r="B611" s="67"/>
      <c r="C611" s="67"/>
    </row>
    <row r="612">
      <c r="A612" s="67"/>
      <c r="B612" s="67"/>
      <c r="C612" s="67"/>
    </row>
    <row r="613">
      <c r="A613" s="67"/>
      <c r="B613" s="67"/>
      <c r="C613" s="67"/>
    </row>
    <row r="614">
      <c r="A614" s="67"/>
      <c r="B614" s="67"/>
      <c r="C614" s="67"/>
    </row>
    <row r="615">
      <c r="A615" s="67"/>
      <c r="B615" s="67"/>
      <c r="C615" s="67"/>
    </row>
    <row r="616">
      <c r="A616" s="67"/>
      <c r="B616" s="67"/>
      <c r="C616" s="67"/>
    </row>
    <row r="617">
      <c r="A617" s="67"/>
      <c r="B617" s="67"/>
      <c r="C617" s="67"/>
    </row>
    <row r="618">
      <c r="A618" s="67"/>
      <c r="B618" s="67"/>
      <c r="C618" s="67"/>
    </row>
    <row r="619">
      <c r="A619" s="67"/>
      <c r="B619" s="67"/>
      <c r="C619" s="67"/>
    </row>
    <row r="620">
      <c r="A620" s="67"/>
      <c r="B620" s="67"/>
      <c r="C620" s="67"/>
    </row>
    <row r="621">
      <c r="A621" s="67"/>
      <c r="B621" s="67"/>
      <c r="C621" s="67"/>
    </row>
    <row r="622">
      <c r="A622" s="67"/>
      <c r="B622" s="67"/>
      <c r="C622" s="67"/>
    </row>
    <row r="623">
      <c r="A623" s="67"/>
      <c r="B623" s="67"/>
      <c r="C623" s="67"/>
    </row>
    <row r="624">
      <c r="A624" s="67"/>
      <c r="B624" s="67"/>
      <c r="C624" s="67"/>
    </row>
    <row r="625">
      <c r="A625" s="67"/>
      <c r="B625" s="67"/>
      <c r="C625" s="67"/>
    </row>
    <row r="626">
      <c r="A626" s="67"/>
      <c r="B626" s="67"/>
      <c r="C626" s="67"/>
    </row>
    <row r="627">
      <c r="A627" s="67"/>
      <c r="B627" s="67"/>
      <c r="C627" s="67"/>
    </row>
    <row r="628">
      <c r="A628" s="67"/>
      <c r="B628" s="67"/>
      <c r="C628" s="67"/>
    </row>
    <row r="629">
      <c r="A629" s="67"/>
      <c r="B629" s="67"/>
      <c r="C629" s="67"/>
    </row>
    <row r="630">
      <c r="A630" s="67"/>
      <c r="B630" s="67"/>
      <c r="C630" s="67"/>
    </row>
    <row r="631">
      <c r="A631" s="67"/>
      <c r="B631" s="67"/>
      <c r="C631" s="67"/>
    </row>
    <row r="632">
      <c r="A632" s="67"/>
      <c r="B632" s="67"/>
      <c r="C632" s="67"/>
    </row>
    <row r="633">
      <c r="A633" s="67"/>
      <c r="B633" s="67"/>
      <c r="C633" s="67"/>
    </row>
    <row r="634">
      <c r="A634" s="67"/>
      <c r="B634" s="67"/>
      <c r="C634" s="67"/>
    </row>
    <row r="635">
      <c r="A635" s="67"/>
      <c r="B635" s="67"/>
      <c r="C635" s="67"/>
    </row>
    <row r="636">
      <c r="A636" s="67"/>
      <c r="B636" s="67"/>
      <c r="C636" s="67"/>
    </row>
    <row r="637">
      <c r="A637" s="67"/>
      <c r="B637" s="67"/>
      <c r="C637" s="67"/>
    </row>
    <row r="638">
      <c r="A638" s="67"/>
      <c r="B638" s="67"/>
      <c r="C638" s="67"/>
    </row>
    <row r="639">
      <c r="A639" s="67"/>
      <c r="B639" s="67"/>
      <c r="C639" s="67"/>
    </row>
    <row r="640">
      <c r="A640" s="67"/>
      <c r="B640" s="67"/>
      <c r="C640" s="67"/>
    </row>
    <row r="641">
      <c r="A641" s="67"/>
      <c r="B641" s="67"/>
      <c r="C641" s="67"/>
    </row>
    <row r="642">
      <c r="A642" s="67"/>
      <c r="B642" s="67"/>
      <c r="C642" s="67"/>
    </row>
    <row r="643">
      <c r="A643" s="67"/>
      <c r="B643" s="67"/>
      <c r="C643" s="67"/>
    </row>
    <row r="644">
      <c r="A644" s="67"/>
      <c r="B644" s="67"/>
      <c r="C644" s="67"/>
    </row>
    <row r="645">
      <c r="A645" s="67"/>
      <c r="B645" s="67"/>
      <c r="C645" s="67"/>
    </row>
    <row r="646">
      <c r="A646" s="67"/>
      <c r="B646" s="67"/>
      <c r="C646" s="67"/>
    </row>
    <row r="647">
      <c r="A647" s="67"/>
      <c r="B647" s="67"/>
      <c r="C647" s="67"/>
    </row>
    <row r="648">
      <c r="A648" s="67"/>
      <c r="B648" s="67"/>
      <c r="C648" s="67"/>
    </row>
    <row r="649">
      <c r="A649" s="67"/>
      <c r="B649" s="67"/>
      <c r="C649" s="67"/>
    </row>
    <row r="650">
      <c r="A650" s="67"/>
      <c r="B650" s="67"/>
      <c r="C650" s="67"/>
    </row>
    <row r="651">
      <c r="A651" s="67"/>
      <c r="B651" s="67"/>
      <c r="C651" s="67"/>
    </row>
    <row r="652">
      <c r="A652" s="67"/>
      <c r="B652" s="67"/>
      <c r="C652" s="67"/>
    </row>
    <row r="653">
      <c r="A653" s="67"/>
      <c r="B653" s="67"/>
      <c r="C653" s="67"/>
    </row>
    <row r="654">
      <c r="A654" s="67"/>
      <c r="B654" s="67"/>
      <c r="C654" s="67"/>
    </row>
    <row r="655">
      <c r="A655" s="67"/>
      <c r="B655" s="67"/>
      <c r="C655" s="67"/>
    </row>
    <row r="656">
      <c r="A656" s="67"/>
      <c r="B656" s="67"/>
      <c r="C656" s="67"/>
    </row>
    <row r="657">
      <c r="A657" s="67"/>
      <c r="B657" s="67"/>
      <c r="C657" s="67"/>
    </row>
    <row r="658">
      <c r="A658" s="67"/>
      <c r="B658" s="67"/>
      <c r="C658" s="67"/>
    </row>
    <row r="659">
      <c r="A659" s="67"/>
      <c r="B659" s="67"/>
      <c r="C659" s="67"/>
    </row>
    <row r="660">
      <c r="A660" s="67"/>
      <c r="B660" s="67"/>
      <c r="C660" s="67"/>
    </row>
    <row r="661">
      <c r="A661" s="67"/>
      <c r="B661" s="67"/>
      <c r="C661" s="67"/>
    </row>
    <row r="662">
      <c r="A662" s="67"/>
      <c r="B662" s="67"/>
      <c r="C662" s="67"/>
    </row>
    <row r="663">
      <c r="A663" s="67"/>
      <c r="B663" s="67"/>
      <c r="C663" s="67"/>
    </row>
    <row r="664">
      <c r="A664" s="67"/>
      <c r="B664" s="67"/>
      <c r="C664" s="67"/>
    </row>
    <row r="665">
      <c r="A665" s="67"/>
      <c r="B665" s="67"/>
      <c r="C665" s="67"/>
    </row>
    <row r="666">
      <c r="A666" s="67"/>
      <c r="B666" s="67"/>
      <c r="C666" s="67"/>
    </row>
    <row r="667">
      <c r="A667" s="67"/>
      <c r="B667" s="67"/>
      <c r="C667" s="67"/>
    </row>
    <row r="668">
      <c r="A668" s="67"/>
      <c r="B668" s="67"/>
      <c r="C668" s="67"/>
    </row>
    <row r="669">
      <c r="A669" s="67"/>
      <c r="B669" s="67"/>
      <c r="C669" s="67"/>
    </row>
    <row r="670">
      <c r="A670" s="67"/>
      <c r="B670" s="67"/>
      <c r="C670" s="67"/>
    </row>
    <row r="671">
      <c r="A671" s="67"/>
      <c r="B671" s="67"/>
      <c r="C671" s="67"/>
    </row>
    <row r="672">
      <c r="A672" s="67"/>
      <c r="B672" s="67"/>
      <c r="C672" s="67"/>
    </row>
    <row r="673">
      <c r="A673" s="67"/>
      <c r="B673" s="67"/>
      <c r="C673" s="67"/>
    </row>
    <row r="674">
      <c r="A674" s="67"/>
      <c r="B674" s="67"/>
      <c r="C674" s="67"/>
    </row>
    <row r="675">
      <c r="A675" s="67"/>
      <c r="B675" s="67"/>
      <c r="C675" s="67"/>
    </row>
    <row r="676">
      <c r="A676" s="67"/>
      <c r="B676" s="67"/>
      <c r="C676" s="67"/>
    </row>
    <row r="677">
      <c r="A677" s="67"/>
      <c r="B677" s="67"/>
      <c r="C677" s="67"/>
    </row>
    <row r="678">
      <c r="A678" s="67"/>
      <c r="B678" s="67"/>
      <c r="C678" s="67"/>
    </row>
    <row r="679">
      <c r="A679" s="67"/>
      <c r="B679" s="67"/>
      <c r="C679" s="67"/>
    </row>
    <row r="680">
      <c r="A680" s="67"/>
      <c r="B680" s="67"/>
      <c r="C680" s="67"/>
    </row>
    <row r="681">
      <c r="A681" s="67"/>
      <c r="B681" s="67"/>
      <c r="C681" s="67"/>
    </row>
    <row r="682">
      <c r="A682" s="67"/>
      <c r="B682" s="67"/>
      <c r="C682" s="67"/>
    </row>
    <row r="683">
      <c r="A683" s="67"/>
      <c r="B683" s="67"/>
      <c r="C683" s="67"/>
    </row>
    <row r="684">
      <c r="A684" s="67"/>
      <c r="B684" s="67"/>
      <c r="C684" s="67"/>
    </row>
    <row r="685">
      <c r="A685" s="67"/>
      <c r="B685" s="67"/>
      <c r="C685" s="67"/>
    </row>
    <row r="686">
      <c r="A686" s="67"/>
      <c r="B686" s="67"/>
      <c r="C686" s="67"/>
    </row>
    <row r="687">
      <c r="A687" s="67"/>
      <c r="B687" s="67"/>
      <c r="C687" s="67"/>
    </row>
    <row r="688">
      <c r="A688" s="67"/>
      <c r="B688" s="67"/>
      <c r="C688" s="67"/>
    </row>
    <row r="689">
      <c r="A689" s="67"/>
      <c r="B689" s="67"/>
      <c r="C689" s="67"/>
    </row>
    <row r="690">
      <c r="A690" s="67"/>
      <c r="B690" s="67"/>
      <c r="C690" s="67"/>
    </row>
    <row r="691">
      <c r="A691" s="67"/>
      <c r="B691" s="67"/>
      <c r="C691" s="67"/>
    </row>
    <row r="692">
      <c r="A692" s="67"/>
      <c r="B692" s="67"/>
      <c r="C692" s="67"/>
    </row>
    <row r="693">
      <c r="A693" s="67"/>
      <c r="B693" s="67"/>
      <c r="C693" s="67"/>
    </row>
    <row r="694">
      <c r="A694" s="67"/>
      <c r="B694" s="67"/>
      <c r="C694" s="67"/>
    </row>
    <row r="695">
      <c r="A695" s="67"/>
      <c r="B695" s="67"/>
      <c r="C695" s="67"/>
    </row>
    <row r="696">
      <c r="A696" s="67"/>
      <c r="B696" s="67"/>
      <c r="C696" s="67"/>
    </row>
    <row r="697">
      <c r="A697" s="67"/>
      <c r="B697" s="67"/>
      <c r="C697" s="67"/>
    </row>
    <row r="698">
      <c r="A698" s="67"/>
      <c r="B698" s="67"/>
      <c r="C698" s="67"/>
    </row>
    <row r="699">
      <c r="A699" s="67"/>
      <c r="B699" s="67"/>
      <c r="C699" s="67"/>
    </row>
    <row r="700">
      <c r="A700" s="67"/>
      <c r="B700" s="67"/>
      <c r="C700" s="67"/>
    </row>
    <row r="701">
      <c r="A701" s="67"/>
      <c r="B701" s="67"/>
      <c r="C701" s="67"/>
    </row>
    <row r="702">
      <c r="A702" s="67"/>
      <c r="B702" s="67"/>
      <c r="C702" s="67"/>
    </row>
    <row r="703">
      <c r="A703" s="67"/>
      <c r="B703" s="67"/>
      <c r="C703" s="67"/>
    </row>
    <row r="704">
      <c r="A704" s="67"/>
      <c r="B704" s="67"/>
      <c r="C704" s="67"/>
    </row>
    <row r="705">
      <c r="A705" s="67"/>
      <c r="B705" s="67"/>
      <c r="C705" s="67"/>
    </row>
    <row r="706">
      <c r="A706" s="67"/>
      <c r="B706" s="67"/>
      <c r="C706" s="67"/>
    </row>
    <row r="707">
      <c r="A707" s="67"/>
      <c r="B707" s="67"/>
      <c r="C707" s="67"/>
    </row>
    <row r="708">
      <c r="A708" s="67"/>
      <c r="B708" s="67"/>
      <c r="C708" s="67"/>
    </row>
    <row r="709">
      <c r="A709" s="67"/>
      <c r="B709" s="67"/>
      <c r="C709" s="67"/>
    </row>
    <row r="710">
      <c r="A710" s="67"/>
      <c r="B710" s="67"/>
      <c r="C710" s="67"/>
    </row>
    <row r="711">
      <c r="A711" s="67"/>
      <c r="B711" s="67"/>
      <c r="C711" s="67"/>
    </row>
    <row r="712">
      <c r="A712" s="67"/>
      <c r="B712" s="67"/>
      <c r="C712" s="67"/>
    </row>
    <row r="713">
      <c r="A713" s="67"/>
      <c r="B713" s="67"/>
      <c r="C713" s="67"/>
    </row>
    <row r="714">
      <c r="A714" s="67"/>
      <c r="B714" s="67"/>
      <c r="C714" s="67"/>
    </row>
    <row r="715">
      <c r="A715" s="67"/>
      <c r="B715" s="67"/>
      <c r="C715" s="67"/>
    </row>
    <row r="716">
      <c r="A716" s="67"/>
      <c r="B716" s="67"/>
      <c r="C716" s="67"/>
    </row>
    <row r="717">
      <c r="A717" s="67"/>
      <c r="B717" s="67"/>
      <c r="C717" s="67"/>
    </row>
    <row r="718">
      <c r="A718" s="67"/>
      <c r="B718" s="67"/>
      <c r="C718" s="67"/>
    </row>
    <row r="719">
      <c r="A719" s="67"/>
      <c r="B719" s="67"/>
      <c r="C719" s="67"/>
    </row>
    <row r="720">
      <c r="A720" s="67"/>
      <c r="B720" s="67"/>
      <c r="C720" s="67"/>
    </row>
    <row r="721">
      <c r="A721" s="67"/>
      <c r="B721" s="67"/>
      <c r="C721" s="67"/>
    </row>
    <row r="722">
      <c r="A722" s="67"/>
      <c r="B722" s="67"/>
      <c r="C722" s="67"/>
    </row>
    <row r="723">
      <c r="A723" s="67"/>
      <c r="B723" s="67"/>
      <c r="C723" s="67"/>
    </row>
    <row r="724">
      <c r="A724" s="67"/>
      <c r="B724" s="67"/>
      <c r="C724" s="67"/>
    </row>
    <row r="725">
      <c r="A725" s="67"/>
      <c r="B725" s="67"/>
      <c r="C725" s="67"/>
    </row>
    <row r="726">
      <c r="A726" s="67"/>
      <c r="B726" s="67"/>
      <c r="C726" s="67"/>
    </row>
    <row r="727">
      <c r="A727" s="67"/>
      <c r="B727" s="67"/>
      <c r="C727" s="67"/>
    </row>
    <row r="728">
      <c r="A728" s="67"/>
      <c r="B728" s="67"/>
      <c r="C728" s="67"/>
    </row>
    <row r="729">
      <c r="A729" s="67"/>
      <c r="B729" s="67"/>
      <c r="C729" s="67"/>
    </row>
    <row r="730">
      <c r="A730" s="67"/>
      <c r="B730" s="67"/>
      <c r="C730" s="67"/>
    </row>
    <row r="731">
      <c r="A731" s="67"/>
      <c r="B731" s="67"/>
      <c r="C731" s="67"/>
    </row>
    <row r="732">
      <c r="A732" s="67"/>
      <c r="B732" s="67"/>
      <c r="C732" s="67"/>
    </row>
    <row r="733">
      <c r="A733" s="67"/>
      <c r="B733" s="67"/>
      <c r="C733" s="67"/>
    </row>
    <row r="734">
      <c r="A734" s="67"/>
      <c r="B734" s="67"/>
      <c r="C734" s="67"/>
    </row>
    <row r="735">
      <c r="A735" s="67"/>
      <c r="B735" s="67"/>
      <c r="C735" s="67"/>
    </row>
    <row r="736">
      <c r="A736" s="67"/>
      <c r="B736" s="67"/>
      <c r="C736" s="67"/>
    </row>
    <row r="737">
      <c r="A737" s="67"/>
      <c r="B737" s="67"/>
      <c r="C737" s="67"/>
    </row>
    <row r="738">
      <c r="A738" s="67"/>
      <c r="B738" s="67"/>
      <c r="C738" s="67"/>
    </row>
    <row r="739">
      <c r="A739" s="67"/>
      <c r="B739" s="67"/>
      <c r="C739" s="67"/>
    </row>
    <row r="740">
      <c r="A740" s="67"/>
      <c r="B740" s="67"/>
      <c r="C740" s="67"/>
    </row>
    <row r="741">
      <c r="A741" s="67"/>
      <c r="B741" s="67"/>
      <c r="C741" s="67"/>
    </row>
    <row r="742">
      <c r="A742" s="67"/>
      <c r="B742" s="67"/>
      <c r="C742" s="67"/>
    </row>
    <row r="743">
      <c r="A743" s="67"/>
      <c r="B743" s="67"/>
      <c r="C743" s="67"/>
    </row>
    <row r="744">
      <c r="A744" s="67"/>
      <c r="B744" s="67"/>
      <c r="C744" s="67"/>
    </row>
    <row r="745">
      <c r="A745" s="67"/>
      <c r="B745" s="67"/>
      <c r="C745" s="67"/>
    </row>
    <row r="746">
      <c r="A746" s="67"/>
      <c r="B746" s="67"/>
      <c r="C746" s="67"/>
    </row>
    <row r="747">
      <c r="A747" s="67"/>
      <c r="B747" s="67"/>
      <c r="C747" s="67"/>
    </row>
    <row r="748">
      <c r="A748" s="67"/>
      <c r="B748" s="67"/>
      <c r="C748" s="67"/>
    </row>
    <row r="749">
      <c r="A749" s="67"/>
      <c r="B749" s="67"/>
      <c r="C749" s="67"/>
    </row>
    <row r="750">
      <c r="A750" s="67"/>
      <c r="B750" s="67"/>
      <c r="C750" s="67"/>
    </row>
    <row r="751">
      <c r="A751" s="67"/>
      <c r="B751" s="67"/>
      <c r="C751" s="67"/>
    </row>
    <row r="752">
      <c r="A752" s="67"/>
      <c r="B752" s="67"/>
      <c r="C752" s="67"/>
    </row>
    <row r="753">
      <c r="A753" s="67"/>
      <c r="B753" s="67"/>
      <c r="C753" s="67"/>
    </row>
    <row r="754">
      <c r="A754" s="67"/>
      <c r="B754" s="67"/>
      <c r="C754" s="67"/>
    </row>
    <row r="755">
      <c r="A755" s="67"/>
      <c r="B755" s="67"/>
      <c r="C755" s="67"/>
    </row>
    <row r="756">
      <c r="A756" s="67"/>
      <c r="B756" s="67"/>
      <c r="C756" s="67"/>
    </row>
    <row r="757">
      <c r="A757" s="67"/>
      <c r="B757" s="67"/>
      <c r="C757" s="67"/>
    </row>
    <row r="758">
      <c r="A758" s="67"/>
      <c r="B758" s="67"/>
      <c r="C758" s="67"/>
    </row>
    <row r="759">
      <c r="A759" s="67"/>
      <c r="B759" s="67"/>
      <c r="C759" s="67"/>
    </row>
    <row r="760">
      <c r="A760" s="67"/>
      <c r="B760" s="67"/>
      <c r="C760" s="67"/>
    </row>
    <row r="761">
      <c r="A761" s="67"/>
      <c r="B761" s="67"/>
      <c r="C761" s="67"/>
    </row>
    <row r="762">
      <c r="A762" s="67"/>
      <c r="B762" s="67"/>
      <c r="C762" s="67"/>
    </row>
    <row r="763">
      <c r="A763" s="67"/>
      <c r="B763" s="67"/>
      <c r="C763" s="67"/>
    </row>
    <row r="764">
      <c r="A764" s="67"/>
      <c r="B764" s="67"/>
      <c r="C764" s="67"/>
    </row>
    <row r="765">
      <c r="A765" s="67"/>
      <c r="B765" s="67"/>
      <c r="C765" s="67"/>
    </row>
    <row r="766">
      <c r="A766" s="67"/>
      <c r="B766" s="67"/>
      <c r="C766" s="67"/>
    </row>
    <row r="767">
      <c r="A767" s="67"/>
      <c r="B767" s="67"/>
      <c r="C767" s="67"/>
    </row>
    <row r="768">
      <c r="A768" s="67"/>
      <c r="B768" s="67"/>
      <c r="C768" s="67"/>
    </row>
    <row r="769">
      <c r="A769" s="67"/>
      <c r="B769" s="67"/>
      <c r="C769" s="67"/>
    </row>
    <row r="770">
      <c r="A770" s="67"/>
      <c r="B770" s="67"/>
      <c r="C770" s="67"/>
    </row>
    <row r="771">
      <c r="A771" s="67"/>
      <c r="B771" s="67"/>
      <c r="C771" s="67"/>
    </row>
    <row r="772">
      <c r="A772" s="67"/>
      <c r="B772" s="67"/>
      <c r="C772" s="67"/>
    </row>
    <row r="773">
      <c r="A773" s="67"/>
      <c r="B773" s="67"/>
      <c r="C773" s="67"/>
    </row>
    <row r="774">
      <c r="A774" s="67"/>
      <c r="B774" s="67"/>
      <c r="C774" s="67"/>
    </row>
    <row r="775">
      <c r="A775" s="67"/>
      <c r="B775" s="67"/>
      <c r="C775" s="67"/>
    </row>
    <row r="776">
      <c r="A776" s="67"/>
      <c r="B776" s="67"/>
      <c r="C776" s="67"/>
    </row>
    <row r="777">
      <c r="A777" s="67"/>
      <c r="B777" s="67"/>
      <c r="C777" s="67"/>
    </row>
    <row r="778">
      <c r="A778" s="67"/>
      <c r="B778" s="67"/>
      <c r="C778" s="67"/>
    </row>
    <row r="779">
      <c r="A779" s="67"/>
      <c r="B779" s="67"/>
      <c r="C779" s="67"/>
    </row>
    <row r="780">
      <c r="A780" s="67"/>
      <c r="B780" s="67"/>
      <c r="C780" s="67"/>
    </row>
    <row r="781">
      <c r="A781" s="67"/>
      <c r="B781" s="67"/>
      <c r="C781" s="67"/>
    </row>
    <row r="782">
      <c r="A782" s="67"/>
      <c r="B782" s="67"/>
      <c r="C782" s="67"/>
    </row>
    <row r="783">
      <c r="A783" s="67"/>
      <c r="B783" s="67"/>
      <c r="C783" s="67"/>
    </row>
    <row r="784">
      <c r="A784" s="67"/>
      <c r="B784" s="67"/>
      <c r="C784" s="67"/>
    </row>
    <row r="785">
      <c r="A785" s="67"/>
      <c r="B785" s="67"/>
      <c r="C785" s="67"/>
    </row>
    <row r="786">
      <c r="A786" s="67"/>
      <c r="B786" s="67"/>
      <c r="C786" s="67"/>
    </row>
    <row r="787">
      <c r="A787" s="67"/>
      <c r="B787" s="67"/>
      <c r="C787" s="67"/>
    </row>
    <row r="788">
      <c r="A788" s="67"/>
      <c r="B788" s="67"/>
      <c r="C788" s="67"/>
    </row>
    <row r="789">
      <c r="A789" s="67"/>
      <c r="B789" s="67"/>
      <c r="C789" s="67"/>
    </row>
    <row r="790">
      <c r="A790" s="67"/>
      <c r="B790" s="67"/>
      <c r="C790" s="67"/>
    </row>
    <row r="791">
      <c r="A791" s="67"/>
      <c r="B791" s="67"/>
      <c r="C791" s="67"/>
    </row>
    <row r="792">
      <c r="A792" s="67"/>
      <c r="B792" s="67"/>
      <c r="C792" s="67"/>
    </row>
    <row r="793">
      <c r="A793" s="67"/>
      <c r="B793" s="67"/>
      <c r="C793" s="67"/>
    </row>
    <row r="794">
      <c r="A794" s="67"/>
      <c r="B794" s="67"/>
      <c r="C794" s="67"/>
    </row>
    <row r="795">
      <c r="A795" s="67"/>
      <c r="B795" s="67"/>
      <c r="C795" s="67"/>
    </row>
    <row r="796">
      <c r="A796" s="67"/>
      <c r="B796" s="67"/>
      <c r="C796" s="67"/>
    </row>
    <row r="797">
      <c r="A797" s="67"/>
      <c r="B797" s="67"/>
      <c r="C797" s="67"/>
    </row>
    <row r="798">
      <c r="A798" s="67"/>
      <c r="B798" s="67"/>
      <c r="C798" s="67"/>
    </row>
    <row r="799">
      <c r="A799" s="67"/>
      <c r="B799" s="67"/>
      <c r="C799" s="67"/>
    </row>
    <row r="800">
      <c r="A800" s="67"/>
      <c r="B800" s="67"/>
      <c r="C800" s="67"/>
    </row>
    <row r="801">
      <c r="A801" s="67"/>
      <c r="B801" s="67"/>
      <c r="C801" s="67"/>
    </row>
    <row r="802">
      <c r="A802" s="67"/>
      <c r="B802" s="67"/>
      <c r="C802" s="67"/>
    </row>
    <row r="803">
      <c r="A803" s="67"/>
      <c r="B803" s="67"/>
      <c r="C803" s="67"/>
    </row>
    <row r="804">
      <c r="A804" s="67"/>
      <c r="B804" s="67"/>
      <c r="C804" s="67"/>
    </row>
    <row r="805">
      <c r="A805" s="67"/>
      <c r="B805" s="67"/>
      <c r="C805" s="67"/>
    </row>
    <row r="806">
      <c r="A806" s="67"/>
      <c r="B806" s="67"/>
      <c r="C806" s="67"/>
    </row>
    <row r="807">
      <c r="A807" s="67"/>
      <c r="B807" s="67"/>
      <c r="C807" s="67"/>
    </row>
    <row r="808">
      <c r="A808" s="67"/>
      <c r="B808" s="67"/>
      <c r="C808" s="67"/>
    </row>
    <row r="809">
      <c r="A809" s="67"/>
      <c r="B809" s="67"/>
      <c r="C809" s="67"/>
    </row>
    <row r="810">
      <c r="A810" s="67"/>
      <c r="B810" s="67"/>
      <c r="C810" s="67"/>
    </row>
    <row r="811">
      <c r="A811" s="67"/>
      <c r="B811" s="67"/>
      <c r="C811" s="67"/>
    </row>
    <row r="812">
      <c r="A812" s="67"/>
      <c r="B812" s="67"/>
      <c r="C812" s="67"/>
    </row>
    <row r="813">
      <c r="A813" s="67"/>
      <c r="B813" s="67"/>
      <c r="C813" s="67"/>
    </row>
    <row r="814">
      <c r="A814" s="67"/>
      <c r="B814" s="67"/>
      <c r="C814" s="67"/>
    </row>
    <row r="815">
      <c r="A815" s="67"/>
      <c r="B815" s="67"/>
      <c r="C815" s="67"/>
    </row>
    <row r="816">
      <c r="A816" s="67"/>
      <c r="B816" s="67"/>
      <c r="C816" s="67"/>
    </row>
    <row r="817">
      <c r="A817" s="67"/>
      <c r="B817" s="67"/>
      <c r="C817" s="67"/>
    </row>
    <row r="818">
      <c r="A818" s="67"/>
      <c r="B818" s="67"/>
      <c r="C818" s="67"/>
    </row>
    <row r="819">
      <c r="A819" s="67"/>
      <c r="B819" s="67"/>
      <c r="C819" s="67"/>
    </row>
    <row r="820">
      <c r="A820" s="67"/>
      <c r="B820" s="67"/>
      <c r="C820" s="67"/>
    </row>
    <row r="821">
      <c r="A821" s="67"/>
      <c r="B821" s="67"/>
      <c r="C821" s="67"/>
    </row>
    <row r="822">
      <c r="A822" s="67"/>
      <c r="B822" s="67"/>
      <c r="C822" s="67"/>
    </row>
    <row r="823">
      <c r="A823" s="67"/>
      <c r="B823" s="67"/>
      <c r="C823" s="67"/>
    </row>
    <row r="824">
      <c r="A824" s="67"/>
      <c r="B824" s="67"/>
      <c r="C824" s="67"/>
    </row>
  </sheetData>
  <dataValidations>
    <dataValidation type="list" allowBlank="1" showErrorMessage="1" sqref="B2:B349">
      <formula1>"AT,BPTB,HT,PLT,QT,TA"</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outlineLevelRow="1"/>
  <cols>
    <col customWidth="1" min="1" max="1" width="3.5"/>
    <col customWidth="1" min="2" max="2" width="21.25"/>
    <col customWidth="1" min="3" max="3" width="8.63"/>
    <col customWidth="1" min="4" max="4" width="4.63"/>
    <col customWidth="1" min="5" max="5" width="10.0"/>
    <col customWidth="1" min="6" max="6" width="3.88"/>
    <col customWidth="1" min="7" max="7" width="9.13"/>
    <col collapsed="1" customWidth="1" min="8" max="8" width="6.5"/>
    <col customWidth="1" hidden="1" min="9" max="9" width="4.0" outlineLevel="1"/>
    <col customWidth="1" hidden="1" min="10" max="10" width="3.63" outlineLevel="1"/>
    <col customWidth="1" hidden="1" min="11" max="11" width="7.0" outlineLevel="1"/>
    <col customWidth="1" hidden="1" min="12" max="12" width="4.0" outlineLevel="1"/>
    <col customWidth="1" hidden="1" min="13" max="13" width="4.38" outlineLevel="1"/>
    <col customWidth="1" hidden="1" min="14" max="14" width="96.63" outlineLevel="1"/>
    <col customWidth="1" min="15" max="15" width="4.75"/>
    <col customWidth="1" min="16" max="17" width="7.5"/>
    <col customWidth="1" min="18" max="18" width="8.13"/>
    <col customWidth="1" min="19" max="19" width="11.75"/>
    <col customWidth="1" min="20" max="20" width="10.75"/>
    <col customWidth="1" min="21" max="21" width="13.63"/>
    <col collapsed="1" customWidth="1" min="22" max="22" width="10.5"/>
    <col customWidth="1" hidden="1" min="23" max="23" width="11.75" outlineLevel="1"/>
    <col customWidth="1" hidden="1" min="24" max="24" width="10.25" outlineLevel="1"/>
    <col customWidth="1" hidden="1" min="25" max="25" width="14.63" outlineLevel="1"/>
    <col customWidth="1" hidden="1" min="26" max="26" width="10.63" outlineLevel="1"/>
    <col customWidth="1" hidden="1" min="27" max="27" width="12.0" outlineLevel="1"/>
  </cols>
  <sheetData>
    <row r="1">
      <c r="A1" s="22" t="s">
        <v>0</v>
      </c>
      <c r="B1" s="22" t="s">
        <v>3</v>
      </c>
      <c r="C1" s="23" t="s">
        <v>4</v>
      </c>
      <c r="D1" s="24" t="s">
        <v>166</v>
      </c>
      <c r="E1" s="25"/>
      <c r="F1" s="26" t="s">
        <v>21</v>
      </c>
      <c r="G1" s="26" t="s">
        <v>50</v>
      </c>
      <c r="H1" s="26" t="s">
        <v>51</v>
      </c>
      <c r="I1" s="28" t="s">
        <v>168</v>
      </c>
      <c r="J1" s="28" t="s">
        <v>14</v>
      </c>
      <c r="K1" s="28" t="s">
        <v>169</v>
      </c>
      <c r="L1" s="28" t="s">
        <v>19</v>
      </c>
      <c r="M1" s="28" t="s">
        <v>170</v>
      </c>
      <c r="N1" s="29" t="s">
        <v>171</v>
      </c>
      <c r="O1" s="28" t="s">
        <v>25</v>
      </c>
      <c r="P1" s="28" t="s">
        <v>172</v>
      </c>
      <c r="Q1" s="28" t="s">
        <v>28</v>
      </c>
      <c r="R1" s="28" t="s">
        <v>173</v>
      </c>
      <c r="S1" s="26" t="s">
        <v>54</v>
      </c>
      <c r="T1" s="26" t="s">
        <v>55</v>
      </c>
      <c r="U1" s="26" t="s">
        <v>175</v>
      </c>
      <c r="V1" s="30" t="s">
        <v>176</v>
      </c>
      <c r="W1" s="30" t="s">
        <v>177</v>
      </c>
      <c r="X1" s="30" t="s">
        <v>178</v>
      </c>
      <c r="Y1" s="30" t="s">
        <v>179</v>
      </c>
      <c r="Z1" s="30" t="s">
        <v>180</v>
      </c>
      <c r="AA1" s="30" t="s">
        <v>181</v>
      </c>
    </row>
    <row r="2">
      <c r="A2" s="31">
        <f>column(A2)</f>
        <v>1</v>
      </c>
      <c r="B2" s="31">
        <v>1.0</v>
      </c>
      <c r="C2" s="31">
        <v>2.0</v>
      </c>
      <c r="D2" s="31">
        <v>3.0</v>
      </c>
      <c r="E2" s="31">
        <v>4.0</v>
      </c>
      <c r="F2" s="31">
        <v>5.0</v>
      </c>
      <c r="G2" s="22">
        <v>6.0</v>
      </c>
      <c r="H2" s="22">
        <v>7.0</v>
      </c>
      <c r="I2" s="22">
        <v>8.0</v>
      </c>
      <c r="J2" s="22">
        <v>9.0</v>
      </c>
      <c r="K2" s="22">
        <v>10.0</v>
      </c>
      <c r="L2" s="22">
        <v>11.0</v>
      </c>
      <c r="M2" s="22">
        <v>12.0</v>
      </c>
      <c r="N2" s="22">
        <v>13.0</v>
      </c>
      <c r="O2" s="22">
        <v>14.0</v>
      </c>
      <c r="P2" s="31">
        <v>15.0</v>
      </c>
      <c r="Q2" s="22">
        <v>16.0</v>
      </c>
      <c r="R2" s="31">
        <v>17.0</v>
      </c>
      <c r="S2" s="22">
        <v>18.0</v>
      </c>
      <c r="T2" s="22">
        <v>19.0</v>
      </c>
      <c r="U2" s="31">
        <v>20.0</v>
      </c>
      <c r="V2" s="31">
        <v>21.0</v>
      </c>
      <c r="W2" s="32">
        <v>22.0</v>
      </c>
      <c r="X2" s="30"/>
      <c r="Y2" s="30"/>
      <c r="Z2" s="30"/>
      <c r="AA2" s="30"/>
    </row>
    <row r="3">
      <c r="A3" s="33">
        <v>1.0</v>
      </c>
      <c r="B3" s="33" t="s">
        <v>1</v>
      </c>
      <c r="C3" s="34" t="s">
        <v>42</v>
      </c>
      <c r="D3" s="35">
        <v>20.0</v>
      </c>
      <c r="E3" s="36" t="s">
        <v>183</v>
      </c>
      <c r="F3" s="37"/>
      <c r="G3" s="37">
        <v>32.0</v>
      </c>
      <c r="H3" s="38">
        <v>5.0</v>
      </c>
      <c r="I3" s="34"/>
      <c r="J3" s="28"/>
      <c r="K3" s="34"/>
      <c r="L3" s="28"/>
      <c r="M3" s="34"/>
      <c r="N3" s="39"/>
      <c r="O3" s="28">
        <v>15.0</v>
      </c>
      <c r="P3" s="28">
        <v>0.75</v>
      </c>
      <c r="Q3" s="28">
        <v>5.0</v>
      </c>
      <c r="R3" s="40">
        <v>0.25</v>
      </c>
      <c r="S3" s="28">
        <v>36.0</v>
      </c>
      <c r="T3" s="38">
        <v>3.0</v>
      </c>
      <c r="U3" s="28"/>
      <c r="V3" s="41"/>
      <c r="W3" s="28">
        <v>36.0</v>
      </c>
      <c r="X3" s="34"/>
      <c r="Y3" s="28"/>
      <c r="Z3" s="34"/>
      <c r="AA3" s="28"/>
    </row>
    <row r="4">
      <c r="A4" s="33">
        <v>1.0</v>
      </c>
      <c r="B4" s="33" t="s">
        <v>1</v>
      </c>
      <c r="C4" s="34" t="s">
        <v>84</v>
      </c>
      <c r="D4" s="35">
        <v>16.0</v>
      </c>
      <c r="E4" s="36" t="s">
        <v>183</v>
      </c>
      <c r="F4" s="37"/>
      <c r="G4" s="37">
        <v>28.0</v>
      </c>
      <c r="H4" s="38">
        <v>4.4</v>
      </c>
      <c r="I4" s="34"/>
      <c r="J4" s="28"/>
      <c r="K4" s="34"/>
      <c r="L4" s="28"/>
      <c r="M4" s="34"/>
      <c r="N4" s="39"/>
      <c r="O4" s="28">
        <v>12.0</v>
      </c>
      <c r="P4" s="28">
        <v>0.75</v>
      </c>
      <c r="Q4" s="28">
        <v>4.0</v>
      </c>
      <c r="R4" s="40">
        <v>0.25</v>
      </c>
      <c r="S4" s="28">
        <v>36.0</v>
      </c>
      <c r="T4" s="38">
        <v>3.0</v>
      </c>
      <c r="U4" s="28"/>
      <c r="V4" s="41"/>
      <c r="W4" s="28">
        <v>36.0</v>
      </c>
      <c r="X4" s="34"/>
      <c r="Y4" s="28"/>
      <c r="Z4" s="34"/>
      <c r="AA4" s="28"/>
    </row>
    <row r="5">
      <c r="A5" s="33">
        <v>2.0</v>
      </c>
      <c r="B5" s="33" t="s">
        <v>11</v>
      </c>
      <c r="C5" s="34" t="s">
        <v>42</v>
      </c>
      <c r="D5" s="42">
        <v>60.0</v>
      </c>
      <c r="E5" s="36" t="s">
        <v>183</v>
      </c>
      <c r="F5" s="37"/>
      <c r="G5" s="37">
        <v>25.0</v>
      </c>
      <c r="H5" s="38">
        <v>4.973</v>
      </c>
      <c r="I5" s="34">
        <v>16.0</v>
      </c>
      <c r="J5" s="28"/>
      <c r="K5" s="34"/>
      <c r="L5" s="28"/>
      <c r="M5" s="34">
        <v>39.0</v>
      </c>
      <c r="N5" s="39"/>
      <c r="O5" s="28">
        <v>46.0</v>
      </c>
      <c r="P5" s="28">
        <v>0.77</v>
      </c>
      <c r="Q5" s="28">
        <v>14.0</v>
      </c>
      <c r="R5" s="40">
        <v>0.23333333333333334</v>
      </c>
      <c r="S5" s="28">
        <v>24.0</v>
      </c>
      <c r="T5" s="38">
        <v>2.0</v>
      </c>
      <c r="U5" s="28"/>
      <c r="V5" s="41"/>
      <c r="W5" s="28">
        <v>24.0</v>
      </c>
      <c r="X5" s="34"/>
      <c r="Y5" s="28"/>
      <c r="Z5" s="34"/>
      <c r="AA5" s="28"/>
    </row>
    <row r="6">
      <c r="A6" s="33">
        <v>2.0</v>
      </c>
      <c r="B6" s="33" t="s">
        <v>11</v>
      </c>
      <c r="C6" s="34" t="s">
        <v>84</v>
      </c>
      <c r="D6" s="42">
        <v>60.0</v>
      </c>
      <c r="E6" s="36" t="s">
        <v>183</v>
      </c>
      <c r="F6" s="37"/>
      <c r="G6" s="37">
        <v>25.0</v>
      </c>
      <c r="H6" s="38">
        <v>5.189</v>
      </c>
      <c r="I6" s="34">
        <v>15.0</v>
      </c>
      <c r="J6" s="28"/>
      <c r="K6" s="34"/>
      <c r="L6" s="28"/>
      <c r="M6" s="34">
        <v>39.0</v>
      </c>
      <c r="N6" s="39"/>
      <c r="O6" s="28">
        <v>46.0</v>
      </c>
      <c r="P6" s="28">
        <v>0.77</v>
      </c>
      <c r="Q6" s="28">
        <v>14.0</v>
      </c>
      <c r="R6" s="40">
        <v>0.23333333333333334</v>
      </c>
      <c r="S6" s="28">
        <v>24.0</v>
      </c>
      <c r="T6" s="38">
        <v>2.0</v>
      </c>
      <c r="U6" s="28"/>
      <c r="V6" s="41"/>
      <c r="W6" s="28">
        <v>24.0</v>
      </c>
      <c r="X6" s="34"/>
      <c r="Y6" s="28"/>
      <c r="Z6" s="34"/>
      <c r="AA6" s="28"/>
    </row>
    <row r="7">
      <c r="A7" s="33">
        <v>3.0</v>
      </c>
      <c r="B7" s="33" t="s">
        <v>16</v>
      </c>
      <c r="C7" s="34" t="s">
        <v>42</v>
      </c>
      <c r="D7" s="35">
        <v>22.0</v>
      </c>
      <c r="E7" s="36" t="s">
        <v>183</v>
      </c>
      <c r="F7" s="37"/>
      <c r="G7" s="37">
        <v>27.412608360722036</v>
      </c>
      <c r="H7" s="38">
        <v>8.902</v>
      </c>
      <c r="I7" s="34">
        <v>14.0</v>
      </c>
      <c r="J7" s="28"/>
      <c r="K7" s="28">
        <v>26.0</v>
      </c>
      <c r="L7" s="28"/>
      <c r="M7" s="34">
        <v>48.0</v>
      </c>
      <c r="N7" s="39"/>
      <c r="O7" s="28">
        <v>14.0</v>
      </c>
      <c r="P7" s="28">
        <v>0.64</v>
      </c>
      <c r="Q7" s="28">
        <v>8.0</v>
      </c>
      <c r="R7" s="40">
        <v>0.36363636363636365</v>
      </c>
      <c r="S7" s="38">
        <v>90.27134752464984</v>
      </c>
      <c r="T7" s="38">
        <v>7.5</v>
      </c>
      <c r="U7" s="37">
        <f t="shared" ref="U7:U8" si="1">MEDIAN_MEAN($D7,W7,Y7,AA7)</f>
        <v>90.27134752</v>
      </c>
      <c r="V7" s="38">
        <f t="shared" ref="V7:V8" si="2">RANGE_SD(Q7,W7,AA7)</f>
        <v>11.505</v>
      </c>
      <c r="W7" s="28">
        <v>77.0</v>
      </c>
      <c r="X7" s="34"/>
      <c r="Y7" s="28">
        <v>89.0</v>
      </c>
      <c r="Z7" s="34"/>
      <c r="AA7" s="28">
        <v>110.0</v>
      </c>
    </row>
    <row r="8">
      <c r="A8" s="33">
        <v>3.0</v>
      </c>
      <c r="B8" s="33" t="s">
        <v>16</v>
      </c>
      <c r="C8" s="34" t="s">
        <v>84</v>
      </c>
      <c r="D8" s="35">
        <v>25.0</v>
      </c>
      <c r="E8" s="36" t="s">
        <v>183</v>
      </c>
      <c r="F8" s="37"/>
      <c r="G8" s="37">
        <v>28.604751932798223</v>
      </c>
      <c r="H8" s="38">
        <v>6.364</v>
      </c>
      <c r="I8" s="34">
        <v>15.0</v>
      </c>
      <c r="J8" s="28"/>
      <c r="K8" s="28">
        <v>29.0</v>
      </c>
      <c r="L8" s="28"/>
      <c r="M8" s="34">
        <v>40.0</v>
      </c>
      <c r="N8" s="39"/>
      <c r="O8" s="28">
        <v>18.0</v>
      </c>
      <c r="P8" s="28">
        <v>0.72</v>
      </c>
      <c r="Q8" s="28">
        <v>7.0</v>
      </c>
      <c r="R8" s="40">
        <v>0.28</v>
      </c>
      <c r="S8" s="38">
        <v>86.79049613440355</v>
      </c>
      <c r="T8" s="38">
        <v>7.2</v>
      </c>
      <c r="U8" s="37">
        <f t="shared" si="1"/>
        <v>86.79049613</v>
      </c>
      <c r="V8" s="38">
        <f t="shared" si="2"/>
        <v>14.658</v>
      </c>
      <c r="W8" s="28">
        <v>69.0</v>
      </c>
      <c r="X8" s="34"/>
      <c r="Y8" s="28">
        <v>86.0</v>
      </c>
      <c r="Z8" s="34"/>
      <c r="AA8" s="28">
        <v>109.0</v>
      </c>
    </row>
    <row r="9" collapsed="1">
      <c r="A9" s="33">
        <v>5.0</v>
      </c>
      <c r="B9" s="33" t="s">
        <v>22</v>
      </c>
      <c r="C9" s="34" t="s">
        <v>42</v>
      </c>
      <c r="D9" s="42">
        <v>35.0</v>
      </c>
      <c r="E9" s="36" t="s">
        <v>183</v>
      </c>
      <c r="F9" s="37"/>
      <c r="G9" s="37">
        <v>23.6</v>
      </c>
      <c r="H9" s="38">
        <v>7.132</v>
      </c>
      <c r="I9" s="34">
        <v>14.0</v>
      </c>
      <c r="J9" s="28"/>
      <c r="K9" s="34"/>
      <c r="L9" s="28"/>
      <c r="M9" s="34">
        <v>44.0</v>
      </c>
      <c r="N9" s="39"/>
      <c r="O9" s="28">
        <v>23.0</v>
      </c>
      <c r="P9" s="28">
        <v>0.66</v>
      </c>
      <c r="Q9" s="28">
        <v>12.0</v>
      </c>
      <c r="R9" s="40">
        <v>0.34285714285714286</v>
      </c>
      <c r="S9" s="28">
        <v>34.6</v>
      </c>
      <c r="T9" s="38">
        <v>2.9</v>
      </c>
      <c r="U9" s="28">
        <v>34.6</v>
      </c>
      <c r="V9" s="38">
        <v>11.4</v>
      </c>
      <c r="W9" s="28"/>
      <c r="X9" s="34"/>
      <c r="Y9" s="28"/>
      <c r="Z9" s="34"/>
      <c r="AA9" s="28"/>
    </row>
    <row r="10" hidden="1" outlineLevel="1">
      <c r="A10" s="33">
        <v>5.0</v>
      </c>
      <c r="B10" s="43" t="s">
        <v>22</v>
      </c>
      <c r="C10" s="44" t="s">
        <v>192</v>
      </c>
      <c r="D10" s="45">
        <v>33.0</v>
      </c>
      <c r="E10" s="46" t="s">
        <v>183</v>
      </c>
      <c r="F10" s="47"/>
      <c r="G10" s="47">
        <v>22.0</v>
      </c>
      <c r="H10" s="48">
        <v>5.771</v>
      </c>
      <c r="I10" s="49">
        <v>14.0</v>
      </c>
      <c r="J10" s="44"/>
      <c r="K10" s="49"/>
      <c r="L10" s="44"/>
      <c r="M10" s="44">
        <v>40.0</v>
      </c>
      <c r="N10" s="50"/>
      <c r="O10" s="44">
        <v>22.0</v>
      </c>
      <c r="P10" s="44">
        <v>0.67</v>
      </c>
      <c r="Q10" s="44">
        <v>11.0</v>
      </c>
      <c r="R10" s="40">
        <v>0.3333333333333333</v>
      </c>
      <c r="S10" s="28">
        <v>35.7</v>
      </c>
      <c r="T10" s="38">
        <v>3.0</v>
      </c>
      <c r="U10" s="44">
        <v>35.7</v>
      </c>
      <c r="V10" s="48">
        <v>12.1</v>
      </c>
      <c r="W10" s="44"/>
      <c r="X10" s="49"/>
      <c r="Y10" s="44"/>
      <c r="Z10" s="49"/>
      <c r="AA10" s="44"/>
    </row>
    <row r="11" hidden="1" outlineLevel="1">
      <c r="A11" s="33">
        <v>5.0</v>
      </c>
      <c r="B11" s="43" t="s">
        <v>22</v>
      </c>
      <c r="C11" s="44" t="s">
        <v>195</v>
      </c>
      <c r="D11" s="51">
        <v>35.0</v>
      </c>
      <c r="E11" s="52" t="s">
        <v>183</v>
      </c>
      <c r="F11" s="53"/>
      <c r="G11" s="53">
        <v>20.1</v>
      </c>
      <c r="H11" s="48">
        <v>5.771</v>
      </c>
      <c r="I11" s="49">
        <v>14.0</v>
      </c>
      <c r="J11" s="44"/>
      <c r="K11" s="49"/>
      <c r="L11" s="44"/>
      <c r="M11" s="49">
        <v>38.0</v>
      </c>
      <c r="N11" s="50"/>
      <c r="O11" s="44">
        <v>23.0</v>
      </c>
      <c r="P11" s="44">
        <v>0.66</v>
      </c>
      <c r="Q11" s="44">
        <v>12.0</v>
      </c>
      <c r="R11" s="40">
        <v>0.34285714285714286</v>
      </c>
      <c r="S11" s="28">
        <v>35.9</v>
      </c>
      <c r="T11" s="38">
        <v>3.0</v>
      </c>
      <c r="U11" s="44">
        <v>35.9</v>
      </c>
      <c r="V11" s="48">
        <v>11.7</v>
      </c>
      <c r="W11" s="44"/>
      <c r="X11" s="49"/>
      <c r="Y11" s="44"/>
      <c r="Z11" s="49"/>
      <c r="AA11" s="44"/>
    </row>
    <row r="12">
      <c r="A12" s="33">
        <v>5.0</v>
      </c>
      <c r="B12" s="33" t="s">
        <v>22</v>
      </c>
      <c r="C12" s="34" t="s">
        <v>84</v>
      </c>
      <c r="D12" s="42">
        <v>68.0</v>
      </c>
      <c r="E12" s="36" t="s">
        <v>183</v>
      </c>
      <c r="F12" s="37"/>
      <c r="G12" s="37">
        <v>21.022058823529413</v>
      </c>
      <c r="H12" s="38">
        <v>5.807110949394516</v>
      </c>
      <c r="I12" s="34"/>
      <c r="J12" s="28"/>
      <c r="K12" s="34"/>
      <c r="L12" s="28"/>
      <c r="M12" s="34"/>
      <c r="N12" s="39"/>
      <c r="O12" s="34">
        <v>45.0</v>
      </c>
      <c r="P12" s="34">
        <v>0.66</v>
      </c>
      <c r="Q12" s="28">
        <v>23.0</v>
      </c>
      <c r="R12" s="40">
        <v>0.3382352941176471</v>
      </c>
      <c r="S12" s="38">
        <v>35.8029411764706</v>
      </c>
      <c r="T12" s="38">
        <v>3.0</v>
      </c>
      <c r="U12" s="37">
        <f>SUMPRODUCT($D10:$D11,U10:U11)/sum($D10,$D11)</f>
        <v>35.80294118</v>
      </c>
      <c r="V12" s="38">
        <f>COMBINE_SD($D10,$D11,V10,V11,U10,U11)</f>
        <v>11.80694168</v>
      </c>
      <c r="W12" s="28"/>
      <c r="X12" s="34"/>
      <c r="Y12" s="28"/>
      <c r="Z12" s="34"/>
      <c r="AA12" s="28"/>
    </row>
    <row r="13">
      <c r="A13" s="33">
        <v>6.0</v>
      </c>
      <c r="B13" s="33" t="s">
        <v>26</v>
      </c>
      <c r="C13" s="34" t="s">
        <v>42</v>
      </c>
      <c r="D13" s="35">
        <v>10.0</v>
      </c>
      <c r="E13" s="36" t="s">
        <v>183</v>
      </c>
      <c r="F13" s="37"/>
      <c r="G13" s="37">
        <v>29.4</v>
      </c>
      <c r="H13" s="38">
        <v>7.343</v>
      </c>
      <c r="I13" s="34"/>
      <c r="J13" s="28"/>
      <c r="K13" s="34"/>
      <c r="L13" s="28"/>
      <c r="M13" s="34"/>
      <c r="N13" s="39"/>
      <c r="O13" s="28">
        <v>4.0</v>
      </c>
      <c r="P13" s="28">
        <v>0.4</v>
      </c>
      <c r="Q13" s="28">
        <v>6.0</v>
      </c>
      <c r="R13" s="40">
        <v>0.6</v>
      </c>
      <c r="S13" s="28">
        <v>12.0</v>
      </c>
      <c r="T13" s="38">
        <v>1.0</v>
      </c>
      <c r="U13" s="28"/>
      <c r="V13" s="41"/>
      <c r="W13" s="28">
        <v>12.0</v>
      </c>
      <c r="X13" s="34"/>
      <c r="Y13" s="28"/>
      <c r="Z13" s="34"/>
      <c r="AA13" s="28"/>
    </row>
    <row r="14">
      <c r="A14" s="33">
        <v>6.0</v>
      </c>
      <c r="B14" s="33" t="s">
        <v>26</v>
      </c>
      <c r="C14" s="34" t="s">
        <v>84</v>
      </c>
      <c r="D14" s="35">
        <v>10.0</v>
      </c>
      <c r="E14" s="36" t="s">
        <v>183</v>
      </c>
      <c r="F14" s="37"/>
      <c r="G14" s="37">
        <v>27.55</v>
      </c>
      <c r="H14" s="38">
        <v>8.643</v>
      </c>
      <c r="I14" s="34"/>
      <c r="J14" s="28"/>
      <c r="K14" s="34"/>
      <c r="L14" s="28"/>
      <c r="M14" s="34"/>
      <c r="N14" s="39"/>
      <c r="O14" s="28">
        <v>3.0</v>
      </c>
      <c r="P14" s="28">
        <v>0.3</v>
      </c>
      <c r="Q14" s="28">
        <v>7.0</v>
      </c>
      <c r="R14" s="40">
        <v>0.7</v>
      </c>
      <c r="S14" s="28">
        <v>12.0</v>
      </c>
      <c r="T14" s="38">
        <v>1.0</v>
      </c>
      <c r="U14" s="28"/>
      <c r="V14" s="41"/>
      <c r="W14" s="28">
        <v>12.0</v>
      </c>
      <c r="X14" s="34"/>
      <c r="Y14" s="28"/>
      <c r="Z14" s="34"/>
      <c r="AA14" s="28"/>
    </row>
    <row r="15">
      <c r="A15" s="33">
        <v>7.0</v>
      </c>
      <c r="B15" s="33" t="s">
        <v>30</v>
      </c>
      <c r="C15" s="34" t="s">
        <v>42</v>
      </c>
      <c r="D15" s="35">
        <v>35.0</v>
      </c>
      <c r="E15" s="54" t="s">
        <v>183</v>
      </c>
      <c r="F15" s="30"/>
      <c r="G15" s="30">
        <v>25.0</v>
      </c>
      <c r="H15" s="38">
        <v>7.0</v>
      </c>
      <c r="I15" s="34"/>
      <c r="J15" s="28"/>
      <c r="K15" s="34"/>
      <c r="L15" s="28"/>
      <c r="M15" s="34"/>
      <c r="N15" s="39"/>
      <c r="O15" s="28">
        <v>19.0</v>
      </c>
      <c r="P15" s="28">
        <v>0.54</v>
      </c>
      <c r="Q15" s="28">
        <v>16.0</v>
      </c>
      <c r="R15" s="40">
        <v>0.45714285714285713</v>
      </c>
      <c r="S15" s="28">
        <v>24.0</v>
      </c>
      <c r="T15" s="38">
        <v>2.0</v>
      </c>
      <c r="U15" s="28"/>
      <c r="V15" s="41"/>
      <c r="W15" s="28">
        <v>24.0</v>
      </c>
      <c r="X15" s="34"/>
      <c r="Y15" s="28"/>
      <c r="Z15" s="34"/>
      <c r="AA15" s="28"/>
    </row>
    <row r="16">
      <c r="A16" s="33">
        <v>7.0</v>
      </c>
      <c r="B16" s="33" t="s">
        <v>30</v>
      </c>
      <c r="C16" s="34" t="s">
        <v>84</v>
      </c>
      <c r="D16" s="35">
        <v>37.0</v>
      </c>
      <c r="E16" s="54" t="s">
        <v>183</v>
      </c>
      <c r="F16" s="30"/>
      <c r="G16" s="30">
        <v>27.0</v>
      </c>
      <c r="H16" s="38">
        <v>9.0</v>
      </c>
      <c r="I16" s="34"/>
      <c r="J16" s="28"/>
      <c r="K16" s="34"/>
      <c r="L16" s="28"/>
      <c r="M16" s="34"/>
      <c r="N16" s="39"/>
      <c r="O16" s="28">
        <v>21.0</v>
      </c>
      <c r="P16" s="28">
        <v>0.57</v>
      </c>
      <c r="Q16" s="28">
        <v>16.0</v>
      </c>
      <c r="R16" s="40">
        <v>0.43243243243243246</v>
      </c>
      <c r="S16" s="28">
        <v>24.0</v>
      </c>
      <c r="T16" s="38">
        <v>2.0</v>
      </c>
      <c r="U16" s="28"/>
      <c r="V16" s="41"/>
      <c r="W16" s="28">
        <v>24.0</v>
      </c>
      <c r="X16" s="34"/>
      <c r="Y16" s="28"/>
      <c r="Z16" s="34"/>
      <c r="AA16" s="28"/>
    </row>
    <row r="17">
      <c r="A17" s="33">
        <v>9.0</v>
      </c>
      <c r="B17" s="33" t="s">
        <v>32</v>
      </c>
      <c r="C17" s="34" t="s">
        <v>42</v>
      </c>
      <c r="D17" s="42">
        <v>78.0</v>
      </c>
      <c r="E17" s="54" t="s">
        <v>202</v>
      </c>
      <c r="F17" s="37"/>
      <c r="G17" s="37">
        <v>33.0</v>
      </c>
      <c r="H17" s="38">
        <v>6.3</v>
      </c>
      <c r="I17" s="34"/>
      <c r="J17" s="28"/>
      <c r="K17" s="34"/>
      <c r="L17" s="28"/>
      <c r="M17" s="34"/>
      <c r="N17" s="29" t="s">
        <v>203</v>
      </c>
      <c r="O17" s="28">
        <v>38.0</v>
      </c>
      <c r="P17" s="28">
        <v>0.49</v>
      </c>
      <c r="Q17" s="28">
        <v>40.0</v>
      </c>
      <c r="R17" s="40">
        <v>0.5128205128205128</v>
      </c>
      <c r="S17" s="28">
        <v>96.0</v>
      </c>
      <c r="T17" s="38">
        <v>8.0</v>
      </c>
      <c r="U17" s="28"/>
      <c r="V17" s="41"/>
      <c r="W17" s="28">
        <v>96.0</v>
      </c>
      <c r="X17" s="34"/>
      <c r="Y17" s="28"/>
      <c r="Z17" s="34"/>
      <c r="AA17" s="28"/>
    </row>
    <row r="18">
      <c r="A18" s="33">
        <v>9.0</v>
      </c>
      <c r="B18" s="33" t="s">
        <v>32</v>
      </c>
      <c r="C18" s="34" t="s">
        <v>84</v>
      </c>
      <c r="D18" s="42">
        <v>75.0</v>
      </c>
      <c r="E18" s="54" t="s">
        <v>202</v>
      </c>
      <c r="F18" s="37"/>
      <c r="G18" s="37">
        <v>35.0</v>
      </c>
      <c r="H18" s="38">
        <v>7.5</v>
      </c>
      <c r="I18" s="34"/>
      <c r="J18" s="28"/>
      <c r="K18" s="34"/>
      <c r="L18" s="28"/>
      <c r="M18" s="34"/>
      <c r="N18" s="29" t="s">
        <v>203</v>
      </c>
      <c r="O18" s="28">
        <v>51.0</v>
      </c>
      <c r="P18" s="28">
        <v>0.68</v>
      </c>
      <c r="Q18" s="28">
        <v>24.0</v>
      </c>
      <c r="R18" s="40">
        <v>0.32</v>
      </c>
      <c r="S18" s="28">
        <v>96.0</v>
      </c>
      <c r="T18" s="38">
        <v>8.0</v>
      </c>
      <c r="U18" s="28"/>
      <c r="V18" s="41"/>
      <c r="W18" s="28">
        <v>96.0</v>
      </c>
      <c r="X18" s="34"/>
      <c r="Y18" s="28"/>
      <c r="Z18" s="34"/>
      <c r="AA18" s="28"/>
    </row>
    <row r="19">
      <c r="A19" s="33">
        <v>10.0</v>
      </c>
      <c r="B19" s="33" t="s">
        <v>35</v>
      </c>
      <c r="C19" s="34" t="s">
        <v>42</v>
      </c>
      <c r="D19" s="35">
        <v>30.0</v>
      </c>
      <c r="E19" s="36" t="s">
        <v>183</v>
      </c>
      <c r="F19" s="37"/>
      <c r="G19" s="37">
        <v>30.6</v>
      </c>
      <c r="H19" s="38">
        <v>7.5</v>
      </c>
      <c r="I19" s="34"/>
      <c r="J19" s="28"/>
      <c r="K19" s="34"/>
      <c r="L19" s="28"/>
      <c r="M19" s="34"/>
      <c r="N19" s="39"/>
      <c r="O19" s="28">
        <v>17.0</v>
      </c>
      <c r="P19" s="28">
        <v>0.57</v>
      </c>
      <c r="Q19" s="28">
        <v>13.0</v>
      </c>
      <c r="R19" s="40">
        <v>0.43333333333333335</v>
      </c>
      <c r="S19" s="28">
        <v>122.39999999999999</v>
      </c>
      <c r="T19" s="38">
        <v>10.2</v>
      </c>
      <c r="U19" s="28">
        <v>122.39999999999999</v>
      </c>
      <c r="V19" s="41">
        <v>2.88</v>
      </c>
      <c r="W19" s="28"/>
      <c r="X19" s="34"/>
      <c r="Y19" s="28"/>
      <c r="Z19" s="34"/>
      <c r="AA19" s="28"/>
    </row>
    <row r="20">
      <c r="A20" s="33">
        <v>10.0</v>
      </c>
      <c r="B20" s="33" t="s">
        <v>35</v>
      </c>
      <c r="C20" s="34" t="s">
        <v>200</v>
      </c>
      <c r="D20" s="35">
        <v>30.0</v>
      </c>
      <c r="E20" s="36" t="s">
        <v>183</v>
      </c>
      <c r="F20" s="37"/>
      <c r="G20" s="37">
        <v>30.5</v>
      </c>
      <c r="H20" s="38">
        <v>7.8</v>
      </c>
      <c r="I20" s="34"/>
      <c r="J20" s="28"/>
      <c r="K20" s="34"/>
      <c r="L20" s="28"/>
      <c r="M20" s="34"/>
      <c r="N20" s="39"/>
      <c r="O20" s="28">
        <v>17.0</v>
      </c>
      <c r="P20" s="28">
        <v>0.57</v>
      </c>
      <c r="Q20" s="28">
        <v>13.0</v>
      </c>
      <c r="R20" s="40">
        <v>0.43333333333333335</v>
      </c>
      <c r="S20" s="28">
        <v>123.60000000000001</v>
      </c>
      <c r="T20" s="38">
        <v>10.3</v>
      </c>
      <c r="U20" s="28">
        <v>123.60000000000001</v>
      </c>
      <c r="V20" s="41">
        <v>3.0</v>
      </c>
      <c r="W20" s="28"/>
      <c r="X20" s="34"/>
      <c r="Y20" s="28"/>
      <c r="Z20" s="34"/>
      <c r="AA20" s="28"/>
    </row>
    <row r="21">
      <c r="A21" s="33">
        <v>11.0</v>
      </c>
      <c r="B21" s="33" t="s">
        <v>37</v>
      </c>
      <c r="C21" s="34" t="s">
        <v>42</v>
      </c>
      <c r="D21" s="35">
        <v>28.0</v>
      </c>
      <c r="E21" s="36" t="s">
        <v>183</v>
      </c>
      <c r="F21" s="37"/>
      <c r="G21" s="37">
        <v>28.5</v>
      </c>
      <c r="H21" s="38">
        <v>6.959</v>
      </c>
      <c r="I21" s="34">
        <v>18.0</v>
      </c>
      <c r="J21" s="28"/>
      <c r="K21" s="34"/>
      <c r="L21" s="28"/>
      <c r="M21" s="34">
        <v>46.0</v>
      </c>
      <c r="N21" s="39"/>
      <c r="O21" s="28">
        <v>18.0</v>
      </c>
      <c r="P21" s="28">
        <v>0.64</v>
      </c>
      <c r="Q21" s="28">
        <v>10.0</v>
      </c>
      <c r="R21" s="40">
        <v>0.35714285714285715</v>
      </c>
      <c r="S21" s="28">
        <v>36.0</v>
      </c>
      <c r="T21" s="38">
        <v>3.0</v>
      </c>
      <c r="U21" s="28"/>
      <c r="V21" s="41"/>
      <c r="W21" s="28">
        <v>36.0</v>
      </c>
      <c r="X21" s="34"/>
      <c r="Y21" s="28"/>
      <c r="Z21" s="34"/>
      <c r="AA21" s="28"/>
    </row>
    <row r="22">
      <c r="A22" s="33">
        <v>11.0</v>
      </c>
      <c r="B22" s="33" t="s">
        <v>37</v>
      </c>
      <c r="C22" s="34" t="s">
        <v>84</v>
      </c>
      <c r="D22" s="35">
        <v>28.0</v>
      </c>
      <c r="E22" s="36" t="s">
        <v>183</v>
      </c>
      <c r="F22" s="37"/>
      <c r="G22" s="37">
        <v>29.9</v>
      </c>
      <c r="H22" s="38">
        <v>5.716</v>
      </c>
      <c r="I22" s="34">
        <v>19.0</v>
      </c>
      <c r="J22" s="28"/>
      <c r="K22" s="34"/>
      <c r="L22" s="28"/>
      <c r="M22" s="34">
        <v>42.0</v>
      </c>
      <c r="N22" s="39"/>
      <c r="O22" s="28">
        <v>13.0</v>
      </c>
      <c r="P22" s="28">
        <v>0.46</v>
      </c>
      <c r="Q22" s="28">
        <v>15.0</v>
      </c>
      <c r="R22" s="40">
        <v>0.5357142857142857</v>
      </c>
      <c r="S22" s="28">
        <v>36.0</v>
      </c>
      <c r="T22" s="38">
        <v>3.0</v>
      </c>
      <c r="U22" s="28"/>
      <c r="V22" s="41"/>
      <c r="W22" s="28">
        <v>36.0</v>
      </c>
      <c r="X22" s="34"/>
      <c r="Y22" s="28"/>
      <c r="Z22" s="34"/>
      <c r="AA22" s="28"/>
    </row>
    <row r="23">
      <c r="A23" s="33">
        <v>12.0</v>
      </c>
      <c r="B23" s="33" t="s">
        <v>39</v>
      </c>
      <c r="C23" s="34" t="s">
        <v>84</v>
      </c>
      <c r="D23" s="42">
        <v>62.0</v>
      </c>
      <c r="E23" s="36" t="s">
        <v>183</v>
      </c>
      <c r="F23" s="37"/>
      <c r="G23" s="37">
        <v>27.9</v>
      </c>
      <c r="H23" s="38">
        <v>6.7</v>
      </c>
      <c r="I23" s="34"/>
      <c r="J23" s="28"/>
      <c r="K23" s="34"/>
      <c r="L23" s="28"/>
      <c r="M23" s="34"/>
      <c r="N23" s="39"/>
      <c r="O23" s="28">
        <v>31.0</v>
      </c>
      <c r="P23" s="28">
        <v>0.5</v>
      </c>
      <c r="Q23" s="28">
        <v>31.0</v>
      </c>
      <c r="R23" s="40">
        <v>0.5</v>
      </c>
      <c r="S23" s="28">
        <v>30.3</v>
      </c>
      <c r="T23" s="38">
        <v>2.5</v>
      </c>
      <c r="U23" s="28">
        <v>30.3</v>
      </c>
      <c r="V23" s="38">
        <v>3.5</v>
      </c>
      <c r="W23" s="28"/>
      <c r="X23" s="34"/>
      <c r="Y23" s="28"/>
      <c r="Z23" s="34"/>
      <c r="AA23" s="28"/>
    </row>
    <row r="24">
      <c r="A24" s="33">
        <v>12.0</v>
      </c>
      <c r="B24" s="33" t="s">
        <v>39</v>
      </c>
      <c r="C24" s="34" t="s">
        <v>186</v>
      </c>
      <c r="D24" s="42">
        <v>62.0</v>
      </c>
      <c r="E24" s="36" t="s">
        <v>183</v>
      </c>
      <c r="F24" s="37"/>
      <c r="G24" s="37">
        <v>29.1</v>
      </c>
      <c r="H24" s="38">
        <v>6.5</v>
      </c>
      <c r="I24" s="34"/>
      <c r="J24" s="28"/>
      <c r="K24" s="34"/>
      <c r="L24" s="28"/>
      <c r="M24" s="34"/>
      <c r="N24" s="39"/>
      <c r="O24" s="28">
        <v>34.0</v>
      </c>
      <c r="P24" s="28">
        <v>0.55</v>
      </c>
      <c r="Q24" s="28">
        <v>28.0</v>
      </c>
      <c r="R24" s="40">
        <v>0.45161290322580644</v>
      </c>
      <c r="S24" s="28">
        <v>29.7</v>
      </c>
      <c r="T24" s="38">
        <v>2.5</v>
      </c>
      <c r="U24" s="28">
        <v>29.7</v>
      </c>
      <c r="V24" s="38">
        <v>3.7</v>
      </c>
      <c r="W24" s="28"/>
      <c r="X24" s="34"/>
      <c r="Y24" s="28"/>
      <c r="Z24" s="34"/>
      <c r="AA24" s="28"/>
    </row>
    <row r="25">
      <c r="A25" s="33">
        <v>13.0</v>
      </c>
      <c r="B25" s="33" t="s">
        <v>43</v>
      </c>
      <c r="C25" s="34" t="s">
        <v>42</v>
      </c>
      <c r="D25" s="42">
        <v>61.0</v>
      </c>
      <c r="E25" s="36" t="s">
        <v>183</v>
      </c>
      <c r="F25" s="37"/>
      <c r="G25" s="37">
        <v>28.2</v>
      </c>
      <c r="H25" s="38">
        <v>9.1</v>
      </c>
      <c r="I25" s="34">
        <v>14.0</v>
      </c>
      <c r="J25" s="28"/>
      <c r="K25" s="34">
        <v>26.0</v>
      </c>
      <c r="L25" s="28"/>
      <c r="M25" s="34">
        <v>52.0</v>
      </c>
      <c r="N25" s="29" t="s">
        <v>208</v>
      </c>
      <c r="O25" s="28">
        <v>42.0</v>
      </c>
      <c r="P25" s="28">
        <v>0.69</v>
      </c>
      <c r="Q25" s="28">
        <v>19.0</v>
      </c>
      <c r="R25" s="40">
        <v>0.3114754098360656</v>
      </c>
      <c r="S25" s="28">
        <v>202.6</v>
      </c>
      <c r="T25" s="38">
        <v>16.9</v>
      </c>
      <c r="U25" s="28">
        <v>202.6</v>
      </c>
      <c r="V25" s="38">
        <v>10.4</v>
      </c>
      <c r="W25" s="28">
        <v>164.0</v>
      </c>
      <c r="X25" s="34"/>
      <c r="Y25" s="28">
        <v>203.0</v>
      </c>
      <c r="Z25" s="34"/>
      <c r="AA25" s="28">
        <v>224.0</v>
      </c>
    </row>
    <row r="26">
      <c r="A26" s="33">
        <v>13.0</v>
      </c>
      <c r="B26" s="33" t="s">
        <v>43</v>
      </c>
      <c r="C26" s="34" t="s">
        <v>84</v>
      </c>
      <c r="D26" s="42">
        <v>86.0</v>
      </c>
      <c r="E26" s="36" t="s">
        <v>183</v>
      </c>
      <c r="F26" s="37"/>
      <c r="G26" s="37">
        <v>26.8</v>
      </c>
      <c r="H26" s="38">
        <v>7.6</v>
      </c>
      <c r="I26" s="34">
        <v>15.0</v>
      </c>
      <c r="J26" s="28"/>
      <c r="K26" s="34">
        <v>26.0</v>
      </c>
      <c r="L26" s="28"/>
      <c r="M26" s="34">
        <v>59.0</v>
      </c>
      <c r="N26" s="29" t="s">
        <v>210</v>
      </c>
      <c r="O26" s="28">
        <v>53.0</v>
      </c>
      <c r="P26" s="28">
        <v>0.62</v>
      </c>
      <c r="Q26" s="28">
        <v>33.0</v>
      </c>
      <c r="R26" s="40">
        <v>0.38372093023255816</v>
      </c>
      <c r="S26" s="28">
        <v>191.9</v>
      </c>
      <c r="T26" s="38">
        <v>16.0</v>
      </c>
      <c r="U26" s="28">
        <v>191.9</v>
      </c>
      <c r="V26" s="38">
        <v>15.1</v>
      </c>
      <c r="W26" s="28">
        <v>159.0</v>
      </c>
      <c r="X26" s="34"/>
      <c r="Y26" s="28">
        <v>197.0</v>
      </c>
      <c r="Z26" s="34"/>
      <c r="AA26" s="28">
        <v>225.0</v>
      </c>
    </row>
    <row r="27">
      <c r="A27" s="33">
        <v>14.0</v>
      </c>
      <c r="B27" s="33" t="s">
        <v>45</v>
      </c>
      <c r="C27" s="34" t="s">
        <v>84</v>
      </c>
      <c r="D27" s="35">
        <v>48.0</v>
      </c>
      <c r="E27" s="36" t="s">
        <v>183</v>
      </c>
      <c r="F27" s="37"/>
      <c r="G27" s="37">
        <v>28.9</v>
      </c>
      <c r="H27" s="38">
        <v>5.8</v>
      </c>
      <c r="I27" s="34"/>
      <c r="J27" s="28"/>
      <c r="K27" s="34"/>
      <c r="L27" s="28"/>
      <c r="M27" s="34"/>
      <c r="N27" s="39"/>
      <c r="O27" s="28">
        <v>41.0</v>
      </c>
      <c r="P27" s="28">
        <v>0.85</v>
      </c>
      <c r="Q27" s="28">
        <v>7.0</v>
      </c>
      <c r="R27" s="40">
        <v>0.14583333333333334</v>
      </c>
      <c r="S27" s="28">
        <v>120.0</v>
      </c>
      <c r="T27" s="38">
        <v>10.0</v>
      </c>
      <c r="U27" s="28"/>
      <c r="V27" s="41"/>
      <c r="W27" s="28">
        <v>120.0</v>
      </c>
      <c r="X27" s="34"/>
      <c r="Y27" s="28"/>
      <c r="Z27" s="34"/>
      <c r="AA27" s="28"/>
    </row>
    <row r="28">
      <c r="A28" s="33">
        <v>14.0</v>
      </c>
      <c r="B28" s="33" t="s">
        <v>45</v>
      </c>
      <c r="C28" s="34" t="s">
        <v>205</v>
      </c>
      <c r="D28" s="35">
        <v>49.0</v>
      </c>
      <c r="E28" s="36" t="s">
        <v>183</v>
      </c>
      <c r="F28" s="37"/>
      <c r="G28" s="37">
        <v>29.2</v>
      </c>
      <c r="H28" s="38">
        <v>5.5</v>
      </c>
      <c r="I28" s="34"/>
      <c r="J28" s="28"/>
      <c r="K28" s="34"/>
      <c r="L28" s="28"/>
      <c r="M28" s="34"/>
      <c r="N28" s="39"/>
      <c r="O28" s="28">
        <v>43.0</v>
      </c>
      <c r="P28" s="28">
        <v>0.88</v>
      </c>
      <c r="Q28" s="28">
        <v>6.0</v>
      </c>
      <c r="R28" s="40">
        <v>0.12244897959183673</v>
      </c>
      <c r="S28" s="28">
        <v>120.0</v>
      </c>
      <c r="T28" s="38">
        <v>10.0</v>
      </c>
      <c r="U28" s="28"/>
      <c r="V28" s="41"/>
      <c r="W28" s="28">
        <v>120.0</v>
      </c>
      <c r="X28" s="34"/>
      <c r="Y28" s="28"/>
      <c r="Z28" s="34"/>
      <c r="AA28" s="28"/>
    </row>
    <row r="29">
      <c r="A29" s="33">
        <v>18.0</v>
      </c>
      <c r="B29" s="33" t="s">
        <v>47</v>
      </c>
      <c r="C29" s="34" t="s">
        <v>84</v>
      </c>
      <c r="D29" s="42">
        <v>30.0</v>
      </c>
      <c r="E29" s="36" t="s">
        <v>183</v>
      </c>
      <c r="F29" s="37"/>
      <c r="G29" s="37">
        <v>29.17</v>
      </c>
      <c r="H29" s="38">
        <v>5.03</v>
      </c>
      <c r="I29" s="34"/>
      <c r="J29" s="28"/>
      <c r="K29" s="34"/>
      <c r="L29" s="28"/>
      <c r="M29" s="34"/>
      <c r="N29" s="39"/>
      <c r="O29" s="28">
        <v>29.0</v>
      </c>
      <c r="P29" s="28">
        <v>0.97</v>
      </c>
      <c r="Q29" s="28">
        <v>1.0</v>
      </c>
      <c r="R29" s="40">
        <v>0.03333333333333333</v>
      </c>
      <c r="S29" s="28">
        <v>60.0</v>
      </c>
      <c r="T29" s="38">
        <v>5.0</v>
      </c>
      <c r="U29" s="28"/>
      <c r="V29" s="41"/>
      <c r="W29" s="28">
        <v>60.0</v>
      </c>
      <c r="X29" s="34"/>
      <c r="Y29" s="28"/>
      <c r="Z29" s="34"/>
      <c r="AA29" s="28"/>
    </row>
    <row r="30">
      <c r="A30" s="33">
        <v>18.0</v>
      </c>
      <c r="B30" s="33" t="s">
        <v>47</v>
      </c>
      <c r="C30" s="34" t="s">
        <v>186</v>
      </c>
      <c r="D30" s="42">
        <v>30.0</v>
      </c>
      <c r="E30" s="36" t="s">
        <v>183</v>
      </c>
      <c r="F30" s="37"/>
      <c r="G30" s="37">
        <v>27.73</v>
      </c>
      <c r="H30" s="38">
        <v>4.14</v>
      </c>
      <c r="I30" s="34"/>
      <c r="J30" s="28"/>
      <c r="K30" s="34"/>
      <c r="L30" s="28"/>
      <c r="M30" s="34"/>
      <c r="N30" s="39"/>
      <c r="O30" s="28">
        <v>30.0</v>
      </c>
      <c r="P30" s="28">
        <v>1.0</v>
      </c>
      <c r="Q30" s="28">
        <v>0.0</v>
      </c>
      <c r="R30" s="40">
        <v>0.0</v>
      </c>
      <c r="S30" s="28">
        <v>60.0</v>
      </c>
      <c r="T30" s="38">
        <v>5.0</v>
      </c>
      <c r="U30" s="28"/>
      <c r="V30" s="41"/>
      <c r="W30" s="28">
        <v>60.0</v>
      </c>
      <c r="X30" s="34"/>
      <c r="Y30" s="28"/>
      <c r="Z30" s="34"/>
      <c r="AA30" s="28"/>
    </row>
    <row r="31">
      <c r="A31" s="33">
        <v>19.0</v>
      </c>
      <c r="B31" s="33" t="s">
        <v>52</v>
      </c>
      <c r="C31" s="34" t="s">
        <v>84</v>
      </c>
      <c r="D31" s="35">
        <v>55.0</v>
      </c>
      <c r="E31" s="36" t="s">
        <v>183</v>
      </c>
      <c r="F31" s="37"/>
      <c r="G31" s="37">
        <v>29.4</v>
      </c>
      <c r="H31" s="38">
        <v>7.7</v>
      </c>
      <c r="I31" s="34"/>
      <c r="J31" s="28"/>
      <c r="K31" s="34"/>
      <c r="L31" s="28"/>
      <c r="M31" s="34"/>
      <c r="N31" s="39"/>
      <c r="O31" s="28">
        <v>28.0</v>
      </c>
      <c r="P31" s="28">
        <v>0.51</v>
      </c>
      <c r="Q31" s="28">
        <v>27.0</v>
      </c>
      <c r="R31" s="40">
        <v>0.4909090909090909</v>
      </c>
      <c r="S31" s="28">
        <v>24.0</v>
      </c>
      <c r="T31" s="38">
        <v>2.0</v>
      </c>
      <c r="U31" s="28"/>
      <c r="V31" s="41"/>
      <c r="W31" s="28">
        <v>24.0</v>
      </c>
      <c r="X31" s="34"/>
      <c r="Y31" s="28"/>
      <c r="Z31" s="34"/>
      <c r="AA31" s="28"/>
    </row>
    <row r="32">
      <c r="A32" s="33">
        <v>19.0</v>
      </c>
      <c r="B32" s="33" t="s">
        <v>52</v>
      </c>
      <c r="C32" s="34" t="s">
        <v>200</v>
      </c>
      <c r="D32" s="35">
        <v>57.0</v>
      </c>
      <c r="E32" s="36" t="s">
        <v>183</v>
      </c>
      <c r="F32" s="37"/>
      <c r="G32" s="37">
        <v>28.1</v>
      </c>
      <c r="H32" s="38">
        <v>8.2</v>
      </c>
      <c r="I32" s="34"/>
      <c r="J32" s="28"/>
      <c r="K32" s="34"/>
      <c r="L32" s="28"/>
      <c r="M32" s="34"/>
      <c r="N32" s="39"/>
      <c r="O32" s="28">
        <v>28.0</v>
      </c>
      <c r="P32" s="28">
        <v>0.49</v>
      </c>
      <c r="Q32" s="28">
        <v>29.0</v>
      </c>
      <c r="R32" s="40">
        <v>0.5087719298245614</v>
      </c>
      <c r="S32" s="28">
        <v>24.0</v>
      </c>
      <c r="T32" s="38">
        <v>2.0</v>
      </c>
      <c r="U32" s="28"/>
      <c r="V32" s="41"/>
      <c r="W32" s="28">
        <v>24.0</v>
      </c>
      <c r="X32" s="34"/>
      <c r="Y32" s="28"/>
      <c r="Z32" s="34"/>
      <c r="AA32" s="28"/>
    </row>
    <row r="33">
      <c r="A33" s="33">
        <v>23.0</v>
      </c>
      <c r="B33" s="33" t="s">
        <v>56</v>
      </c>
      <c r="C33" s="34" t="s">
        <v>42</v>
      </c>
      <c r="D33" s="42">
        <v>32.0</v>
      </c>
      <c r="E33" s="36" t="s">
        <v>183</v>
      </c>
      <c r="F33" s="37"/>
      <c r="G33" s="37">
        <v>27.260431312060195</v>
      </c>
      <c r="H33" s="38">
        <v>8.467</v>
      </c>
      <c r="I33" s="34">
        <v>14.0</v>
      </c>
      <c r="J33" s="28"/>
      <c r="K33" s="28">
        <v>26.0</v>
      </c>
      <c r="L33" s="28"/>
      <c r="M33" s="34">
        <v>49.0</v>
      </c>
      <c r="N33" s="39"/>
      <c r="O33" s="28">
        <v>21.0</v>
      </c>
      <c r="P33" s="28">
        <v>0.66</v>
      </c>
      <c r="Q33" s="28">
        <v>11.0</v>
      </c>
      <c r="R33" s="40">
        <v>0.34375</v>
      </c>
      <c r="S33" s="28">
        <v>24.0</v>
      </c>
      <c r="T33" s="38">
        <v>2.0</v>
      </c>
      <c r="U33" s="28"/>
      <c r="V33" s="41"/>
      <c r="W33" s="28">
        <v>24.0</v>
      </c>
      <c r="X33" s="34"/>
      <c r="Y33" s="28"/>
      <c r="Z33" s="34"/>
      <c r="AA33" s="28"/>
    </row>
    <row r="34">
      <c r="A34" s="33">
        <v>23.0</v>
      </c>
      <c r="B34" s="33" t="s">
        <v>56</v>
      </c>
      <c r="C34" s="34" t="s">
        <v>84</v>
      </c>
      <c r="D34" s="42">
        <v>34.0</v>
      </c>
      <c r="E34" s="36" t="s">
        <v>183</v>
      </c>
      <c r="F34" s="37"/>
      <c r="G34" s="37">
        <v>30.769890770539824</v>
      </c>
      <c r="H34" s="38">
        <v>10.52</v>
      </c>
      <c r="I34" s="34">
        <v>15.0</v>
      </c>
      <c r="J34" s="28"/>
      <c r="K34" s="28">
        <v>29.0</v>
      </c>
      <c r="L34" s="28"/>
      <c r="M34" s="34">
        <v>59.0</v>
      </c>
      <c r="N34" s="39"/>
      <c r="O34" s="28">
        <v>25.0</v>
      </c>
      <c r="P34" s="28">
        <v>0.74</v>
      </c>
      <c r="Q34" s="28">
        <v>9.0</v>
      </c>
      <c r="R34" s="40">
        <v>0.2647058823529412</v>
      </c>
      <c r="S34" s="28">
        <v>24.0</v>
      </c>
      <c r="T34" s="38">
        <v>2.0</v>
      </c>
      <c r="U34" s="28"/>
      <c r="V34" s="41"/>
      <c r="W34" s="28">
        <v>24.0</v>
      </c>
      <c r="X34" s="34"/>
      <c r="Y34" s="28"/>
      <c r="Z34" s="34"/>
      <c r="AA34" s="28"/>
    </row>
    <row r="35">
      <c r="A35" s="33">
        <v>25.0</v>
      </c>
      <c r="B35" s="33" t="s">
        <v>58</v>
      </c>
      <c r="C35" s="34" t="s">
        <v>42</v>
      </c>
      <c r="D35" s="35">
        <v>59.0</v>
      </c>
      <c r="E35" s="54" t="s">
        <v>183</v>
      </c>
      <c r="F35" s="30"/>
      <c r="G35" s="30">
        <v>27.0</v>
      </c>
      <c r="H35" s="38">
        <v>6.0</v>
      </c>
      <c r="I35" s="34"/>
      <c r="J35" s="28"/>
      <c r="K35" s="34"/>
      <c r="L35" s="28"/>
      <c r="M35" s="34"/>
      <c r="N35" s="39" t="s">
        <v>215</v>
      </c>
      <c r="O35" s="28"/>
      <c r="P35" s="28">
        <v>0.0</v>
      </c>
      <c r="Q35" s="28"/>
      <c r="R35" s="40">
        <v>0.0</v>
      </c>
      <c r="S35" s="28">
        <v>6.7</v>
      </c>
      <c r="T35" s="38">
        <v>0.6</v>
      </c>
      <c r="U35" s="28">
        <v>6.7</v>
      </c>
      <c r="V35" s="38">
        <v>0.9</v>
      </c>
      <c r="W35" s="28"/>
      <c r="X35" s="34"/>
      <c r="Y35" s="28"/>
      <c r="Z35" s="34"/>
      <c r="AA35" s="28"/>
    </row>
    <row r="36">
      <c r="A36" s="33">
        <v>25.0</v>
      </c>
      <c r="B36" s="33" t="s">
        <v>58</v>
      </c>
      <c r="C36" s="34" t="s">
        <v>84</v>
      </c>
      <c r="D36" s="35">
        <v>57.0</v>
      </c>
      <c r="E36" s="54" t="s">
        <v>183</v>
      </c>
      <c r="F36" s="30"/>
      <c r="G36" s="30">
        <v>27.0</v>
      </c>
      <c r="H36" s="38">
        <v>6.0</v>
      </c>
      <c r="I36" s="34"/>
      <c r="J36" s="28"/>
      <c r="K36" s="34"/>
      <c r="L36" s="28"/>
      <c r="M36" s="34"/>
      <c r="N36" s="39"/>
      <c r="O36" s="28"/>
      <c r="P36" s="28">
        <v>0.0</v>
      </c>
      <c r="Q36" s="28"/>
      <c r="R36" s="40">
        <v>0.0</v>
      </c>
      <c r="S36" s="28">
        <v>6.7</v>
      </c>
      <c r="T36" s="38">
        <v>0.6</v>
      </c>
      <c r="U36" s="28">
        <v>6.7</v>
      </c>
      <c r="V36" s="38">
        <v>0.9</v>
      </c>
      <c r="W36" s="28"/>
      <c r="X36" s="34"/>
      <c r="Y36" s="28"/>
      <c r="Z36" s="34"/>
      <c r="AA36" s="28"/>
    </row>
    <row r="37">
      <c r="A37" s="33">
        <v>26.0</v>
      </c>
      <c r="B37" s="33" t="s">
        <v>60</v>
      </c>
      <c r="C37" s="34" t="s">
        <v>42</v>
      </c>
      <c r="D37" s="35">
        <v>31.0</v>
      </c>
      <c r="E37" s="36" t="s">
        <v>183</v>
      </c>
      <c r="F37" s="37"/>
      <c r="G37" s="37">
        <v>25.8</v>
      </c>
      <c r="H37" s="38">
        <v>6.0</v>
      </c>
      <c r="I37" s="34"/>
      <c r="J37" s="28"/>
      <c r="K37" s="34"/>
      <c r="L37" s="28"/>
      <c r="M37" s="34"/>
      <c r="N37" s="39"/>
      <c r="O37" s="28">
        <v>23.0</v>
      </c>
      <c r="P37" s="28">
        <v>0.74</v>
      </c>
      <c r="Q37" s="28">
        <v>8.0</v>
      </c>
      <c r="R37" s="40">
        <v>0.25806451612903225</v>
      </c>
      <c r="S37" s="28">
        <v>36.0</v>
      </c>
      <c r="T37" s="38">
        <v>3.0</v>
      </c>
      <c r="U37" s="28"/>
      <c r="V37" s="41"/>
      <c r="W37" s="28">
        <v>36.0</v>
      </c>
      <c r="X37" s="34"/>
      <c r="Y37" s="28"/>
      <c r="Z37" s="34"/>
      <c r="AA37" s="28"/>
    </row>
    <row r="38">
      <c r="A38" s="33">
        <v>26.0</v>
      </c>
      <c r="B38" s="33" t="s">
        <v>60</v>
      </c>
      <c r="C38" s="34" t="s">
        <v>84</v>
      </c>
      <c r="D38" s="35">
        <v>34.0</v>
      </c>
      <c r="E38" s="36" t="s">
        <v>183</v>
      </c>
      <c r="F38" s="37"/>
      <c r="G38" s="37">
        <v>26.3</v>
      </c>
      <c r="H38" s="38">
        <v>6.0</v>
      </c>
      <c r="I38" s="34"/>
      <c r="J38" s="28"/>
      <c r="K38" s="34"/>
      <c r="L38" s="28"/>
      <c r="M38" s="34"/>
      <c r="N38" s="39"/>
      <c r="O38" s="28">
        <v>24.0</v>
      </c>
      <c r="P38" s="28">
        <v>0.71</v>
      </c>
      <c r="Q38" s="28">
        <v>10.0</v>
      </c>
      <c r="R38" s="40">
        <v>0.29411764705882354</v>
      </c>
      <c r="S38" s="28">
        <v>36.0</v>
      </c>
      <c r="T38" s="38">
        <v>3.0</v>
      </c>
      <c r="U38" s="28"/>
      <c r="V38" s="41"/>
      <c r="W38" s="28">
        <v>36.0</v>
      </c>
      <c r="X38" s="34"/>
      <c r="Y38" s="28"/>
      <c r="Z38" s="34"/>
      <c r="AA38" s="28"/>
    </row>
    <row r="39">
      <c r="A39" s="33">
        <v>30.0</v>
      </c>
      <c r="B39" s="33" t="s">
        <v>62</v>
      </c>
      <c r="C39" s="34" t="s">
        <v>42</v>
      </c>
      <c r="D39" s="42">
        <v>41.0</v>
      </c>
      <c r="E39" s="36" t="s">
        <v>183</v>
      </c>
      <c r="F39" s="37"/>
      <c r="G39" s="37">
        <v>27.0</v>
      </c>
      <c r="H39" s="38">
        <v>6.74</v>
      </c>
      <c r="I39" s="34">
        <v>18.0</v>
      </c>
      <c r="J39" s="28"/>
      <c r="K39" s="34"/>
      <c r="L39" s="28"/>
      <c r="M39" s="34">
        <v>49.0</v>
      </c>
      <c r="N39" s="39"/>
      <c r="O39" s="34"/>
      <c r="P39" s="34">
        <v>0.0</v>
      </c>
      <c r="Q39" s="28" t="s">
        <v>101</v>
      </c>
      <c r="R39" s="40">
        <v>0.0</v>
      </c>
      <c r="S39" s="28">
        <v>84.0</v>
      </c>
      <c r="T39" s="38">
        <v>7.0</v>
      </c>
      <c r="U39" s="28"/>
      <c r="V39" s="41"/>
      <c r="W39" s="28">
        <v>84.0</v>
      </c>
      <c r="X39" s="34"/>
      <c r="Y39" s="28"/>
      <c r="Z39" s="34"/>
      <c r="AA39" s="28"/>
    </row>
    <row r="40">
      <c r="A40" s="33">
        <v>30.0</v>
      </c>
      <c r="B40" s="33" t="s">
        <v>62</v>
      </c>
      <c r="C40" s="34" t="s">
        <v>84</v>
      </c>
      <c r="D40" s="42">
        <v>36.0</v>
      </c>
      <c r="E40" s="36" t="s">
        <v>183</v>
      </c>
      <c r="F40" s="37"/>
      <c r="G40" s="37">
        <v>27.0</v>
      </c>
      <c r="H40" s="38">
        <v>6.779</v>
      </c>
      <c r="I40" s="34">
        <v>18.0</v>
      </c>
      <c r="J40" s="28"/>
      <c r="K40" s="34"/>
      <c r="L40" s="28"/>
      <c r="M40" s="34">
        <v>49.0</v>
      </c>
      <c r="N40" s="39"/>
      <c r="O40" s="34"/>
      <c r="P40" s="34">
        <v>0.0</v>
      </c>
      <c r="Q40" s="28" t="s">
        <v>101</v>
      </c>
      <c r="R40" s="40">
        <v>0.0</v>
      </c>
      <c r="S40" s="28">
        <v>84.0</v>
      </c>
      <c r="T40" s="38">
        <v>7.0</v>
      </c>
      <c r="U40" s="28"/>
      <c r="V40" s="41"/>
      <c r="W40" s="28">
        <v>84.0</v>
      </c>
      <c r="X40" s="34"/>
      <c r="Y40" s="28"/>
      <c r="Z40" s="34"/>
      <c r="AA40" s="28"/>
    </row>
    <row r="41">
      <c r="A41" s="33">
        <v>32.0</v>
      </c>
      <c r="B41" s="33" t="s">
        <v>65</v>
      </c>
      <c r="C41" s="34" t="s">
        <v>42</v>
      </c>
      <c r="D41" s="42">
        <v>31.0</v>
      </c>
      <c r="E41" s="36" t="s">
        <v>183</v>
      </c>
      <c r="F41" s="37"/>
      <c r="G41" s="37">
        <v>25.2</v>
      </c>
      <c r="H41" s="38">
        <v>5.48</v>
      </c>
      <c r="I41" s="34"/>
      <c r="J41" s="28"/>
      <c r="K41" s="34"/>
      <c r="L41" s="28"/>
      <c r="M41" s="34"/>
      <c r="N41" s="39"/>
      <c r="O41" s="28">
        <v>23.0</v>
      </c>
      <c r="P41" s="28">
        <v>0.74</v>
      </c>
      <c r="Q41" s="28">
        <v>8.0</v>
      </c>
      <c r="R41" s="40">
        <v>0.25806451612903225</v>
      </c>
      <c r="S41" s="28">
        <v>24.0</v>
      </c>
      <c r="T41" s="38">
        <v>2.0</v>
      </c>
      <c r="U41" s="28"/>
      <c r="V41" s="41"/>
      <c r="W41" s="28">
        <v>24.0</v>
      </c>
      <c r="X41" s="34"/>
      <c r="Y41" s="28"/>
      <c r="Z41" s="34"/>
      <c r="AA41" s="28"/>
    </row>
    <row r="42">
      <c r="A42" s="33">
        <v>32.0</v>
      </c>
      <c r="B42" s="33" t="s">
        <v>65</v>
      </c>
      <c r="C42" s="34" t="s">
        <v>84</v>
      </c>
      <c r="D42" s="42">
        <v>31.0</v>
      </c>
      <c r="E42" s="36" t="s">
        <v>183</v>
      </c>
      <c r="F42" s="37"/>
      <c r="G42" s="37">
        <v>24.64</v>
      </c>
      <c r="H42" s="38">
        <v>5.33</v>
      </c>
      <c r="I42" s="34"/>
      <c r="J42" s="28"/>
      <c r="K42" s="34"/>
      <c r="L42" s="28"/>
      <c r="M42" s="34"/>
      <c r="N42" s="39"/>
      <c r="O42" s="28">
        <v>19.0</v>
      </c>
      <c r="P42" s="28">
        <v>0.61</v>
      </c>
      <c r="Q42" s="28">
        <v>12.0</v>
      </c>
      <c r="R42" s="40">
        <v>0.3870967741935484</v>
      </c>
      <c r="S42" s="28">
        <v>24.0</v>
      </c>
      <c r="T42" s="38">
        <v>2.0</v>
      </c>
      <c r="U42" s="28"/>
      <c r="V42" s="41"/>
      <c r="W42" s="28">
        <v>24.0</v>
      </c>
      <c r="X42" s="34"/>
      <c r="Y42" s="28"/>
      <c r="Z42" s="34"/>
      <c r="AA42" s="28"/>
    </row>
    <row r="43">
      <c r="A43" s="33">
        <v>33.0</v>
      </c>
      <c r="B43" s="33" t="s">
        <v>67</v>
      </c>
      <c r="C43" s="34" t="s">
        <v>42</v>
      </c>
      <c r="D43" s="35">
        <v>40.0</v>
      </c>
      <c r="E43" s="36" t="s">
        <v>183</v>
      </c>
      <c r="F43" s="37"/>
      <c r="G43" s="37"/>
      <c r="H43" s="38" t="s">
        <v>101</v>
      </c>
      <c r="I43" s="34"/>
      <c r="J43" s="28"/>
      <c r="K43" s="34"/>
      <c r="L43" s="28"/>
      <c r="M43" s="34"/>
      <c r="N43" s="39"/>
      <c r="O43" s="34"/>
      <c r="P43" s="34">
        <v>0.0</v>
      </c>
      <c r="Q43" s="28" t="s">
        <v>101</v>
      </c>
      <c r="R43" s="40">
        <v>0.0</v>
      </c>
      <c r="S43" s="28">
        <v>60.6</v>
      </c>
      <c r="T43" s="38">
        <v>5.1</v>
      </c>
      <c r="U43" s="28">
        <v>60.6</v>
      </c>
      <c r="V43" s="41">
        <f t="shared" ref="V43:V44" si="3">RANGE_SD(D43,W43,AA43)</f>
        <v>7.42</v>
      </c>
      <c r="W43" s="28">
        <v>47.0</v>
      </c>
      <c r="X43" s="34"/>
      <c r="Y43" s="28">
        <v>60.0</v>
      </c>
      <c r="Z43" s="34"/>
      <c r="AA43" s="28">
        <v>79.0</v>
      </c>
    </row>
    <row r="44">
      <c r="A44" s="33">
        <v>33.0</v>
      </c>
      <c r="B44" s="33" t="s">
        <v>67</v>
      </c>
      <c r="C44" s="34" t="s">
        <v>84</v>
      </c>
      <c r="D44" s="35">
        <v>39.0</v>
      </c>
      <c r="E44" s="36" t="s">
        <v>183</v>
      </c>
      <c r="F44" s="37"/>
      <c r="G44" s="37"/>
      <c r="H44" s="38" t="s">
        <v>101</v>
      </c>
      <c r="I44" s="34"/>
      <c r="J44" s="28"/>
      <c r="K44" s="34"/>
      <c r="L44" s="28"/>
      <c r="M44" s="34"/>
      <c r="N44" s="39"/>
      <c r="O44" s="34"/>
      <c r="P44" s="34">
        <v>0.0</v>
      </c>
      <c r="Q44" s="28" t="s">
        <v>101</v>
      </c>
      <c r="R44" s="40">
        <v>0.0</v>
      </c>
      <c r="S44" s="28">
        <v>60.6</v>
      </c>
      <c r="T44" s="38">
        <v>5.1</v>
      </c>
      <c r="U44" s="28">
        <v>60.6</v>
      </c>
      <c r="V44" s="41">
        <f t="shared" si="3"/>
        <v>7.455</v>
      </c>
      <c r="W44" s="28">
        <v>47.0</v>
      </c>
      <c r="X44" s="34"/>
      <c r="Y44" s="28">
        <v>60.0</v>
      </c>
      <c r="Z44" s="34"/>
      <c r="AA44" s="28">
        <v>79.0</v>
      </c>
    </row>
    <row r="45">
      <c r="A45" s="33">
        <v>34.0</v>
      </c>
      <c r="B45" s="33" t="s">
        <v>69</v>
      </c>
      <c r="C45" s="34" t="s">
        <v>42</v>
      </c>
      <c r="D45" s="35">
        <v>34.0</v>
      </c>
      <c r="E45" s="36" t="s">
        <v>183</v>
      </c>
      <c r="F45" s="37"/>
      <c r="G45" s="37">
        <v>29.0</v>
      </c>
      <c r="H45" s="38">
        <v>7.0</v>
      </c>
      <c r="I45" s="34"/>
      <c r="J45" s="28"/>
      <c r="K45" s="34"/>
      <c r="L45" s="28"/>
      <c r="M45" s="34"/>
      <c r="N45" s="39"/>
      <c r="O45" s="28">
        <v>22.0</v>
      </c>
      <c r="P45" s="28">
        <v>0.65</v>
      </c>
      <c r="Q45" s="28">
        <v>12.0</v>
      </c>
      <c r="R45" s="40">
        <v>0.35294117647058826</v>
      </c>
      <c r="S45" s="28">
        <v>24.7</v>
      </c>
      <c r="T45" s="38">
        <v>2.1</v>
      </c>
      <c r="U45" s="28">
        <v>24.7</v>
      </c>
      <c r="V45" s="38">
        <v>1.2</v>
      </c>
      <c r="W45" s="28"/>
      <c r="X45" s="34"/>
      <c r="Y45" s="28"/>
      <c r="Z45" s="34"/>
      <c r="AA45" s="28"/>
    </row>
    <row r="46">
      <c r="A46" s="33">
        <v>34.0</v>
      </c>
      <c r="B46" s="33" t="s">
        <v>69</v>
      </c>
      <c r="C46" s="34" t="s">
        <v>84</v>
      </c>
      <c r="D46" s="35">
        <v>34.0</v>
      </c>
      <c r="E46" s="36" t="s">
        <v>183</v>
      </c>
      <c r="F46" s="37"/>
      <c r="G46" s="37">
        <v>30.0</v>
      </c>
      <c r="H46" s="38">
        <v>9.0</v>
      </c>
      <c r="I46" s="34"/>
      <c r="J46" s="28"/>
      <c r="K46" s="34"/>
      <c r="L46" s="28"/>
      <c r="M46" s="34"/>
      <c r="N46" s="39"/>
      <c r="O46" s="28">
        <v>14.0</v>
      </c>
      <c r="P46" s="28">
        <v>0.41</v>
      </c>
      <c r="Q46" s="28">
        <v>20.0</v>
      </c>
      <c r="R46" s="40">
        <v>0.5882352941176471</v>
      </c>
      <c r="S46" s="28">
        <v>24.7</v>
      </c>
      <c r="T46" s="38">
        <v>2.1</v>
      </c>
      <c r="U46" s="28">
        <v>24.7</v>
      </c>
      <c r="V46" s="38">
        <v>1.2</v>
      </c>
      <c r="W46" s="28"/>
      <c r="X46" s="34"/>
      <c r="Y46" s="28"/>
      <c r="Z46" s="34"/>
      <c r="AA46" s="28"/>
    </row>
    <row r="47">
      <c r="A47" s="33">
        <v>35.0</v>
      </c>
      <c r="B47" s="33" t="s">
        <v>71</v>
      </c>
      <c r="C47" s="34" t="s">
        <v>42</v>
      </c>
      <c r="D47" s="42">
        <v>28.0</v>
      </c>
      <c r="E47" s="36" t="s">
        <v>183</v>
      </c>
      <c r="F47" s="37"/>
      <c r="G47" s="37">
        <v>33.9</v>
      </c>
      <c r="H47" s="38">
        <v>6.2</v>
      </c>
      <c r="I47" s="34"/>
      <c r="J47" s="28"/>
      <c r="K47" s="34"/>
      <c r="L47" s="28"/>
      <c r="M47" s="34"/>
      <c r="N47" s="39"/>
      <c r="O47" s="28">
        <v>18.0</v>
      </c>
      <c r="P47" s="28">
        <v>0.64</v>
      </c>
      <c r="Q47" s="28">
        <v>10.0</v>
      </c>
      <c r="R47" s="40">
        <v>0.35714285714285715</v>
      </c>
      <c r="S47" s="28">
        <v>10.2</v>
      </c>
      <c r="T47" s="38">
        <v>0.9</v>
      </c>
      <c r="U47" s="28">
        <v>10.2</v>
      </c>
      <c r="V47" s="38">
        <v>0.4</v>
      </c>
      <c r="W47" s="28"/>
      <c r="X47" s="34"/>
      <c r="Y47" s="28"/>
      <c r="Z47" s="34"/>
      <c r="AA47" s="28"/>
    </row>
    <row r="48">
      <c r="A48" s="33">
        <v>35.0</v>
      </c>
      <c r="B48" s="33" t="s">
        <v>71</v>
      </c>
      <c r="C48" s="34" t="s">
        <v>84</v>
      </c>
      <c r="D48" s="42">
        <v>29.0</v>
      </c>
      <c r="E48" s="36" t="s">
        <v>183</v>
      </c>
      <c r="F48" s="37"/>
      <c r="G48" s="37">
        <v>37.9</v>
      </c>
      <c r="H48" s="38">
        <v>9.1</v>
      </c>
      <c r="I48" s="34"/>
      <c r="J48" s="28"/>
      <c r="K48" s="34"/>
      <c r="L48" s="28"/>
      <c r="M48" s="34"/>
      <c r="N48" s="39"/>
      <c r="O48" s="28">
        <v>15.0</v>
      </c>
      <c r="P48" s="28">
        <v>0.52</v>
      </c>
      <c r="Q48" s="28">
        <v>14.0</v>
      </c>
      <c r="R48" s="40">
        <v>0.4827586206896552</v>
      </c>
      <c r="S48" s="28">
        <v>10.7</v>
      </c>
      <c r="T48" s="38">
        <v>0.9</v>
      </c>
      <c r="U48" s="28">
        <v>10.7</v>
      </c>
      <c r="V48" s="38">
        <v>0.4</v>
      </c>
      <c r="W48" s="28"/>
      <c r="X48" s="34"/>
      <c r="Y48" s="28"/>
      <c r="Z48" s="34"/>
      <c r="AA48" s="28"/>
    </row>
    <row r="49">
      <c r="A49" s="33">
        <v>36.0</v>
      </c>
      <c r="B49" s="33" t="s">
        <v>73</v>
      </c>
      <c r="C49" s="34" t="s">
        <v>84</v>
      </c>
      <c r="D49" s="35">
        <v>27.0</v>
      </c>
      <c r="E49" s="36" t="s">
        <v>183</v>
      </c>
      <c r="F49" s="37"/>
      <c r="G49" s="37">
        <v>32.7</v>
      </c>
      <c r="H49" s="38">
        <v>11.4</v>
      </c>
      <c r="I49" s="34"/>
      <c r="J49" s="28"/>
      <c r="K49" s="34"/>
      <c r="L49" s="28"/>
      <c r="M49" s="34"/>
      <c r="N49" s="39"/>
      <c r="O49" s="28">
        <v>12.0</v>
      </c>
      <c r="P49" s="28">
        <v>0.44</v>
      </c>
      <c r="Q49" s="28">
        <v>15.0</v>
      </c>
      <c r="R49" s="40">
        <v>0.5555555555555556</v>
      </c>
      <c r="S49" s="28">
        <v>24.0</v>
      </c>
      <c r="T49" s="38">
        <v>2.0</v>
      </c>
      <c r="U49" s="28"/>
      <c r="V49" s="41"/>
      <c r="W49" s="28">
        <v>24.0</v>
      </c>
      <c r="X49" s="34"/>
      <c r="Y49" s="28"/>
      <c r="Z49" s="34"/>
      <c r="AA49" s="28"/>
    </row>
    <row r="50">
      <c r="A50" s="33">
        <v>36.0</v>
      </c>
      <c r="B50" s="33" t="s">
        <v>73</v>
      </c>
      <c r="C50" s="34" t="s">
        <v>200</v>
      </c>
      <c r="D50" s="35">
        <v>24.0</v>
      </c>
      <c r="E50" s="36" t="s">
        <v>183</v>
      </c>
      <c r="F50" s="37"/>
      <c r="G50" s="37">
        <v>24.1</v>
      </c>
      <c r="H50" s="38">
        <v>3.6</v>
      </c>
      <c r="I50" s="34"/>
      <c r="J50" s="28"/>
      <c r="K50" s="34"/>
      <c r="L50" s="28"/>
      <c r="M50" s="34"/>
      <c r="N50" s="39"/>
      <c r="O50" s="28">
        <v>21.0</v>
      </c>
      <c r="P50" s="28">
        <v>0.88</v>
      </c>
      <c r="Q50" s="28">
        <v>3.0</v>
      </c>
      <c r="R50" s="40">
        <v>0.125</v>
      </c>
      <c r="S50" s="28">
        <v>24.0</v>
      </c>
      <c r="T50" s="38">
        <v>2.0</v>
      </c>
      <c r="U50" s="28"/>
      <c r="V50" s="41"/>
      <c r="W50" s="28">
        <v>24.0</v>
      </c>
      <c r="X50" s="34"/>
      <c r="Y50" s="28"/>
      <c r="Z50" s="34"/>
      <c r="AA50" s="28"/>
    </row>
    <row r="51">
      <c r="A51" s="33">
        <v>37.0</v>
      </c>
      <c r="B51" s="33" t="s">
        <v>75</v>
      </c>
      <c r="C51" s="34" t="s">
        <v>42</v>
      </c>
      <c r="D51" s="42">
        <v>40.0</v>
      </c>
      <c r="E51" s="36" t="s">
        <v>183</v>
      </c>
      <c r="F51" s="37"/>
      <c r="G51" s="37">
        <v>22.3</v>
      </c>
      <c r="H51" s="38">
        <v>3.942</v>
      </c>
      <c r="I51" s="34">
        <v>17.0</v>
      </c>
      <c r="J51" s="28"/>
      <c r="K51" s="34"/>
      <c r="L51" s="28"/>
      <c r="M51" s="34">
        <v>34.0</v>
      </c>
      <c r="N51" s="39"/>
      <c r="O51" s="28">
        <v>40.0</v>
      </c>
      <c r="P51" s="28">
        <v>1.0</v>
      </c>
      <c r="Q51" s="28">
        <v>0.0</v>
      </c>
      <c r="R51" s="40">
        <v>0.0</v>
      </c>
      <c r="S51" s="28">
        <v>81.0</v>
      </c>
      <c r="T51" s="38">
        <v>6.8</v>
      </c>
      <c r="U51" s="28">
        <v>81.0</v>
      </c>
      <c r="V51" s="41">
        <f t="shared" ref="V51:V52" si="4">RANGE_SD(D51,W51,AA51)</f>
        <v>8.347</v>
      </c>
      <c r="W51" s="28">
        <v>60.0</v>
      </c>
      <c r="X51" s="34"/>
      <c r="Y51" s="28"/>
      <c r="Z51" s="34"/>
      <c r="AA51" s="28">
        <v>96.0</v>
      </c>
    </row>
    <row r="52">
      <c r="A52" s="33">
        <v>37.0</v>
      </c>
      <c r="B52" s="33" t="s">
        <v>75</v>
      </c>
      <c r="C52" s="34" t="s">
        <v>84</v>
      </c>
      <c r="D52" s="42">
        <v>46.0</v>
      </c>
      <c r="E52" s="36" t="s">
        <v>183</v>
      </c>
      <c r="F52" s="37"/>
      <c r="G52" s="37">
        <v>22.3</v>
      </c>
      <c r="H52" s="38">
        <v>3.844</v>
      </c>
      <c r="I52" s="34">
        <v>17.0</v>
      </c>
      <c r="J52" s="28"/>
      <c r="K52" s="34"/>
      <c r="L52" s="28"/>
      <c r="M52" s="34">
        <v>34.0</v>
      </c>
      <c r="N52" s="39"/>
      <c r="O52" s="28">
        <v>46.0</v>
      </c>
      <c r="P52" s="28">
        <v>1.0</v>
      </c>
      <c r="Q52" s="28">
        <v>0.0</v>
      </c>
      <c r="R52" s="40">
        <v>0.0</v>
      </c>
      <c r="S52" s="28">
        <v>81.0</v>
      </c>
      <c r="T52" s="38">
        <v>6.8</v>
      </c>
      <c r="U52" s="28">
        <v>81.0</v>
      </c>
      <c r="V52" s="41">
        <f t="shared" si="4"/>
        <v>8.141</v>
      </c>
      <c r="W52" s="28">
        <v>60.0</v>
      </c>
      <c r="X52" s="34"/>
      <c r="Y52" s="28"/>
      <c r="Z52" s="34"/>
      <c r="AA52" s="28">
        <v>96.0</v>
      </c>
    </row>
    <row r="53">
      <c r="A53" s="33">
        <v>38.0</v>
      </c>
      <c r="B53" s="33" t="s">
        <v>77</v>
      </c>
      <c r="C53" s="34" t="s">
        <v>42</v>
      </c>
      <c r="D53" s="35">
        <v>10.0</v>
      </c>
      <c r="E53" s="36" t="s">
        <v>183</v>
      </c>
      <c r="F53" s="37"/>
      <c r="G53" s="37">
        <v>24.8</v>
      </c>
      <c r="H53" s="38">
        <v>5.0</v>
      </c>
      <c r="I53" s="34"/>
      <c r="J53" s="28"/>
      <c r="K53" s="34"/>
      <c r="L53" s="28"/>
      <c r="M53" s="34"/>
      <c r="N53" s="39"/>
      <c r="O53" s="28">
        <v>10.0</v>
      </c>
      <c r="P53" s="28">
        <v>1.0</v>
      </c>
      <c r="Q53" s="28">
        <v>0.0</v>
      </c>
      <c r="R53" s="40">
        <v>0.0</v>
      </c>
      <c r="S53" s="28">
        <v>9.0</v>
      </c>
      <c r="T53" s="38">
        <v>0.8</v>
      </c>
      <c r="U53" s="28"/>
      <c r="V53" s="41"/>
      <c r="W53" s="28">
        <v>9.0</v>
      </c>
      <c r="X53" s="34"/>
      <c r="Y53" s="28"/>
      <c r="Z53" s="34"/>
      <c r="AA53" s="28"/>
    </row>
    <row r="54">
      <c r="A54" s="33">
        <v>38.0</v>
      </c>
      <c r="B54" s="33" t="s">
        <v>77</v>
      </c>
      <c r="C54" s="34" t="s">
        <v>84</v>
      </c>
      <c r="D54" s="35">
        <v>10.0</v>
      </c>
      <c r="E54" s="36" t="s">
        <v>183</v>
      </c>
      <c r="F54" s="37"/>
      <c r="G54" s="37">
        <v>26.7</v>
      </c>
      <c r="H54" s="38">
        <v>7.2</v>
      </c>
      <c r="I54" s="34"/>
      <c r="J54" s="28"/>
      <c r="K54" s="34"/>
      <c r="L54" s="28"/>
      <c r="M54" s="34"/>
      <c r="N54" s="39"/>
      <c r="O54" s="28">
        <v>10.0</v>
      </c>
      <c r="P54" s="28">
        <v>1.0</v>
      </c>
      <c r="Q54" s="28">
        <v>0.0</v>
      </c>
      <c r="R54" s="40">
        <v>0.0</v>
      </c>
      <c r="S54" s="28">
        <v>9.0</v>
      </c>
      <c r="T54" s="38">
        <v>0.8</v>
      </c>
      <c r="U54" s="28"/>
      <c r="V54" s="41"/>
      <c r="W54" s="28">
        <v>9.0</v>
      </c>
      <c r="X54" s="34"/>
      <c r="Y54" s="28"/>
      <c r="Z54" s="34"/>
      <c r="AA54" s="28"/>
    </row>
    <row r="55">
      <c r="A55" s="33">
        <v>41.0</v>
      </c>
      <c r="B55" s="33" t="s">
        <v>79</v>
      </c>
      <c r="C55" s="34" t="s">
        <v>42</v>
      </c>
      <c r="D55" s="42">
        <v>43.0</v>
      </c>
      <c r="E55" s="36" t="s">
        <v>183</v>
      </c>
      <c r="F55" s="30"/>
      <c r="G55" s="30"/>
      <c r="H55" s="37"/>
      <c r="I55" s="34"/>
      <c r="J55" s="28"/>
      <c r="K55" s="34"/>
      <c r="L55" s="28"/>
      <c r="M55" s="34"/>
      <c r="N55" s="39" t="s">
        <v>226</v>
      </c>
      <c r="O55" s="28"/>
      <c r="P55" s="28">
        <v>0.0</v>
      </c>
      <c r="Q55" s="28" t="s">
        <v>101</v>
      </c>
      <c r="R55" s="40">
        <v>0.0</v>
      </c>
      <c r="S55" s="28">
        <v>24.0</v>
      </c>
      <c r="T55" s="38">
        <v>2.0</v>
      </c>
      <c r="U55" s="28">
        <v>24.0</v>
      </c>
      <c r="V55" s="41"/>
      <c r="W55" s="28">
        <v>21.0</v>
      </c>
      <c r="X55" s="28"/>
      <c r="Y55" s="28"/>
      <c r="Z55" s="34"/>
      <c r="AA55" s="28">
        <v>38.0</v>
      </c>
    </row>
    <row r="56">
      <c r="A56" s="33">
        <v>41.0</v>
      </c>
      <c r="B56" s="33" t="s">
        <v>79</v>
      </c>
      <c r="C56" s="34" t="s">
        <v>84</v>
      </c>
      <c r="D56" s="42">
        <v>46.0</v>
      </c>
      <c r="E56" s="36" t="s">
        <v>183</v>
      </c>
      <c r="F56" s="30"/>
      <c r="G56" s="30"/>
      <c r="H56" s="38" t="s">
        <v>101</v>
      </c>
      <c r="I56" s="34"/>
      <c r="J56" s="28"/>
      <c r="K56" s="34"/>
      <c r="L56" s="28"/>
      <c r="M56" s="34"/>
      <c r="N56" s="39" t="s">
        <v>226</v>
      </c>
      <c r="O56" s="28"/>
      <c r="P56" s="28">
        <v>0.0</v>
      </c>
      <c r="Q56" s="28" t="s">
        <v>101</v>
      </c>
      <c r="R56" s="40">
        <v>0.0</v>
      </c>
      <c r="S56" s="28">
        <v>24.0</v>
      </c>
      <c r="T56" s="38">
        <v>2.0</v>
      </c>
      <c r="U56" s="28">
        <v>24.0</v>
      </c>
      <c r="V56" s="41"/>
      <c r="W56" s="28">
        <v>21.0</v>
      </c>
      <c r="X56" s="34"/>
      <c r="Y56" s="28"/>
      <c r="Z56" s="34"/>
      <c r="AA56" s="28"/>
    </row>
    <row r="57">
      <c r="A57" s="33">
        <v>43.0</v>
      </c>
      <c r="B57" s="33" t="s">
        <v>82</v>
      </c>
      <c r="C57" s="34" t="s">
        <v>42</v>
      </c>
      <c r="D57" s="42">
        <v>74.0</v>
      </c>
      <c r="E57" s="36" t="s">
        <v>183</v>
      </c>
      <c r="F57" s="37"/>
      <c r="G57" s="37">
        <v>26.0</v>
      </c>
      <c r="H57" s="38">
        <v>6.275</v>
      </c>
      <c r="I57" s="34">
        <v>17.0</v>
      </c>
      <c r="J57" s="28"/>
      <c r="K57" s="34"/>
      <c r="L57" s="28"/>
      <c r="M57" s="34">
        <v>47.0</v>
      </c>
      <c r="N57" s="39"/>
      <c r="O57" s="28">
        <v>0.0</v>
      </c>
      <c r="P57" s="28">
        <v>0.0</v>
      </c>
      <c r="Q57" s="28">
        <v>74.0</v>
      </c>
      <c r="R57" s="40">
        <v>1.0</v>
      </c>
      <c r="S57" s="28">
        <v>24.0</v>
      </c>
      <c r="T57" s="38">
        <v>2.0</v>
      </c>
      <c r="U57" s="28"/>
      <c r="V57" s="41"/>
      <c r="W57" s="28">
        <v>24.0</v>
      </c>
      <c r="X57" s="34"/>
      <c r="Y57" s="28"/>
      <c r="Z57" s="34"/>
      <c r="AA57" s="28"/>
    </row>
    <row r="58">
      <c r="A58" s="33">
        <v>43.0</v>
      </c>
      <c r="B58" s="33" t="s">
        <v>82</v>
      </c>
      <c r="C58" s="34" t="s">
        <v>84</v>
      </c>
      <c r="D58" s="42">
        <v>73.0</v>
      </c>
      <c r="E58" s="36" t="s">
        <v>183</v>
      </c>
      <c r="F58" s="37"/>
      <c r="G58" s="37">
        <v>26.0</v>
      </c>
      <c r="H58" s="38">
        <v>6.288</v>
      </c>
      <c r="I58" s="34">
        <v>17.0</v>
      </c>
      <c r="J58" s="28"/>
      <c r="K58" s="34"/>
      <c r="L58" s="28"/>
      <c r="M58" s="34">
        <v>47.0</v>
      </c>
      <c r="N58" s="39"/>
      <c r="O58" s="28">
        <v>0.0</v>
      </c>
      <c r="P58" s="28">
        <v>0.0</v>
      </c>
      <c r="Q58" s="28">
        <v>73.0</v>
      </c>
      <c r="R58" s="40">
        <v>1.0</v>
      </c>
      <c r="S58" s="28">
        <v>24.0</v>
      </c>
      <c r="T58" s="38">
        <v>2.0</v>
      </c>
      <c r="U58" s="28"/>
      <c r="V58" s="41"/>
      <c r="W58" s="28">
        <v>24.0</v>
      </c>
      <c r="X58" s="34"/>
      <c r="Y58" s="28"/>
      <c r="Z58" s="34"/>
      <c r="AA58" s="28"/>
    </row>
    <row r="59">
      <c r="A59" s="33">
        <v>44.0</v>
      </c>
      <c r="B59" s="33" t="s">
        <v>85</v>
      </c>
      <c r="C59" s="34" t="s">
        <v>42</v>
      </c>
      <c r="D59" s="42">
        <v>36.0</v>
      </c>
      <c r="E59" s="36" t="s">
        <v>183</v>
      </c>
      <c r="F59" s="30"/>
      <c r="G59" s="30">
        <v>31.0</v>
      </c>
      <c r="H59" s="38">
        <v>9.459</v>
      </c>
      <c r="I59" s="34">
        <v>15.0</v>
      </c>
      <c r="J59" s="28"/>
      <c r="K59" s="34"/>
      <c r="L59" s="28"/>
      <c r="M59" s="34">
        <v>55.0</v>
      </c>
      <c r="N59" s="39"/>
      <c r="O59" s="34">
        <v>23.0</v>
      </c>
      <c r="P59" s="34">
        <v>0.64</v>
      </c>
      <c r="Q59" s="28">
        <v>17.0</v>
      </c>
      <c r="R59" s="40">
        <v>0.4722222222222222</v>
      </c>
      <c r="S59" s="28">
        <v>28.0</v>
      </c>
      <c r="T59" s="38">
        <v>2.3</v>
      </c>
      <c r="U59" s="28">
        <v>28.0</v>
      </c>
      <c r="V59" s="41">
        <f t="shared" ref="V59:V60" si="5">RANGE_SD(D59,W59,AA59)</f>
        <v>2.128</v>
      </c>
      <c r="W59" s="28">
        <v>24.0</v>
      </c>
      <c r="X59" s="34"/>
      <c r="Y59" s="28"/>
      <c r="Z59" s="34"/>
      <c r="AA59" s="28">
        <v>33.0</v>
      </c>
    </row>
    <row r="60">
      <c r="A60" s="33">
        <v>44.0</v>
      </c>
      <c r="B60" s="33" t="s">
        <v>85</v>
      </c>
      <c r="C60" s="34" t="s">
        <v>200</v>
      </c>
      <c r="D60" s="42">
        <v>36.0</v>
      </c>
      <c r="E60" s="36" t="s">
        <v>183</v>
      </c>
      <c r="F60" s="30"/>
      <c r="G60" s="30">
        <v>29.8</v>
      </c>
      <c r="H60" s="38">
        <v>9.459</v>
      </c>
      <c r="I60" s="34">
        <v>15.0</v>
      </c>
      <c r="J60" s="28"/>
      <c r="K60" s="34"/>
      <c r="L60" s="28"/>
      <c r="M60" s="34">
        <v>55.0</v>
      </c>
      <c r="N60" s="39"/>
      <c r="O60" s="34">
        <v>21.0</v>
      </c>
      <c r="P60" s="34">
        <v>0.58</v>
      </c>
      <c r="Q60" s="28">
        <v>19.0</v>
      </c>
      <c r="R60" s="40">
        <v>0.5277777777777778</v>
      </c>
      <c r="S60" s="28">
        <v>28.0</v>
      </c>
      <c r="T60" s="38">
        <v>2.3</v>
      </c>
      <c r="U60" s="28">
        <v>28.0</v>
      </c>
      <c r="V60" s="41">
        <f t="shared" si="5"/>
        <v>2.128</v>
      </c>
      <c r="W60" s="28">
        <v>24.0</v>
      </c>
      <c r="X60" s="34"/>
      <c r="Y60" s="28"/>
      <c r="Z60" s="34"/>
      <c r="AA60" s="28">
        <v>33.0</v>
      </c>
    </row>
    <row r="61">
      <c r="A61" s="33">
        <v>45.0</v>
      </c>
      <c r="B61" s="33" t="s">
        <v>88</v>
      </c>
      <c r="C61" s="34" t="s">
        <v>42</v>
      </c>
      <c r="D61" s="42">
        <v>31.0</v>
      </c>
      <c r="E61" s="36" t="s">
        <v>183</v>
      </c>
      <c r="F61" s="37"/>
      <c r="G61" s="37">
        <v>29.8</v>
      </c>
      <c r="H61" s="38">
        <v>6.33</v>
      </c>
      <c r="I61" s="34">
        <v>18.0</v>
      </c>
      <c r="J61" s="28"/>
      <c r="K61" s="34"/>
      <c r="L61" s="28"/>
      <c r="M61" s="34">
        <v>44.0</v>
      </c>
      <c r="N61" s="39"/>
      <c r="O61" s="28">
        <v>22.0</v>
      </c>
      <c r="P61" s="28">
        <v>0.71</v>
      </c>
      <c r="Q61" s="28">
        <v>9.0</v>
      </c>
      <c r="R61" s="40">
        <v>0.2903225806451613</v>
      </c>
      <c r="S61" s="28">
        <v>120.0</v>
      </c>
      <c r="T61" s="38">
        <v>10.0</v>
      </c>
      <c r="U61" s="28"/>
      <c r="V61" s="41"/>
      <c r="W61" s="28">
        <v>120.0</v>
      </c>
      <c r="X61" s="34"/>
      <c r="Y61" s="28"/>
      <c r="Z61" s="34"/>
      <c r="AA61" s="28"/>
    </row>
    <row r="62">
      <c r="A62" s="33">
        <v>45.0</v>
      </c>
      <c r="B62" s="33" t="s">
        <v>88</v>
      </c>
      <c r="C62" s="34" t="s">
        <v>84</v>
      </c>
      <c r="D62" s="42">
        <v>31.0</v>
      </c>
      <c r="E62" s="36" t="s">
        <v>183</v>
      </c>
      <c r="F62" s="37"/>
      <c r="G62" s="37">
        <v>29.8</v>
      </c>
      <c r="H62" s="38">
        <v>6.33</v>
      </c>
      <c r="I62" s="34">
        <v>18.0</v>
      </c>
      <c r="J62" s="28"/>
      <c r="K62" s="34"/>
      <c r="L62" s="28"/>
      <c r="M62" s="34">
        <v>44.0</v>
      </c>
      <c r="N62" s="39"/>
      <c r="O62" s="28">
        <v>23.0</v>
      </c>
      <c r="P62" s="28">
        <v>0.74</v>
      </c>
      <c r="Q62" s="28">
        <v>8.0</v>
      </c>
      <c r="R62" s="40">
        <v>0.25806451612903225</v>
      </c>
      <c r="S62" s="28">
        <v>120.0</v>
      </c>
      <c r="T62" s="38">
        <v>10.0</v>
      </c>
      <c r="U62" s="28"/>
      <c r="V62" s="41"/>
      <c r="W62" s="28">
        <v>120.0</v>
      </c>
      <c r="X62" s="34"/>
      <c r="Y62" s="28"/>
      <c r="Z62" s="34"/>
      <c r="AA62" s="28"/>
    </row>
    <row r="63">
      <c r="A63" s="33">
        <v>46.0</v>
      </c>
      <c r="B63" s="33" t="s">
        <v>90</v>
      </c>
      <c r="C63" s="34" t="s">
        <v>42</v>
      </c>
      <c r="D63" s="42">
        <v>15.0</v>
      </c>
      <c r="E63" s="36" t="s">
        <v>183</v>
      </c>
      <c r="F63" s="30"/>
      <c r="G63" s="30">
        <v>29.93</v>
      </c>
      <c r="H63" s="38">
        <v>8.911</v>
      </c>
      <c r="I63" s="28">
        <v>16.0</v>
      </c>
      <c r="J63" s="28"/>
      <c r="K63" s="34"/>
      <c r="L63" s="28"/>
      <c r="M63" s="28">
        <v>47.0</v>
      </c>
      <c r="N63" s="39"/>
      <c r="O63" s="34"/>
      <c r="P63" s="34">
        <v>0.0</v>
      </c>
      <c r="Q63" s="28"/>
      <c r="R63" s="40">
        <v>0.0</v>
      </c>
      <c r="S63" s="28">
        <v>19.0</v>
      </c>
      <c r="T63" s="38">
        <v>1.6</v>
      </c>
      <c r="U63" s="28">
        <v>19.0</v>
      </c>
      <c r="V63" s="41"/>
      <c r="W63" s="28"/>
      <c r="X63" s="34"/>
      <c r="Y63" s="28"/>
      <c r="Z63" s="34"/>
      <c r="AA63" s="28"/>
    </row>
    <row r="64">
      <c r="A64" s="33">
        <v>46.0</v>
      </c>
      <c r="B64" s="33" t="s">
        <v>90</v>
      </c>
      <c r="C64" s="34" t="s">
        <v>84</v>
      </c>
      <c r="D64" s="42">
        <v>13.0</v>
      </c>
      <c r="E64" s="36" t="s">
        <v>183</v>
      </c>
      <c r="F64" s="30"/>
      <c r="G64" s="30">
        <v>28.65</v>
      </c>
      <c r="H64" s="38">
        <v>9.265</v>
      </c>
      <c r="I64" s="28">
        <v>16.0</v>
      </c>
      <c r="J64" s="28"/>
      <c r="K64" s="34"/>
      <c r="L64" s="28"/>
      <c r="M64" s="28">
        <v>47.0</v>
      </c>
      <c r="N64" s="39"/>
      <c r="O64" s="34"/>
      <c r="P64" s="34">
        <v>0.0</v>
      </c>
      <c r="Q64" s="28"/>
      <c r="R64" s="40">
        <v>0.0</v>
      </c>
      <c r="S64" s="28">
        <v>19.0</v>
      </c>
      <c r="T64" s="38">
        <v>1.6</v>
      </c>
      <c r="U64" s="28">
        <v>19.0</v>
      </c>
      <c r="V64" s="41"/>
      <c r="W64" s="28"/>
      <c r="X64" s="34"/>
      <c r="Y64" s="28"/>
      <c r="Z64" s="34"/>
      <c r="AA64" s="28"/>
    </row>
    <row r="65">
      <c r="A65" s="33">
        <v>47.0</v>
      </c>
      <c r="B65" s="33" t="s">
        <v>91</v>
      </c>
      <c r="C65" s="34" t="s">
        <v>84</v>
      </c>
      <c r="D65" s="35">
        <v>44.0</v>
      </c>
      <c r="E65" s="36" t="s">
        <v>183</v>
      </c>
      <c r="F65" s="30"/>
      <c r="G65" s="30">
        <v>32.0</v>
      </c>
      <c r="H65" s="38">
        <v>8.433</v>
      </c>
      <c r="I65" s="28">
        <v>16.4</v>
      </c>
      <c r="J65" s="28"/>
      <c r="K65" s="34"/>
      <c r="L65" s="28"/>
      <c r="M65" s="28">
        <v>53.4</v>
      </c>
      <c r="N65" s="39"/>
      <c r="O65" s="28">
        <v>32.0</v>
      </c>
      <c r="P65" s="28">
        <v>0.73</v>
      </c>
      <c r="Q65" s="28">
        <v>22.0</v>
      </c>
      <c r="R65" s="40">
        <v>0.5</v>
      </c>
      <c r="S65" s="28">
        <v>24.0</v>
      </c>
      <c r="T65" s="38">
        <v>2.0</v>
      </c>
      <c r="U65" s="28"/>
      <c r="V65" s="38"/>
      <c r="W65" s="28">
        <v>24.0</v>
      </c>
      <c r="X65" s="34"/>
      <c r="Y65" s="28"/>
      <c r="Z65" s="34"/>
      <c r="AA65" s="28"/>
    </row>
    <row r="66">
      <c r="A66" s="33">
        <v>47.0</v>
      </c>
      <c r="B66" s="33" t="s">
        <v>91</v>
      </c>
      <c r="C66" s="34" t="s">
        <v>205</v>
      </c>
      <c r="D66" s="35">
        <v>48.0</v>
      </c>
      <c r="E66" s="36" t="s">
        <v>183</v>
      </c>
      <c r="F66" s="30"/>
      <c r="G66" s="30">
        <v>33.0</v>
      </c>
      <c r="H66" s="38">
        <v>8.305</v>
      </c>
      <c r="I66" s="28">
        <v>16.4</v>
      </c>
      <c r="J66" s="28"/>
      <c r="K66" s="34"/>
      <c r="L66" s="28"/>
      <c r="M66" s="28">
        <v>53.4</v>
      </c>
      <c r="N66" s="39"/>
      <c r="O66" s="28">
        <v>38.0</v>
      </c>
      <c r="P66" s="28">
        <v>0.79</v>
      </c>
      <c r="Q66" s="28">
        <v>10.0</v>
      </c>
      <c r="R66" s="40">
        <v>0.20833333333333334</v>
      </c>
      <c r="S66" s="28">
        <v>24.0</v>
      </c>
      <c r="T66" s="38">
        <v>2.0</v>
      </c>
      <c r="U66" s="28"/>
      <c r="V66" s="38"/>
      <c r="W66" s="28">
        <v>24.0</v>
      </c>
      <c r="X66" s="34"/>
      <c r="Y66" s="28"/>
      <c r="Z66" s="34"/>
      <c r="AA66" s="28"/>
    </row>
    <row r="67">
      <c r="A67" s="33">
        <v>49.0</v>
      </c>
      <c r="B67" s="33" t="s">
        <v>93</v>
      </c>
      <c r="C67" s="34" t="s">
        <v>42</v>
      </c>
      <c r="D67" s="42">
        <v>40.0</v>
      </c>
      <c r="E67" s="36" t="s">
        <v>183</v>
      </c>
      <c r="F67" s="30"/>
      <c r="G67" s="30">
        <v>28.0</v>
      </c>
      <c r="H67" s="38">
        <v>8.347</v>
      </c>
      <c r="I67" s="28">
        <v>16.0</v>
      </c>
      <c r="J67" s="28"/>
      <c r="K67" s="34"/>
      <c r="L67" s="28"/>
      <c r="M67" s="28">
        <v>52.0</v>
      </c>
      <c r="N67" s="39"/>
      <c r="O67" s="34"/>
      <c r="P67" s="34">
        <v>0.0</v>
      </c>
      <c r="Q67" s="28"/>
      <c r="R67" s="40">
        <v>0.0</v>
      </c>
      <c r="S67" s="28">
        <v>26.0</v>
      </c>
      <c r="T67" s="38">
        <v>2.2</v>
      </c>
      <c r="U67" s="28">
        <v>26.0</v>
      </c>
      <c r="V67" s="38">
        <v>5.242</v>
      </c>
      <c r="W67" s="28">
        <v>20.0</v>
      </c>
      <c r="X67" s="34"/>
      <c r="Y67" s="28"/>
      <c r="Z67" s="34"/>
      <c r="AA67" s="28">
        <v>43.0</v>
      </c>
    </row>
    <row r="68">
      <c r="A68" s="33">
        <v>49.0</v>
      </c>
      <c r="B68" s="33" t="s">
        <v>93</v>
      </c>
      <c r="C68" s="34" t="s">
        <v>84</v>
      </c>
      <c r="D68" s="42">
        <v>78.0</v>
      </c>
      <c r="E68" s="36" t="s">
        <v>183</v>
      </c>
      <c r="F68" s="30"/>
      <c r="G68" s="30">
        <v>25.0</v>
      </c>
      <c r="H68" s="38">
        <v>5.6</v>
      </c>
      <c r="I68" s="28"/>
      <c r="J68" s="28"/>
      <c r="K68" s="34"/>
      <c r="L68" s="28"/>
      <c r="M68" s="28"/>
      <c r="N68" s="29" t="s">
        <v>233</v>
      </c>
      <c r="O68" s="34"/>
      <c r="P68" s="34">
        <v>0.0</v>
      </c>
      <c r="Q68" s="28"/>
      <c r="R68" s="40">
        <v>0.0</v>
      </c>
      <c r="S68" s="28">
        <v>26.0</v>
      </c>
      <c r="T68" s="38">
        <v>2.2</v>
      </c>
      <c r="U68" s="28">
        <v>26.0</v>
      </c>
      <c r="V68" s="38">
        <v>5.162</v>
      </c>
      <c r="W68" s="28">
        <v>20.0</v>
      </c>
      <c r="X68" s="34"/>
      <c r="Y68" s="28"/>
      <c r="Z68" s="34"/>
      <c r="AA68" s="28">
        <v>43.0</v>
      </c>
    </row>
    <row r="69">
      <c r="A69" s="33">
        <v>51.0</v>
      </c>
      <c r="B69" s="33" t="s">
        <v>96</v>
      </c>
      <c r="C69" s="34" t="s">
        <v>84</v>
      </c>
      <c r="D69" s="42">
        <v>32.0</v>
      </c>
      <c r="E69" s="36" t="s">
        <v>183</v>
      </c>
      <c r="F69" s="30"/>
      <c r="G69" s="30">
        <v>29.8</v>
      </c>
      <c r="H69" s="38">
        <v>7.9</v>
      </c>
      <c r="I69" s="34"/>
      <c r="J69" s="28"/>
      <c r="K69" s="34"/>
      <c r="L69" s="28"/>
      <c r="M69" s="34"/>
      <c r="N69" s="39"/>
      <c r="O69" s="28">
        <v>17.0</v>
      </c>
      <c r="P69" s="28">
        <v>0.53</v>
      </c>
      <c r="Q69" s="28">
        <v>15.0</v>
      </c>
      <c r="R69" s="40">
        <v>0.46875</v>
      </c>
      <c r="S69" s="28">
        <v>69.6</v>
      </c>
      <c r="T69" s="38">
        <v>5.8</v>
      </c>
      <c r="U69" s="28">
        <v>69.6</v>
      </c>
      <c r="V69" s="38">
        <v>10.8</v>
      </c>
      <c r="W69" s="28"/>
      <c r="X69" s="34"/>
      <c r="Y69" s="28"/>
      <c r="Z69" s="34"/>
      <c r="AA69" s="28"/>
    </row>
    <row r="70">
      <c r="A70" s="33">
        <v>51.0</v>
      </c>
      <c r="B70" s="33" t="s">
        <v>96</v>
      </c>
      <c r="C70" s="34" t="s">
        <v>205</v>
      </c>
      <c r="D70" s="42">
        <v>32.0</v>
      </c>
      <c r="E70" s="36" t="s">
        <v>183</v>
      </c>
      <c r="F70" s="30"/>
      <c r="G70" s="30">
        <v>30.5</v>
      </c>
      <c r="H70" s="38">
        <v>6.1</v>
      </c>
      <c r="I70" s="34"/>
      <c r="J70" s="28"/>
      <c r="K70" s="34"/>
      <c r="L70" s="28"/>
      <c r="M70" s="34"/>
      <c r="N70" s="39"/>
      <c r="O70" s="28">
        <v>15.0</v>
      </c>
      <c r="P70" s="28">
        <v>0.47</v>
      </c>
      <c r="Q70" s="28">
        <v>17.0</v>
      </c>
      <c r="R70" s="40">
        <v>0.53125</v>
      </c>
      <c r="S70" s="28">
        <v>73.2</v>
      </c>
      <c r="T70" s="38">
        <v>6.1</v>
      </c>
      <c r="U70" s="28">
        <v>73.2</v>
      </c>
      <c r="V70" s="38">
        <v>3.6</v>
      </c>
      <c r="W70" s="28"/>
      <c r="X70" s="34"/>
      <c r="Y70" s="28"/>
      <c r="Z70" s="34"/>
      <c r="AA70" s="28"/>
    </row>
    <row r="71">
      <c r="A71" s="33">
        <v>52.0</v>
      </c>
      <c r="B71" s="33" t="s">
        <v>98</v>
      </c>
      <c r="C71" s="34" t="s">
        <v>42</v>
      </c>
      <c r="D71" s="35">
        <v>34.0</v>
      </c>
      <c r="E71" s="36" t="s">
        <v>183</v>
      </c>
      <c r="F71" s="30"/>
      <c r="G71" s="30">
        <v>28.0</v>
      </c>
      <c r="H71" s="38">
        <v>8.368</v>
      </c>
      <c r="I71" s="28">
        <v>14.0</v>
      </c>
      <c r="J71" s="28"/>
      <c r="K71" s="34"/>
      <c r="L71" s="28"/>
      <c r="M71" s="28">
        <v>49.0</v>
      </c>
      <c r="N71" s="39"/>
      <c r="O71" s="28">
        <v>23.0</v>
      </c>
      <c r="P71" s="28">
        <v>0.68</v>
      </c>
      <c r="Q71" s="28">
        <v>11.0</v>
      </c>
      <c r="R71" s="40">
        <v>0.3235294117647059</v>
      </c>
      <c r="S71" s="38">
        <v>87.1061817315874</v>
      </c>
      <c r="T71" s="38">
        <v>7.3</v>
      </c>
      <c r="U71" s="41">
        <f t="shared" ref="U71:U72" si="6">MEDIAN_MEAN($D71,W71,Y71,AA71)</f>
        <v>87.10618173</v>
      </c>
      <c r="V71" s="41">
        <f t="shared" ref="V71:V72" si="7">RANGE_SD(D71,W71,AA71)</f>
        <v>10.998</v>
      </c>
      <c r="W71" s="28">
        <v>68.0</v>
      </c>
      <c r="X71" s="34"/>
      <c r="Y71" s="28">
        <v>86.0</v>
      </c>
      <c r="Z71" s="34"/>
      <c r="AA71" s="28">
        <v>114.0</v>
      </c>
    </row>
    <row r="72">
      <c r="A72" s="33">
        <v>52.0</v>
      </c>
      <c r="B72" s="33" t="s">
        <v>98</v>
      </c>
      <c r="C72" s="34" t="s">
        <v>84</v>
      </c>
      <c r="D72" s="35">
        <v>37.0</v>
      </c>
      <c r="E72" s="36" t="s">
        <v>183</v>
      </c>
      <c r="F72" s="30"/>
      <c r="G72" s="30">
        <v>29.0</v>
      </c>
      <c r="H72" s="38">
        <v>10.351</v>
      </c>
      <c r="I72" s="28">
        <v>15.0</v>
      </c>
      <c r="J72" s="28"/>
      <c r="K72" s="34"/>
      <c r="L72" s="28"/>
      <c r="M72" s="28">
        <v>59.0</v>
      </c>
      <c r="N72" s="39"/>
      <c r="O72" s="28">
        <v>26.0</v>
      </c>
      <c r="P72" s="28">
        <v>0.7</v>
      </c>
      <c r="Q72" s="28">
        <v>11.0</v>
      </c>
      <c r="R72" s="40">
        <v>0.2972972972972973</v>
      </c>
      <c r="S72" s="38">
        <v>87.05251670815825</v>
      </c>
      <c r="T72" s="38">
        <v>7.3</v>
      </c>
      <c r="U72" s="41">
        <f t="shared" si="6"/>
        <v>87.05251671</v>
      </c>
      <c r="V72" s="41">
        <f t="shared" si="7"/>
        <v>10.822</v>
      </c>
      <c r="W72" s="28">
        <v>68.0</v>
      </c>
      <c r="X72" s="34"/>
      <c r="Y72" s="28">
        <v>86.0</v>
      </c>
      <c r="Z72" s="34"/>
      <c r="AA72" s="28">
        <v>114.0</v>
      </c>
    </row>
    <row r="73">
      <c r="A73" s="33">
        <v>53.0</v>
      </c>
      <c r="B73" s="33" t="s">
        <v>102</v>
      </c>
      <c r="C73" s="34" t="s">
        <v>84</v>
      </c>
      <c r="D73" s="42">
        <v>49.0</v>
      </c>
      <c r="E73" s="36" t="s">
        <v>183</v>
      </c>
      <c r="F73" s="30"/>
      <c r="G73" s="30">
        <v>27.1</v>
      </c>
      <c r="H73" s="38">
        <v>6.1</v>
      </c>
      <c r="I73" s="34"/>
      <c r="J73" s="28"/>
      <c r="K73" s="34"/>
      <c r="L73" s="28"/>
      <c r="M73" s="34"/>
      <c r="N73" s="39"/>
      <c r="O73" s="28">
        <v>25.0</v>
      </c>
      <c r="P73" s="28">
        <v>0.51</v>
      </c>
      <c r="Q73" s="28">
        <v>24.0</v>
      </c>
      <c r="R73" s="40">
        <v>0.4897959183673469</v>
      </c>
      <c r="S73" s="28">
        <v>24.0</v>
      </c>
      <c r="T73" s="38">
        <v>2.0</v>
      </c>
      <c r="U73" s="28">
        <v>24.0</v>
      </c>
      <c r="V73" s="41"/>
      <c r="W73" s="28"/>
      <c r="X73" s="34"/>
      <c r="Y73" s="28"/>
      <c r="Z73" s="34"/>
      <c r="AA73" s="28"/>
    </row>
    <row r="74">
      <c r="A74" s="33">
        <v>53.0</v>
      </c>
      <c r="B74" s="33" t="s">
        <v>102</v>
      </c>
      <c r="C74" s="34" t="s">
        <v>200</v>
      </c>
      <c r="D74" s="42">
        <v>47.0</v>
      </c>
      <c r="E74" s="36" t="s">
        <v>183</v>
      </c>
      <c r="F74" s="30"/>
      <c r="G74" s="30">
        <v>27.2</v>
      </c>
      <c r="H74" s="38">
        <v>6.2</v>
      </c>
      <c r="I74" s="34"/>
      <c r="J74" s="28"/>
      <c r="K74" s="34"/>
      <c r="L74" s="28"/>
      <c r="M74" s="34"/>
      <c r="N74" s="39"/>
      <c r="O74" s="28">
        <v>29.0</v>
      </c>
      <c r="P74" s="28">
        <v>0.62</v>
      </c>
      <c r="Q74" s="28">
        <v>21.0</v>
      </c>
      <c r="R74" s="40">
        <v>0.44680851063829785</v>
      </c>
      <c r="S74" s="28">
        <v>24.0</v>
      </c>
      <c r="T74" s="38">
        <v>2.0</v>
      </c>
      <c r="U74" s="28">
        <v>24.0</v>
      </c>
      <c r="V74" s="41"/>
      <c r="W74" s="28"/>
      <c r="X74" s="34"/>
      <c r="Y74" s="28"/>
      <c r="Z74" s="34"/>
      <c r="AA74" s="28"/>
    </row>
    <row r="75">
      <c r="A75" s="33">
        <v>54.0</v>
      </c>
      <c r="B75" s="33" t="s">
        <v>104</v>
      </c>
      <c r="C75" s="34" t="s">
        <v>42</v>
      </c>
      <c r="D75" s="42">
        <v>19.0</v>
      </c>
      <c r="E75" s="36" t="s">
        <v>183</v>
      </c>
      <c r="F75" s="30"/>
      <c r="G75" s="30">
        <v>52.8</v>
      </c>
      <c r="H75" s="38">
        <v>7.3</v>
      </c>
      <c r="I75" s="34"/>
      <c r="J75" s="28"/>
      <c r="K75" s="34"/>
      <c r="L75" s="28"/>
      <c r="M75" s="34"/>
      <c r="N75" s="39"/>
      <c r="O75" s="28"/>
      <c r="P75" s="28">
        <v>0.0</v>
      </c>
      <c r="Q75" s="28"/>
      <c r="R75" s="40">
        <v>0.0</v>
      </c>
      <c r="S75" s="28">
        <v>240.0</v>
      </c>
      <c r="T75" s="38">
        <v>20.0</v>
      </c>
      <c r="U75" s="28">
        <f>20*12</f>
        <v>240</v>
      </c>
      <c r="V75" s="41"/>
      <c r="W75" s="28"/>
      <c r="X75" s="34"/>
      <c r="Y75" s="28"/>
      <c r="Z75" s="34"/>
      <c r="AA75" s="28"/>
    </row>
    <row r="76">
      <c r="A76" s="33">
        <v>54.0</v>
      </c>
      <c r="B76" s="33" t="s">
        <v>104</v>
      </c>
      <c r="C76" s="34" t="s">
        <v>84</v>
      </c>
      <c r="D76" s="42">
        <v>20.0</v>
      </c>
      <c r="E76" s="36" t="s">
        <v>183</v>
      </c>
      <c r="F76" s="30"/>
      <c r="G76" s="30">
        <v>54.5</v>
      </c>
      <c r="H76" s="38">
        <v>7.5</v>
      </c>
      <c r="I76" s="34"/>
      <c r="J76" s="28"/>
      <c r="K76" s="34"/>
      <c r="L76" s="28"/>
      <c r="M76" s="34"/>
      <c r="N76" s="39"/>
      <c r="O76" s="34"/>
      <c r="P76" s="34">
        <v>0.0</v>
      </c>
      <c r="Q76" s="28"/>
      <c r="R76" s="40">
        <v>0.0</v>
      </c>
      <c r="S76" s="28">
        <v>240.0</v>
      </c>
      <c r="T76" s="38">
        <v>20.0</v>
      </c>
      <c r="U76" s="28">
        <v>240.0</v>
      </c>
      <c r="V76" s="41"/>
      <c r="W76" s="28"/>
      <c r="X76" s="34"/>
      <c r="Y76" s="28"/>
      <c r="Z76" s="34"/>
      <c r="AA76" s="28"/>
    </row>
    <row r="77" collapsed="1">
      <c r="A77" s="33">
        <v>55.0</v>
      </c>
      <c r="B77" s="33" t="s">
        <v>106</v>
      </c>
      <c r="C77" s="34" t="s">
        <v>42</v>
      </c>
      <c r="D77" s="42">
        <v>14.0</v>
      </c>
      <c r="E77" s="36" t="s">
        <v>183</v>
      </c>
      <c r="F77" s="30"/>
      <c r="G77" s="30">
        <v>26.5</v>
      </c>
      <c r="H77" s="38">
        <v>5.0</v>
      </c>
      <c r="I77" s="34"/>
      <c r="J77" s="28"/>
      <c r="K77" s="34"/>
      <c r="L77" s="28"/>
      <c r="M77" s="34"/>
      <c r="N77" s="39"/>
      <c r="O77" s="28">
        <v>14.0</v>
      </c>
      <c r="P77" s="28">
        <v>1.0</v>
      </c>
      <c r="Q77" s="28">
        <v>0.0</v>
      </c>
      <c r="R77" s="40">
        <v>0.0</v>
      </c>
      <c r="S77" s="28">
        <v>12.0</v>
      </c>
      <c r="T77" s="38">
        <v>1.0</v>
      </c>
      <c r="U77" s="28">
        <v>12.0</v>
      </c>
      <c r="V77" s="41"/>
      <c r="W77" s="28"/>
      <c r="X77" s="34"/>
      <c r="Y77" s="28"/>
      <c r="Z77" s="34"/>
      <c r="AA77" s="28"/>
    </row>
    <row r="78" hidden="1" outlineLevel="1">
      <c r="A78" s="33">
        <v>55.0</v>
      </c>
      <c r="B78" s="43" t="s">
        <v>106</v>
      </c>
      <c r="C78" s="44" t="s">
        <v>238</v>
      </c>
      <c r="D78" s="51">
        <v>21.0</v>
      </c>
      <c r="E78" s="52" t="s">
        <v>183</v>
      </c>
      <c r="F78" s="47"/>
      <c r="G78" s="47">
        <v>23.2</v>
      </c>
      <c r="H78" s="48">
        <v>3.9</v>
      </c>
      <c r="I78" s="49"/>
      <c r="J78" s="44"/>
      <c r="K78" s="49"/>
      <c r="L78" s="44"/>
      <c r="M78" s="49"/>
      <c r="N78" s="50"/>
      <c r="O78" s="44">
        <v>21.0</v>
      </c>
      <c r="P78" s="44">
        <v>1.0</v>
      </c>
      <c r="Q78" s="44">
        <v>0.0</v>
      </c>
      <c r="R78" s="40">
        <v>0.0</v>
      </c>
      <c r="S78" s="28">
        <v>12.0</v>
      </c>
      <c r="T78" s="38">
        <v>1.0</v>
      </c>
      <c r="U78" s="44">
        <v>12.0</v>
      </c>
      <c r="V78" s="56"/>
      <c r="W78" s="28"/>
      <c r="X78" s="34"/>
      <c r="Y78" s="28"/>
      <c r="Z78" s="34"/>
      <c r="AA78" s="28"/>
    </row>
    <row r="79" hidden="1" outlineLevel="1">
      <c r="A79" s="33">
        <v>55.0</v>
      </c>
      <c r="B79" s="43" t="s">
        <v>106</v>
      </c>
      <c r="C79" s="44" t="s">
        <v>239</v>
      </c>
      <c r="D79" s="45">
        <v>17.0</v>
      </c>
      <c r="E79" s="52" t="s">
        <v>183</v>
      </c>
      <c r="F79" s="47"/>
      <c r="G79" s="47">
        <v>26.4</v>
      </c>
      <c r="H79" s="48">
        <v>4.9</v>
      </c>
      <c r="I79" s="49"/>
      <c r="J79" s="44"/>
      <c r="K79" s="49"/>
      <c r="L79" s="44"/>
      <c r="M79" s="49"/>
      <c r="N79" s="50"/>
      <c r="O79" s="44">
        <v>17.0</v>
      </c>
      <c r="P79" s="44">
        <v>1.0</v>
      </c>
      <c r="Q79" s="44">
        <v>0.0</v>
      </c>
      <c r="R79" s="40">
        <v>0.0</v>
      </c>
      <c r="S79" s="28">
        <v>12.0</v>
      </c>
      <c r="T79" s="38">
        <v>1.0</v>
      </c>
      <c r="U79" s="44">
        <v>12.0</v>
      </c>
      <c r="V79" s="56"/>
      <c r="W79" s="28"/>
      <c r="X79" s="34"/>
      <c r="Y79" s="28"/>
      <c r="Z79" s="34"/>
      <c r="AA79" s="28"/>
    </row>
    <row r="80">
      <c r="A80" s="33">
        <v>55.0</v>
      </c>
      <c r="B80" s="33" t="s">
        <v>106</v>
      </c>
      <c r="C80" s="34" t="s">
        <v>84</v>
      </c>
      <c r="D80" s="42">
        <v>38.0</v>
      </c>
      <c r="E80" s="36" t="s">
        <v>183</v>
      </c>
      <c r="F80" s="30"/>
      <c r="G80" s="30">
        <v>24.63157894736842</v>
      </c>
      <c r="H80" s="38">
        <v>4.6048215191610415</v>
      </c>
      <c r="I80" s="34"/>
      <c r="J80" s="28"/>
      <c r="K80" s="34"/>
      <c r="L80" s="28"/>
      <c r="M80" s="34"/>
      <c r="N80" s="29" t="s">
        <v>240</v>
      </c>
      <c r="O80" s="28">
        <v>38.0</v>
      </c>
      <c r="P80" s="28">
        <v>1.0</v>
      </c>
      <c r="Q80" s="28">
        <v>0.0</v>
      </c>
      <c r="R80" s="40">
        <v>0.0</v>
      </c>
      <c r="S80" s="28">
        <v>12.0</v>
      </c>
      <c r="T80" s="38">
        <v>1.0</v>
      </c>
      <c r="U80" s="28">
        <v>12.0</v>
      </c>
      <c r="V80" s="41"/>
      <c r="W80" s="28"/>
      <c r="X80" s="34"/>
      <c r="Y80" s="28"/>
      <c r="Z80" s="34"/>
      <c r="AA80" s="28"/>
    </row>
    <row r="81">
      <c r="A81" s="33">
        <v>56.0</v>
      </c>
      <c r="B81" s="33" t="s">
        <v>110</v>
      </c>
      <c r="C81" s="34" t="s">
        <v>42</v>
      </c>
      <c r="D81" s="42">
        <v>18.0</v>
      </c>
      <c r="E81" s="36" t="s">
        <v>183</v>
      </c>
      <c r="F81" s="30"/>
      <c r="G81" s="30">
        <v>31.0</v>
      </c>
      <c r="H81" s="38">
        <v>8.0</v>
      </c>
      <c r="I81" s="34"/>
      <c r="J81" s="28"/>
      <c r="K81" s="34"/>
      <c r="L81" s="28"/>
      <c r="M81" s="34"/>
      <c r="N81" s="39"/>
      <c r="O81" s="28">
        <v>15.0</v>
      </c>
      <c r="P81" s="28">
        <v>0.83</v>
      </c>
      <c r="Q81" s="28">
        <v>3.0</v>
      </c>
      <c r="R81" s="40">
        <v>0.16666666666666666</v>
      </c>
      <c r="S81" s="28">
        <v>24.0</v>
      </c>
      <c r="T81" s="38">
        <v>2.0</v>
      </c>
      <c r="U81" s="28">
        <v>24.0</v>
      </c>
      <c r="V81" s="41"/>
      <c r="W81" s="28"/>
      <c r="X81" s="34"/>
      <c r="Y81" s="28"/>
      <c r="Z81" s="34"/>
      <c r="AA81" s="28"/>
    </row>
    <row r="82">
      <c r="A82" s="33">
        <v>56.0</v>
      </c>
      <c r="B82" s="33" t="s">
        <v>110</v>
      </c>
      <c r="C82" s="34" t="s">
        <v>200</v>
      </c>
      <c r="D82" s="42">
        <v>21.0</v>
      </c>
      <c r="E82" s="36" t="s">
        <v>183</v>
      </c>
      <c r="F82" s="30"/>
      <c r="G82" s="30">
        <v>30.0</v>
      </c>
      <c r="H82" s="38">
        <v>9.0</v>
      </c>
      <c r="I82" s="34"/>
      <c r="J82" s="28"/>
      <c r="K82" s="34"/>
      <c r="L82" s="28"/>
      <c r="M82" s="34"/>
      <c r="N82" s="39"/>
      <c r="O82" s="28">
        <v>17.0</v>
      </c>
      <c r="P82" s="28">
        <v>0.81</v>
      </c>
      <c r="Q82" s="28">
        <v>4.0</v>
      </c>
      <c r="R82" s="40">
        <v>0.19047619047619047</v>
      </c>
      <c r="S82" s="28">
        <v>24.0</v>
      </c>
      <c r="T82" s="38">
        <v>2.0</v>
      </c>
      <c r="U82" s="28">
        <v>24.0</v>
      </c>
      <c r="V82" s="41"/>
      <c r="W82" s="28"/>
      <c r="X82" s="34"/>
      <c r="Y82" s="28"/>
      <c r="Z82" s="34"/>
      <c r="AA82" s="28"/>
    </row>
    <row r="83">
      <c r="A83" s="33">
        <v>58.0</v>
      </c>
      <c r="B83" s="33" t="s">
        <v>112</v>
      </c>
      <c r="C83" s="34" t="s">
        <v>84</v>
      </c>
      <c r="D83" s="42">
        <v>25.0</v>
      </c>
      <c r="E83" s="36" t="s">
        <v>183</v>
      </c>
      <c r="F83" s="30"/>
      <c r="G83" s="30">
        <v>28.12</v>
      </c>
      <c r="H83" s="38">
        <v>5.21</v>
      </c>
      <c r="I83" s="34"/>
      <c r="J83" s="28"/>
      <c r="K83" s="34"/>
      <c r="L83" s="28"/>
      <c r="M83" s="34"/>
      <c r="N83" s="39"/>
      <c r="O83" s="28">
        <v>18.0</v>
      </c>
      <c r="P83" s="28">
        <v>0.72</v>
      </c>
      <c r="Q83" s="28">
        <v>7.0</v>
      </c>
      <c r="R83" s="40">
        <v>0.28</v>
      </c>
      <c r="S83" s="28">
        <v>6.0</v>
      </c>
      <c r="T83" s="38">
        <v>0.5</v>
      </c>
      <c r="U83" s="28">
        <v>6.0</v>
      </c>
      <c r="V83" s="41"/>
      <c r="W83" s="28"/>
      <c r="X83" s="34"/>
      <c r="Y83" s="28"/>
      <c r="Z83" s="34"/>
      <c r="AA83" s="28"/>
    </row>
    <row r="84">
      <c r="A84" s="33">
        <v>58.0</v>
      </c>
      <c r="B84" s="33" t="s">
        <v>112</v>
      </c>
      <c r="C84" s="34" t="s">
        <v>186</v>
      </c>
      <c r="D84" s="42">
        <v>25.0</v>
      </c>
      <c r="E84" s="36" t="s">
        <v>183</v>
      </c>
      <c r="F84" s="30"/>
      <c r="G84" s="30">
        <v>27.84</v>
      </c>
      <c r="H84" s="38">
        <v>4.92</v>
      </c>
      <c r="I84" s="34"/>
      <c r="J84" s="28"/>
      <c r="K84" s="34"/>
      <c r="L84" s="28"/>
      <c r="M84" s="34"/>
      <c r="N84" s="39"/>
      <c r="O84" s="28">
        <v>17.0</v>
      </c>
      <c r="P84" s="28">
        <v>0.68</v>
      </c>
      <c r="Q84" s="28">
        <v>8.0</v>
      </c>
      <c r="R84" s="40">
        <v>0.32</v>
      </c>
      <c r="S84" s="28">
        <v>6.0</v>
      </c>
      <c r="T84" s="38">
        <v>0.5</v>
      </c>
      <c r="U84" s="28">
        <v>6.0</v>
      </c>
      <c r="V84" s="41"/>
      <c r="W84" s="28"/>
      <c r="X84" s="34"/>
      <c r="Y84" s="28"/>
      <c r="Z84" s="34"/>
      <c r="AA84" s="28"/>
    </row>
    <row r="85">
      <c r="A85" s="33">
        <v>62.0</v>
      </c>
      <c r="B85" s="33" t="s">
        <v>114</v>
      </c>
      <c r="C85" s="34" t="s">
        <v>42</v>
      </c>
      <c r="D85" s="42">
        <v>37.0</v>
      </c>
      <c r="E85" s="36" t="s">
        <v>183</v>
      </c>
      <c r="F85" s="30"/>
      <c r="G85" s="30">
        <v>23.7</v>
      </c>
      <c r="H85" s="38">
        <v>7.7</v>
      </c>
      <c r="I85" s="34"/>
      <c r="J85" s="28"/>
      <c r="K85" s="34"/>
      <c r="L85" s="28"/>
      <c r="M85" s="34"/>
      <c r="N85" s="39"/>
      <c r="O85" s="28">
        <v>21.0</v>
      </c>
      <c r="P85" s="28">
        <v>0.57</v>
      </c>
      <c r="Q85" s="28">
        <v>16.0</v>
      </c>
      <c r="R85" s="40">
        <v>0.43243243243243246</v>
      </c>
      <c r="S85" s="28">
        <v>87.0</v>
      </c>
      <c r="T85" s="38">
        <v>7.3</v>
      </c>
      <c r="U85" s="28">
        <v>87.0</v>
      </c>
      <c r="V85" s="38">
        <v>12.2</v>
      </c>
      <c r="W85" s="28"/>
      <c r="X85" s="34"/>
      <c r="Y85" s="28"/>
      <c r="Z85" s="34"/>
      <c r="AA85" s="28"/>
    </row>
    <row r="86">
      <c r="A86" s="33">
        <v>62.0</v>
      </c>
      <c r="B86" s="33" t="s">
        <v>114</v>
      </c>
      <c r="C86" s="34" t="s">
        <v>84</v>
      </c>
      <c r="D86" s="42">
        <v>35.0</v>
      </c>
      <c r="E86" s="36" t="s">
        <v>183</v>
      </c>
      <c r="F86" s="30"/>
      <c r="G86" s="30">
        <v>24.4</v>
      </c>
      <c r="H86" s="38">
        <v>9.7</v>
      </c>
      <c r="I86" s="34"/>
      <c r="J86" s="28"/>
      <c r="K86" s="34"/>
      <c r="L86" s="28"/>
      <c r="M86" s="34"/>
      <c r="N86" s="39"/>
      <c r="O86" s="28">
        <v>20.0</v>
      </c>
      <c r="P86" s="28">
        <v>0.57</v>
      </c>
      <c r="Q86" s="28">
        <v>15.0</v>
      </c>
      <c r="R86" s="40">
        <v>0.42857142857142855</v>
      </c>
      <c r="S86" s="28">
        <v>80.7</v>
      </c>
      <c r="T86" s="38">
        <v>6.7</v>
      </c>
      <c r="U86" s="28">
        <v>80.7</v>
      </c>
      <c r="V86" s="38">
        <v>13.2</v>
      </c>
      <c r="W86" s="28"/>
      <c r="X86" s="34"/>
      <c r="Y86" s="28"/>
      <c r="Z86" s="34"/>
      <c r="AA86" s="28"/>
    </row>
    <row r="87" collapsed="1">
      <c r="A87" s="33">
        <v>66.0</v>
      </c>
      <c r="B87" s="33" t="s">
        <v>116</v>
      </c>
      <c r="C87" s="34" t="s">
        <v>42</v>
      </c>
      <c r="D87" s="42">
        <v>110.0</v>
      </c>
      <c r="E87" s="36" t="s">
        <v>183</v>
      </c>
      <c r="F87" s="30"/>
      <c r="G87" s="30">
        <v>28.7</v>
      </c>
      <c r="H87" s="38">
        <v>9.9</v>
      </c>
      <c r="I87" s="34"/>
      <c r="J87" s="28"/>
      <c r="K87" s="34"/>
      <c r="L87" s="28"/>
      <c r="M87" s="34"/>
      <c r="N87" s="39"/>
      <c r="O87" s="28">
        <v>63.0</v>
      </c>
      <c r="P87" s="28">
        <v>0.57</v>
      </c>
      <c r="Q87" s="28">
        <v>47.0</v>
      </c>
      <c r="R87" s="40">
        <v>0.42727272727272725</v>
      </c>
      <c r="S87" s="28">
        <v>24.0</v>
      </c>
      <c r="T87" s="38">
        <v>2.0</v>
      </c>
      <c r="U87" s="28">
        <v>24.0</v>
      </c>
      <c r="V87" s="41"/>
      <c r="W87" s="28"/>
      <c r="X87" s="34"/>
      <c r="Y87" s="28"/>
      <c r="Z87" s="34"/>
      <c r="AA87" s="28"/>
    </row>
    <row r="88" hidden="1" outlineLevel="1">
      <c r="A88" s="33">
        <v>66.0</v>
      </c>
      <c r="B88" s="43" t="s">
        <v>116</v>
      </c>
      <c r="C88" s="44" t="s">
        <v>243</v>
      </c>
      <c r="D88" s="45">
        <v>110.0</v>
      </c>
      <c r="E88" s="52" t="s">
        <v>183</v>
      </c>
      <c r="F88" s="47"/>
      <c r="G88" s="47">
        <v>28.3</v>
      </c>
      <c r="H88" s="48">
        <v>9.8</v>
      </c>
      <c r="I88" s="49"/>
      <c r="J88" s="44"/>
      <c r="K88" s="49"/>
      <c r="L88" s="44"/>
      <c r="M88" s="49"/>
      <c r="N88" s="50"/>
      <c r="O88" s="44">
        <v>61.0</v>
      </c>
      <c r="P88" s="44">
        <v>0.55</v>
      </c>
      <c r="Q88" s="44">
        <v>49.0</v>
      </c>
      <c r="R88" s="40">
        <v>0.44545454545454544</v>
      </c>
      <c r="S88" s="28">
        <v>24.0</v>
      </c>
      <c r="T88" s="38">
        <v>2.0</v>
      </c>
      <c r="U88" s="44">
        <v>24.0</v>
      </c>
      <c r="V88" s="56"/>
      <c r="W88" s="44"/>
      <c r="X88" s="49"/>
      <c r="Y88" s="44"/>
      <c r="Z88" s="49"/>
      <c r="AA88" s="44"/>
    </row>
    <row r="89" hidden="1" outlineLevel="1">
      <c r="A89" s="33">
        <v>66.0</v>
      </c>
      <c r="B89" s="43" t="s">
        <v>116</v>
      </c>
      <c r="C89" s="44" t="s">
        <v>239</v>
      </c>
      <c r="D89" s="45">
        <v>110.0</v>
      </c>
      <c r="E89" s="52" t="s">
        <v>183</v>
      </c>
      <c r="F89" s="47"/>
      <c r="G89" s="47">
        <v>28.5</v>
      </c>
      <c r="H89" s="48">
        <v>9.9</v>
      </c>
      <c r="I89" s="49"/>
      <c r="J89" s="44"/>
      <c r="K89" s="49"/>
      <c r="L89" s="44"/>
      <c r="M89" s="49"/>
      <c r="N89" s="50"/>
      <c r="O89" s="44">
        <v>59.0</v>
      </c>
      <c r="P89" s="44">
        <v>0.54</v>
      </c>
      <c r="Q89" s="44">
        <v>51.0</v>
      </c>
      <c r="R89" s="40">
        <v>0.4636363636363636</v>
      </c>
      <c r="S89" s="28">
        <v>24.0</v>
      </c>
      <c r="T89" s="38">
        <v>2.0</v>
      </c>
      <c r="U89" s="44">
        <v>24.0</v>
      </c>
      <c r="V89" s="56"/>
      <c r="W89" s="44"/>
      <c r="X89" s="49"/>
      <c r="Y89" s="44"/>
      <c r="Z89" s="49"/>
      <c r="AA89" s="44"/>
    </row>
    <row r="90">
      <c r="A90" s="33">
        <v>66.0</v>
      </c>
      <c r="B90" s="33" t="s">
        <v>116</v>
      </c>
      <c r="C90" s="34" t="s">
        <v>84</v>
      </c>
      <c r="D90" s="42">
        <v>220.0</v>
      </c>
      <c r="E90" s="36" t="s">
        <v>183</v>
      </c>
      <c r="F90" s="30"/>
      <c r="G90" s="30">
        <v>28.4</v>
      </c>
      <c r="H90" s="38">
        <v>9.828123377960823</v>
      </c>
      <c r="I90" s="34"/>
      <c r="J90" s="28"/>
      <c r="K90" s="34"/>
      <c r="L90" s="28"/>
      <c r="M90" s="34"/>
      <c r="N90" s="39"/>
      <c r="O90" s="28">
        <v>120.0</v>
      </c>
      <c r="P90" s="28">
        <v>0.55</v>
      </c>
      <c r="Q90" s="28">
        <v>100.0</v>
      </c>
      <c r="R90" s="40">
        <v>0.45454545454545453</v>
      </c>
      <c r="S90" s="28">
        <v>24.0</v>
      </c>
      <c r="T90" s="38">
        <v>2.0</v>
      </c>
      <c r="U90" s="28">
        <v>24.0</v>
      </c>
      <c r="V90" s="41"/>
      <c r="W90" s="28"/>
      <c r="X90" s="34"/>
      <c r="Y90" s="28"/>
      <c r="Z90" s="34"/>
      <c r="AA90" s="28"/>
    </row>
    <row r="91">
      <c r="A91" s="33">
        <v>68.0</v>
      </c>
      <c r="B91" s="33" t="s">
        <v>119</v>
      </c>
      <c r="C91" s="34" t="s">
        <v>42</v>
      </c>
      <c r="D91" s="42">
        <v>6.0</v>
      </c>
      <c r="E91" s="36" t="s">
        <v>183</v>
      </c>
      <c r="F91" s="30"/>
      <c r="G91" s="30">
        <v>23.0</v>
      </c>
      <c r="H91" s="38">
        <v>2.0</v>
      </c>
      <c r="I91" s="34"/>
      <c r="J91" s="28"/>
      <c r="K91" s="34"/>
      <c r="L91" s="28"/>
      <c r="M91" s="34"/>
      <c r="N91" s="39"/>
      <c r="O91" s="28">
        <v>6.0</v>
      </c>
      <c r="P91" s="28">
        <v>1.0</v>
      </c>
      <c r="Q91" s="28">
        <v>0.0</v>
      </c>
      <c r="R91" s="40">
        <v>0.0</v>
      </c>
      <c r="S91" s="28">
        <v>21.0</v>
      </c>
      <c r="T91" s="38">
        <v>1.8</v>
      </c>
      <c r="U91" s="28">
        <v>21.0</v>
      </c>
      <c r="V91" s="38">
        <v>5.4</v>
      </c>
      <c r="W91" s="28"/>
      <c r="X91" s="34"/>
      <c r="Y91" s="28"/>
      <c r="Z91" s="34"/>
      <c r="AA91" s="28"/>
    </row>
    <row r="92">
      <c r="A92" s="33">
        <v>68.0</v>
      </c>
      <c r="B92" s="33" t="s">
        <v>119</v>
      </c>
      <c r="C92" s="34" t="s">
        <v>84</v>
      </c>
      <c r="D92" s="42">
        <v>6.0</v>
      </c>
      <c r="E92" s="36" t="s">
        <v>183</v>
      </c>
      <c r="F92" s="30"/>
      <c r="G92" s="30">
        <v>24.0</v>
      </c>
      <c r="H92" s="38">
        <v>3.0</v>
      </c>
      <c r="I92" s="34"/>
      <c r="J92" s="28"/>
      <c r="K92" s="34"/>
      <c r="L92" s="28"/>
      <c r="M92" s="34"/>
      <c r="N92" s="39"/>
      <c r="O92" s="28">
        <v>6.0</v>
      </c>
      <c r="P92" s="28">
        <v>1.0</v>
      </c>
      <c r="Q92" s="28">
        <v>0.0</v>
      </c>
      <c r="R92" s="40">
        <v>0.0</v>
      </c>
      <c r="S92" s="28">
        <v>25.0</v>
      </c>
      <c r="T92" s="38">
        <v>2.1</v>
      </c>
      <c r="U92" s="28">
        <v>25.0</v>
      </c>
      <c r="V92" s="38">
        <v>4.5</v>
      </c>
      <c r="W92" s="28"/>
      <c r="X92" s="34"/>
      <c r="Y92" s="28"/>
      <c r="Z92" s="34"/>
      <c r="AA92" s="28"/>
    </row>
    <row r="93">
      <c r="A93" s="33">
        <v>70.0</v>
      </c>
      <c r="B93" s="33" t="s">
        <v>121</v>
      </c>
      <c r="C93" s="34" t="s">
        <v>84</v>
      </c>
      <c r="D93" s="42">
        <v>33.0</v>
      </c>
      <c r="E93" s="36" t="s">
        <v>183</v>
      </c>
      <c r="F93" s="37"/>
      <c r="G93" s="37">
        <v>25.81397443424894</v>
      </c>
      <c r="H93" s="38">
        <v>7.455</v>
      </c>
      <c r="I93" s="28">
        <v>20.0</v>
      </c>
      <c r="J93" s="28"/>
      <c r="K93" s="28">
        <v>23.0</v>
      </c>
      <c r="L93" s="28"/>
      <c r="M93" s="28">
        <v>51.0</v>
      </c>
      <c r="N93" s="39"/>
      <c r="O93" s="28">
        <v>30.0</v>
      </c>
      <c r="P93" s="28">
        <v>0.91</v>
      </c>
      <c r="Q93" s="28">
        <v>3.0</v>
      </c>
      <c r="R93" s="40">
        <v>0.09090909090909091</v>
      </c>
      <c r="S93" s="28">
        <v>28.1</v>
      </c>
      <c r="T93" s="38">
        <v>2.3</v>
      </c>
      <c r="U93" s="28">
        <v>28.1</v>
      </c>
      <c r="V93" s="38">
        <v>6.5</v>
      </c>
      <c r="W93" s="28"/>
      <c r="X93" s="34"/>
      <c r="Y93" s="28"/>
      <c r="Z93" s="34"/>
      <c r="AA93" s="28"/>
    </row>
    <row r="94">
      <c r="A94" s="33">
        <v>70.0</v>
      </c>
      <c r="B94" s="33" t="s">
        <v>121</v>
      </c>
      <c r="C94" s="34" t="s">
        <v>246</v>
      </c>
      <c r="D94" s="42">
        <v>32.0</v>
      </c>
      <c r="E94" s="36" t="s">
        <v>183</v>
      </c>
      <c r="F94" s="37"/>
      <c r="G94" s="37">
        <v>25.55212460671509</v>
      </c>
      <c r="H94" s="38">
        <v>8.467</v>
      </c>
      <c r="I94" s="28">
        <v>20.0</v>
      </c>
      <c r="J94" s="28"/>
      <c r="K94" s="28">
        <v>22.0</v>
      </c>
      <c r="L94" s="28"/>
      <c r="M94" s="28">
        <v>55.0</v>
      </c>
      <c r="N94" s="39"/>
      <c r="O94" s="28">
        <v>26.0</v>
      </c>
      <c r="P94" s="28">
        <v>0.81</v>
      </c>
      <c r="Q94" s="28">
        <v>6.0</v>
      </c>
      <c r="R94" s="40">
        <v>0.1875</v>
      </c>
      <c r="S94" s="28">
        <v>31.6</v>
      </c>
      <c r="T94" s="38">
        <v>2.6</v>
      </c>
      <c r="U94" s="28">
        <v>31.6</v>
      </c>
      <c r="V94" s="38">
        <v>10.0</v>
      </c>
      <c r="W94" s="28"/>
      <c r="X94" s="34"/>
      <c r="Y94" s="28"/>
      <c r="Z94" s="34"/>
      <c r="AA94" s="28"/>
    </row>
    <row r="95">
      <c r="A95" s="33">
        <v>73.0</v>
      </c>
      <c r="B95" s="33" t="s">
        <v>123</v>
      </c>
      <c r="C95" s="34" t="s">
        <v>42</v>
      </c>
      <c r="D95" s="42">
        <v>20.0</v>
      </c>
      <c r="E95" s="36" t="s">
        <v>183</v>
      </c>
      <c r="F95" s="30"/>
      <c r="G95" s="30">
        <v>24.7</v>
      </c>
      <c r="H95" s="38" t="s">
        <v>101</v>
      </c>
      <c r="I95" s="34"/>
      <c r="J95" s="28"/>
      <c r="K95" s="34"/>
      <c r="L95" s="28"/>
      <c r="M95" s="34"/>
      <c r="N95" s="39"/>
      <c r="O95" s="28">
        <v>0.0</v>
      </c>
      <c r="P95" s="28">
        <v>0.0</v>
      </c>
      <c r="Q95" s="28">
        <v>20.0</v>
      </c>
      <c r="R95" s="40">
        <v>1.0</v>
      </c>
      <c r="S95" s="28">
        <v>6.0</v>
      </c>
      <c r="T95" s="38">
        <v>0.5</v>
      </c>
      <c r="U95" s="28">
        <v>6.0</v>
      </c>
      <c r="V95" s="41"/>
      <c r="W95" s="28"/>
      <c r="X95" s="34"/>
      <c r="Y95" s="28"/>
      <c r="Z95" s="34"/>
      <c r="AA95" s="28"/>
    </row>
    <row r="96">
      <c r="A96" s="33">
        <v>73.0</v>
      </c>
      <c r="B96" s="33" t="s">
        <v>123</v>
      </c>
      <c r="C96" s="34" t="s">
        <v>84</v>
      </c>
      <c r="D96" s="42">
        <v>20.0</v>
      </c>
      <c r="E96" s="36" t="s">
        <v>183</v>
      </c>
      <c r="F96" s="30"/>
      <c r="G96" s="30">
        <v>25.4</v>
      </c>
      <c r="H96" s="38" t="s">
        <v>101</v>
      </c>
      <c r="I96" s="34"/>
      <c r="J96" s="28"/>
      <c r="K96" s="34"/>
      <c r="L96" s="28"/>
      <c r="M96" s="34"/>
      <c r="N96" s="39"/>
      <c r="O96" s="28">
        <v>0.0</v>
      </c>
      <c r="P96" s="28">
        <v>0.0</v>
      </c>
      <c r="Q96" s="28">
        <v>20.0</v>
      </c>
      <c r="R96" s="40">
        <v>1.0</v>
      </c>
      <c r="S96" s="28">
        <v>6.0</v>
      </c>
      <c r="T96" s="38">
        <v>0.5</v>
      </c>
      <c r="U96" s="28">
        <v>6.0</v>
      </c>
      <c r="V96" s="41"/>
      <c r="W96" s="28"/>
      <c r="X96" s="34"/>
      <c r="Y96" s="28"/>
      <c r="Z96" s="34"/>
      <c r="AA96" s="28"/>
    </row>
    <row r="97">
      <c r="A97" s="33">
        <v>76.0</v>
      </c>
      <c r="B97" s="33" t="s">
        <v>125</v>
      </c>
      <c r="C97" s="34" t="s">
        <v>42</v>
      </c>
      <c r="D97" s="42">
        <v>90.0</v>
      </c>
      <c r="E97" s="36" t="s">
        <v>183</v>
      </c>
      <c r="F97" s="30"/>
      <c r="G97" s="30">
        <v>25.0</v>
      </c>
      <c r="H97" s="38">
        <v>5.485</v>
      </c>
      <c r="I97" s="28">
        <v>15.0</v>
      </c>
      <c r="J97" s="28"/>
      <c r="K97" s="34"/>
      <c r="L97" s="28"/>
      <c r="M97" s="28">
        <v>42.0</v>
      </c>
      <c r="N97" s="39"/>
      <c r="O97" s="28">
        <v>48.0</v>
      </c>
      <c r="P97" s="28">
        <v>0.53</v>
      </c>
      <c r="Q97" s="28">
        <v>42.0</v>
      </c>
      <c r="R97" s="40">
        <v>0.4666666666666667</v>
      </c>
      <c r="S97" s="28">
        <v>120.0</v>
      </c>
      <c r="T97" s="38">
        <v>10.0</v>
      </c>
      <c r="U97" s="28">
        <v>120.0</v>
      </c>
      <c r="V97" s="41"/>
      <c r="W97" s="28"/>
      <c r="X97" s="34"/>
      <c r="Y97" s="28"/>
      <c r="Z97" s="34"/>
      <c r="AA97" s="28"/>
    </row>
    <row r="98">
      <c r="A98" s="33">
        <v>76.0</v>
      </c>
      <c r="B98" s="33" t="s">
        <v>125</v>
      </c>
      <c r="C98" s="34" t="s">
        <v>84</v>
      </c>
      <c r="D98" s="42">
        <v>90.0</v>
      </c>
      <c r="E98" s="36" t="s">
        <v>183</v>
      </c>
      <c r="F98" s="30"/>
      <c r="G98" s="30">
        <v>24.0</v>
      </c>
      <c r="H98" s="38">
        <v>7.923</v>
      </c>
      <c r="I98" s="28">
        <v>13.0</v>
      </c>
      <c r="J98" s="28"/>
      <c r="K98" s="34"/>
      <c r="L98" s="28"/>
      <c r="M98" s="28">
        <v>52.0</v>
      </c>
      <c r="N98" s="39"/>
      <c r="O98" s="28">
        <v>47.0</v>
      </c>
      <c r="P98" s="28">
        <v>0.52</v>
      </c>
      <c r="Q98" s="28">
        <v>43.0</v>
      </c>
      <c r="R98" s="40">
        <v>0.4777777777777778</v>
      </c>
      <c r="S98" s="28">
        <v>120.0</v>
      </c>
      <c r="T98" s="38">
        <v>10.0</v>
      </c>
      <c r="U98" s="28">
        <v>120.0</v>
      </c>
      <c r="V98" s="41"/>
      <c r="W98" s="28"/>
      <c r="X98" s="34"/>
      <c r="Y98" s="28"/>
      <c r="Z98" s="34"/>
      <c r="AA98" s="28"/>
    </row>
    <row r="99">
      <c r="A99" s="33">
        <v>77.0</v>
      </c>
      <c r="B99" s="33" t="s">
        <v>128</v>
      </c>
      <c r="C99" s="34" t="s">
        <v>42</v>
      </c>
      <c r="D99" s="42">
        <v>54.0</v>
      </c>
      <c r="E99" s="36" t="s">
        <v>183</v>
      </c>
      <c r="F99" s="30"/>
      <c r="G99" s="30">
        <v>27.0</v>
      </c>
      <c r="H99" s="38">
        <v>6.82</v>
      </c>
      <c r="I99" s="28">
        <v>18.0</v>
      </c>
      <c r="J99" s="28"/>
      <c r="K99" s="34"/>
      <c r="L99" s="28"/>
      <c r="M99" s="28">
        <v>49.0</v>
      </c>
      <c r="N99" s="39"/>
      <c r="O99" s="28"/>
      <c r="P99" s="34"/>
      <c r="Q99" s="28"/>
      <c r="R99" s="40"/>
      <c r="S99" s="28">
        <v>228.0</v>
      </c>
      <c r="T99" s="38">
        <v>19.0</v>
      </c>
      <c r="U99" s="28">
        <v>228.0</v>
      </c>
      <c r="V99" s="41"/>
      <c r="W99" s="28">
        <f t="shared" ref="W99:W100" si="8">12*18</f>
        <v>216</v>
      </c>
      <c r="X99" s="34"/>
      <c r="Y99" s="28"/>
      <c r="Z99" s="34"/>
      <c r="AA99" s="28">
        <v>240.0</v>
      </c>
    </row>
    <row r="100">
      <c r="A100" s="33">
        <v>77.0</v>
      </c>
      <c r="B100" s="33" t="s">
        <v>128</v>
      </c>
      <c r="C100" s="34" t="s">
        <v>84</v>
      </c>
      <c r="D100" s="42">
        <v>90.0</v>
      </c>
      <c r="E100" s="36" t="s">
        <v>183</v>
      </c>
      <c r="F100" s="30"/>
      <c r="G100" s="30">
        <v>27.0</v>
      </c>
      <c r="H100" s="38">
        <v>6.298</v>
      </c>
      <c r="I100" s="28">
        <v>18.0</v>
      </c>
      <c r="J100" s="28"/>
      <c r="K100" s="34"/>
      <c r="L100" s="28"/>
      <c r="M100" s="28">
        <v>49.0</v>
      </c>
      <c r="N100" s="39"/>
      <c r="O100" s="34"/>
      <c r="P100" s="34"/>
      <c r="Q100" s="28"/>
      <c r="R100" s="40">
        <v>0.0</v>
      </c>
      <c r="S100" s="28">
        <v>228.0</v>
      </c>
      <c r="T100" s="38">
        <v>19.0</v>
      </c>
      <c r="U100" s="28">
        <v>228.0</v>
      </c>
      <c r="V100" s="41"/>
      <c r="W100" s="28">
        <f t="shared" si="8"/>
        <v>216</v>
      </c>
      <c r="X100" s="34"/>
      <c r="Y100" s="28"/>
      <c r="Z100" s="34"/>
      <c r="AA100" s="28">
        <f>20*12</f>
        <v>240</v>
      </c>
    </row>
    <row r="101">
      <c r="A101" s="33">
        <v>82.0</v>
      </c>
      <c r="B101" s="33" t="s">
        <v>130</v>
      </c>
      <c r="C101" s="34" t="s">
        <v>42</v>
      </c>
      <c r="D101" s="35">
        <v>24.0</v>
      </c>
      <c r="E101" s="54" t="s">
        <v>202</v>
      </c>
      <c r="F101" s="30"/>
      <c r="G101" s="30">
        <v>45.5</v>
      </c>
      <c r="H101" s="38">
        <v>8.7</v>
      </c>
      <c r="I101" s="34"/>
      <c r="J101" s="28"/>
      <c r="K101" s="34"/>
      <c r="L101" s="28"/>
      <c r="M101" s="34"/>
      <c r="N101" s="29" t="s">
        <v>252</v>
      </c>
      <c r="O101" s="28">
        <v>15.0</v>
      </c>
      <c r="P101" s="28">
        <v>0.63</v>
      </c>
      <c r="Q101" s="28">
        <v>9.0</v>
      </c>
      <c r="R101" s="40">
        <v>0.375</v>
      </c>
      <c r="S101" s="28">
        <v>204.0</v>
      </c>
      <c r="T101" s="38">
        <v>17.0</v>
      </c>
      <c r="U101" s="28">
        <v>204.0</v>
      </c>
      <c r="V101" s="41"/>
      <c r="W101" s="28"/>
      <c r="X101" s="34"/>
      <c r="Y101" s="28"/>
      <c r="Z101" s="34"/>
      <c r="AA101" s="28"/>
    </row>
    <row r="102">
      <c r="A102" s="33">
        <v>82.0</v>
      </c>
      <c r="B102" s="33" t="s">
        <v>130</v>
      </c>
      <c r="C102" s="34" t="s">
        <v>84</v>
      </c>
      <c r="D102" s="35">
        <v>24.0</v>
      </c>
      <c r="E102" s="54" t="s">
        <v>202</v>
      </c>
      <c r="F102" s="30"/>
      <c r="G102" s="30">
        <v>42.5</v>
      </c>
      <c r="H102" s="38">
        <v>7.5</v>
      </c>
      <c r="I102" s="34"/>
      <c r="J102" s="28"/>
      <c r="K102" s="34"/>
      <c r="L102" s="28"/>
      <c r="M102" s="34"/>
      <c r="N102" s="29" t="s">
        <v>252</v>
      </c>
      <c r="O102" s="28">
        <v>13.0</v>
      </c>
      <c r="P102" s="28">
        <v>0.54</v>
      </c>
      <c r="Q102" s="28">
        <v>11.0</v>
      </c>
      <c r="R102" s="40">
        <v>0.4583333333333333</v>
      </c>
      <c r="S102" s="28">
        <v>204.0</v>
      </c>
      <c r="T102" s="38">
        <v>17.0</v>
      </c>
      <c r="U102" s="28">
        <v>204.0</v>
      </c>
      <c r="V102" s="41"/>
      <c r="W102" s="28"/>
      <c r="X102" s="34"/>
      <c r="Y102" s="28"/>
      <c r="Z102" s="34"/>
      <c r="AA102" s="28"/>
    </row>
    <row r="103">
      <c r="A103" s="31">
        <v>84.0</v>
      </c>
      <c r="B103" s="33" t="s">
        <v>132</v>
      </c>
      <c r="C103" s="34" t="s">
        <v>84</v>
      </c>
      <c r="D103" s="35">
        <v>43.0</v>
      </c>
      <c r="E103" s="36" t="s">
        <v>183</v>
      </c>
      <c r="F103" s="30"/>
      <c r="G103" s="30">
        <v>28.3</v>
      </c>
      <c r="H103" s="38">
        <v>6.2</v>
      </c>
      <c r="I103" s="34"/>
      <c r="J103" s="28"/>
      <c r="K103" s="34"/>
      <c r="L103" s="28"/>
      <c r="M103" s="34"/>
      <c r="N103" s="39"/>
      <c r="O103" s="28">
        <v>23.0</v>
      </c>
      <c r="P103" s="28">
        <v>0.53</v>
      </c>
      <c r="Q103" s="28">
        <v>20.0</v>
      </c>
      <c r="R103" s="40">
        <v>0.46511627906976744</v>
      </c>
      <c r="S103" s="28">
        <v>12.5</v>
      </c>
      <c r="T103" s="38">
        <v>1.0</v>
      </c>
      <c r="U103" s="28">
        <v>12.5</v>
      </c>
      <c r="V103" s="38">
        <v>0.7</v>
      </c>
      <c r="W103" s="28"/>
      <c r="X103" s="34"/>
      <c r="Y103" s="28"/>
      <c r="Z103" s="34"/>
      <c r="AA103" s="28"/>
    </row>
    <row r="104">
      <c r="A104" s="31">
        <v>84.0</v>
      </c>
      <c r="B104" s="33" t="s">
        <v>132</v>
      </c>
      <c r="C104" s="34" t="s">
        <v>200</v>
      </c>
      <c r="D104" s="35">
        <v>42.0</v>
      </c>
      <c r="E104" s="36" t="s">
        <v>183</v>
      </c>
      <c r="F104" s="30"/>
      <c r="G104" s="30">
        <v>28.7</v>
      </c>
      <c r="H104" s="38">
        <v>6.4</v>
      </c>
      <c r="I104" s="34"/>
      <c r="J104" s="28"/>
      <c r="K104" s="34"/>
      <c r="L104" s="28"/>
      <c r="M104" s="34"/>
      <c r="N104" s="39"/>
      <c r="O104" s="28">
        <v>25.0</v>
      </c>
      <c r="P104" s="28">
        <v>0.6</v>
      </c>
      <c r="Q104" s="28">
        <v>17.0</v>
      </c>
      <c r="R104" s="40">
        <v>0.40476190476190477</v>
      </c>
      <c r="S104" s="28">
        <v>12.4</v>
      </c>
      <c r="T104" s="38">
        <v>1.0</v>
      </c>
      <c r="U104" s="28">
        <v>12.4</v>
      </c>
      <c r="V104" s="38">
        <v>0.6</v>
      </c>
      <c r="W104" s="28"/>
      <c r="X104" s="34"/>
      <c r="Y104" s="28"/>
      <c r="Z104" s="34"/>
      <c r="AA104" s="28"/>
    </row>
    <row r="105">
      <c r="A105" s="33">
        <v>85.0</v>
      </c>
      <c r="B105" s="33" t="s">
        <v>134</v>
      </c>
      <c r="C105" s="34" t="s">
        <v>42</v>
      </c>
      <c r="D105" s="42">
        <v>32.0</v>
      </c>
      <c r="E105" s="36" t="s">
        <v>183</v>
      </c>
      <c r="F105" s="30"/>
      <c r="G105" s="30">
        <v>17.7</v>
      </c>
      <c r="H105" s="38">
        <v>2.4</v>
      </c>
      <c r="I105" s="34"/>
      <c r="J105" s="28"/>
      <c r="K105" s="34"/>
      <c r="L105" s="28"/>
      <c r="M105" s="34"/>
      <c r="N105" s="39"/>
      <c r="O105" s="28">
        <v>15.0</v>
      </c>
      <c r="P105" s="28">
        <v>0.47</v>
      </c>
      <c r="Q105" s="28">
        <v>17.0</v>
      </c>
      <c r="R105" s="40">
        <v>0.53125</v>
      </c>
      <c r="S105" s="28">
        <v>24.0</v>
      </c>
      <c r="T105" s="38">
        <v>2.0</v>
      </c>
      <c r="U105" s="28">
        <v>24.0</v>
      </c>
      <c r="V105" s="41"/>
      <c r="W105" s="28"/>
      <c r="X105" s="34"/>
      <c r="Y105" s="28"/>
      <c r="Z105" s="34"/>
      <c r="AA105" s="28"/>
    </row>
    <row r="106">
      <c r="A106" s="33">
        <v>85.0</v>
      </c>
      <c r="B106" s="33" t="s">
        <v>134</v>
      </c>
      <c r="C106" s="34" t="s">
        <v>84</v>
      </c>
      <c r="D106" s="35">
        <v>32.0</v>
      </c>
      <c r="E106" s="36" t="s">
        <v>183</v>
      </c>
      <c r="F106" s="30"/>
      <c r="G106" s="30">
        <v>17.7</v>
      </c>
      <c r="H106" s="38">
        <v>2.4</v>
      </c>
      <c r="I106" s="34"/>
      <c r="J106" s="28"/>
      <c r="K106" s="34"/>
      <c r="L106" s="28"/>
      <c r="M106" s="34"/>
      <c r="N106" s="39"/>
      <c r="O106" s="28">
        <v>13.0</v>
      </c>
      <c r="P106" s="28">
        <v>0.41</v>
      </c>
      <c r="Q106" s="28">
        <v>19.0</v>
      </c>
      <c r="R106" s="40">
        <v>0.59375</v>
      </c>
      <c r="S106" s="28">
        <v>24.0</v>
      </c>
      <c r="T106" s="38">
        <v>2.0</v>
      </c>
      <c r="U106" s="28">
        <v>24.0</v>
      </c>
      <c r="V106" s="41"/>
      <c r="W106" s="28"/>
      <c r="X106" s="34"/>
      <c r="Y106" s="28"/>
      <c r="Z106" s="34"/>
      <c r="AA106" s="28"/>
    </row>
    <row r="107">
      <c r="A107" s="33">
        <v>87.0</v>
      </c>
      <c r="B107" s="33" t="s">
        <v>255</v>
      </c>
      <c r="C107" s="34" t="s">
        <v>42</v>
      </c>
      <c r="D107" s="35">
        <v>283.0</v>
      </c>
      <c r="E107" s="36" t="s">
        <v>183</v>
      </c>
      <c r="F107" s="30"/>
      <c r="G107" s="30">
        <v>24.8</v>
      </c>
      <c r="H107" s="38">
        <v>4.4</v>
      </c>
      <c r="I107" s="34"/>
      <c r="J107" s="28"/>
      <c r="K107" s="34"/>
      <c r="L107" s="28"/>
      <c r="M107" s="34"/>
      <c r="N107" s="39"/>
      <c r="O107" s="28">
        <v>214.0</v>
      </c>
      <c r="P107" s="28">
        <v>0.76</v>
      </c>
      <c r="Q107" s="28">
        <v>69.0</v>
      </c>
      <c r="R107" s="40">
        <v>0.24381625441696114</v>
      </c>
      <c r="S107" s="28">
        <v>61.5</v>
      </c>
      <c r="T107" s="38">
        <v>5.1</v>
      </c>
      <c r="U107" s="28">
        <v>61.5</v>
      </c>
      <c r="V107" s="38"/>
      <c r="W107" s="28">
        <v>52.0</v>
      </c>
      <c r="X107" s="34"/>
      <c r="Y107" s="28"/>
      <c r="Z107" s="34"/>
      <c r="AA107" s="28"/>
    </row>
    <row r="108">
      <c r="A108" s="33">
        <v>87.0</v>
      </c>
      <c r="B108" s="33" t="s">
        <v>255</v>
      </c>
      <c r="C108" s="34" t="s">
        <v>84</v>
      </c>
      <c r="D108" s="42">
        <v>273.0</v>
      </c>
      <c r="E108" s="36" t="s">
        <v>183</v>
      </c>
      <c r="F108" s="30"/>
      <c r="G108" s="30">
        <v>25.2</v>
      </c>
      <c r="H108" s="38">
        <v>4.6</v>
      </c>
      <c r="I108" s="34"/>
      <c r="J108" s="28"/>
      <c r="K108" s="34"/>
      <c r="L108" s="28"/>
      <c r="M108" s="34"/>
      <c r="N108" s="39"/>
      <c r="O108" s="28">
        <v>233.0</v>
      </c>
      <c r="P108" s="28">
        <v>0.85</v>
      </c>
      <c r="Q108" s="28">
        <v>40.0</v>
      </c>
      <c r="R108" s="40">
        <v>0.14652014652014653</v>
      </c>
      <c r="S108" s="28">
        <v>63.9</v>
      </c>
      <c r="T108" s="38">
        <v>5.3</v>
      </c>
      <c r="U108" s="28">
        <v>63.9</v>
      </c>
      <c r="V108" s="38"/>
      <c r="W108" s="28">
        <v>52.0</v>
      </c>
      <c r="X108" s="34"/>
      <c r="Y108" s="28"/>
      <c r="Z108" s="34"/>
      <c r="AA108" s="28"/>
    </row>
    <row r="109">
      <c r="A109" s="33">
        <v>89.0</v>
      </c>
      <c r="B109" s="33" t="s">
        <v>139</v>
      </c>
      <c r="C109" s="34" t="s">
        <v>84</v>
      </c>
      <c r="D109" s="35">
        <v>16.0</v>
      </c>
      <c r="E109" s="36" t="s">
        <v>183</v>
      </c>
      <c r="F109" s="30"/>
      <c r="G109" s="30">
        <v>28.31</v>
      </c>
      <c r="H109" s="38">
        <v>8.55</v>
      </c>
      <c r="I109" s="34"/>
      <c r="J109" s="28"/>
      <c r="K109" s="34"/>
      <c r="L109" s="28"/>
      <c r="M109" s="34"/>
      <c r="N109" s="39"/>
      <c r="O109" s="28">
        <v>13.0</v>
      </c>
      <c r="P109" s="28">
        <v>0.81</v>
      </c>
      <c r="Q109" s="28">
        <v>3.0</v>
      </c>
      <c r="R109" s="40">
        <v>0.1875</v>
      </c>
      <c r="S109" s="28">
        <v>24.0</v>
      </c>
      <c r="T109" s="38">
        <v>2.0</v>
      </c>
      <c r="U109" s="28">
        <v>24.0</v>
      </c>
      <c r="V109" s="41"/>
      <c r="W109" s="28">
        <v>24.0</v>
      </c>
      <c r="X109" s="34"/>
      <c r="Y109" s="28"/>
      <c r="Z109" s="34"/>
      <c r="AA109" s="28"/>
    </row>
    <row r="110">
      <c r="A110" s="33">
        <v>89.0</v>
      </c>
      <c r="B110" s="33" t="s">
        <v>139</v>
      </c>
      <c r="C110" s="34" t="s">
        <v>200</v>
      </c>
      <c r="D110" s="35">
        <v>17.0</v>
      </c>
      <c r="E110" s="36" t="s">
        <v>183</v>
      </c>
      <c r="F110" s="30"/>
      <c r="G110" s="30">
        <v>28.06</v>
      </c>
      <c r="H110" s="38">
        <v>6.24</v>
      </c>
      <c r="I110" s="34"/>
      <c r="J110" s="28"/>
      <c r="K110" s="34"/>
      <c r="L110" s="28"/>
      <c r="M110" s="34"/>
      <c r="N110" s="39"/>
      <c r="O110" s="28">
        <v>17.0</v>
      </c>
      <c r="P110" s="28">
        <v>1.0</v>
      </c>
      <c r="Q110" s="28">
        <v>0.0</v>
      </c>
      <c r="R110" s="40">
        <v>0.0</v>
      </c>
      <c r="S110" s="28">
        <v>24.0</v>
      </c>
      <c r="T110" s="38">
        <v>2.0</v>
      </c>
      <c r="U110" s="28">
        <v>24.0</v>
      </c>
      <c r="V110" s="41"/>
      <c r="W110" s="28">
        <v>24.0</v>
      </c>
      <c r="X110" s="34"/>
      <c r="Y110" s="28"/>
      <c r="Z110" s="34"/>
      <c r="AA110" s="28"/>
    </row>
    <row r="111">
      <c r="A111" s="33">
        <v>90.0</v>
      </c>
      <c r="B111" s="33" t="s">
        <v>141</v>
      </c>
      <c r="C111" s="34" t="s">
        <v>42</v>
      </c>
      <c r="D111" s="35">
        <v>32.0</v>
      </c>
      <c r="E111" s="36" t="s">
        <v>183</v>
      </c>
      <c r="F111" s="30"/>
      <c r="G111" s="30">
        <v>21.7</v>
      </c>
      <c r="H111" s="38">
        <v>4.597</v>
      </c>
      <c r="I111" s="28">
        <v>18.0</v>
      </c>
      <c r="J111" s="28"/>
      <c r="K111" s="34"/>
      <c r="L111" s="28"/>
      <c r="M111" s="28">
        <v>37.0</v>
      </c>
      <c r="N111" s="39"/>
      <c r="O111" s="28">
        <v>25.0</v>
      </c>
      <c r="P111" s="28">
        <v>0.78</v>
      </c>
      <c r="Q111" s="28">
        <v>7.0</v>
      </c>
      <c r="R111" s="40">
        <v>0.21875</v>
      </c>
      <c r="S111" s="28">
        <v>32.400000000000006</v>
      </c>
      <c r="T111" s="38">
        <v>2.7</v>
      </c>
      <c r="U111" s="28">
        <f>2.7*12</f>
        <v>32.4</v>
      </c>
      <c r="V111" s="41">
        <f>CI_SD(32,3.1,2.2)*12</f>
        <v>15.58521069</v>
      </c>
      <c r="W111" s="28">
        <v>24.0</v>
      </c>
      <c r="X111" s="34"/>
      <c r="Y111" s="28"/>
      <c r="Z111" s="34"/>
      <c r="AA111" s="28"/>
    </row>
    <row r="112">
      <c r="A112" s="33">
        <v>90.0</v>
      </c>
      <c r="B112" s="33" t="s">
        <v>141</v>
      </c>
      <c r="C112" s="34" t="s">
        <v>84</v>
      </c>
      <c r="D112" s="35">
        <v>32.0</v>
      </c>
      <c r="E112" s="36" t="s">
        <v>183</v>
      </c>
      <c r="F112" s="30"/>
      <c r="G112" s="30">
        <v>22.1</v>
      </c>
      <c r="H112" s="38">
        <v>6.532</v>
      </c>
      <c r="I112" s="28">
        <v>17.0</v>
      </c>
      <c r="J112" s="28"/>
      <c r="K112" s="34"/>
      <c r="L112" s="28"/>
      <c r="M112" s="28">
        <v>44.0</v>
      </c>
      <c r="N112" s="39"/>
      <c r="O112" s="28">
        <v>28.0</v>
      </c>
      <c r="P112" s="28">
        <v>0.88</v>
      </c>
      <c r="Q112" s="28">
        <v>4.0</v>
      </c>
      <c r="R112" s="40">
        <v>0.125</v>
      </c>
      <c r="S112" s="28">
        <v>38.400000000000006</v>
      </c>
      <c r="T112" s="38">
        <v>3.2</v>
      </c>
      <c r="U112" s="28">
        <f>3.2*12</f>
        <v>38.4</v>
      </c>
      <c r="V112" s="41">
        <f>CI_SD(32,3.7,2.6)*12</f>
        <v>19.04859084</v>
      </c>
      <c r="W112" s="28">
        <v>24.0</v>
      </c>
      <c r="X112" s="34"/>
      <c r="Y112" s="28"/>
      <c r="Z112" s="34"/>
      <c r="AA112" s="28"/>
    </row>
    <row r="113">
      <c r="A113" s="33">
        <v>93.0</v>
      </c>
      <c r="B113" s="33" t="s">
        <v>260</v>
      </c>
      <c r="C113" s="28" t="s">
        <v>84</v>
      </c>
      <c r="D113" s="35">
        <v>14.0</v>
      </c>
      <c r="E113" s="36" t="s">
        <v>183</v>
      </c>
      <c r="F113" s="30"/>
      <c r="G113" s="30">
        <v>24.4557</v>
      </c>
      <c r="H113" s="38">
        <v>8.2374</v>
      </c>
      <c r="I113" s="28"/>
      <c r="J113" s="28">
        <v>20.0</v>
      </c>
      <c r="K113" s="28">
        <v>23.0</v>
      </c>
      <c r="L113" s="28">
        <v>30.0</v>
      </c>
      <c r="M113" s="28"/>
      <c r="N113" s="39"/>
      <c r="O113" s="28">
        <v>12.0</v>
      </c>
      <c r="P113" s="34">
        <v>0.86</v>
      </c>
      <c r="Q113" s="28">
        <v>3.0</v>
      </c>
      <c r="R113" s="40">
        <v>0.21428571428571427</v>
      </c>
      <c r="S113" s="28">
        <v>12.0</v>
      </c>
      <c r="T113" s="38">
        <v>1.0</v>
      </c>
      <c r="U113" s="28"/>
      <c r="V113" s="41"/>
      <c r="W113" s="28">
        <v>12.0</v>
      </c>
      <c r="X113" s="34"/>
      <c r="Y113" s="28"/>
      <c r="Z113" s="34"/>
      <c r="AA113" s="28"/>
    </row>
    <row r="114">
      <c r="A114" s="33">
        <v>93.0</v>
      </c>
      <c r="B114" s="33" t="s">
        <v>260</v>
      </c>
      <c r="C114" s="34" t="s">
        <v>200</v>
      </c>
      <c r="D114" s="35">
        <v>14.0</v>
      </c>
      <c r="E114" s="36" t="s">
        <v>183</v>
      </c>
      <c r="F114" s="30"/>
      <c r="G114" s="30">
        <v>24.4557</v>
      </c>
      <c r="H114" s="38">
        <v>9.0612</v>
      </c>
      <c r="I114" s="28"/>
      <c r="J114" s="28">
        <v>19.5</v>
      </c>
      <c r="K114" s="28">
        <v>23.0</v>
      </c>
      <c r="L114" s="28">
        <v>30.5</v>
      </c>
      <c r="M114" s="28"/>
      <c r="N114" s="39"/>
      <c r="O114" s="28">
        <v>11.0</v>
      </c>
      <c r="P114" s="34">
        <v>0.79</v>
      </c>
      <c r="Q114" s="28">
        <v>3.0</v>
      </c>
      <c r="R114" s="40">
        <v>0.21428571428571427</v>
      </c>
      <c r="S114" s="28">
        <v>12.0</v>
      </c>
      <c r="T114" s="38">
        <v>1.0</v>
      </c>
      <c r="U114" s="28"/>
      <c r="V114" s="41"/>
      <c r="W114" s="28">
        <v>12.0</v>
      </c>
      <c r="X114" s="34"/>
      <c r="Y114" s="28"/>
      <c r="Z114" s="34"/>
      <c r="AA114" s="28"/>
    </row>
    <row r="115">
      <c r="A115" s="33">
        <v>95.0</v>
      </c>
      <c r="B115" s="33" t="s">
        <v>145</v>
      </c>
      <c r="C115" s="34" t="s">
        <v>42</v>
      </c>
      <c r="D115" s="35">
        <v>28.0</v>
      </c>
      <c r="E115" s="36" t="s">
        <v>183</v>
      </c>
      <c r="F115" s="30"/>
      <c r="G115" s="30">
        <v>26.0</v>
      </c>
      <c r="H115" s="38">
        <v>6.3</v>
      </c>
      <c r="I115" s="34"/>
      <c r="J115" s="28"/>
      <c r="K115" s="34"/>
      <c r="L115" s="28"/>
      <c r="M115" s="34"/>
      <c r="N115" s="39"/>
      <c r="O115" s="28">
        <v>20.0</v>
      </c>
      <c r="P115" s="28">
        <v>0.71</v>
      </c>
      <c r="Q115" s="28">
        <v>8.0</v>
      </c>
      <c r="R115" s="40">
        <v>0.2857142857142857</v>
      </c>
      <c r="S115" s="28">
        <v>24.0</v>
      </c>
      <c r="T115" s="38">
        <v>2.0</v>
      </c>
      <c r="U115" s="28">
        <v>24.0</v>
      </c>
      <c r="V115" s="41"/>
      <c r="W115" s="28"/>
      <c r="X115" s="34"/>
      <c r="Y115" s="28"/>
      <c r="Z115" s="34"/>
      <c r="AA115" s="28"/>
    </row>
    <row r="116">
      <c r="A116" s="33">
        <v>95.0</v>
      </c>
      <c r="B116" s="33" t="s">
        <v>145</v>
      </c>
      <c r="C116" s="34" t="s">
        <v>84</v>
      </c>
      <c r="D116" s="35">
        <v>33.0</v>
      </c>
      <c r="E116" s="36" t="s">
        <v>183</v>
      </c>
      <c r="F116" s="30"/>
      <c r="G116" s="30">
        <v>27.0</v>
      </c>
      <c r="H116" s="38">
        <v>6.1</v>
      </c>
      <c r="I116" s="34"/>
      <c r="J116" s="28"/>
      <c r="K116" s="34"/>
      <c r="L116" s="28"/>
      <c r="M116" s="34"/>
      <c r="N116" s="39"/>
      <c r="O116" s="28">
        <v>23.0</v>
      </c>
      <c r="P116" s="28">
        <v>0.7</v>
      </c>
      <c r="Q116" s="28">
        <v>10.0</v>
      </c>
      <c r="R116" s="40">
        <v>0.30303030303030304</v>
      </c>
      <c r="S116" s="28">
        <v>24.0</v>
      </c>
      <c r="T116" s="38">
        <v>2.0</v>
      </c>
      <c r="U116" s="28">
        <v>24.0</v>
      </c>
      <c r="V116" s="41"/>
      <c r="W116" s="28"/>
      <c r="X116" s="34"/>
      <c r="Y116" s="28"/>
      <c r="Z116" s="34"/>
      <c r="AA116" s="28"/>
    </row>
    <row r="117">
      <c r="A117" s="33">
        <v>96.0</v>
      </c>
      <c r="B117" s="33" t="s">
        <v>147</v>
      </c>
      <c r="C117" s="34" t="s">
        <v>42</v>
      </c>
      <c r="D117" s="35">
        <v>31.0</v>
      </c>
      <c r="E117" s="36" t="s">
        <v>183</v>
      </c>
      <c r="F117" s="30"/>
      <c r="G117" s="30">
        <v>29.87</v>
      </c>
      <c r="H117" s="38">
        <v>7.304</v>
      </c>
      <c r="I117" s="28">
        <v>25.0</v>
      </c>
      <c r="J117" s="28"/>
      <c r="K117" s="34"/>
      <c r="L117" s="28"/>
      <c r="M117" s="28">
        <v>55.0</v>
      </c>
      <c r="N117" s="39"/>
      <c r="O117" s="28">
        <v>19.0</v>
      </c>
      <c r="P117" s="28">
        <v>0.61</v>
      </c>
      <c r="Q117" s="28">
        <v>12.0</v>
      </c>
      <c r="R117" s="40">
        <v>0.3870967741935484</v>
      </c>
      <c r="S117" s="28">
        <v>108.0</v>
      </c>
      <c r="T117" s="38">
        <v>9.0</v>
      </c>
      <c r="U117" s="28">
        <f>12*9</f>
        <v>108</v>
      </c>
      <c r="V117" s="41"/>
      <c r="W117" s="28"/>
      <c r="X117" s="34"/>
      <c r="Y117" s="28"/>
      <c r="Z117" s="34"/>
      <c r="AA117" s="28"/>
    </row>
    <row r="118">
      <c r="A118" s="33">
        <v>96.0</v>
      </c>
      <c r="B118" s="33" t="s">
        <v>147</v>
      </c>
      <c r="C118" s="34" t="s">
        <v>84</v>
      </c>
      <c r="D118" s="35">
        <v>31.0</v>
      </c>
      <c r="E118" s="36" t="s">
        <v>183</v>
      </c>
      <c r="F118" s="30"/>
      <c r="G118" s="30">
        <v>34.23</v>
      </c>
      <c r="H118" s="38">
        <v>9.251</v>
      </c>
      <c r="I118" s="28">
        <v>26.0</v>
      </c>
      <c r="J118" s="28"/>
      <c r="K118" s="34"/>
      <c r="L118" s="28"/>
      <c r="M118" s="28">
        <v>64.0</v>
      </c>
      <c r="N118" s="39"/>
      <c r="O118" s="28">
        <v>18.0</v>
      </c>
      <c r="P118" s="28">
        <v>0.58</v>
      </c>
      <c r="Q118" s="28">
        <v>13.0</v>
      </c>
      <c r="R118" s="40">
        <v>0.41935483870967744</v>
      </c>
      <c r="S118" s="28">
        <v>108.0</v>
      </c>
      <c r="T118" s="38">
        <v>9.0</v>
      </c>
      <c r="U118" s="28">
        <v>108.0</v>
      </c>
      <c r="V118" s="41"/>
      <c r="W118" s="28"/>
      <c r="X118" s="34"/>
      <c r="Y118" s="28"/>
      <c r="Z118" s="34"/>
      <c r="AA118" s="28"/>
    </row>
    <row r="119">
      <c r="A119" s="33">
        <v>97.0</v>
      </c>
      <c r="B119" s="33" t="s">
        <v>149</v>
      </c>
      <c r="C119" s="34" t="s">
        <v>84</v>
      </c>
      <c r="D119" s="42">
        <v>36.0</v>
      </c>
      <c r="E119" s="36" t="s">
        <v>183</v>
      </c>
      <c r="F119" s="30"/>
      <c r="G119" s="30">
        <v>30.06</v>
      </c>
      <c r="H119" s="38">
        <v>8.87</v>
      </c>
      <c r="I119" s="34"/>
      <c r="J119" s="28"/>
      <c r="K119" s="34"/>
      <c r="L119" s="28"/>
      <c r="M119" s="34"/>
      <c r="N119" s="39"/>
      <c r="O119" s="28">
        <v>32.0</v>
      </c>
      <c r="P119" s="28">
        <v>0.89</v>
      </c>
      <c r="Q119" s="28">
        <v>4.0</v>
      </c>
      <c r="R119" s="40">
        <v>0.1111111111111111</v>
      </c>
      <c r="S119" s="28">
        <v>12.0</v>
      </c>
      <c r="T119" s="38">
        <v>1.0</v>
      </c>
      <c r="U119" s="28">
        <v>12.0</v>
      </c>
      <c r="V119" s="41"/>
      <c r="W119" s="28"/>
      <c r="X119" s="34"/>
      <c r="Y119" s="28"/>
      <c r="Z119" s="34"/>
      <c r="AA119" s="28"/>
    </row>
    <row r="120">
      <c r="A120" s="33">
        <v>97.0</v>
      </c>
      <c r="B120" s="33" t="s">
        <v>149</v>
      </c>
      <c r="C120" s="34" t="s">
        <v>200</v>
      </c>
      <c r="D120" s="42">
        <v>33.0</v>
      </c>
      <c r="E120" s="36" t="s">
        <v>183</v>
      </c>
      <c r="F120" s="30"/>
      <c r="G120" s="30">
        <v>28.73</v>
      </c>
      <c r="H120" s="38">
        <v>8.8</v>
      </c>
      <c r="I120" s="34"/>
      <c r="J120" s="28"/>
      <c r="K120" s="34"/>
      <c r="L120" s="28"/>
      <c r="M120" s="34"/>
      <c r="N120" s="39"/>
      <c r="O120" s="28">
        <v>30.0</v>
      </c>
      <c r="P120" s="28">
        <v>0.91</v>
      </c>
      <c r="Q120" s="28">
        <v>3.0</v>
      </c>
      <c r="R120" s="40">
        <v>0.09090909090909091</v>
      </c>
      <c r="S120" s="28">
        <v>12.0</v>
      </c>
      <c r="T120" s="38">
        <v>1.0</v>
      </c>
      <c r="U120" s="28">
        <v>12.0</v>
      </c>
      <c r="V120" s="41"/>
      <c r="W120" s="28"/>
      <c r="X120" s="34"/>
      <c r="Y120" s="28"/>
      <c r="Z120" s="34"/>
      <c r="AA120" s="28"/>
    </row>
    <row r="121">
      <c r="A121" s="33">
        <v>98.0</v>
      </c>
      <c r="B121" s="33" t="s">
        <v>152</v>
      </c>
      <c r="C121" s="34" t="s">
        <v>84</v>
      </c>
      <c r="D121" s="42">
        <v>68.0</v>
      </c>
      <c r="E121" s="36" t="s">
        <v>183</v>
      </c>
      <c r="F121" s="30"/>
      <c r="G121" s="30">
        <v>30.0</v>
      </c>
      <c r="H121" s="38">
        <v>9.961</v>
      </c>
      <c r="I121" s="28">
        <v>15.0</v>
      </c>
      <c r="J121" s="28"/>
      <c r="K121" s="28">
        <v>30.0</v>
      </c>
      <c r="L121" s="28"/>
      <c r="M121" s="28">
        <v>62.0</v>
      </c>
      <c r="N121" s="39"/>
      <c r="O121" s="28">
        <v>61.0</v>
      </c>
      <c r="P121" s="28">
        <v>0.9</v>
      </c>
      <c r="Q121" s="28">
        <v>7.0</v>
      </c>
      <c r="R121" s="40">
        <v>0.10294117647058823</v>
      </c>
      <c r="S121" s="28">
        <v>32.8</v>
      </c>
      <c r="T121" s="38">
        <v>2.7</v>
      </c>
      <c r="U121" s="28">
        <v>32.8</v>
      </c>
      <c r="V121" s="38">
        <f t="shared" ref="V121:V124" si="9">if(W121&lt;&gt;"",RANGE_SD(Q121,W121,AA121),"")</f>
        <v>8.575</v>
      </c>
      <c r="W121" s="28">
        <v>28.7</v>
      </c>
      <c r="X121" s="34"/>
      <c r="Y121" s="28"/>
      <c r="Z121" s="34"/>
      <c r="AA121" s="28">
        <v>52.1</v>
      </c>
    </row>
    <row r="122">
      <c r="A122" s="33">
        <v>98.0</v>
      </c>
      <c r="B122" s="33" t="s">
        <v>152</v>
      </c>
      <c r="C122" s="34" t="s">
        <v>205</v>
      </c>
      <c r="D122" s="42">
        <v>64.0</v>
      </c>
      <c r="E122" s="36" t="s">
        <v>183</v>
      </c>
      <c r="F122" s="30"/>
      <c r="G122" s="30">
        <v>24.0</v>
      </c>
      <c r="H122" s="38">
        <v>8.345</v>
      </c>
      <c r="I122" s="28">
        <v>13.0</v>
      </c>
      <c r="J122" s="28"/>
      <c r="K122" s="28">
        <v>24.0</v>
      </c>
      <c r="L122" s="28"/>
      <c r="M122" s="28">
        <v>52.0</v>
      </c>
      <c r="N122" s="39"/>
      <c r="O122" s="28">
        <v>59.0</v>
      </c>
      <c r="P122" s="28">
        <v>0.92</v>
      </c>
      <c r="Q122" s="28">
        <v>5.0</v>
      </c>
      <c r="R122" s="40">
        <v>0.078125</v>
      </c>
      <c r="S122" s="28">
        <v>34.5</v>
      </c>
      <c r="T122" s="38">
        <v>2.9</v>
      </c>
      <c r="U122" s="28">
        <v>34.5</v>
      </c>
      <c r="V122" s="38">
        <f t="shared" si="9"/>
        <v>14.494</v>
      </c>
      <c r="W122" s="28">
        <v>25.3</v>
      </c>
      <c r="X122" s="34"/>
      <c r="Y122" s="28"/>
      <c r="Z122" s="34"/>
      <c r="AA122" s="28">
        <v>59.5</v>
      </c>
    </row>
    <row r="123">
      <c r="A123" s="33">
        <v>100.0</v>
      </c>
      <c r="B123" s="33" t="s">
        <v>154</v>
      </c>
      <c r="C123" s="34" t="s">
        <v>42</v>
      </c>
      <c r="D123" s="35">
        <v>39.0</v>
      </c>
      <c r="E123" s="36" t="s">
        <v>183</v>
      </c>
      <c r="F123" s="30"/>
      <c r="G123" s="30">
        <v>26.0</v>
      </c>
      <c r="H123" s="38">
        <v>9.5</v>
      </c>
      <c r="I123" s="34"/>
      <c r="J123" s="28"/>
      <c r="K123" s="34"/>
      <c r="L123" s="28"/>
      <c r="M123" s="34"/>
      <c r="N123" s="39"/>
      <c r="O123" s="28">
        <v>20.0</v>
      </c>
      <c r="P123" s="28">
        <v>0.51</v>
      </c>
      <c r="Q123" s="28">
        <v>19.0</v>
      </c>
      <c r="R123" s="40">
        <v>0.48717948717948717</v>
      </c>
      <c r="S123" s="28">
        <v>103.19999999999999</v>
      </c>
      <c r="T123" s="38">
        <v>8.6</v>
      </c>
      <c r="U123" s="28">
        <f t="shared" ref="U123:U124" si="10">8.6*12</f>
        <v>103.2</v>
      </c>
      <c r="V123" s="41">
        <f t="shared" si="9"/>
        <v>6.502</v>
      </c>
      <c r="W123" s="28">
        <f>8*12</f>
        <v>96</v>
      </c>
      <c r="X123" s="34"/>
      <c r="Y123" s="28"/>
      <c r="Z123" s="34"/>
      <c r="AA123" s="28">
        <v>120.0</v>
      </c>
    </row>
    <row r="124">
      <c r="A124" s="33">
        <v>100.0</v>
      </c>
      <c r="B124" s="33" t="s">
        <v>154</v>
      </c>
      <c r="C124" s="34" t="s">
        <v>84</v>
      </c>
      <c r="D124" s="35">
        <v>40.0</v>
      </c>
      <c r="E124" s="36" t="s">
        <v>183</v>
      </c>
      <c r="F124" s="30"/>
      <c r="G124" s="30">
        <v>27.0</v>
      </c>
      <c r="H124" s="38">
        <v>9.0</v>
      </c>
      <c r="I124" s="34"/>
      <c r="J124" s="28"/>
      <c r="K124" s="34"/>
      <c r="L124" s="28"/>
      <c r="M124" s="34"/>
      <c r="N124" s="39"/>
      <c r="O124" s="28">
        <v>22.0</v>
      </c>
      <c r="P124" s="28">
        <v>0.55</v>
      </c>
      <c r="Q124" s="28">
        <v>18.0</v>
      </c>
      <c r="R124" s="40">
        <v>0.45</v>
      </c>
      <c r="S124" s="28">
        <v>103.19999999999999</v>
      </c>
      <c r="T124" s="38">
        <v>8.6</v>
      </c>
      <c r="U124" s="28">
        <f t="shared" si="10"/>
        <v>103.2</v>
      </c>
      <c r="V124" s="41">
        <f t="shared" si="9"/>
        <v>6.587</v>
      </c>
      <c r="W124" s="28">
        <v>96.0</v>
      </c>
      <c r="X124" s="34"/>
      <c r="Y124" s="28"/>
      <c r="Z124" s="34"/>
      <c r="AA124" s="28">
        <v>120.0</v>
      </c>
    </row>
    <row r="125">
      <c r="A125" s="58"/>
      <c r="B125" s="58"/>
      <c r="C125" s="59"/>
      <c r="D125" s="60"/>
      <c r="E125" s="61"/>
      <c r="F125" s="62"/>
      <c r="G125" s="62"/>
      <c r="H125" s="62"/>
      <c r="I125" s="59"/>
      <c r="J125" s="60"/>
      <c r="K125" s="59"/>
      <c r="L125" s="60"/>
      <c r="M125" s="59"/>
      <c r="N125" s="63"/>
      <c r="O125" s="60"/>
      <c r="P125" s="60"/>
      <c r="Q125" s="60"/>
      <c r="R125" s="60"/>
      <c r="S125" s="28" t="str">
        <f t="shared" ref="S125:S126" si="11">if(U125&gt;0,U125,W125)</f>
        <v/>
      </c>
      <c r="T125" s="60"/>
      <c r="U125" s="60"/>
      <c r="V125" s="64"/>
      <c r="W125" s="60"/>
      <c r="X125" s="59"/>
      <c r="Y125" s="60"/>
      <c r="Z125" s="59"/>
      <c r="AA125" s="60"/>
    </row>
    <row r="126">
      <c r="A126" s="58"/>
      <c r="B126" s="58"/>
      <c r="C126" s="59"/>
      <c r="D126" s="60"/>
      <c r="E126" s="61"/>
      <c r="F126" s="62"/>
      <c r="G126" s="62"/>
      <c r="H126" s="62"/>
      <c r="I126" s="59"/>
      <c r="J126" s="60"/>
      <c r="K126" s="59"/>
      <c r="L126" s="60"/>
      <c r="M126" s="59"/>
      <c r="N126" s="63"/>
      <c r="O126" s="60"/>
      <c r="P126" s="60"/>
      <c r="Q126" s="60"/>
      <c r="R126" s="60"/>
      <c r="S126" s="28" t="str">
        <f t="shared" si="11"/>
        <v/>
      </c>
      <c r="T126" s="60"/>
      <c r="U126" s="60"/>
      <c r="V126" s="64"/>
      <c r="W126" s="60"/>
      <c r="X126" s="59"/>
      <c r="Y126" s="60"/>
      <c r="Z126" s="59"/>
      <c r="AA126" s="60"/>
    </row>
    <row r="127">
      <c r="A127" s="58"/>
      <c r="B127" s="58"/>
      <c r="C127" s="59"/>
      <c r="D127" s="60"/>
      <c r="E127" s="61"/>
      <c r="F127" s="62"/>
      <c r="G127" s="62"/>
      <c r="H127" s="62"/>
      <c r="I127" s="59"/>
      <c r="J127" s="60"/>
      <c r="K127" s="59"/>
      <c r="L127" s="60"/>
      <c r="M127" s="59"/>
      <c r="N127" s="63"/>
      <c r="O127" s="60"/>
      <c r="P127" s="60"/>
      <c r="Q127" s="60"/>
      <c r="R127" s="60"/>
      <c r="S127" s="60"/>
      <c r="T127" s="60"/>
      <c r="U127" s="60"/>
      <c r="V127" s="64"/>
      <c r="W127" s="60"/>
      <c r="X127" s="59"/>
      <c r="Y127" s="60"/>
      <c r="Z127" s="59"/>
      <c r="AA127" s="60"/>
    </row>
    <row r="128">
      <c r="A128" s="58"/>
      <c r="B128" s="58"/>
      <c r="C128" s="59"/>
      <c r="D128" s="60"/>
      <c r="E128" s="61"/>
      <c r="F128" s="62"/>
      <c r="G128" s="62"/>
      <c r="H128" s="62"/>
      <c r="I128" s="59"/>
      <c r="J128" s="60"/>
      <c r="K128" s="59"/>
      <c r="L128" s="60"/>
      <c r="M128" s="59"/>
      <c r="N128" s="63"/>
      <c r="O128" s="60"/>
      <c r="P128" s="60"/>
      <c r="Q128" s="60"/>
      <c r="R128" s="60"/>
      <c r="S128" s="60"/>
      <c r="T128" s="60"/>
      <c r="U128" s="60"/>
      <c r="V128" s="64"/>
      <c r="W128" s="60"/>
      <c r="X128" s="59"/>
      <c r="Y128" s="60"/>
      <c r="Z128" s="59"/>
      <c r="AA128" s="60"/>
    </row>
    <row r="129">
      <c r="A129" s="58"/>
      <c r="B129" s="58"/>
      <c r="C129" s="59"/>
      <c r="D129" s="60"/>
      <c r="E129" s="61"/>
      <c r="F129" s="62"/>
      <c r="G129" s="62"/>
      <c r="H129" s="62"/>
      <c r="I129" s="59"/>
      <c r="J129" s="60"/>
      <c r="K129" s="59"/>
      <c r="L129" s="60"/>
      <c r="M129" s="59"/>
      <c r="N129" s="63"/>
      <c r="O129" s="60"/>
      <c r="P129" s="60"/>
      <c r="Q129" s="60"/>
      <c r="R129" s="60"/>
      <c r="S129" s="60"/>
      <c r="T129" s="60"/>
      <c r="U129" s="60"/>
      <c r="V129" s="64"/>
      <c r="W129" s="60"/>
      <c r="X129" s="59"/>
      <c r="Y129" s="60"/>
      <c r="Z129" s="59"/>
      <c r="AA129" s="60"/>
    </row>
    <row r="130">
      <c r="A130" s="58"/>
      <c r="B130" s="58"/>
      <c r="C130" s="59"/>
      <c r="D130" s="60"/>
      <c r="E130" s="61"/>
      <c r="F130" s="62"/>
      <c r="G130" s="62"/>
      <c r="H130" s="62"/>
      <c r="I130" s="59"/>
      <c r="J130" s="60"/>
      <c r="K130" s="59"/>
      <c r="L130" s="60"/>
      <c r="M130" s="59"/>
      <c r="N130" s="63"/>
      <c r="O130" s="60"/>
      <c r="P130" s="60"/>
      <c r="Q130" s="60"/>
      <c r="R130" s="60"/>
      <c r="S130" s="60"/>
      <c r="T130" s="60"/>
      <c r="U130" s="60"/>
      <c r="V130" s="64"/>
      <c r="W130" s="60"/>
      <c r="X130" s="59"/>
      <c r="Y130" s="60"/>
      <c r="Z130" s="59"/>
      <c r="AA130" s="60"/>
    </row>
    <row r="131">
      <c r="A131" s="58"/>
      <c r="B131" s="58"/>
      <c r="C131" s="59"/>
      <c r="D131" s="60"/>
      <c r="E131" s="61"/>
      <c r="F131" s="62"/>
      <c r="G131" s="62"/>
      <c r="H131" s="62"/>
      <c r="I131" s="59"/>
      <c r="J131" s="60"/>
      <c r="K131" s="59"/>
      <c r="L131" s="60"/>
      <c r="M131" s="59"/>
      <c r="N131" s="63"/>
      <c r="O131" s="60"/>
      <c r="P131" s="60"/>
      <c r="Q131" s="60"/>
      <c r="R131" s="60"/>
      <c r="S131" s="60"/>
      <c r="T131" s="60"/>
      <c r="U131" s="60"/>
      <c r="V131" s="64"/>
      <c r="W131" s="60"/>
      <c r="X131" s="59"/>
      <c r="Y131" s="60"/>
      <c r="Z131" s="59"/>
      <c r="AA131" s="60"/>
    </row>
    <row r="132">
      <c r="A132" s="58"/>
      <c r="B132" s="58"/>
      <c r="C132" s="59"/>
      <c r="D132" s="60"/>
      <c r="E132" s="61"/>
      <c r="F132" s="62"/>
      <c r="G132" s="62"/>
      <c r="H132" s="62"/>
      <c r="I132" s="59"/>
      <c r="J132" s="60"/>
      <c r="K132" s="59"/>
      <c r="L132" s="60"/>
      <c r="M132" s="59"/>
      <c r="N132" s="63"/>
      <c r="O132" s="60"/>
      <c r="P132" s="60"/>
      <c r="Q132" s="60"/>
      <c r="R132" s="60"/>
      <c r="S132" s="60"/>
      <c r="T132" s="60"/>
      <c r="U132" s="60"/>
      <c r="V132" s="64"/>
      <c r="W132" s="60"/>
      <c r="X132" s="59"/>
      <c r="Y132" s="60"/>
      <c r="Z132" s="59"/>
      <c r="AA132" s="60"/>
    </row>
    <row r="133">
      <c r="A133" s="58"/>
      <c r="B133" s="58"/>
      <c r="C133" s="59"/>
      <c r="D133" s="60"/>
      <c r="E133" s="61"/>
      <c r="F133" s="62"/>
      <c r="G133" s="62"/>
      <c r="H133" s="62"/>
      <c r="I133" s="59"/>
      <c r="J133" s="60"/>
      <c r="K133" s="59"/>
      <c r="L133" s="60"/>
      <c r="M133" s="59"/>
      <c r="N133" s="63"/>
      <c r="O133" s="60"/>
      <c r="P133" s="60"/>
      <c r="Q133" s="60"/>
      <c r="R133" s="60"/>
      <c r="S133" s="60"/>
      <c r="T133" s="60"/>
      <c r="U133" s="60"/>
      <c r="V133" s="64"/>
      <c r="W133" s="60"/>
      <c r="X133" s="59"/>
      <c r="Y133" s="60"/>
      <c r="Z133" s="59"/>
      <c r="AA133" s="60"/>
    </row>
    <row r="134">
      <c r="A134" s="58"/>
      <c r="B134" s="58"/>
      <c r="C134" s="59"/>
      <c r="D134" s="60"/>
      <c r="E134" s="61"/>
      <c r="F134" s="62"/>
      <c r="G134" s="62"/>
      <c r="H134" s="62"/>
      <c r="I134" s="59"/>
      <c r="J134" s="60"/>
      <c r="K134" s="59"/>
      <c r="L134" s="60"/>
      <c r="M134" s="59"/>
      <c r="N134" s="63"/>
      <c r="O134" s="60"/>
      <c r="P134" s="60"/>
      <c r="Q134" s="60"/>
      <c r="R134" s="60"/>
      <c r="S134" s="60"/>
      <c r="T134" s="60"/>
      <c r="U134" s="60"/>
      <c r="V134" s="64"/>
      <c r="W134" s="60"/>
      <c r="X134" s="59"/>
      <c r="Y134" s="60"/>
      <c r="Z134" s="59"/>
      <c r="AA134" s="60"/>
    </row>
    <row r="135">
      <c r="A135" s="58"/>
      <c r="B135" s="58"/>
      <c r="C135" s="59"/>
      <c r="D135" s="60"/>
      <c r="E135" s="61"/>
      <c r="F135" s="62"/>
      <c r="G135" s="62"/>
      <c r="H135" s="62"/>
      <c r="I135" s="59"/>
      <c r="J135" s="60"/>
      <c r="K135" s="59"/>
      <c r="L135" s="60"/>
      <c r="M135" s="59"/>
      <c r="N135" s="63"/>
      <c r="O135" s="60"/>
      <c r="P135" s="60"/>
      <c r="Q135" s="60"/>
      <c r="R135" s="60"/>
      <c r="S135" s="60"/>
      <c r="T135" s="60"/>
      <c r="U135" s="60"/>
      <c r="V135" s="64"/>
      <c r="W135" s="60"/>
      <c r="X135" s="59"/>
      <c r="Y135" s="60"/>
      <c r="Z135" s="59"/>
      <c r="AA135" s="60"/>
    </row>
    <row r="136">
      <c r="A136" s="58"/>
      <c r="B136" s="58"/>
      <c r="C136" s="59"/>
      <c r="D136" s="60"/>
      <c r="E136" s="61"/>
      <c r="F136" s="62"/>
      <c r="G136" s="62"/>
      <c r="H136" s="62"/>
      <c r="I136" s="59"/>
      <c r="J136" s="60"/>
      <c r="K136" s="59"/>
      <c r="L136" s="60"/>
      <c r="M136" s="59"/>
      <c r="N136" s="63"/>
      <c r="O136" s="60"/>
      <c r="P136" s="60"/>
      <c r="Q136" s="60"/>
      <c r="R136" s="60"/>
      <c r="S136" s="60"/>
      <c r="T136" s="60"/>
      <c r="U136" s="60"/>
      <c r="V136" s="64"/>
      <c r="W136" s="60"/>
      <c r="X136" s="59"/>
      <c r="Y136" s="60"/>
      <c r="Z136" s="59"/>
      <c r="AA136" s="60"/>
    </row>
    <row r="137">
      <c r="A137" s="58"/>
      <c r="B137" s="58"/>
      <c r="C137" s="59"/>
      <c r="D137" s="60"/>
      <c r="E137" s="61"/>
      <c r="F137" s="62"/>
      <c r="G137" s="62"/>
      <c r="H137" s="62"/>
      <c r="I137" s="59"/>
      <c r="J137" s="60"/>
      <c r="K137" s="59"/>
      <c r="L137" s="60"/>
      <c r="M137" s="59"/>
      <c r="N137" s="63"/>
      <c r="O137" s="60"/>
      <c r="P137" s="60"/>
      <c r="Q137" s="60"/>
      <c r="R137" s="60"/>
      <c r="S137" s="60"/>
      <c r="T137" s="60"/>
      <c r="U137" s="60"/>
      <c r="V137" s="64"/>
      <c r="W137" s="60"/>
      <c r="X137" s="59"/>
      <c r="Y137" s="60"/>
      <c r="Z137" s="59"/>
      <c r="AA137" s="60"/>
    </row>
    <row r="138">
      <c r="A138" s="58"/>
      <c r="B138" s="58"/>
      <c r="C138" s="59"/>
      <c r="D138" s="60"/>
      <c r="E138" s="61"/>
      <c r="F138" s="62"/>
      <c r="G138" s="62"/>
      <c r="H138" s="62"/>
      <c r="I138" s="59"/>
      <c r="J138" s="60"/>
      <c r="K138" s="59"/>
      <c r="L138" s="60"/>
      <c r="M138" s="59"/>
      <c r="N138" s="63"/>
      <c r="O138" s="60"/>
      <c r="P138" s="60"/>
      <c r="Q138" s="60"/>
      <c r="R138" s="60"/>
      <c r="S138" s="60"/>
      <c r="T138" s="60"/>
      <c r="U138" s="60"/>
      <c r="V138" s="64"/>
      <c r="W138" s="60"/>
      <c r="X138" s="59"/>
      <c r="Y138" s="60"/>
      <c r="Z138" s="59"/>
      <c r="AA138" s="60"/>
    </row>
    <row r="139">
      <c r="A139" s="58"/>
      <c r="B139" s="58"/>
      <c r="C139" s="59"/>
      <c r="D139" s="60"/>
      <c r="E139" s="61"/>
      <c r="F139" s="62"/>
      <c r="G139" s="62"/>
      <c r="H139" s="62"/>
      <c r="I139" s="59"/>
      <c r="J139" s="60"/>
      <c r="K139" s="59"/>
      <c r="L139" s="60"/>
      <c r="M139" s="59"/>
      <c r="N139" s="63"/>
      <c r="O139" s="60"/>
      <c r="P139" s="60"/>
      <c r="Q139" s="60"/>
      <c r="R139" s="60"/>
      <c r="S139" s="60"/>
      <c r="T139" s="60"/>
      <c r="U139" s="60"/>
      <c r="V139" s="64"/>
      <c r="W139" s="60"/>
      <c r="X139" s="59"/>
      <c r="Y139" s="60"/>
      <c r="Z139" s="59"/>
      <c r="AA139" s="60"/>
    </row>
    <row r="140">
      <c r="A140" s="58"/>
      <c r="B140" s="58"/>
      <c r="C140" s="59"/>
      <c r="D140" s="60"/>
      <c r="E140" s="61"/>
      <c r="F140" s="62"/>
      <c r="G140" s="62"/>
      <c r="H140" s="62"/>
      <c r="I140" s="59"/>
      <c r="J140" s="60"/>
      <c r="K140" s="59"/>
      <c r="L140" s="60"/>
      <c r="M140" s="59"/>
      <c r="N140" s="63"/>
      <c r="O140" s="60"/>
      <c r="P140" s="60"/>
      <c r="Q140" s="60"/>
      <c r="R140" s="60"/>
      <c r="S140" s="60"/>
      <c r="T140" s="60"/>
      <c r="U140" s="60"/>
      <c r="V140" s="64"/>
      <c r="W140" s="60"/>
      <c r="X140" s="59"/>
      <c r="Y140" s="60"/>
      <c r="Z140" s="59"/>
      <c r="AA140" s="60"/>
    </row>
    <row r="141">
      <c r="A141" s="58"/>
      <c r="B141" s="58"/>
      <c r="C141" s="59"/>
      <c r="D141" s="60"/>
      <c r="E141" s="61"/>
      <c r="F141" s="62"/>
      <c r="G141" s="62"/>
      <c r="H141" s="62"/>
      <c r="I141" s="59"/>
      <c r="J141" s="60"/>
      <c r="K141" s="59"/>
      <c r="L141" s="60"/>
      <c r="M141" s="59"/>
      <c r="N141" s="63"/>
      <c r="O141" s="60"/>
      <c r="P141" s="60"/>
      <c r="Q141" s="60"/>
      <c r="R141" s="60"/>
      <c r="S141" s="60"/>
      <c r="T141" s="60"/>
      <c r="U141" s="60"/>
      <c r="V141" s="64"/>
      <c r="W141" s="60"/>
      <c r="X141" s="59"/>
      <c r="Y141" s="60"/>
      <c r="Z141" s="59"/>
      <c r="AA141" s="60"/>
    </row>
    <row r="142">
      <c r="A142" s="58"/>
      <c r="B142" s="58"/>
      <c r="C142" s="59"/>
      <c r="D142" s="60"/>
      <c r="E142" s="61"/>
      <c r="F142" s="62"/>
      <c r="G142" s="62"/>
      <c r="H142" s="62"/>
      <c r="I142" s="59"/>
      <c r="J142" s="60"/>
      <c r="K142" s="59"/>
      <c r="L142" s="60"/>
      <c r="M142" s="59"/>
      <c r="N142" s="63"/>
      <c r="O142" s="60"/>
      <c r="P142" s="60"/>
      <c r="Q142" s="60"/>
      <c r="R142" s="60"/>
      <c r="S142" s="60"/>
      <c r="T142" s="60"/>
      <c r="U142" s="60"/>
      <c r="V142" s="64"/>
      <c r="W142" s="60"/>
      <c r="X142" s="59"/>
      <c r="Y142" s="60"/>
      <c r="Z142" s="59"/>
      <c r="AA142" s="60"/>
    </row>
    <row r="143">
      <c r="A143" s="58"/>
      <c r="B143" s="58"/>
      <c r="C143" s="59"/>
      <c r="D143" s="60"/>
      <c r="E143" s="61"/>
      <c r="F143" s="62"/>
      <c r="G143" s="62"/>
      <c r="H143" s="62"/>
      <c r="I143" s="59"/>
      <c r="J143" s="60"/>
      <c r="K143" s="59"/>
      <c r="L143" s="60"/>
      <c r="M143" s="59"/>
      <c r="N143" s="63"/>
      <c r="O143" s="60"/>
      <c r="P143" s="60"/>
      <c r="Q143" s="60"/>
      <c r="R143" s="60"/>
      <c r="S143" s="60"/>
      <c r="T143" s="60"/>
      <c r="U143" s="60"/>
      <c r="V143" s="64"/>
      <c r="W143" s="60"/>
      <c r="X143" s="59"/>
      <c r="Y143" s="60"/>
      <c r="Z143" s="59"/>
      <c r="AA143" s="60"/>
    </row>
    <row r="144">
      <c r="A144" s="58"/>
      <c r="B144" s="58"/>
      <c r="C144" s="59"/>
      <c r="D144" s="60"/>
      <c r="E144" s="61"/>
      <c r="F144" s="62"/>
      <c r="G144" s="62"/>
      <c r="H144" s="62"/>
      <c r="I144" s="59"/>
      <c r="J144" s="60"/>
      <c r="K144" s="59"/>
      <c r="L144" s="60"/>
      <c r="M144" s="59"/>
      <c r="N144" s="63"/>
      <c r="O144" s="60"/>
      <c r="P144" s="60"/>
      <c r="Q144" s="60"/>
      <c r="R144" s="60"/>
      <c r="S144" s="60"/>
      <c r="T144" s="60"/>
      <c r="U144" s="60"/>
      <c r="V144" s="64"/>
      <c r="W144" s="60"/>
      <c r="X144" s="59"/>
      <c r="Y144" s="60"/>
      <c r="Z144" s="59"/>
      <c r="AA144" s="60"/>
    </row>
    <row r="145">
      <c r="A145" s="58"/>
      <c r="B145" s="58"/>
      <c r="C145" s="59"/>
      <c r="D145" s="60"/>
      <c r="E145" s="61"/>
      <c r="F145" s="62"/>
      <c r="G145" s="62"/>
      <c r="H145" s="62"/>
      <c r="I145" s="59"/>
      <c r="J145" s="60"/>
      <c r="K145" s="59"/>
      <c r="L145" s="60"/>
      <c r="M145" s="59"/>
      <c r="N145" s="63"/>
      <c r="O145" s="60"/>
      <c r="P145" s="60"/>
      <c r="Q145" s="60"/>
      <c r="R145" s="60"/>
      <c r="S145" s="60"/>
      <c r="T145" s="60"/>
      <c r="U145" s="60"/>
      <c r="V145" s="64"/>
      <c r="W145" s="60"/>
      <c r="X145" s="59"/>
      <c r="Y145" s="60"/>
      <c r="Z145" s="59"/>
      <c r="AA145" s="60"/>
    </row>
    <row r="146">
      <c r="A146" s="58"/>
      <c r="B146" s="58"/>
      <c r="C146" s="59"/>
      <c r="D146" s="60"/>
      <c r="E146" s="61"/>
      <c r="F146" s="62"/>
      <c r="G146" s="62"/>
      <c r="H146" s="62"/>
      <c r="I146" s="59"/>
      <c r="J146" s="60"/>
      <c r="K146" s="59"/>
      <c r="L146" s="60"/>
      <c r="M146" s="59"/>
      <c r="N146" s="63"/>
      <c r="O146" s="60"/>
      <c r="P146" s="60"/>
      <c r="Q146" s="60"/>
      <c r="R146" s="60"/>
      <c r="S146" s="60"/>
      <c r="T146" s="60"/>
      <c r="U146" s="60"/>
      <c r="V146" s="64"/>
      <c r="W146" s="60"/>
      <c r="X146" s="59"/>
      <c r="Y146" s="60"/>
      <c r="Z146" s="59"/>
      <c r="AA146" s="60"/>
    </row>
    <row r="147">
      <c r="A147" s="58"/>
      <c r="B147" s="58"/>
      <c r="C147" s="59"/>
      <c r="D147" s="60"/>
      <c r="E147" s="61"/>
      <c r="F147" s="62"/>
      <c r="G147" s="62"/>
      <c r="H147" s="62"/>
      <c r="I147" s="59"/>
      <c r="J147" s="60"/>
      <c r="K147" s="59"/>
      <c r="L147" s="60"/>
      <c r="M147" s="59"/>
      <c r="N147" s="63"/>
      <c r="O147" s="60"/>
      <c r="P147" s="60"/>
      <c r="Q147" s="60"/>
      <c r="R147" s="60"/>
      <c r="S147" s="60"/>
      <c r="T147" s="60"/>
      <c r="U147" s="60"/>
      <c r="V147" s="64"/>
      <c r="W147" s="60"/>
      <c r="X147" s="59"/>
      <c r="Y147" s="60"/>
      <c r="Z147" s="59"/>
      <c r="AA147" s="60"/>
    </row>
    <row r="148">
      <c r="A148" s="58"/>
      <c r="B148" s="58"/>
      <c r="C148" s="59"/>
      <c r="D148" s="60"/>
      <c r="E148" s="61"/>
      <c r="F148" s="62"/>
      <c r="G148" s="62"/>
      <c r="H148" s="62"/>
      <c r="I148" s="59"/>
      <c r="J148" s="60"/>
      <c r="K148" s="59"/>
      <c r="L148" s="60"/>
      <c r="M148" s="59"/>
      <c r="N148" s="63"/>
      <c r="O148" s="60"/>
      <c r="P148" s="60"/>
      <c r="Q148" s="60"/>
      <c r="R148" s="60"/>
      <c r="S148" s="60"/>
      <c r="T148" s="60"/>
      <c r="U148" s="60"/>
      <c r="V148" s="64"/>
      <c r="W148" s="60"/>
      <c r="X148" s="59"/>
      <c r="Y148" s="60"/>
      <c r="Z148" s="59"/>
      <c r="AA148" s="60"/>
    </row>
    <row r="149">
      <c r="A149" s="58"/>
      <c r="B149" s="58"/>
      <c r="C149" s="59"/>
      <c r="D149" s="60"/>
      <c r="E149" s="61"/>
      <c r="F149" s="62"/>
      <c r="G149" s="62"/>
      <c r="H149" s="62"/>
      <c r="I149" s="59"/>
      <c r="J149" s="60"/>
      <c r="K149" s="59"/>
      <c r="L149" s="60"/>
      <c r="M149" s="59"/>
      <c r="N149" s="63"/>
      <c r="O149" s="60"/>
      <c r="P149" s="60"/>
      <c r="Q149" s="60"/>
      <c r="R149" s="60"/>
      <c r="S149" s="60"/>
      <c r="T149" s="60"/>
      <c r="U149" s="60"/>
      <c r="V149" s="64"/>
      <c r="W149" s="60"/>
      <c r="X149" s="59"/>
      <c r="Y149" s="60"/>
      <c r="Z149" s="59"/>
      <c r="AA149" s="60"/>
    </row>
    <row r="150">
      <c r="A150" s="58"/>
      <c r="B150" s="58"/>
      <c r="C150" s="59"/>
      <c r="D150" s="60"/>
      <c r="E150" s="61"/>
      <c r="F150" s="62"/>
      <c r="G150" s="62"/>
      <c r="H150" s="62"/>
      <c r="I150" s="59"/>
      <c r="J150" s="60"/>
      <c r="K150" s="59"/>
      <c r="L150" s="60"/>
      <c r="M150" s="59"/>
      <c r="N150" s="63"/>
      <c r="O150" s="60"/>
      <c r="P150" s="60"/>
      <c r="Q150" s="60"/>
      <c r="R150" s="60"/>
      <c r="S150" s="60"/>
      <c r="T150" s="60"/>
      <c r="U150" s="60"/>
      <c r="V150" s="64"/>
      <c r="W150" s="60"/>
      <c r="X150" s="59"/>
      <c r="Y150" s="60"/>
      <c r="Z150" s="59"/>
      <c r="AA150" s="60"/>
    </row>
    <row r="151">
      <c r="A151" s="58"/>
      <c r="B151" s="58"/>
      <c r="C151" s="59"/>
      <c r="D151" s="60"/>
      <c r="E151" s="61"/>
      <c r="F151" s="62"/>
      <c r="G151" s="62"/>
      <c r="H151" s="62"/>
      <c r="I151" s="59"/>
      <c r="J151" s="60"/>
      <c r="K151" s="59"/>
      <c r="L151" s="60"/>
      <c r="M151" s="59"/>
      <c r="N151" s="63"/>
      <c r="O151" s="60"/>
      <c r="P151" s="60"/>
      <c r="Q151" s="60"/>
      <c r="R151" s="60"/>
      <c r="S151" s="60"/>
      <c r="T151" s="60"/>
      <c r="U151" s="60"/>
      <c r="V151" s="64"/>
      <c r="W151" s="60"/>
      <c r="X151" s="59"/>
      <c r="Y151" s="60"/>
      <c r="Z151" s="59"/>
      <c r="AA151" s="60"/>
    </row>
    <row r="152">
      <c r="A152" s="58"/>
      <c r="B152" s="58"/>
      <c r="C152" s="59"/>
      <c r="D152" s="60"/>
      <c r="E152" s="61"/>
      <c r="F152" s="62"/>
      <c r="G152" s="62"/>
      <c r="H152" s="62"/>
      <c r="I152" s="59"/>
      <c r="J152" s="60"/>
      <c r="K152" s="59"/>
      <c r="L152" s="60"/>
      <c r="M152" s="59"/>
      <c r="N152" s="63"/>
      <c r="O152" s="60"/>
      <c r="P152" s="60"/>
      <c r="Q152" s="60"/>
      <c r="R152" s="60"/>
      <c r="S152" s="60"/>
      <c r="T152" s="60"/>
      <c r="U152" s="60"/>
      <c r="V152" s="64"/>
      <c r="W152" s="60"/>
      <c r="X152" s="59"/>
      <c r="Y152" s="60"/>
      <c r="Z152" s="59"/>
      <c r="AA152" s="60"/>
    </row>
    <row r="153">
      <c r="A153" s="58"/>
      <c r="B153" s="58"/>
      <c r="C153" s="59"/>
      <c r="D153" s="60"/>
      <c r="E153" s="61"/>
      <c r="F153" s="62"/>
      <c r="G153" s="62"/>
      <c r="H153" s="62"/>
      <c r="I153" s="59"/>
      <c r="J153" s="60"/>
      <c r="K153" s="59"/>
      <c r="L153" s="60"/>
      <c r="M153" s="59"/>
      <c r="N153" s="63"/>
      <c r="O153" s="60"/>
      <c r="P153" s="60"/>
      <c r="Q153" s="60"/>
      <c r="R153" s="60"/>
      <c r="S153" s="60"/>
      <c r="T153" s="60"/>
      <c r="U153" s="60"/>
      <c r="V153" s="64"/>
      <c r="W153" s="60"/>
      <c r="X153" s="59"/>
      <c r="Y153" s="60"/>
      <c r="Z153" s="59"/>
      <c r="AA153" s="60"/>
    </row>
    <row r="154">
      <c r="A154" s="58"/>
      <c r="B154" s="58"/>
      <c r="C154" s="59"/>
      <c r="D154" s="60"/>
      <c r="E154" s="61"/>
      <c r="F154" s="62"/>
      <c r="G154" s="62"/>
      <c r="H154" s="62"/>
      <c r="I154" s="59"/>
      <c r="J154" s="60"/>
      <c r="K154" s="59"/>
      <c r="L154" s="60"/>
      <c r="M154" s="59"/>
      <c r="N154" s="63"/>
      <c r="O154" s="60"/>
      <c r="P154" s="60"/>
      <c r="Q154" s="60"/>
      <c r="R154" s="60"/>
      <c r="S154" s="60"/>
      <c r="T154" s="60"/>
      <c r="U154" s="60"/>
      <c r="V154" s="64"/>
      <c r="W154" s="60"/>
      <c r="X154" s="59"/>
      <c r="Y154" s="60"/>
      <c r="Z154" s="59"/>
      <c r="AA154" s="60"/>
    </row>
    <row r="155">
      <c r="A155" s="58"/>
      <c r="B155" s="58"/>
      <c r="C155" s="59"/>
      <c r="D155" s="60"/>
      <c r="E155" s="61"/>
      <c r="F155" s="62"/>
      <c r="G155" s="62"/>
      <c r="H155" s="62"/>
      <c r="I155" s="59"/>
      <c r="J155" s="60"/>
      <c r="K155" s="59"/>
      <c r="L155" s="60"/>
      <c r="M155" s="59"/>
      <c r="N155" s="63"/>
      <c r="O155" s="60"/>
      <c r="P155" s="60"/>
      <c r="Q155" s="60"/>
      <c r="R155" s="60"/>
      <c r="S155" s="60"/>
      <c r="T155" s="60"/>
      <c r="U155" s="60"/>
      <c r="V155" s="64"/>
      <c r="W155" s="60"/>
      <c r="X155" s="59"/>
      <c r="Y155" s="60"/>
      <c r="Z155" s="59"/>
      <c r="AA155" s="60"/>
    </row>
    <row r="156">
      <c r="A156" s="58"/>
      <c r="B156" s="58"/>
      <c r="C156" s="59"/>
      <c r="D156" s="60"/>
      <c r="E156" s="61"/>
      <c r="F156" s="62"/>
      <c r="G156" s="62"/>
      <c r="H156" s="62"/>
      <c r="I156" s="59"/>
      <c r="J156" s="60"/>
      <c r="K156" s="59"/>
      <c r="L156" s="60"/>
      <c r="M156" s="59"/>
      <c r="N156" s="63"/>
      <c r="O156" s="60"/>
      <c r="P156" s="60"/>
      <c r="Q156" s="60"/>
      <c r="R156" s="60"/>
      <c r="S156" s="60"/>
      <c r="T156" s="60"/>
      <c r="U156" s="60"/>
      <c r="V156" s="64"/>
      <c r="W156" s="60"/>
      <c r="X156" s="59"/>
      <c r="Y156" s="60"/>
      <c r="Z156" s="59"/>
      <c r="AA156" s="60"/>
    </row>
    <row r="157">
      <c r="A157" s="58"/>
      <c r="B157" s="58"/>
      <c r="C157" s="59"/>
      <c r="D157" s="60"/>
      <c r="E157" s="61"/>
      <c r="F157" s="62"/>
      <c r="G157" s="62"/>
      <c r="H157" s="62"/>
      <c r="I157" s="59"/>
      <c r="J157" s="60"/>
      <c r="K157" s="59"/>
      <c r="L157" s="60"/>
      <c r="M157" s="59"/>
      <c r="N157" s="63"/>
      <c r="O157" s="60"/>
      <c r="P157" s="60"/>
      <c r="Q157" s="60"/>
      <c r="R157" s="60"/>
      <c r="S157" s="60"/>
      <c r="T157" s="60"/>
      <c r="U157" s="60"/>
      <c r="V157" s="64"/>
      <c r="W157" s="60"/>
      <c r="X157" s="59"/>
      <c r="Y157" s="60"/>
      <c r="Z157" s="59"/>
      <c r="AA157" s="60"/>
    </row>
    <row r="158">
      <c r="A158" s="58"/>
      <c r="B158" s="58"/>
      <c r="C158" s="59"/>
      <c r="D158" s="60"/>
      <c r="E158" s="61"/>
      <c r="F158" s="62"/>
      <c r="G158" s="62"/>
      <c r="H158" s="62"/>
      <c r="I158" s="59"/>
      <c r="J158" s="60"/>
      <c r="K158" s="59"/>
      <c r="L158" s="60"/>
      <c r="M158" s="59"/>
      <c r="N158" s="63"/>
      <c r="O158" s="60"/>
      <c r="P158" s="60"/>
      <c r="Q158" s="60"/>
      <c r="R158" s="60"/>
      <c r="S158" s="60"/>
      <c r="T158" s="60"/>
      <c r="U158" s="60"/>
      <c r="V158" s="64"/>
      <c r="W158" s="60"/>
      <c r="X158" s="59"/>
      <c r="Y158" s="60"/>
      <c r="Z158" s="59"/>
      <c r="AA158" s="60"/>
    </row>
    <row r="159">
      <c r="A159" s="58"/>
      <c r="B159" s="58"/>
      <c r="C159" s="59"/>
      <c r="D159" s="60"/>
      <c r="E159" s="61"/>
      <c r="F159" s="62"/>
      <c r="G159" s="62"/>
      <c r="H159" s="62"/>
      <c r="I159" s="59"/>
      <c r="J159" s="60"/>
      <c r="K159" s="59"/>
      <c r="L159" s="60"/>
      <c r="M159" s="59"/>
      <c r="N159" s="63"/>
      <c r="O159" s="60"/>
      <c r="P159" s="60"/>
      <c r="Q159" s="60"/>
      <c r="R159" s="60"/>
      <c r="S159" s="60"/>
      <c r="T159" s="60"/>
      <c r="U159" s="60"/>
      <c r="V159" s="64"/>
      <c r="W159" s="60"/>
      <c r="X159" s="59"/>
      <c r="Y159" s="60"/>
      <c r="Z159" s="59"/>
      <c r="AA159" s="60"/>
    </row>
    <row r="160">
      <c r="A160" s="58"/>
      <c r="B160" s="58"/>
      <c r="C160" s="59"/>
      <c r="D160" s="60"/>
      <c r="E160" s="61"/>
      <c r="F160" s="62"/>
      <c r="G160" s="62"/>
      <c r="H160" s="62"/>
      <c r="I160" s="59"/>
      <c r="J160" s="60"/>
      <c r="K160" s="59"/>
      <c r="L160" s="60"/>
      <c r="M160" s="59"/>
      <c r="N160" s="63"/>
      <c r="O160" s="60"/>
      <c r="P160" s="60"/>
      <c r="Q160" s="60"/>
      <c r="R160" s="60"/>
      <c r="S160" s="60"/>
      <c r="T160" s="60"/>
      <c r="U160" s="60"/>
      <c r="V160" s="64"/>
      <c r="W160" s="60"/>
      <c r="X160" s="59"/>
      <c r="Y160" s="60"/>
      <c r="Z160" s="59"/>
      <c r="AA160" s="60"/>
    </row>
    <row r="161">
      <c r="A161" s="58"/>
      <c r="B161" s="58"/>
      <c r="C161" s="59"/>
      <c r="D161" s="60"/>
      <c r="E161" s="61"/>
      <c r="F161" s="62"/>
      <c r="G161" s="62"/>
      <c r="H161" s="62"/>
      <c r="I161" s="59"/>
      <c r="J161" s="60"/>
      <c r="K161" s="59"/>
      <c r="L161" s="60"/>
      <c r="M161" s="59"/>
      <c r="N161" s="63"/>
      <c r="O161" s="60"/>
      <c r="P161" s="60"/>
      <c r="Q161" s="60"/>
      <c r="R161" s="60"/>
      <c r="S161" s="60"/>
      <c r="T161" s="60"/>
      <c r="U161" s="60"/>
      <c r="V161" s="64"/>
      <c r="W161" s="60"/>
      <c r="X161" s="59"/>
      <c r="Y161" s="60"/>
      <c r="Z161" s="59"/>
      <c r="AA161" s="60"/>
    </row>
    <row r="162">
      <c r="A162" s="58"/>
      <c r="B162" s="58"/>
      <c r="C162" s="59"/>
      <c r="D162" s="60"/>
      <c r="E162" s="61"/>
      <c r="F162" s="62"/>
      <c r="G162" s="62"/>
      <c r="H162" s="62"/>
      <c r="I162" s="59"/>
      <c r="J162" s="60"/>
      <c r="K162" s="59"/>
      <c r="L162" s="60"/>
      <c r="M162" s="59"/>
      <c r="N162" s="63"/>
      <c r="O162" s="60"/>
      <c r="P162" s="60"/>
      <c r="Q162" s="60"/>
      <c r="R162" s="60"/>
      <c r="S162" s="60"/>
      <c r="T162" s="60"/>
      <c r="U162" s="60"/>
      <c r="V162" s="64"/>
      <c r="W162" s="60"/>
      <c r="X162" s="59"/>
      <c r="Y162" s="60"/>
      <c r="Z162" s="59"/>
      <c r="AA162" s="60"/>
    </row>
    <row r="163">
      <c r="A163" s="58"/>
      <c r="B163" s="58"/>
      <c r="C163" s="59"/>
      <c r="D163" s="60"/>
      <c r="E163" s="61"/>
      <c r="F163" s="62"/>
      <c r="G163" s="62"/>
      <c r="H163" s="62"/>
      <c r="I163" s="59"/>
      <c r="J163" s="60"/>
      <c r="K163" s="59"/>
      <c r="L163" s="60"/>
      <c r="M163" s="59"/>
      <c r="N163" s="63"/>
      <c r="O163" s="60"/>
      <c r="P163" s="60"/>
      <c r="Q163" s="60"/>
      <c r="R163" s="60"/>
      <c r="S163" s="60"/>
      <c r="T163" s="60"/>
      <c r="U163" s="60"/>
      <c r="V163" s="64"/>
      <c r="W163" s="60"/>
      <c r="X163" s="59"/>
      <c r="Y163" s="60"/>
      <c r="Z163" s="59"/>
      <c r="AA163" s="60"/>
    </row>
    <row r="164">
      <c r="A164" s="58"/>
      <c r="B164" s="58"/>
      <c r="C164" s="59"/>
      <c r="D164" s="60"/>
      <c r="E164" s="61"/>
      <c r="F164" s="62"/>
      <c r="G164" s="62"/>
      <c r="H164" s="62"/>
      <c r="I164" s="59"/>
      <c r="J164" s="60"/>
      <c r="K164" s="59"/>
      <c r="L164" s="60"/>
      <c r="M164" s="59"/>
      <c r="N164" s="63"/>
      <c r="O164" s="60"/>
      <c r="P164" s="60"/>
      <c r="Q164" s="60"/>
      <c r="R164" s="60"/>
      <c r="S164" s="60"/>
      <c r="T164" s="60"/>
      <c r="U164" s="60"/>
      <c r="V164" s="64"/>
      <c r="W164" s="60"/>
      <c r="X164" s="59"/>
      <c r="Y164" s="60"/>
      <c r="Z164" s="59"/>
      <c r="AA164" s="60"/>
    </row>
    <row r="165">
      <c r="A165" s="58"/>
      <c r="B165" s="58"/>
      <c r="C165" s="59"/>
      <c r="D165" s="60"/>
      <c r="E165" s="61"/>
      <c r="F165" s="62"/>
      <c r="G165" s="62"/>
      <c r="H165" s="62"/>
      <c r="I165" s="59"/>
      <c r="J165" s="60"/>
      <c r="K165" s="59"/>
      <c r="L165" s="60"/>
      <c r="M165" s="59"/>
      <c r="N165" s="63"/>
      <c r="O165" s="60"/>
      <c r="P165" s="60"/>
      <c r="Q165" s="60"/>
      <c r="R165" s="60"/>
      <c r="S165" s="60"/>
      <c r="T165" s="60"/>
      <c r="U165" s="60"/>
      <c r="V165" s="64"/>
      <c r="W165" s="60"/>
      <c r="X165" s="59"/>
      <c r="Y165" s="60"/>
      <c r="Z165" s="59"/>
      <c r="AA165" s="60"/>
    </row>
    <row r="166">
      <c r="A166" s="58"/>
      <c r="B166" s="58"/>
      <c r="C166" s="59"/>
      <c r="D166" s="60"/>
      <c r="E166" s="61"/>
      <c r="F166" s="62"/>
      <c r="G166" s="62"/>
      <c r="H166" s="62"/>
      <c r="I166" s="59"/>
      <c r="J166" s="60"/>
      <c r="K166" s="59"/>
      <c r="L166" s="60"/>
      <c r="M166" s="59"/>
      <c r="N166" s="63"/>
      <c r="O166" s="60"/>
      <c r="P166" s="60"/>
      <c r="Q166" s="60"/>
      <c r="R166" s="60"/>
      <c r="S166" s="60"/>
      <c r="T166" s="60"/>
      <c r="U166" s="60"/>
      <c r="V166" s="64"/>
      <c r="W166" s="60"/>
      <c r="X166" s="59"/>
      <c r="Y166" s="60"/>
      <c r="Z166" s="59"/>
      <c r="AA166" s="60"/>
    </row>
    <row r="167">
      <c r="A167" s="58"/>
      <c r="B167" s="58"/>
      <c r="C167" s="59"/>
      <c r="D167" s="60"/>
      <c r="E167" s="61"/>
      <c r="F167" s="62"/>
      <c r="G167" s="62"/>
      <c r="H167" s="62"/>
      <c r="I167" s="59"/>
      <c r="J167" s="60"/>
      <c r="K167" s="59"/>
      <c r="L167" s="60"/>
      <c r="M167" s="59"/>
      <c r="N167" s="63"/>
      <c r="O167" s="60"/>
      <c r="P167" s="60"/>
      <c r="Q167" s="60"/>
      <c r="R167" s="60"/>
      <c r="S167" s="60"/>
      <c r="T167" s="60"/>
      <c r="U167" s="60"/>
      <c r="V167" s="64"/>
      <c r="W167" s="60"/>
      <c r="X167" s="59"/>
      <c r="Y167" s="60"/>
      <c r="Z167" s="59"/>
      <c r="AA167" s="60"/>
    </row>
    <row r="168">
      <c r="A168" s="58"/>
      <c r="B168" s="58"/>
      <c r="C168" s="59"/>
      <c r="D168" s="60"/>
      <c r="E168" s="61"/>
      <c r="F168" s="62"/>
      <c r="G168" s="62"/>
      <c r="H168" s="62"/>
      <c r="I168" s="59"/>
      <c r="J168" s="60"/>
      <c r="K168" s="59"/>
      <c r="L168" s="60"/>
      <c r="M168" s="59"/>
      <c r="N168" s="63"/>
      <c r="O168" s="60"/>
      <c r="P168" s="60"/>
      <c r="Q168" s="60"/>
      <c r="R168" s="60"/>
      <c r="S168" s="60"/>
      <c r="T168" s="60"/>
      <c r="U168" s="60"/>
      <c r="V168" s="64"/>
      <c r="W168" s="60"/>
      <c r="X168" s="59"/>
      <c r="Y168" s="60"/>
      <c r="Z168" s="59"/>
      <c r="AA168" s="60"/>
    </row>
    <row r="169">
      <c r="A169" s="58"/>
      <c r="B169" s="58"/>
      <c r="C169" s="59"/>
      <c r="D169" s="60"/>
      <c r="E169" s="61"/>
      <c r="F169" s="62"/>
      <c r="G169" s="62"/>
      <c r="H169" s="62"/>
      <c r="I169" s="59"/>
      <c r="J169" s="60"/>
      <c r="K169" s="59"/>
      <c r="L169" s="60"/>
      <c r="M169" s="59"/>
      <c r="N169" s="63"/>
      <c r="O169" s="60"/>
      <c r="P169" s="60"/>
      <c r="Q169" s="60"/>
      <c r="R169" s="60"/>
      <c r="S169" s="60"/>
      <c r="T169" s="60"/>
      <c r="U169" s="60"/>
      <c r="V169" s="64"/>
      <c r="W169" s="60"/>
      <c r="X169" s="59"/>
      <c r="Y169" s="60"/>
      <c r="Z169" s="59"/>
      <c r="AA169" s="60"/>
    </row>
    <row r="170">
      <c r="A170" s="58"/>
      <c r="B170" s="58"/>
      <c r="C170" s="59"/>
      <c r="D170" s="60"/>
      <c r="E170" s="61"/>
      <c r="F170" s="62"/>
      <c r="G170" s="62"/>
      <c r="H170" s="62"/>
      <c r="I170" s="59"/>
      <c r="J170" s="60"/>
      <c r="K170" s="59"/>
      <c r="L170" s="60"/>
      <c r="M170" s="59"/>
      <c r="N170" s="63"/>
      <c r="O170" s="60"/>
      <c r="P170" s="60"/>
      <c r="Q170" s="60"/>
      <c r="R170" s="60"/>
      <c r="S170" s="60"/>
      <c r="T170" s="60"/>
      <c r="U170" s="60"/>
      <c r="V170" s="64"/>
      <c r="W170" s="60"/>
      <c r="X170" s="59"/>
      <c r="Y170" s="60"/>
      <c r="Z170" s="59"/>
      <c r="AA170" s="60"/>
    </row>
    <row r="171">
      <c r="A171" s="58"/>
      <c r="B171" s="58"/>
      <c r="C171" s="59"/>
      <c r="D171" s="60"/>
      <c r="E171" s="61"/>
      <c r="F171" s="62"/>
      <c r="G171" s="62"/>
      <c r="H171" s="62"/>
      <c r="I171" s="59"/>
      <c r="J171" s="60"/>
      <c r="K171" s="59"/>
      <c r="L171" s="60"/>
      <c r="M171" s="59"/>
      <c r="N171" s="63"/>
      <c r="O171" s="60"/>
      <c r="P171" s="60"/>
      <c r="Q171" s="60"/>
      <c r="R171" s="60"/>
      <c r="S171" s="60"/>
      <c r="T171" s="60"/>
      <c r="U171" s="60"/>
      <c r="V171" s="64"/>
      <c r="W171" s="60"/>
      <c r="X171" s="59"/>
      <c r="Y171" s="60"/>
      <c r="Z171" s="59"/>
      <c r="AA171" s="60"/>
    </row>
    <row r="172">
      <c r="A172" s="58"/>
      <c r="B172" s="58"/>
      <c r="C172" s="59"/>
      <c r="D172" s="60"/>
      <c r="E172" s="61"/>
      <c r="F172" s="62"/>
      <c r="G172" s="62"/>
      <c r="H172" s="62"/>
      <c r="I172" s="59"/>
      <c r="J172" s="60"/>
      <c r="K172" s="59"/>
      <c r="L172" s="60"/>
      <c r="M172" s="59"/>
      <c r="N172" s="63"/>
      <c r="O172" s="60"/>
      <c r="P172" s="60"/>
      <c r="Q172" s="60"/>
      <c r="R172" s="60"/>
      <c r="S172" s="60"/>
      <c r="T172" s="60"/>
      <c r="U172" s="60"/>
      <c r="V172" s="64"/>
      <c r="W172" s="60"/>
      <c r="X172" s="59"/>
      <c r="Y172" s="60"/>
      <c r="Z172" s="59"/>
      <c r="AA172" s="60"/>
    </row>
    <row r="173">
      <c r="A173" s="58"/>
      <c r="B173" s="58"/>
      <c r="C173" s="59"/>
      <c r="D173" s="60"/>
      <c r="E173" s="61"/>
      <c r="F173" s="62"/>
      <c r="G173" s="62"/>
      <c r="H173" s="62"/>
      <c r="I173" s="59"/>
      <c r="J173" s="60"/>
      <c r="K173" s="59"/>
      <c r="L173" s="60"/>
      <c r="M173" s="59"/>
      <c r="N173" s="63"/>
      <c r="O173" s="60"/>
      <c r="P173" s="60"/>
      <c r="Q173" s="60"/>
      <c r="R173" s="60"/>
      <c r="S173" s="60"/>
      <c r="T173" s="60"/>
      <c r="U173" s="60"/>
      <c r="V173" s="64"/>
      <c r="W173" s="60"/>
      <c r="X173" s="59"/>
      <c r="Y173" s="60"/>
      <c r="Z173" s="59"/>
      <c r="AA173" s="60"/>
    </row>
    <row r="174">
      <c r="A174" s="58"/>
      <c r="B174" s="58"/>
      <c r="C174" s="59"/>
      <c r="D174" s="60"/>
      <c r="E174" s="61"/>
      <c r="F174" s="62"/>
      <c r="G174" s="62"/>
      <c r="H174" s="62"/>
      <c r="I174" s="59"/>
      <c r="J174" s="60"/>
      <c r="K174" s="59"/>
      <c r="L174" s="60"/>
      <c r="M174" s="59"/>
      <c r="N174" s="63"/>
      <c r="O174" s="60"/>
      <c r="P174" s="60"/>
      <c r="Q174" s="60"/>
      <c r="R174" s="60"/>
      <c r="S174" s="60"/>
      <c r="T174" s="60"/>
      <c r="U174" s="60"/>
      <c r="V174" s="64"/>
      <c r="W174" s="60"/>
      <c r="X174" s="59"/>
      <c r="Y174" s="60"/>
      <c r="Z174" s="59"/>
      <c r="AA174" s="60"/>
    </row>
    <row r="175">
      <c r="A175" s="58"/>
      <c r="B175" s="58"/>
      <c r="C175" s="59"/>
      <c r="D175" s="60"/>
      <c r="E175" s="61"/>
      <c r="F175" s="62"/>
      <c r="G175" s="62"/>
      <c r="H175" s="62"/>
      <c r="I175" s="59"/>
      <c r="J175" s="60"/>
      <c r="K175" s="59"/>
      <c r="L175" s="60"/>
      <c r="M175" s="59"/>
      <c r="N175" s="63"/>
      <c r="O175" s="60"/>
      <c r="P175" s="60"/>
      <c r="Q175" s="60"/>
      <c r="R175" s="60"/>
      <c r="S175" s="60"/>
      <c r="T175" s="60"/>
      <c r="U175" s="60"/>
      <c r="V175" s="64"/>
      <c r="W175" s="60"/>
      <c r="X175" s="59"/>
      <c r="Y175" s="60"/>
      <c r="Z175" s="59"/>
      <c r="AA175" s="60"/>
    </row>
    <row r="176">
      <c r="A176" s="58"/>
      <c r="B176" s="58"/>
      <c r="C176" s="59"/>
      <c r="D176" s="60"/>
      <c r="E176" s="61"/>
      <c r="F176" s="62"/>
      <c r="G176" s="62"/>
      <c r="H176" s="62"/>
      <c r="I176" s="59"/>
      <c r="J176" s="60"/>
      <c r="K176" s="59"/>
      <c r="L176" s="60"/>
      <c r="M176" s="59"/>
      <c r="N176" s="63"/>
      <c r="O176" s="60"/>
      <c r="P176" s="60"/>
      <c r="Q176" s="60"/>
      <c r="R176" s="60"/>
      <c r="S176" s="60"/>
      <c r="T176" s="60"/>
      <c r="U176" s="60"/>
      <c r="V176" s="64"/>
      <c r="W176" s="60"/>
      <c r="X176" s="59"/>
      <c r="Y176" s="60"/>
      <c r="Z176" s="59"/>
      <c r="AA176" s="60"/>
    </row>
    <row r="177">
      <c r="A177" s="58"/>
      <c r="B177" s="58"/>
      <c r="C177" s="59"/>
      <c r="D177" s="60"/>
      <c r="E177" s="61"/>
      <c r="F177" s="62"/>
      <c r="G177" s="62"/>
      <c r="H177" s="62"/>
      <c r="I177" s="59"/>
      <c r="J177" s="60"/>
      <c r="K177" s="59"/>
      <c r="L177" s="60"/>
      <c r="M177" s="59"/>
      <c r="N177" s="63"/>
      <c r="O177" s="60"/>
      <c r="P177" s="60"/>
      <c r="Q177" s="60"/>
      <c r="R177" s="60"/>
      <c r="S177" s="60"/>
      <c r="T177" s="60"/>
      <c r="U177" s="60"/>
      <c r="V177" s="64"/>
      <c r="W177" s="60"/>
      <c r="X177" s="59"/>
      <c r="Y177" s="60"/>
      <c r="Z177" s="59"/>
      <c r="AA177" s="60"/>
    </row>
    <row r="178">
      <c r="A178" s="58"/>
      <c r="B178" s="58"/>
      <c r="C178" s="59"/>
      <c r="D178" s="60"/>
      <c r="E178" s="61"/>
      <c r="F178" s="62"/>
      <c r="G178" s="62"/>
      <c r="H178" s="62"/>
      <c r="I178" s="59"/>
      <c r="J178" s="60"/>
      <c r="K178" s="59"/>
      <c r="L178" s="60"/>
      <c r="M178" s="59"/>
      <c r="N178" s="63"/>
      <c r="O178" s="60"/>
      <c r="P178" s="60"/>
      <c r="Q178" s="60"/>
      <c r="R178" s="60"/>
      <c r="S178" s="60"/>
      <c r="T178" s="60"/>
      <c r="U178" s="60"/>
      <c r="V178" s="64"/>
      <c r="W178" s="60"/>
      <c r="X178" s="59"/>
      <c r="Y178" s="60"/>
      <c r="Z178" s="59"/>
      <c r="AA178" s="60"/>
    </row>
    <row r="179">
      <c r="A179" s="58"/>
      <c r="B179" s="58"/>
      <c r="C179" s="59"/>
      <c r="D179" s="60"/>
      <c r="E179" s="61"/>
      <c r="F179" s="62"/>
      <c r="G179" s="62"/>
      <c r="H179" s="62"/>
      <c r="I179" s="59"/>
      <c r="J179" s="60"/>
      <c r="K179" s="59"/>
      <c r="L179" s="60"/>
      <c r="M179" s="59"/>
      <c r="N179" s="63"/>
      <c r="O179" s="60"/>
      <c r="P179" s="60"/>
      <c r="Q179" s="60"/>
      <c r="R179" s="60"/>
      <c r="S179" s="60"/>
      <c r="T179" s="60"/>
      <c r="U179" s="60"/>
      <c r="V179" s="64"/>
      <c r="W179" s="60"/>
      <c r="X179" s="59"/>
      <c r="Y179" s="60"/>
      <c r="Z179" s="59"/>
      <c r="AA179" s="60"/>
    </row>
    <row r="180">
      <c r="A180" s="58"/>
      <c r="B180" s="58"/>
      <c r="C180" s="59"/>
      <c r="D180" s="60"/>
      <c r="E180" s="61"/>
      <c r="F180" s="62"/>
      <c r="G180" s="62"/>
      <c r="H180" s="62"/>
      <c r="I180" s="59"/>
      <c r="J180" s="60"/>
      <c r="K180" s="59"/>
      <c r="L180" s="60"/>
      <c r="M180" s="59"/>
      <c r="N180" s="63"/>
      <c r="O180" s="60"/>
      <c r="P180" s="60"/>
      <c r="Q180" s="60"/>
      <c r="R180" s="60"/>
      <c r="S180" s="60"/>
      <c r="T180" s="60"/>
      <c r="U180" s="60"/>
      <c r="V180" s="64"/>
      <c r="W180" s="60"/>
      <c r="X180" s="59"/>
      <c r="Y180" s="60"/>
      <c r="Z180" s="59"/>
      <c r="AA180" s="60"/>
    </row>
    <row r="181">
      <c r="A181" s="58"/>
      <c r="B181" s="58"/>
      <c r="C181" s="59"/>
      <c r="D181" s="60"/>
      <c r="E181" s="61"/>
      <c r="F181" s="62"/>
      <c r="G181" s="62"/>
      <c r="H181" s="62"/>
      <c r="I181" s="59"/>
      <c r="J181" s="60"/>
      <c r="K181" s="59"/>
      <c r="L181" s="60"/>
      <c r="M181" s="59"/>
      <c r="N181" s="63"/>
      <c r="O181" s="60"/>
      <c r="P181" s="60"/>
      <c r="Q181" s="60"/>
      <c r="R181" s="60"/>
      <c r="S181" s="60"/>
      <c r="T181" s="60"/>
      <c r="U181" s="60"/>
      <c r="V181" s="64"/>
      <c r="W181" s="60"/>
      <c r="X181" s="59"/>
      <c r="Y181" s="60"/>
      <c r="Z181" s="59"/>
      <c r="AA181" s="60"/>
    </row>
    <row r="182">
      <c r="A182" s="58"/>
      <c r="B182" s="58"/>
      <c r="C182" s="59"/>
      <c r="D182" s="60"/>
      <c r="E182" s="61"/>
      <c r="F182" s="62"/>
      <c r="G182" s="62"/>
      <c r="H182" s="62"/>
      <c r="I182" s="59"/>
      <c r="J182" s="60"/>
      <c r="K182" s="59"/>
      <c r="L182" s="60"/>
      <c r="M182" s="59"/>
      <c r="N182" s="63"/>
      <c r="O182" s="60"/>
      <c r="P182" s="60"/>
      <c r="Q182" s="60"/>
      <c r="R182" s="60"/>
      <c r="S182" s="60"/>
      <c r="T182" s="60"/>
      <c r="U182" s="60"/>
      <c r="V182" s="64"/>
      <c r="W182" s="60"/>
      <c r="X182" s="59"/>
      <c r="Y182" s="60"/>
      <c r="Z182" s="59"/>
      <c r="AA182" s="60"/>
    </row>
    <row r="183">
      <c r="A183" s="58"/>
      <c r="B183" s="58"/>
      <c r="C183" s="59"/>
      <c r="D183" s="60"/>
      <c r="E183" s="61"/>
      <c r="F183" s="62"/>
      <c r="G183" s="62"/>
      <c r="H183" s="62"/>
      <c r="I183" s="59"/>
      <c r="J183" s="60"/>
      <c r="K183" s="59"/>
      <c r="L183" s="60"/>
      <c r="M183" s="59"/>
      <c r="N183" s="63"/>
      <c r="O183" s="60"/>
      <c r="P183" s="60"/>
      <c r="Q183" s="60"/>
      <c r="R183" s="60"/>
      <c r="S183" s="60"/>
      <c r="T183" s="60"/>
      <c r="U183" s="60"/>
      <c r="V183" s="64"/>
      <c r="W183" s="60"/>
      <c r="X183" s="59"/>
      <c r="Y183" s="60"/>
      <c r="Z183" s="59"/>
      <c r="AA183" s="60"/>
    </row>
    <row r="184">
      <c r="A184" s="58"/>
      <c r="B184" s="58"/>
      <c r="C184" s="59"/>
      <c r="D184" s="60"/>
      <c r="E184" s="61"/>
      <c r="F184" s="62"/>
      <c r="G184" s="62"/>
      <c r="H184" s="62"/>
      <c r="I184" s="59"/>
      <c r="J184" s="60"/>
      <c r="K184" s="59"/>
      <c r="L184" s="60"/>
      <c r="M184" s="59"/>
      <c r="N184" s="63"/>
      <c r="O184" s="60"/>
      <c r="P184" s="60"/>
      <c r="Q184" s="60"/>
      <c r="R184" s="60"/>
      <c r="S184" s="60"/>
      <c r="T184" s="60"/>
      <c r="U184" s="60"/>
      <c r="V184" s="64"/>
      <c r="W184" s="60"/>
      <c r="X184" s="59"/>
      <c r="Y184" s="60"/>
      <c r="Z184" s="59"/>
      <c r="AA184" s="60"/>
    </row>
    <row r="185">
      <c r="A185" s="58"/>
      <c r="B185" s="58"/>
      <c r="C185" s="59"/>
      <c r="D185" s="60"/>
      <c r="E185" s="61"/>
      <c r="F185" s="62"/>
      <c r="G185" s="62"/>
      <c r="H185" s="62"/>
      <c r="I185" s="59"/>
      <c r="J185" s="60"/>
      <c r="K185" s="59"/>
      <c r="L185" s="60"/>
      <c r="M185" s="59"/>
      <c r="N185" s="63"/>
      <c r="O185" s="60"/>
      <c r="P185" s="60"/>
      <c r="Q185" s="60"/>
      <c r="R185" s="60"/>
      <c r="S185" s="60"/>
      <c r="T185" s="60"/>
      <c r="U185" s="60"/>
      <c r="V185" s="64"/>
      <c r="W185" s="60"/>
      <c r="X185" s="59"/>
      <c r="Y185" s="60"/>
      <c r="Z185" s="59"/>
      <c r="AA185" s="60"/>
    </row>
    <row r="186">
      <c r="A186" s="58"/>
      <c r="B186" s="58"/>
      <c r="C186" s="59"/>
      <c r="D186" s="60"/>
      <c r="E186" s="61"/>
      <c r="F186" s="62"/>
      <c r="G186" s="62"/>
      <c r="H186" s="62"/>
      <c r="I186" s="59"/>
      <c r="J186" s="60"/>
      <c r="K186" s="59"/>
      <c r="L186" s="60"/>
      <c r="M186" s="59"/>
      <c r="N186" s="63"/>
      <c r="O186" s="60"/>
      <c r="P186" s="60"/>
      <c r="Q186" s="60"/>
      <c r="R186" s="60"/>
      <c r="S186" s="60"/>
      <c r="T186" s="60"/>
      <c r="U186" s="60"/>
      <c r="V186" s="64"/>
      <c r="W186" s="60"/>
      <c r="X186" s="59"/>
      <c r="Y186" s="60"/>
      <c r="Z186" s="59"/>
      <c r="AA186" s="60"/>
    </row>
    <row r="187">
      <c r="A187" s="58"/>
      <c r="B187" s="58"/>
      <c r="C187" s="59"/>
      <c r="D187" s="60"/>
      <c r="E187" s="61"/>
      <c r="F187" s="62"/>
      <c r="G187" s="62"/>
      <c r="H187" s="62"/>
      <c r="I187" s="59"/>
      <c r="J187" s="60"/>
      <c r="K187" s="59"/>
      <c r="L187" s="60"/>
      <c r="M187" s="59"/>
      <c r="N187" s="63"/>
      <c r="O187" s="60"/>
      <c r="P187" s="60"/>
      <c r="Q187" s="60"/>
      <c r="R187" s="60"/>
      <c r="S187" s="60"/>
      <c r="T187" s="60"/>
      <c r="U187" s="60"/>
      <c r="V187" s="64"/>
      <c r="W187" s="60"/>
      <c r="X187" s="59"/>
      <c r="Y187" s="60"/>
      <c r="Z187" s="59"/>
      <c r="AA187" s="60"/>
    </row>
    <row r="188">
      <c r="A188" s="58"/>
      <c r="B188" s="58"/>
      <c r="C188" s="59"/>
      <c r="D188" s="60"/>
      <c r="E188" s="61"/>
      <c r="F188" s="62"/>
      <c r="G188" s="62"/>
      <c r="H188" s="62"/>
      <c r="I188" s="59"/>
      <c r="J188" s="60"/>
      <c r="K188" s="59"/>
      <c r="L188" s="60"/>
      <c r="M188" s="59"/>
      <c r="N188" s="63"/>
      <c r="O188" s="60"/>
      <c r="P188" s="60"/>
      <c r="Q188" s="60"/>
      <c r="R188" s="60"/>
      <c r="S188" s="60"/>
      <c r="T188" s="60"/>
      <c r="U188" s="60"/>
      <c r="V188" s="64"/>
      <c r="W188" s="60"/>
      <c r="X188" s="59"/>
      <c r="Y188" s="60"/>
      <c r="Z188" s="59"/>
      <c r="AA188" s="60"/>
    </row>
    <row r="189">
      <c r="A189" s="58"/>
      <c r="B189" s="58"/>
      <c r="C189" s="59"/>
      <c r="D189" s="60"/>
      <c r="E189" s="61"/>
      <c r="F189" s="62"/>
      <c r="G189" s="62"/>
      <c r="H189" s="62"/>
      <c r="I189" s="59"/>
      <c r="J189" s="60"/>
      <c r="K189" s="59"/>
      <c r="L189" s="60"/>
      <c r="M189" s="59"/>
      <c r="N189" s="63"/>
      <c r="O189" s="60"/>
      <c r="P189" s="60"/>
      <c r="Q189" s="60"/>
      <c r="R189" s="60"/>
      <c r="S189" s="60"/>
      <c r="T189" s="60"/>
      <c r="U189" s="60"/>
      <c r="V189" s="64"/>
      <c r="W189" s="60"/>
      <c r="X189" s="59"/>
      <c r="Y189" s="60"/>
      <c r="Z189" s="59"/>
      <c r="AA189" s="60"/>
    </row>
    <row r="190">
      <c r="A190" s="58"/>
      <c r="B190" s="58"/>
      <c r="C190" s="59"/>
      <c r="D190" s="60"/>
      <c r="E190" s="61"/>
      <c r="F190" s="62"/>
      <c r="G190" s="62"/>
      <c r="H190" s="62"/>
      <c r="I190" s="59"/>
      <c r="J190" s="60"/>
      <c r="K190" s="59"/>
      <c r="L190" s="60"/>
      <c r="M190" s="59"/>
      <c r="N190" s="63"/>
      <c r="O190" s="60"/>
      <c r="P190" s="60"/>
      <c r="Q190" s="60"/>
      <c r="R190" s="60"/>
      <c r="S190" s="60"/>
      <c r="T190" s="60"/>
      <c r="U190" s="60"/>
      <c r="V190" s="64"/>
      <c r="W190" s="60"/>
      <c r="X190" s="59"/>
      <c r="Y190" s="60"/>
      <c r="Z190" s="59"/>
      <c r="AA190" s="60"/>
    </row>
    <row r="191">
      <c r="A191" s="58"/>
      <c r="B191" s="58"/>
      <c r="C191" s="59"/>
      <c r="D191" s="60"/>
      <c r="E191" s="61"/>
      <c r="F191" s="62"/>
      <c r="G191" s="62"/>
      <c r="H191" s="62"/>
      <c r="I191" s="59"/>
      <c r="J191" s="60"/>
      <c r="K191" s="59"/>
      <c r="L191" s="60"/>
      <c r="M191" s="59"/>
      <c r="N191" s="63"/>
      <c r="O191" s="60"/>
      <c r="P191" s="60"/>
      <c r="Q191" s="60"/>
      <c r="R191" s="60"/>
      <c r="S191" s="60"/>
      <c r="T191" s="60"/>
      <c r="U191" s="60"/>
      <c r="V191" s="64"/>
      <c r="W191" s="60"/>
      <c r="X191" s="59"/>
      <c r="Y191" s="60"/>
      <c r="Z191" s="59"/>
      <c r="AA191" s="60"/>
    </row>
    <row r="192">
      <c r="A192" s="58"/>
      <c r="B192" s="58"/>
      <c r="C192" s="59"/>
      <c r="D192" s="60"/>
      <c r="E192" s="61"/>
      <c r="F192" s="62"/>
      <c r="G192" s="62"/>
      <c r="H192" s="62"/>
      <c r="I192" s="59"/>
      <c r="J192" s="60"/>
      <c r="K192" s="59"/>
      <c r="L192" s="60"/>
      <c r="M192" s="59"/>
      <c r="N192" s="63"/>
      <c r="O192" s="60"/>
      <c r="P192" s="60"/>
      <c r="Q192" s="60"/>
      <c r="R192" s="60"/>
      <c r="S192" s="60"/>
      <c r="T192" s="60"/>
      <c r="U192" s="60"/>
      <c r="V192" s="64"/>
      <c r="W192" s="60"/>
      <c r="X192" s="59"/>
      <c r="Y192" s="60"/>
      <c r="Z192" s="59"/>
      <c r="AA192" s="60"/>
    </row>
    <row r="193">
      <c r="A193" s="58"/>
      <c r="B193" s="58"/>
      <c r="C193" s="59"/>
      <c r="D193" s="60"/>
      <c r="E193" s="61"/>
      <c r="F193" s="62"/>
      <c r="G193" s="62"/>
      <c r="H193" s="62"/>
      <c r="I193" s="59"/>
      <c r="J193" s="60"/>
      <c r="K193" s="59"/>
      <c r="L193" s="60"/>
      <c r="M193" s="59"/>
      <c r="N193" s="63"/>
      <c r="O193" s="60"/>
      <c r="P193" s="60"/>
      <c r="Q193" s="60"/>
      <c r="R193" s="60"/>
      <c r="S193" s="60"/>
      <c r="T193" s="60"/>
      <c r="U193" s="60"/>
      <c r="V193" s="64"/>
      <c r="W193" s="60"/>
      <c r="X193" s="59"/>
      <c r="Y193" s="60"/>
      <c r="Z193" s="59"/>
      <c r="AA193" s="60"/>
    </row>
    <row r="194">
      <c r="A194" s="58"/>
      <c r="B194" s="58"/>
      <c r="C194" s="59"/>
      <c r="D194" s="60"/>
      <c r="E194" s="61"/>
      <c r="F194" s="62"/>
      <c r="G194" s="62"/>
      <c r="H194" s="62"/>
      <c r="I194" s="59"/>
      <c r="J194" s="60"/>
      <c r="K194" s="59"/>
      <c r="L194" s="60"/>
      <c r="M194" s="59"/>
      <c r="N194" s="63"/>
      <c r="O194" s="60"/>
      <c r="P194" s="60"/>
      <c r="Q194" s="60"/>
      <c r="R194" s="60"/>
      <c r="S194" s="60"/>
      <c r="T194" s="60"/>
      <c r="U194" s="60"/>
      <c r="V194" s="64"/>
      <c r="W194" s="60"/>
      <c r="X194" s="59"/>
      <c r="Y194" s="60"/>
      <c r="Z194" s="59"/>
      <c r="AA194" s="60"/>
    </row>
    <row r="195">
      <c r="A195" s="58"/>
      <c r="B195" s="58"/>
      <c r="C195" s="59"/>
      <c r="D195" s="60"/>
      <c r="E195" s="61"/>
      <c r="F195" s="62"/>
      <c r="G195" s="62"/>
      <c r="H195" s="62"/>
      <c r="I195" s="59"/>
      <c r="J195" s="60"/>
      <c r="K195" s="59"/>
      <c r="L195" s="60"/>
      <c r="M195" s="59"/>
      <c r="N195" s="63"/>
      <c r="O195" s="60"/>
      <c r="P195" s="60"/>
      <c r="Q195" s="60"/>
      <c r="R195" s="60"/>
      <c r="S195" s="60"/>
      <c r="T195" s="60"/>
      <c r="U195" s="60"/>
      <c r="V195" s="64"/>
      <c r="W195" s="60"/>
      <c r="X195" s="59"/>
      <c r="Y195" s="60"/>
      <c r="Z195" s="59"/>
      <c r="AA195" s="60"/>
    </row>
    <row r="196">
      <c r="A196" s="58"/>
      <c r="B196" s="58"/>
      <c r="C196" s="59"/>
      <c r="D196" s="60"/>
      <c r="E196" s="61"/>
      <c r="F196" s="62"/>
      <c r="G196" s="62"/>
      <c r="H196" s="62"/>
      <c r="I196" s="59"/>
      <c r="J196" s="60"/>
      <c r="K196" s="59"/>
      <c r="L196" s="60"/>
      <c r="M196" s="59"/>
      <c r="N196" s="63"/>
      <c r="O196" s="60"/>
      <c r="P196" s="60"/>
      <c r="Q196" s="60"/>
      <c r="R196" s="60"/>
      <c r="S196" s="60"/>
      <c r="T196" s="60"/>
      <c r="U196" s="60"/>
      <c r="V196" s="64"/>
      <c r="W196" s="60"/>
      <c r="X196" s="59"/>
      <c r="Y196" s="60"/>
      <c r="Z196" s="59"/>
      <c r="AA196" s="60"/>
    </row>
    <row r="197">
      <c r="A197" s="58"/>
      <c r="B197" s="58"/>
      <c r="C197" s="59"/>
      <c r="D197" s="60"/>
      <c r="E197" s="61"/>
      <c r="F197" s="62"/>
      <c r="G197" s="62"/>
      <c r="H197" s="62"/>
      <c r="I197" s="59"/>
      <c r="J197" s="60"/>
      <c r="K197" s="59"/>
      <c r="L197" s="60"/>
      <c r="M197" s="59"/>
      <c r="N197" s="63"/>
      <c r="O197" s="60"/>
      <c r="P197" s="60"/>
      <c r="Q197" s="60"/>
      <c r="R197" s="60"/>
      <c r="S197" s="60"/>
      <c r="T197" s="60"/>
      <c r="U197" s="60"/>
      <c r="V197" s="64"/>
      <c r="W197" s="60"/>
      <c r="X197" s="59"/>
      <c r="Y197" s="60"/>
      <c r="Z197" s="59"/>
      <c r="AA197" s="60"/>
    </row>
    <row r="198">
      <c r="A198" s="58"/>
      <c r="B198" s="58"/>
      <c r="C198" s="59"/>
      <c r="D198" s="60"/>
      <c r="E198" s="61"/>
      <c r="F198" s="62"/>
      <c r="G198" s="62"/>
      <c r="H198" s="62"/>
      <c r="I198" s="59"/>
      <c r="J198" s="60"/>
      <c r="K198" s="59"/>
      <c r="L198" s="60"/>
      <c r="M198" s="59"/>
      <c r="N198" s="63"/>
      <c r="O198" s="60"/>
      <c r="P198" s="60"/>
      <c r="Q198" s="60"/>
      <c r="R198" s="60"/>
      <c r="S198" s="60"/>
      <c r="T198" s="60"/>
      <c r="U198" s="60"/>
      <c r="V198" s="64"/>
      <c r="W198" s="60"/>
      <c r="X198" s="59"/>
      <c r="Y198" s="60"/>
      <c r="Z198" s="59"/>
      <c r="AA198" s="60"/>
    </row>
    <row r="199">
      <c r="A199" s="58"/>
      <c r="B199" s="58"/>
      <c r="C199" s="59"/>
      <c r="D199" s="60"/>
      <c r="E199" s="61"/>
      <c r="F199" s="62"/>
      <c r="G199" s="62"/>
      <c r="H199" s="62"/>
      <c r="I199" s="59"/>
      <c r="J199" s="60"/>
      <c r="K199" s="59"/>
      <c r="L199" s="60"/>
      <c r="M199" s="59"/>
      <c r="N199" s="63"/>
      <c r="O199" s="60"/>
      <c r="P199" s="60"/>
      <c r="Q199" s="60"/>
      <c r="R199" s="60"/>
      <c r="S199" s="60"/>
      <c r="T199" s="60"/>
      <c r="U199" s="60"/>
      <c r="V199" s="64"/>
      <c r="W199" s="60"/>
      <c r="X199" s="59"/>
      <c r="Y199" s="60"/>
      <c r="Z199" s="59"/>
      <c r="AA199" s="60"/>
    </row>
    <row r="200">
      <c r="A200" s="58"/>
      <c r="B200" s="58"/>
      <c r="C200" s="59"/>
      <c r="D200" s="60"/>
      <c r="E200" s="61"/>
      <c r="F200" s="62"/>
      <c r="G200" s="62"/>
      <c r="H200" s="62"/>
      <c r="I200" s="59"/>
      <c r="J200" s="60"/>
      <c r="K200" s="59"/>
      <c r="L200" s="60"/>
      <c r="M200" s="59"/>
      <c r="N200" s="63"/>
      <c r="O200" s="60"/>
      <c r="P200" s="60"/>
      <c r="Q200" s="60"/>
      <c r="R200" s="60"/>
      <c r="S200" s="60"/>
      <c r="T200" s="60"/>
      <c r="U200" s="60"/>
      <c r="V200" s="64"/>
      <c r="W200" s="60"/>
      <c r="X200" s="59"/>
      <c r="Y200" s="60"/>
      <c r="Z200" s="59"/>
      <c r="AA200" s="60"/>
    </row>
    <row r="201">
      <c r="A201" s="58"/>
      <c r="B201" s="58"/>
      <c r="C201" s="59"/>
      <c r="D201" s="60"/>
      <c r="E201" s="61"/>
      <c r="F201" s="62"/>
      <c r="G201" s="62"/>
      <c r="H201" s="62"/>
      <c r="I201" s="59"/>
      <c r="J201" s="60"/>
      <c r="K201" s="59"/>
      <c r="L201" s="60"/>
      <c r="M201" s="59"/>
      <c r="N201" s="63"/>
      <c r="O201" s="60"/>
      <c r="P201" s="60"/>
      <c r="Q201" s="60"/>
      <c r="R201" s="60"/>
      <c r="S201" s="60"/>
      <c r="T201" s="60"/>
      <c r="U201" s="60"/>
      <c r="V201" s="64"/>
      <c r="W201" s="60"/>
      <c r="X201" s="59"/>
      <c r="Y201" s="60"/>
      <c r="Z201" s="59"/>
      <c r="AA201" s="60"/>
    </row>
    <row r="202">
      <c r="A202" s="58"/>
      <c r="B202" s="58"/>
      <c r="C202" s="59"/>
      <c r="D202" s="60"/>
      <c r="E202" s="61"/>
      <c r="F202" s="62"/>
      <c r="G202" s="62"/>
      <c r="H202" s="62"/>
      <c r="I202" s="59"/>
      <c r="J202" s="60"/>
      <c r="K202" s="59"/>
      <c r="L202" s="60"/>
      <c r="M202" s="59"/>
      <c r="N202" s="63"/>
      <c r="O202" s="60"/>
      <c r="P202" s="60"/>
      <c r="Q202" s="60"/>
      <c r="R202" s="60"/>
      <c r="S202" s="60"/>
      <c r="T202" s="60"/>
      <c r="U202" s="60"/>
      <c r="V202" s="64"/>
      <c r="W202" s="60"/>
      <c r="X202" s="59"/>
      <c r="Y202" s="60"/>
      <c r="Z202" s="59"/>
      <c r="AA202" s="60"/>
    </row>
    <row r="203">
      <c r="A203" s="58"/>
      <c r="B203" s="58"/>
      <c r="C203" s="59"/>
      <c r="D203" s="60"/>
      <c r="E203" s="61"/>
      <c r="F203" s="62"/>
      <c r="G203" s="62"/>
      <c r="H203" s="62"/>
      <c r="I203" s="59"/>
      <c r="J203" s="60"/>
      <c r="K203" s="59"/>
      <c r="L203" s="60"/>
      <c r="M203" s="59"/>
      <c r="N203" s="63"/>
      <c r="O203" s="60"/>
      <c r="P203" s="60"/>
      <c r="Q203" s="60"/>
      <c r="R203" s="60"/>
      <c r="S203" s="60"/>
      <c r="T203" s="60"/>
      <c r="U203" s="60"/>
      <c r="V203" s="64"/>
      <c r="W203" s="60"/>
      <c r="X203" s="59"/>
      <c r="Y203" s="60"/>
      <c r="Z203" s="59"/>
      <c r="AA203" s="60"/>
    </row>
    <row r="204">
      <c r="A204" s="58"/>
      <c r="B204" s="58"/>
      <c r="C204" s="59"/>
      <c r="D204" s="60"/>
      <c r="E204" s="61"/>
      <c r="F204" s="62"/>
      <c r="G204" s="62"/>
      <c r="H204" s="62"/>
      <c r="I204" s="59"/>
      <c r="J204" s="60"/>
      <c r="K204" s="59"/>
      <c r="L204" s="60"/>
      <c r="M204" s="59"/>
      <c r="N204" s="63"/>
      <c r="O204" s="60"/>
      <c r="P204" s="60"/>
      <c r="Q204" s="60"/>
      <c r="R204" s="60"/>
      <c r="S204" s="60"/>
      <c r="T204" s="60"/>
      <c r="U204" s="60"/>
      <c r="V204" s="64"/>
      <c r="W204" s="60"/>
      <c r="X204" s="59"/>
      <c r="Y204" s="60"/>
      <c r="Z204" s="59"/>
      <c r="AA204" s="60"/>
    </row>
    <row r="205">
      <c r="A205" s="58"/>
      <c r="B205" s="58"/>
      <c r="C205" s="59"/>
      <c r="D205" s="60"/>
      <c r="E205" s="61"/>
      <c r="F205" s="62"/>
      <c r="G205" s="62"/>
      <c r="H205" s="62"/>
      <c r="I205" s="59"/>
      <c r="J205" s="60"/>
      <c r="K205" s="59"/>
      <c r="L205" s="60"/>
      <c r="M205" s="59"/>
      <c r="N205" s="63"/>
      <c r="O205" s="60"/>
      <c r="P205" s="60"/>
      <c r="Q205" s="60"/>
      <c r="R205" s="60"/>
      <c r="S205" s="60"/>
      <c r="T205" s="60"/>
      <c r="U205" s="60"/>
      <c r="V205" s="64"/>
      <c r="W205" s="60"/>
      <c r="X205" s="59"/>
      <c r="Y205" s="60"/>
      <c r="Z205" s="59"/>
      <c r="AA205" s="60"/>
    </row>
    <row r="206">
      <c r="A206" s="58"/>
      <c r="B206" s="58"/>
      <c r="C206" s="59"/>
      <c r="D206" s="60"/>
      <c r="E206" s="61"/>
      <c r="F206" s="62"/>
      <c r="G206" s="62"/>
      <c r="H206" s="62"/>
      <c r="I206" s="59"/>
      <c r="J206" s="60"/>
      <c r="K206" s="59"/>
      <c r="L206" s="60"/>
      <c r="M206" s="59"/>
      <c r="N206" s="63"/>
      <c r="O206" s="60"/>
      <c r="P206" s="60"/>
      <c r="Q206" s="60"/>
      <c r="R206" s="60"/>
      <c r="S206" s="60"/>
      <c r="T206" s="60"/>
      <c r="U206" s="60"/>
      <c r="V206" s="64"/>
      <c r="W206" s="60"/>
      <c r="X206" s="59"/>
      <c r="Y206" s="60"/>
      <c r="Z206" s="59"/>
      <c r="AA206" s="60"/>
    </row>
    <row r="207">
      <c r="A207" s="58"/>
      <c r="B207" s="58"/>
      <c r="C207" s="59"/>
      <c r="D207" s="60"/>
      <c r="E207" s="61"/>
      <c r="F207" s="62"/>
      <c r="G207" s="62"/>
      <c r="H207" s="62"/>
      <c r="I207" s="59"/>
      <c r="J207" s="60"/>
      <c r="K207" s="59"/>
      <c r="L207" s="60"/>
      <c r="M207" s="59"/>
      <c r="N207" s="63"/>
      <c r="O207" s="60"/>
      <c r="P207" s="60"/>
      <c r="Q207" s="60"/>
      <c r="R207" s="60"/>
      <c r="S207" s="60"/>
      <c r="T207" s="60"/>
      <c r="U207" s="60"/>
      <c r="V207" s="64"/>
      <c r="W207" s="60"/>
      <c r="X207" s="59"/>
      <c r="Y207" s="60"/>
      <c r="Z207" s="59"/>
      <c r="AA207" s="60"/>
    </row>
    <row r="208">
      <c r="A208" s="58"/>
      <c r="B208" s="58"/>
      <c r="C208" s="59"/>
      <c r="D208" s="60"/>
      <c r="E208" s="61"/>
      <c r="F208" s="62"/>
      <c r="G208" s="62"/>
      <c r="H208" s="62"/>
      <c r="I208" s="59"/>
      <c r="J208" s="60"/>
      <c r="K208" s="59"/>
      <c r="L208" s="60"/>
      <c r="M208" s="59"/>
      <c r="N208" s="63"/>
      <c r="O208" s="60"/>
      <c r="P208" s="60"/>
      <c r="Q208" s="60"/>
      <c r="R208" s="60"/>
      <c r="S208" s="60"/>
      <c r="T208" s="60"/>
      <c r="U208" s="60"/>
      <c r="V208" s="64"/>
      <c r="W208" s="60"/>
      <c r="X208" s="59"/>
      <c r="Y208" s="60"/>
      <c r="Z208" s="59"/>
      <c r="AA208" s="60"/>
    </row>
    <row r="209">
      <c r="A209" s="58"/>
      <c r="B209" s="58"/>
      <c r="C209" s="59"/>
      <c r="D209" s="60"/>
      <c r="E209" s="61"/>
      <c r="F209" s="62"/>
      <c r="G209" s="62"/>
      <c r="H209" s="62"/>
      <c r="I209" s="59"/>
      <c r="J209" s="60"/>
      <c r="K209" s="59"/>
      <c r="L209" s="60"/>
      <c r="M209" s="59"/>
      <c r="N209" s="63"/>
      <c r="O209" s="60"/>
      <c r="P209" s="60"/>
      <c r="Q209" s="60"/>
      <c r="R209" s="60"/>
      <c r="S209" s="60"/>
      <c r="T209" s="60"/>
      <c r="U209" s="60"/>
      <c r="V209" s="64"/>
      <c r="W209" s="60"/>
      <c r="X209" s="59"/>
      <c r="Y209" s="60"/>
      <c r="Z209" s="59"/>
      <c r="AA209" s="60"/>
    </row>
    <row r="210">
      <c r="A210" s="58"/>
      <c r="B210" s="58"/>
      <c r="C210" s="59"/>
      <c r="D210" s="60"/>
      <c r="E210" s="61"/>
      <c r="F210" s="62"/>
      <c r="G210" s="62"/>
      <c r="H210" s="62"/>
      <c r="I210" s="59"/>
      <c r="J210" s="60"/>
      <c r="K210" s="59"/>
      <c r="L210" s="60"/>
      <c r="M210" s="59"/>
      <c r="N210" s="63"/>
      <c r="O210" s="60"/>
      <c r="P210" s="60"/>
      <c r="Q210" s="60"/>
      <c r="R210" s="60"/>
      <c r="S210" s="60"/>
      <c r="T210" s="60"/>
      <c r="U210" s="60"/>
      <c r="V210" s="64"/>
      <c r="W210" s="60"/>
      <c r="X210" s="59"/>
      <c r="Y210" s="60"/>
      <c r="Z210" s="59"/>
      <c r="AA210" s="60"/>
    </row>
    <row r="211">
      <c r="A211" s="58"/>
      <c r="B211" s="58"/>
      <c r="C211" s="59"/>
      <c r="D211" s="60"/>
      <c r="E211" s="61"/>
      <c r="F211" s="62"/>
      <c r="G211" s="62"/>
      <c r="H211" s="62"/>
      <c r="I211" s="59"/>
      <c r="J211" s="60"/>
      <c r="K211" s="59"/>
      <c r="L211" s="60"/>
      <c r="M211" s="59"/>
      <c r="N211" s="63"/>
      <c r="O211" s="60"/>
      <c r="P211" s="60"/>
      <c r="Q211" s="60"/>
      <c r="R211" s="60"/>
      <c r="S211" s="60"/>
      <c r="T211" s="60"/>
      <c r="U211" s="60"/>
      <c r="V211" s="64"/>
      <c r="W211" s="60"/>
      <c r="X211" s="59"/>
      <c r="Y211" s="60"/>
      <c r="Z211" s="59"/>
      <c r="AA211" s="60"/>
    </row>
    <row r="212">
      <c r="A212" s="58"/>
      <c r="B212" s="58"/>
      <c r="C212" s="59"/>
      <c r="D212" s="60"/>
      <c r="E212" s="61"/>
      <c r="F212" s="62"/>
      <c r="G212" s="62"/>
      <c r="H212" s="62"/>
      <c r="I212" s="59"/>
      <c r="J212" s="60"/>
      <c r="K212" s="59"/>
      <c r="L212" s="60"/>
      <c r="M212" s="59"/>
      <c r="N212" s="63"/>
      <c r="O212" s="60"/>
      <c r="P212" s="60"/>
      <c r="Q212" s="60"/>
      <c r="R212" s="60"/>
      <c r="S212" s="60"/>
      <c r="T212" s="60"/>
      <c r="U212" s="60"/>
      <c r="V212" s="64"/>
      <c r="W212" s="60"/>
      <c r="X212" s="59"/>
      <c r="Y212" s="60"/>
      <c r="Z212" s="59"/>
      <c r="AA212" s="60"/>
    </row>
    <row r="213">
      <c r="A213" s="58"/>
      <c r="B213" s="58"/>
      <c r="C213" s="59"/>
      <c r="D213" s="60"/>
      <c r="E213" s="61"/>
      <c r="F213" s="62"/>
      <c r="G213" s="62"/>
      <c r="H213" s="62"/>
      <c r="I213" s="59"/>
      <c r="J213" s="60"/>
      <c r="K213" s="59"/>
      <c r="L213" s="60"/>
      <c r="M213" s="59"/>
      <c r="N213" s="63"/>
      <c r="O213" s="60"/>
      <c r="P213" s="60"/>
      <c r="Q213" s="60"/>
      <c r="R213" s="60"/>
      <c r="S213" s="60"/>
      <c r="T213" s="60"/>
      <c r="U213" s="60"/>
      <c r="V213" s="64"/>
      <c r="W213" s="60"/>
      <c r="X213" s="59"/>
      <c r="Y213" s="60"/>
      <c r="Z213" s="59"/>
      <c r="AA213" s="60"/>
    </row>
    <row r="214">
      <c r="A214" s="58"/>
      <c r="B214" s="58"/>
      <c r="C214" s="59"/>
      <c r="D214" s="60"/>
      <c r="E214" s="61"/>
      <c r="F214" s="62"/>
      <c r="G214" s="62"/>
      <c r="H214" s="62"/>
      <c r="I214" s="59"/>
      <c r="J214" s="60"/>
      <c r="K214" s="59"/>
      <c r="L214" s="60"/>
      <c r="M214" s="59"/>
      <c r="N214" s="63"/>
      <c r="O214" s="60"/>
      <c r="P214" s="60"/>
      <c r="Q214" s="60"/>
      <c r="R214" s="60"/>
      <c r="S214" s="60"/>
      <c r="T214" s="60"/>
      <c r="U214" s="60"/>
      <c r="V214" s="64"/>
      <c r="W214" s="60"/>
      <c r="X214" s="59"/>
      <c r="Y214" s="60"/>
      <c r="Z214" s="59"/>
      <c r="AA214" s="60"/>
    </row>
    <row r="215">
      <c r="A215" s="58"/>
      <c r="B215" s="58"/>
      <c r="C215" s="59"/>
      <c r="D215" s="60"/>
      <c r="E215" s="61"/>
      <c r="F215" s="62"/>
      <c r="G215" s="62"/>
      <c r="H215" s="62"/>
      <c r="I215" s="59"/>
      <c r="J215" s="60"/>
      <c r="K215" s="59"/>
      <c r="L215" s="60"/>
      <c r="M215" s="59"/>
      <c r="N215" s="63"/>
      <c r="O215" s="60"/>
      <c r="P215" s="60"/>
      <c r="Q215" s="60"/>
      <c r="R215" s="60"/>
      <c r="S215" s="60"/>
      <c r="T215" s="60"/>
      <c r="U215" s="60"/>
      <c r="V215" s="64"/>
      <c r="W215" s="60"/>
      <c r="X215" s="59"/>
      <c r="Y215" s="60"/>
      <c r="Z215" s="59"/>
      <c r="AA215" s="60"/>
    </row>
    <row r="216">
      <c r="A216" s="58"/>
      <c r="B216" s="58"/>
      <c r="C216" s="59"/>
      <c r="D216" s="60"/>
      <c r="E216" s="61"/>
      <c r="F216" s="62"/>
      <c r="G216" s="62"/>
      <c r="H216" s="62"/>
      <c r="I216" s="59"/>
      <c r="J216" s="60"/>
      <c r="K216" s="59"/>
      <c r="L216" s="60"/>
      <c r="M216" s="59"/>
      <c r="N216" s="63"/>
      <c r="O216" s="60"/>
      <c r="P216" s="60"/>
      <c r="Q216" s="60"/>
      <c r="R216" s="60"/>
      <c r="S216" s="60"/>
      <c r="T216" s="60"/>
      <c r="U216" s="60"/>
      <c r="V216" s="64"/>
      <c r="W216" s="60"/>
      <c r="X216" s="59"/>
      <c r="Y216" s="60"/>
      <c r="Z216" s="59"/>
      <c r="AA216" s="60"/>
    </row>
    <row r="217">
      <c r="A217" s="58"/>
      <c r="B217" s="58"/>
      <c r="C217" s="59"/>
      <c r="D217" s="60"/>
      <c r="E217" s="61"/>
      <c r="F217" s="62"/>
      <c r="G217" s="62"/>
      <c r="H217" s="62"/>
      <c r="I217" s="59"/>
      <c r="J217" s="60"/>
      <c r="K217" s="59"/>
      <c r="L217" s="60"/>
      <c r="M217" s="59"/>
      <c r="N217" s="63"/>
      <c r="O217" s="60"/>
      <c r="P217" s="60"/>
      <c r="Q217" s="60"/>
      <c r="R217" s="60"/>
      <c r="S217" s="60"/>
      <c r="T217" s="60"/>
      <c r="U217" s="60"/>
      <c r="V217" s="64"/>
      <c r="W217" s="60"/>
      <c r="X217" s="59"/>
      <c r="Y217" s="60"/>
      <c r="Z217" s="59"/>
      <c r="AA217" s="60"/>
    </row>
    <row r="218">
      <c r="A218" s="58"/>
      <c r="B218" s="58"/>
      <c r="C218" s="59"/>
      <c r="D218" s="60"/>
      <c r="E218" s="61"/>
      <c r="F218" s="62"/>
      <c r="G218" s="62"/>
      <c r="H218" s="62"/>
      <c r="I218" s="59"/>
      <c r="J218" s="60"/>
      <c r="K218" s="59"/>
      <c r="L218" s="60"/>
      <c r="M218" s="59"/>
      <c r="N218" s="63"/>
      <c r="O218" s="60"/>
      <c r="P218" s="60"/>
      <c r="Q218" s="60"/>
      <c r="R218" s="60"/>
      <c r="S218" s="60"/>
      <c r="T218" s="60"/>
      <c r="U218" s="60"/>
      <c r="V218" s="64"/>
      <c r="W218" s="60"/>
      <c r="X218" s="59"/>
      <c r="Y218" s="60"/>
      <c r="Z218" s="59"/>
      <c r="AA218" s="60"/>
    </row>
    <row r="219">
      <c r="A219" s="58"/>
      <c r="B219" s="58"/>
      <c r="C219" s="59"/>
      <c r="D219" s="60"/>
      <c r="E219" s="61"/>
      <c r="F219" s="62"/>
      <c r="G219" s="62"/>
      <c r="H219" s="62"/>
      <c r="I219" s="59"/>
      <c r="J219" s="60"/>
      <c r="K219" s="59"/>
      <c r="L219" s="60"/>
      <c r="M219" s="59"/>
      <c r="N219" s="63"/>
      <c r="O219" s="60"/>
      <c r="P219" s="60"/>
      <c r="Q219" s="60"/>
      <c r="R219" s="60"/>
      <c r="S219" s="60"/>
      <c r="T219" s="60"/>
      <c r="U219" s="60"/>
      <c r="V219" s="64"/>
      <c r="W219" s="60"/>
      <c r="X219" s="59"/>
      <c r="Y219" s="60"/>
      <c r="Z219" s="59"/>
      <c r="AA219" s="60"/>
    </row>
    <row r="220">
      <c r="A220" s="58"/>
      <c r="B220" s="58"/>
      <c r="C220" s="59"/>
      <c r="D220" s="60"/>
      <c r="E220" s="61"/>
      <c r="F220" s="62"/>
      <c r="G220" s="62"/>
      <c r="H220" s="62"/>
      <c r="I220" s="59"/>
      <c r="J220" s="60"/>
      <c r="K220" s="59"/>
      <c r="L220" s="60"/>
      <c r="M220" s="59"/>
      <c r="N220" s="63"/>
      <c r="O220" s="60"/>
      <c r="P220" s="60"/>
      <c r="Q220" s="60"/>
      <c r="R220" s="60"/>
      <c r="S220" s="60"/>
      <c r="T220" s="60"/>
      <c r="U220" s="60"/>
      <c r="V220" s="64"/>
      <c r="W220" s="60"/>
      <c r="X220" s="59"/>
      <c r="Y220" s="60"/>
      <c r="Z220" s="59"/>
      <c r="AA220" s="60"/>
    </row>
    <row r="221">
      <c r="A221" s="58"/>
      <c r="B221" s="58"/>
      <c r="C221" s="59"/>
      <c r="D221" s="60"/>
      <c r="E221" s="61"/>
      <c r="F221" s="62"/>
      <c r="G221" s="62"/>
      <c r="H221" s="62"/>
      <c r="I221" s="59"/>
      <c r="J221" s="60"/>
      <c r="K221" s="59"/>
      <c r="L221" s="60"/>
      <c r="M221" s="59"/>
      <c r="N221" s="63"/>
      <c r="O221" s="60"/>
      <c r="P221" s="60"/>
      <c r="Q221" s="60"/>
      <c r="R221" s="60"/>
      <c r="S221" s="60"/>
      <c r="T221" s="60"/>
      <c r="U221" s="60"/>
      <c r="V221" s="64"/>
      <c r="W221" s="60"/>
      <c r="X221" s="59"/>
      <c r="Y221" s="60"/>
      <c r="Z221" s="59"/>
      <c r="AA221" s="60"/>
    </row>
    <row r="222">
      <c r="A222" s="58"/>
      <c r="B222" s="58"/>
      <c r="C222" s="59"/>
      <c r="D222" s="60"/>
      <c r="E222" s="61"/>
      <c r="F222" s="62"/>
      <c r="G222" s="62"/>
      <c r="H222" s="62"/>
      <c r="I222" s="59"/>
      <c r="J222" s="60"/>
      <c r="K222" s="59"/>
      <c r="L222" s="60"/>
      <c r="M222" s="59"/>
      <c r="N222" s="63"/>
      <c r="O222" s="60"/>
      <c r="P222" s="60"/>
      <c r="Q222" s="60"/>
      <c r="R222" s="60"/>
      <c r="S222" s="60"/>
      <c r="T222" s="60"/>
      <c r="U222" s="60"/>
      <c r="V222" s="64"/>
      <c r="W222" s="60"/>
      <c r="X222" s="59"/>
      <c r="Y222" s="60"/>
      <c r="Z222" s="59"/>
      <c r="AA222" s="60"/>
    </row>
    <row r="223">
      <c r="A223" s="58"/>
      <c r="B223" s="58"/>
      <c r="C223" s="59"/>
      <c r="D223" s="60"/>
      <c r="E223" s="61"/>
      <c r="F223" s="62"/>
      <c r="G223" s="62"/>
      <c r="H223" s="62"/>
      <c r="I223" s="59"/>
      <c r="J223" s="60"/>
      <c r="K223" s="59"/>
      <c r="L223" s="60"/>
      <c r="M223" s="59"/>
      <c r="N223" s="63"/>
      <c r="O223" s="60"/>
      <c r="P223" s="60"/>
      <c r="Q223" s="60"/>
      <c r="R223" s="60"/>
      <c r="S223" s="60"/>
      <c r="T223" s="60"/>
      <c r="U223" s="60"/>
      <c r="V223" s="64"/>
      <c r="W223" s="60"/>
      <c r="X223" s="59"/>
      <c r="Y223" s="60"/>
      <c r="Z223" s="59"/>
      <c r="AA223" s="60"/>
    </row>
    <row r="224">
      <c r="A224" s="58"/>
      <c r="B224" s="58"/>
      <c r="C224" s="59"/>
      <c r="D224" s="60"/>
      <c r="E224" s="61"/>
      <c r="F224" s="62"/>
      <c r="G224" s="62"/>
      <c r="H224" s="62"/>
      <c r="I224" s="59"/>
      <c r="J224" s="60"/>
      <c r="K224" s="59"/>
      <c r="L224" s="60"/>
      <c r="M224" s="59"/>
      <c r="N224" s="63"/>
      <c r="O224" s="60"/>
      <c r="P224" s="60"/>
      <c r="Q224" s="60"/>
      <c r="R224" s="60"/>
      <c r="S224" s="60"/>
      <c r="T224" s="60"/>
      <c r="U224" s="60"/>
      <c r="V224" s="64"/>
      <c r="W224" s="60"/>
      <c r="X224" s="59"/>
      <c r="Y224" s="60"/>
      <c r="Z224" s="59"/>
      <c r="AA224" s="60"/>
    </row>
    <row r="225">
      <c r="A225" s="58"/>
      <c r="B225" s="58"/>
      <c r="C225" s="59"/>
      <c r="D225" s="60"/>
      <c r="E225" s="61"/>
      <c r="F225" s="62"/>
      <c r="G225" s="62"/>
      <c r="H225" s="62"/>
      <c r="I225" s="59"/>
      <c r="J225" s="60"/>
      <c r="K225" s="59"/>
      <c r="L225" s="60"/>
      <c r="M225" s="59"/>
      <c r="N225" s="63"/>
      <c r="O225" s="60"/>
      <c r="P225" s="60"/>
      <c r="Q225" s="60"/>
      <c r="R225" s="60"/>
      <c r="S225" s="60"/>
      <c r="T225" s="60"/>
      <c r="U225" s="60"/>
      <c r="V225" s="64"/>
      <c r="W225" s="60"/>
      <c r="X225" s="59"/>
      <c r="Y225" s="60"/>
      <c r="Z225" s="59"/>
      <c r="AA225" s="60"/>
    </row>
    <row r="226">
      <c r="A226" s="58"/>
      <c r="B226" s="58"/>
      <c r="C226" s="59"/>
      <c r="D226" s="60"/>
      <c r="E226" s="61"/>
      <c r="F226" s="62"/>
      <c r="G226" s="62"/>
      <c r="H226" s="62"/>
      <c r="I226" s="59"/>
      <c r="J226" s="60"/>
      <c r="K226" s="59"/>
      <c r="L226" s="60"/>
      <c r="M226" s="59"/>
      <c r="N226" s="63"/>
      <c r="O226" s="60"/>
      <c r="P226" s="60"/>
      <c r="Q226" s="60"/>
      <c r="R226" s="60"/>
      <c r="S226" s="60"/>
      <c r="T226" s="60"/>
      <c r="U226" s="60"/>
      <c r="V226" s="64"/>
      <c r="W226" s="60"/>
      <c r="X226" s="59"/>
      <c r="Y226" s="60"/>
      <c r="Z226" s="59"/>
      <c r="AA226" s="60"/>
    </row>
    <row r="227">
      <c r="A227" s="58"/>
      <c r="B227" s="58"/>
      <c r="C227" s="59"/>
      <c r="D227" s="60"/>
      <c r="E227" s="61"/>
      <c r="F227" s="62"/>
      <c r="G227" s="62"/>
      <c r="H227" s="62"/>
      <c r="I227" s="59"/>
      <c r="J227" s="60"/>
      <c r="K227" s="59"/>
      <c r="L227" s="60"/>
      <c r="M227" s="59"/>
      <c r="N227" s="63"/>
      <c r="O227" s="60"/>
      <c r="P227" s="60"/>
      <c r="Q227" s="60"/>
      <c r="R227" s="60"/>
      <c r="S227" s="60"/>
      <c r="T227" s="60"/>
      <c r="U227" s="60"/>
      <c r="V227" s="64"/>
      <c r="W227" s="60"/>
      <c r="X227" s="59"/>
      <c r="Y227" s="60"/>
      <c r="Z227" s="59"/>
      <c r="AA227" s="60"/>
    </row>
    <row r="228">
      <c r="A228" s="58"/>
      <c r="B228" s="58"/>
      <c r="C228" s="59"/>
      <c r="D228" s="60"/>
      <c r="E228" s="61"/>
      <c r="F228" s="62"/>
      <c r="G228" s="62"/>
      <c r="H228" s="62"/>
      <c r="I228" s="59"/>
      <c r="J228" s="60"/>
      <c r="K228" s="59"/>
      <c r="L228" s="60"/>
      <c r="M228" s="59"/>
      <c r="N228" s="63"/>
      <c r="O228" s="60"/>
      <c r="P228" s="60"/>
      <c r="Q228" s="60"/>
      <c r="R228" s="60"/>
      <c r="S228" s="60"/>
      <c r="T228" s="60"/>
      <c r="U228" s="60"/>
      <c r="V228" s="64"/>
      <c r="W228" s="60"/>
      <c r="X228" s="59"/>
      <c r="Y228" s="60"/>
      <c r="Z228" s="59"/>
      <c r="AA228" s="60"/>
    </row>
    <row r="229">
      <c r="A229" s="58"/>
      <c r="B229" s="58"/>
      <c r="C229" s="59"/>
      <c r="D229" s="60"/>
      <c r="E229" s="61"/>
      <c r="F229" s="62"/>
      <c r="G229" s="62"/>
      <c r="H229" s="62"/>
      <c r="I229" s="59"/>
      <c r="J229" s="60"/>
      <c r="K229" s="59"/>
      <c r="L229" s="60"/>
      <c r="M229" s="59"/>
      <c r="N229" s="63"/>
      <c r="O229" s="60"/>
      <c r="P229" s="60"/>
      <c r="Q229" s="60"/>
      <c r="R229" s="60"/>
      <c r="S229" s="60"/>
      <c r="T229" s="60"/>
      <c r="U229" s="60"/>
      <c r="V229" s="64"/>
      <c r="W229" s="60"/>
      <c r="X229" s="59"/>
      <c r="Y229" s="60"/>
      <c r="Z229" s="59"/>
      <c r="AA229" s="60"/>
    </row>
    <row r="230">
      <c r="A230" s="58"/>
      <c r="B230" s="58"/>
      <c r="C230" s="59"/>
      <c r="D230" s="60"/>
      <c r="E230" s="61"/>
      <c r="F230" s="62"/>
      <c r="G230" s="62"/>
      <c r="H230" s="62"/>
      <c r="I230" s="59"/>
      <c r="J230" s="60"/>
      <c r="K230" s="59"/>
      <c r="L230" s="60"/>
      <c r="M230" s="59"/>
      <c r="N230" s="63"/>
      <c r="O230" s="60"/>
      <c r="P230" s="60"/>
      <c r="Q230" s="60"/>
      <c r="R230" s="60"/>
      <c r="S230" s="60"/>
      <c r="T230" s="60"/>
      <c r="U230" s="60"/>
      <c r="V230" s="64"/>
      <c r="W230" s="60"/>
      <c r="X230" s="59"/>
      <c r="Y230" s="60"/>
      <c r="Z230" s="59"/>
      <c r="AA230" s="60"/>
    </row>
    <row r="231">
      <c r="A231" s="58"/>
      <c r="B231" s="58"/>
      <c r="C231" s="59"/>
      <c r="D231" s="60"/>
      <c r="E231" s="61"/>
      <c r="F231" s="62"/>
      <c r="G231" s="62"/>
      <c r="H231" s="62"/>
      <c r="I231" s="59"/>
      <c r="J231" s="60"/>
      <c r="K231" s="59"/>
      <c r="L231" s="60"/>
      <c r="M231" s="59"/>
      <c r="N231" s="63"/>
      <c r="O231" s="60"/>
      <c r="P231" s="60"/>
      <c r="Q231" s="60"/>
      <c r="R231" s="60"/>
      <c r="S231" s="60"/>
      <c r="T231" s="60"/>
      <c r="U231" s="60"/>
      <c r="V231" s="64"/>
      <c r="W231" s="60"/>
      <c r="X231" s="59"/>
      <c r="Y231" s="60"/>
      <c r="Z231" s="59"/>
      <c r="AA231" s="60"/>
    </row>
    <row r="232">
      <c r="A232" s="58"/>
      <c r="B232" s="58"/>
      <c r="C232" s="59"/>
      <c r="D232" s="60"/>
      <c r="E232" s="61"/>
      <c r="F232" s="62"/>
      <c r="G232" s="62"/>
      <c r="H232" s="62"/>
      <c r="I232" s="59"/>
      <c r="J232" s="60"/>
      <c r="K232" s="59"/>
      <c r="L232" s="60"/>
      <c r="M232" s="59"/>
      <c r="N232" s="63"/>
      <c r="O232" s="60"/>
      <c r="P232" s="60"/>
      <c r="Q232" s="60"/>
      <c r="R232" s="60"/>
      <c r="S232" s="60"/>
      <c r="T232" s="60"/>
      <c r="U232" s="60"/>
      <c r="V232" s="64"/>
      <c r="W232" s="60"/>
      <c r="X232" s="59"/>
      <c r="Y232" s="60"/>
      <c r="Z232" s="59"/>
      <c r="AA232" s="60"/>
    </row>
    <row r="233">
      <c r="A233" s="58"/>
      <c r="B233" s="58"/>
      <c r="C233" s="59"/>
      <c r="D233" s="60"/>
      <c r="E233" s="61"/>
      <c r="F233" s="62"/>
      <c r="G233" s="62"/>
      <c r="H233" s="62"/>
      <c r="I233" s="59"/>
      <c r="J233" s="60"/>
      <c r="K233" s="59"/>
      <c r="L233" s="60"/>
      <c r="M233" s="59"/>
      <c r="N233" s="63"/>
      <c r="O233" s="60"/>
      <c r="P233" s="60"/>
      <c r="Q233" s="60"/>
      <c r="R233" s="60"/>
      <c r="S233" s="60"/>
      <c r="T233" s="60"/>
      <c r="U233" s="60"/>
      <c r="V233" s="64"/>
      <c r="W233" s="60"/>
      <c r="X233" s="59"/>
      <c r="Y233" s="60"/>
      <c r="Z233" s="59"/>
      <c r="AA233" s="60"/>
    </row>
    <row r="234">
      <c r="A234" s="58"/>
      <c r="B234" s="58"/>
      <c r="C234" s="59"/>
      <c r="D234" s="60"/>
      <c r="E234" s="61"/>
      <c r="F234" s="62"/>
      <c r="G234" s="62"/>
      <c r="H234" s="62"/>
      <c r="I234" s="59"/>
      <c r="J234" s="60"/>
      <c r="K234" s="59"/>
      <c r="L234" s="60"/>
      <c r="M234" s="59"/>
      <c r="N234" s="63"/>
      <c r="O234" s="60"/>
      <c r="P234" s="60"/>
      <c r="Q234" s="60"/>
      <c r="R234" s="60"/>
      <c r="S234" s="60"/>
      <c r="T234" s="60"/>
      <c r="U234" s="60"/>
      <c r="V234" s="64"/>
      <c r="W234" s="60"/>
      <c r="X234" s="59"/>
      <c r="Y234" s="60"/>
      <c r="Z234" s="59"/>
      <c r="AA234" s="60"/>
    </row>
    <row r="235">
      <c r="A235" s="58"/>
      <c r="B235" s="58"/>
      <c r="C235" s="59"/>
      <c r="D235" s="60"/>
      <c r="E235" s="61"/>
      <c r="F235" s="62"/>
      <c r="G235" s="62"/>
      <c r="H235" s="62"/>
      <c r="I235" s="59"/>
      <c r="J235" s="60"/>
      <c r="K235" s="59"/>
      <c r="L235" s="60"/>
      <c r="M235" s="59"/>
      <c r="N235" s="63"/>
      <c r="O235" s="60"/>
      <c r="P235" s="60"/>
      <c r="Q235" s="60"/>
      <c r="R235" s="60"/>
      <c r="S235" s="60"/>
      <c r="T235" s="60"/>
      <c r="U235" s="60"/>
      <c r="V235" s="64"/>
      <c r="W235" s="60"/>
      <c r="X235" s="59"/>
      <c r="Y235" s="60"/>
      <c r="Z235" s="59"/>
      <c r="AA235" s="60"/>
    </row>
    <row r="236">
      <c r="A236" s="58"/>
      <c r="B236" s="58"/>
      <c r="C236" s="59"/>
      <c r="D236" s="60"/>
      <c r="E236" s="61"/>
      <c r="F236" s="62"/>
      <c r="G236" s="62"/>
      <c r="H236" s="62"/>
      <c r="I236" s="59"/>
      <c r="J236" s="60"/>
      <c r="K236" s="59"/>
      <c r="L236" s="60"/>
      <c r="M236" s="59"/>
      <c r="N236" s="63"/>
      <c r="O236" s="60"/>
      <c r="P236" s="60"/>
      <c r="Q236" s="60"/>
      <c r="R236" s="60"/>
      <c r="S236" s="60"/>
      <c r="T236" s="60"/>
      <c r="U236" s="60"/>
      <c r="V236" s="64"/>
      <c r="W236" s="60"/>
      <c r="X236" s="59"/>
      <c r="Y236" s="60"/>
      <c r="Z236" s="59"/>
      <c r="AA236" s="60"/>
    </row>
    <row r="237">
      <c r="A237" s="58"/>
      <c r="B237" s="58"/>
      <c r="C237" s="59"/>
      <c r="D237" s="60"/>
      <c r="E237" s="61"/>
      <c r="F237" s="62"/>
      <c r="G237" s="62"/>
      <c r="H237" s="62"/>
      <c r="I237" s="59"/>
      <c r="J237" s="60"/>
      <c r="K237" s="59"/>
      <c r="L237" s="60"/>
      <c r="M237" s="59"/>
      <c r="N237" s="63"/>
      <c r="O237" s="60"/>
      <c r="P237" s="60"/>
      <c r="Q237" s="60"/>
      <c r="R237" s="60"/>
      <c r="S237" s="60"/>
      <c r="T237" s="60"/>
      <c r="U237" s="60"/>
      <c r="V237" s="64"/>
      <c r="W237" s="60"/>
      <c r="X237" s="59"/>
      <c r="Y237" s="60"/>
      <c r="Z237" s="59"/>
      <c r="AA237" s="60"/>
    </row>
    <row r="238">
      <c r="A238" s="58"/>
      <c r="B238" s="58"/>
      <c r="C238" s="59"/>
      <c r="D238" s="60"/>
      <c r="E238" s="61"/>
      <c r="F238" s="62"/>
      <c r="G238" s="62"/>
      <c r="H238" s="62"/>
      <c r="I238" s="59"/>
      <c r="J238" s="60"/>
      <c r="K238" s="59"/>
      <c r="L238" s="60"/>
      <c r="M238" s="59"/>
      <c r="N238" s="63"/>
      <c r="O238" s="60"/>
      <c r="P238" s="60"/>
      <c r="Q238" s="60"/>
      <c r="R238" s="60"/>
      <c r="S238" s="60"/>
      <c r="T238" s="60"/>
      <c r="U238" s="60"/>
      <c r="V238" s="64"/>
      <c r="W238" s="60"/>
      <c r="X238" s="59"/>
      <c r="Y238" s="60"/>
      <c r="Z238" s="59"/>
      <c r="AA238" s="60"/>
    </row>
    <row r="239">
      <c r="A239" s="58"/>
      <c r="B239" s="58"/>
      <c r="C239" s="59"/>
      <c r="D239" s="60"/>
      <c r="E239" s="61"/>
      <c r="F239" s="62"/>
      <c r="G239" s="62"/>
      <c r="H239" s="62"/>
      <c r="I239" s="59"/>
      <c r="J239" s="60"/>
      <c r="K239" s="59"/>
      <c r="L239" s="60"/>
      <c r="M239" s="59"/>
      <c r="N239" s="63"/>
      <c r="O239" s="60"/>
      <c r="P239" s="60"/>
      <c r="Q239" s="60"/>
      <c r="R239" s="60"/>
      <c r="S239" s="60"/>
      <c r="T239" s="60"/>
      <c r="U239" s="60"/>
      <c r="V239" s="64"/>
      <c r="W239" s="60"/>
      <c r="X239" s="59"/>
      <c r="Y239" s="60"/>
      <c r="Z239" s="59"/>
      <c r="AA239" s="60"/>
    </row>
    <row r="240">
      <c r="A240" s="58"/>
      <c r="B240" s="58"/>
      <c r="C240" s="59"/>
      <c r="D240" s="60"/>
      <c r="E240" s="61"/>
      <c r="F240" s="62"/>
      <c r="G240" s="62"/>
      <c r="H240" s="62"/>
      <c r="I240" s="59"/>
      <c r="J240" s="60"/>
      <c r="K240" s="59"/>
      <c r="L240" s="60"/>
      <c r="M240" s="59"/>
      <c r="N240" s="63"/>
      <c r="O240" s="60"/>
      <c r="P240" s="60"/>
      <c r="Q240" s="60"/>
      <c r="R240" s="60"/>
      <c r="S240" s="60"/>
      <c r="T240" s="60"/>
      <c r="U240" s="60"/>
      <c r="V240" s="64"/>
      <c r="W240" s="60"/>
      <c r="X240" s="59"/>
      <c r="Y240" s="60"/>
      <c r="Z240" s="59"/>
      <c r="AA240" s="60"/>
    </row>
    <row r="241">
      <c r="A241" s="58"/>
      <c r="B241" s="58"/>
      <c r="C241" s="59"/>
      <c r="D241" s="60"/>
      <c r="E241" s="61"/>
      <c r="F241" s="62"/>
      <c r="G241" s="62"/>
      <c r="H241" s="62"/>
      <c r="I241" s="59"/>
      <c r="J241" s="60"/>
      <c r="K241" s="59"/>
      <c r="L241" s="60"/>
      <c r="M241" s="59"/>
      <c r="N241" s="63"/>
      <c r="O241" s="60"/>
      <c r="P241" s="60"/>
      <c r="Q241" s="60"/>
      <c r="R241" s="60"/>
      <c r="S241" s="60"/>
      <c r="T241" s="60"/>
      <c r="U241" s="60"/>
      <c r="V241" s="64"/>
      <c r="W241" s="60"/>
      <c r="X241" s="59"/>
      <c r="Y241" s="60"/>
      <c r="Z241" s="59"/>
      <c r="AA241" s="60"/>
    </row>
    <row r="242">
      <c r="A242" s="58"/>
      <c r="B242" s="58"/>
      <c r="C242" s="59"/>
      <c r="D242" s="60"/>
      <c r="E242" s="61"/>
      <c r="F242" s="62"/>
      <c r="G242" s="62"/>
      <c r="H242" s="62"/>
      <c r="I242" s="59"/>
      <c r="J242" s="60"/>
      <c r="K242" s="59"/>
      <c r="L242" s="60"/>
      <c r="M242" s="59"/>
      <c r="N242" s="63"/>
      <c r="O242" s="60"/>
      <c r="P242" s="60"/>
      <c r="Q242" s="60"/>
      <c r="R242" s="60"/>
      <c r="S242" s="60"/>
      <c r="T242" s="60"/>
      <c r="U242" s="60"/>
      <c r="V242" s="64"/>
      <c r="W242" s="60"/>
      <c r="X242" s="59"/>
      <c r="Y242" s="60"/>
      <c r="Z242" s="59"/>
      <c r="AA242" s="60"/>
    </row>
    <row r="243">
      <c r="A243" s="58"/>
      <c r="B243" s="58"/>
      <c r="C243" s="59"/>
      <c r="D243" s="60"/>
      <c r="E243" s="61"/>
      <c r="F243" s="62"/>
      <c r="G243" s="62"/>
      <c r="H243" s="62"/>
      <c r="I243" s="59"/>
      <c r="J243" s="60"/>
      <c r="K243" s="59"/>
      <c r="L243" s="60"/>
      <c r="M243" s="59"/>
      <c r="N243" s="63"/>
      <c r="O243" s="60"/>
      <c r="P243" s="60"/>
      <c r="Q243" s="60"/>
      <c r="R243" s="60"/>
      <c r="S243" s="60"/>
      <c r="T243" s="60"/>
      <c r="U243" s="60"/>
      <c r="V243" s="64"/>
      <c r="W243" s="60"/>
      <c r="X243" s="59"/>
      <c r="Y243" s="60"/>
      <c r="Z243" s="59"/>
      <c r="AA243" s="60"/>
    </row>
    <row r="244">
      <c r="A244" s="58"/>
      <c r="B244" s="58"/>
      <c r="C244" s="59"/>
      <c r="D244" s="60"/>
      <c r="E244" s="61"/>
      <c r="F244" s="62"/>
      <c r="G244" s="62"/>
      <c r="H244" s="62"/>
      <c r="I244" s="59"/>
      <c r="J244" s="60"/>
      <c r="K244" s="59"/>
      <c r="L244" s="60"/>
      <c r="M244" s="59"/>
      <c r="N244" s="63"/>
      <c r="O244" s="60"/>
      <c r="P244" s="60"/>
      <c r="Q244" s="60"/>
      <c r="R244" s="60"/>
      <c r="S244" s="60"/>
      <c r="T244" s="60"/>
      <c r="U244" s="60"/>
      <c r="V244" s="64"/>
      <c r="W244" s="60"/>
      <c r="X244" s="59"/>
      <c r="Y244" s="60"/>
      <c r="Z244" s="59"/>
      <c r="AA244" s="60"/>
    </row>
    <row r="245">
      <c r="A245" s="58"/>
      <c r="B245" s="58"/>
      <c r="C245" s="59"/>
      <c r="D245" s="60"/>
      <c r="E245" s="61"/>
      <c r="F245" s="62"/>
      <c r="G245" s="62"/>
      <c r="H245" s="62"/>
      <c r="I245" s="59"/>
      <c r="J245" s="60"/>
      <c r="K245" s="59"/>
      <c r="L245" s="60"/>
      <c r="M245" s="59"/>
      <c r="N245" s="63"/>
      <c r="O245" s="60"/>
      <c r="P245" s="60"/>
      <c r="Q245" s="60"/>
      <c r="R245" s="60"/>
      <c r="S245" s="60"/>
      <c r="T245" s="60"/>
      <c r="U245" s="60"/>
      <c r="V245" s="64"/>
      <c r="W245" s="60"/>
      <c r="X245" s="59"/>
      <c r="Y245" s="60"/>
      <c r="Z245" s="59"/>
      <c r="AA245" s="60"/>
    </row>
    <row r="246">
      <c r="A246" s="58"/>
      <c r="B246" s="58"/>
      <c r="C246" s="59"/>
      <c r="D246" s="60"/>
      <c r="E246" s="61"/>
      <c r="F246" s="62"/>
      <c r="G246" s="62"/>
      <c r="H246" s="62"/>
      <c r="I246" s="59"/>
      <c r="J246" s="60"/>
      <c r="K246" s="59"/>
      <c r="L246" s="60"/>
      <c r="M246" s="59"/>
      <c r="N246" s="63"/>
      <c r="O246" s="60"/>
      <c r="P246" s="60"/>
      <c r="Q246" s="60"/>
      <c r="R246" s="60"/>
      <c r="S246" s="60"/>
      <c r="T246" s="60"/>
      <c r="U246" s="60"/>
      <c r="V246" s="64"/>
      <c r="W246" s="60"/>
      <c r="X246" s="59"/>
      <c r="Y246" s="60"/>
      <c r="Z246" s="59"/>
      <c r="AA246" s="60"/>
    </row>
    <row r="247">
      <c r="A247" s="58"/>
      <c r="B247" s="58"/>
      <c r="C247" s="59"/>
      <c r="D247" s="60"/>
      <c r="E247" s="61"/>
      <c r="F247" s="62"/>
      <c r="G247" s="62"/>
      <c r="H247" s="62"/>
      <c r="I247" s="59"/>
      <c r="J247" s="60"/>
      <c r="K247" s="59"/>
      <c r="L247" s="60"/>
      <c r="M247" s="59"/>
      <c r="N247" s="63"/>
      <c r="O247" s="60"/>
      <c r="P247" s="60"/>
      <c r="Q247" s="60"/>
      <c r="R247" s="60"/>
      <c r="S247" s="60"/>
      <c r="T247" s="60"/>
      <c r="U247" s="60"/>
      <c r="V247" s="64"/>
      <c r="W247" s="60"/>
      <c r="X247" s="59"/>
      <c r="Y247" s="60"/>
      <c r="Z247" s="59"/>
      <c r="AA247" s="60"/>
    </row>
    <row r="248">
      <c r="A248" s="58"/>
      <c r="B248" s="58"/>
      <c r="C248" s="59"/>
      <c r="D248" s="60"/>
      <c r="E248" s="61"/>
      <c r="F248" s="62"/>
      <c r="G248" s="62"/>
      <c r="H248" s="62"/>
      <c r="I248" s="59"/>
      <c r="J248" s="60"/>
      <c r="K248" s="59"/>
      <c r="L248" s="60"/>
      <c r="M248" s="59"/>
      <c r="N248" s="63"/>
      <c r="O248" s="60"/>
      <c r="P248" s="60"/>
      <c r="Q248" s="60"/>
      <c r="R248" s="60"/>
      <c r="S248" s="60"/>
      <c r="T248" s="60"/>
      <c r="U248" s="60"/>
      <c r="V248" s="64"/>
      <c r="W248" s="60"/>
      <c r="X248" s="59"/>
      <c r="Y248" s="60"/>
      <c r="Z248" s="59"/>
      <c r="AA248" s="60"/>
    </row>
    <row r="249">
      <c r="A249" s="58"/>
      <c r="B249" s="58"/>
      <c r="C249" s="59"/>
      <c r="D249" s="60"/>
      <c r="E249" s="61"/>
      <c r="F249" s="62"/>
      <c r="G249" s="62"/>
      <c r="H249" s="62"/>
      <c r="I249" s="59"/>
      <c r="J249" s="60"/>
      <c r="K249" s="59"/>
      <c r="L249" s="60"/>
      <c r="M249" s="59"/>
      <c r="N249" s="63"/>
      <c r="O249" s="60"/>
      <c r="P249" s="60"/>
      <c r="Q249" s="60"/>
      <c r="R249" s="60"/>
      <c r="S249" s="60"/>
      <c r="T249" s="60"/>
      <c r="U249" s="60"/>
      <c r="V249" s="64"/>
      <c r="W249" s="60"/>
      <c r="X249" s="59"/>
      <c r="Y249" s="60"/>
      <c r="Z249" s="59"/>
      <c r="AA249" s="60"/>
    </row>
    <row r="250">
      <c r="A250" s="58"/>
      <c r="B250" s="58"/>
      <c r="C250" s="59"/>
      <c r="D250" s="60"/>
      <c r="E250" s="61"/>
      <c r="F250" s="62"/>
      <c r="G250" s="62"/>
      <c r="H250" s="62"/>
      <c r="I250" s="59"/>
      <c r="J250" s="60"/>
      <c r="K250" s="59"/>
      <c r="L250" s="60"/>
      <c r="M250" s="59"/>
      <c r="N250" s="63"/>
      <c r="O250" s="60"/>
      <c r="P250" s="60"/>
      <c r="Q250" s="60"/>
      <c r="R250" s="60"/>
      <c r="S250" s="60"/>
      <c r="T250" s="60"/>
      <c r="U250" s="60"/>
      <c r="V250" s="64"/>
      <c r="W250" s="60"/>
      <c r="X250" s="59"/>
      <c r="Y250" s="60"/>
      <c r="Z250" s="59"/>
      <c r="AA250" s="60"/>
    </row>
    <row r="251">
      <c r="A251" s="58"/>
      <c r="B251" s="58"/>
      <c r="C251" s="59"/>
      <c r="D251" s="60"/>
      <c r="E251" s="61"/>
      <c r="F251" s="62"/>
      <c r="G251" s="62"/>
      <c r="H251" s="62"/>
      <c r="I251" s="59"/>
      <c r="J251" s="60"/>
      <c r="K251" s="59"/>
      <c r="L251" s="60"/>
      <c r="M251" s="59"/>
      <c r="N251" s="63"/>
      <c r="O251" s="60"/>
      <c r="P251" s="60"/>
      <c r="Q251" s="60"/>
      <c r="R251" s="60"/>
      <c r="S251" s="60"/>
      <c r="T251" s="60"/>
      <c r="U251" s="60"/>
      <c r="V251" s="64"/>
      <c r="W251" s="60"/>
      <c r="X251" s="59"/>
      <c r="Y251" s="60"/>
      <c r="Z251" s="59"/>
      <c r="AA251" s="60"/>
    </row>
    <row r="252">
      <c r="A252" s="58"/>
      <c r="B252" s="58"/>
      <c r="C252" s="59"/>
      <c r="D252" s="60"/>
      <c r="E252" s="61"/>
      <c r="F252" s="62"/>
      <c r="G252" s="62"/>
      <c r="H252" s="62"/>
      <c r="I252" s="59"/>
      <c r="J252" s="60"/>
      <c r="K252" s="59"/>
      <c r="L252" s="60"/>
      <c r="M252" s="59"/>
      <c r="N252" s="63"/>
      <c r="O252" s="60"/>
      <c r="P252" s="60"/>
      <c r="Q252" s="60"/>
      <c r="R252" s="60"/>
      <c r="S252" s="60"/>
      <c r="T252" s="60"/>
      <c r="U252" s="60"/>
      <c r="V252" s="64"/>
      <c r="W252" s="60"/>
      <c r="X252" s="59"/>
      <c r="Y252" s="60"/>
      <c r="Z252" s="59"/>
      <c r="AA252" s="60"/>
    </row>
    <row r="253">
      <c r="A253" s="58"/>
      <c r="B253" s="58"/>
      <c r="C253" s="59"/>
      <c r="D253" s="60"/>
      <c r="E253" s="61"/>
      <c r="F253" s="62"/>
      <c r="G253" s="62"/>
      <c r="H253" s="62"/>
      <c r="I253" s="59"/>
      <c r="J253" s="60"/>
      <c r="K253" s="59"/>
      <c r="L253" s="60"/>
      <c r="M253" s="59"/>
      <c r="N253" s="63"/>
      <c r="O253" s="60"/>
      <c r="P253" s="60"/>
      <c r="Q253" s="60"/>
      <c r="R253" s="60"/>
      <c r="S253" s="60"/>
      <c r="T253" s="60"/>
      <c r="U253" s="60"/>
      <c r="V253" s="64"/>
      <c r="W253" s="60"/>
      <c r="X253" s="59"/>
      <c r="Y253" s="60"/>
      <c r="Z253" s="59"/>
      <c r="AA253" s="60"/>
    </row>
    <row r="254">
      <c r="A254" s="58"/>
      <c r="B254" s="58"/>
      <c r="C254" s="59"/>
      <c r="D254" s="60"/>
      <c r="E254" s="61"/>
      <c r="F254" s="62"/>
      <c r="G254" s="62"/>
      <c r="H254" s="62"/>
      <c r="I254" s="59"/>
      <c r="J254" s="60"/>
      <c r="K254" s="59"/>
      <c r="L254" s="60"/>
      <c r="M254" s="59"/>
      <c r="N254" s="63"/>
      <c r="O254" s="60"/>
      <c r="P254" s="60"/>
      <c r="Q254" s="60"/>
      <c r="R254" s="60"/>
      <c r="S254" s="60"/>
      <c r="T254" s="60"/>
      <c r="U254" s="60"/>
      <c r="V254" s="64"/>
      <c r="W254" s="60"/>
      <c r="X254" s="59"/>
      <c r="Y254" s="60"/>
      <c r="Z254" s="59"/>
      <c r="AA254" s="60"/>
    </row>
    <row r="255">
      <c r="A255" s="58"/>
      <c r="B255" s="58"/>
      <c r="C255" s="59"/>
      <c r="D255" s="60"/>
      <c r="E255" s="61"/>
      <c r="F255" s="62"/>
      <c r="G255" s="62"/>
      <c r="H255" s="62"/>
      <c r="I255" s="59"/>
      <c r="J255" s="60"/>
      <c r="K255" s="59"/>
      <c r="L255" s="60"/>
      <c r="M255" s="59"/>
      <c r="N255" s="63"/>
      <c r="O255" s="60"/>
      <c r="P255" s="60"/>
      <c r="Q255" s="60"/>
      <c r="R255" s="60"/>
      <c r="S255" s="60"/>
      <c r="T255" s="60"/>
      <c r="U255" s="60"/>
      <c r="V255" s="64"/>
      <c r="W255" s="60"/>
      <c r="X255" s="59"/>
      <c r="Y255" s="60"/>
      <c r="Z255" s="59"/>
      <c r="AA255" s="60"/>
    </row>
    <row r="256">
      <c r="A256" s="58"/>
      <c r="B256" s="58"/>
      <c r="C256" s="59"/>
      <c r="D256" s="60"/>
      <c r="E256" s="61"/>
      <c r="F256" s="62"/>
      <c r="G256" s="62"/>
      <c r="H256" s="62"/>
      <c r="I256" s="59"/>
      <c r="J256" s="60"/>
      <c r="K256" s="59"/>
      <c r="L256" s="60"/>
      <c r="M256" s="59"/>
      <c r="N256" s="63"/>
      <c r="O256" s="60"/>
      <c r="P256" s="60"/>
      <c r="Q256" s="60"/>
      <c r="R256" s="60"/>
      <c r="S256" s="60"/>
      <c r="T256" s="60"/>
      <c r="U256" s="60"/>
      <c r="V256" s="64"/>
      <c r="W256" s="60"/>
      <c r="X256" s="59"/>
      <c r="Y256" s="60"/>
      <c r="Z256" s="59"/>
      <c r="AA256" s="60"/>
    </row>
    <row r="257">
      <c r="A257" s="58"/>
      <c r="B257" s="58"/>
      <c r="C257" s="59"/>
      <c r="D257" s="60"/>
      <c r="E257" s="61"/>
      <c r="F257" s="62"/>
      <c r="G257" s="62"/>
      <c r="H257" s="62"/>
      <c r="I257" s="59"/>
      <c r="J257" s="60"/>
      <c r="K257" s="59"/>
      <c r="L257" s="60"/>
      <c r="M257" s="59"/>
      <c r="N257" s="63"/>
      <c r="O257" s="60"/>
      <c r="P257" s="60"/>
      <c r="Q257" s="60"/>
      <c r="R257" s="60"/>
      <c r="S257" s="60"/>
      <c r="T257" s="60"/>
      <c r="U257" s="60"/>
      <c r="V257" s="64"/>
      <c r="W257" s="60"/>
      <c r="X257" s="59"/>
      <c r="Y257" s="60"/>
      <c r="Z257" s="59"/>
      <c r="AA257" s="60"/>
    </row>
    <row r="258">
      <c r="A258" s="58"/>
      <c r="B258" s="58"/>
      <c r="C258" s="59"/>
      <c r="D258" s="60"/>
      <c r="E258" s="61"/>
      <c r="F258" s="62"/>
      <c r="G258" s="62"/>
      <c r="H258" s="62"/>
      <c r="I258" s="59"/>
      <c r="J258" s="60"/>
      <c r="K258" s="59"/>
      <c r="L258" s="60"/>
      <c r="M258" s="59"/>
      <c r="N258" s="63"/>
      <c r="O258" s="60"/>
      <c r="P258" s="60"/>
      <c r="Q258" s="60"/>
      <c r="R258" s="60"/>
      <c r="S258" s="60"/>
      <c r="T258" s="60"/>
      <c r="U258" s="60"/>
      <c r="V258" s="64"/>
      <c r="W258" s="60"/>
      <c r="X258" s="59"/>
      <c r="Y258" s="60"/>
      <c r="Z258" s="59"/>
      <c r="AA258" s="60"/>
    </row>
    <row r="259">
      <c r="A259" s="58"/>
      <c r="B259" s="58"/>
      <c r="C259" s="59"/>
      <c r="D259" s="60"/>
      <c r="E259" s="61"/>
      <c r="F259" s="62"/>
      <c r="G259" s="62"/>
      <c r="H259" s="62"/>
      <c r="I259" s="59"/>
      <c r="J259" s="60"/>
      <c r="K259" s="59"/>
      <c r="L259" s="60"/>
      <c r="M259" s="59"/>
      <c r="N259" s="63"/>
      <c r="O259" s="60"/>
      <c r="P259" s="60"/>
      <c r="Q259" s="60"/>
      <c r="R259" s="60"/>
      <c r="S259" s="60"/>
      <c r="T259" s="60"/>
      <c r="U259" s="60"/>
      <c r="V259" s="64"/>
      <c r="W259" s="60"/>
      <c r="X259" s="59"/>
      <c r="Y259" s="60"/>
      <c r="Z259" s="59"/>
      <c r="AA259" s="60"/>
    </row>
    <row r="260">
      <c r="A260" s="58"/>
      <c r="B260" s="58"/>
      <c r="C260" s="59"/>
      <c r="D260" s="60"/>
      <c r="E260" s="61"/>
      <c r="F260" s="62"/>
      <c r="G260" s="62"/>
      <c r="H260" s="62"/>
      <c r="I260" s="59"/>
      <c r="J260" s="60"/>
      <c r="K260" s="59"/>
      <c r="L260" s="60"/>
      <c r="M260" s="59"/>
      <c r="N260" s="63"/>
      <c r="O260" s="60"/>
      <c r="P260" s="60"/>
      <c r="Q260" s="60"/>
      <c r="R260" s="60"/>
      <c r="S260" s="60"/>
      <c r="T260" s="60"/>
      <c r="U260" s="60"/>
      <c r="V260" s="64"/>
      <c r="W260" s="60"/>
      <c r="X260" s="59"/>
      <c r="Y260" s="60"/>
      <c r="Z260" s="59"/>
      <c r="AA260" s="60"/>
    </row>
    <row r="261">
      <c r="A261" s="58"/>
      <c r="B261" s="58"/>
      <c r="C261" s="59"/>
      <c r="D261" s="60"/>
      <c r="E261" s="61"/>
      <c r="F261" s="62"/>
      <c r="G261" s="62"/>
      <c r="H261" s="62"/>
      <c r="I261" s="59"/>
      <c r="J261" s="60"/>
      <c r="K261" s="59"/>
      <c r="L261" s="60"/>
      <c r="M261" s="59"/>
      <c r="N261" s="63"/>
      <c r="O261" s="60"/>
      <c r="P261" s="60"/>
      <c r="Q261" s="60"/>
      <c r="R261" s="60"/>
      <c r="S261" s="60"/>
      <c r="T261" s="60"/>
      <c r="U261" s="60"/>
      <c r="V261" s="64"/>
      <c r="W261" s="60"/>
      <c r="X261" s="59"/>
      <c r="Y261" s="60"/>
      <c r="Z261" s="59"/>
      <c r="AA261" s="60"/>
    </row>
    <row r="262">
      <c r="A262" s="58"/>
      <c r="B262" s="58"/>
      <c r="C262" s="59"/>
      <c r="D262" s="60"/>
      <c r="E262" s="61"/>
      <c r="F262" s="62"/>
      <c r="G262" s="62"/>
      <c r="H262" s="62"/>
      <c r="I262" s="59"/>
      <c r="J262" s="60"/>
      <c r="K262" s="59"/>
      <c r="L262" s="60"/>
      <c r="M262" s="59"/>
      <c r="N262" s="63"/>
      <c r="O262" s="60"/>
      <c r="P262" s="60"/>
      <c r="Q262" s="60"/>
      <c r="R262" s="60"/>
      <c r="S262" s="60"/>
      <c r="T262" s="60"/>
      <c r="U262" s="60"/>
      <c r="V262" s="64"/>
      <c r="W262" s="60"/>
      <c r="X262" s="59"/>
      <c r="Y262" s="60"/>
      <c r="Z262" s="59"/>
      <c r="AA262" s="60"/>
    </row>
    <row r="263">
      <c r="A263" s="58"/>
      <c r="B263" s="58"/>
      <c r="C263" s="59"/>
      <c r="D263" s="60"/>
      <c r="E263" s="61"/>
      <c r="F263" s="62"/>
      <c r="G263" s="62"/>
      <c r="H263" s="62"/>
      <c r="I263" s="59"/>
      <c r="J263" s="60"/>
      <c r="K263" s="59"/>
      <c r="L263" s="60"/>
      <c r="M263" s="59"/>
      <c r="N263" s="63"/>
      <c r="O263" s="60"/>
      <c r="P263" s="60"/>
      <c r="Q263" s="60"/>
      <c r="R263" s="60"/>
      <c r="S263" s="60"/>
      <c r="T263" s="60"/>
      <c r="U263" s="60"/>
      <c r="V263" s="64"/>
      <c r="W263" s="60"/>
      <c r="X263" s="59"/>
      <c r="Y263" s="60"/>
      <c r="Z263" s="59"/>
      <c r="AA263" s="60"/>
    </row>
    <row r="264">
      <c r="A264" s="58"/>
      <c r="B264" s="58"/>
      <c r="C264" s="59"/>
      <c r="D264" s="60"/>
      <c r="E264" s="61"/>
      <c r="F264" s="62"/>
      <c r="G264" s="62"/>
      <c r="H264" s="62"/>
      <c r="I264" s="59"/>
      <c r="J264" s="60"/>
      <c r="K264" s="59"/>
      <c r="L264" s="60"/>
      <c r="M264" s="59"/>
      <c r="N264" s="63"/>
      <c r="O264" s="60"/>
      <c r="P264" s="60"/>
      <c r="Q264" s="60"/>
      <c r="R264" s="60"/>
      <c r="S264" s="60"/>
      <c r="T264" s="60"/>
      <c r="U264" s="60"/>
      <c r="V264" s="64"/>
      <c r="W264" s="60"/>
      <c r="X264" s="59"/>
      <c r="Y264" s="60"/>
      <c r="Z264" s="59"/>
      <c r="AA264" s="60"/>
    </row>
    <row r="265">
      <c r="A265" s="58"/>
      <c r="B265" s="58"/>
      <c r="C265" s="59"/>
      <c r="D265" s="60"/>
      <c r="E265" s="61"/>
      <c r="F265" s="62"/>
      <c r="G265" s="62"/>
      <c r="H265" s="62"/>
      <c r="I265" s="59"/>
      <c r="J265" s="60"/>
      <c r="K265" s="59"/>
      <c r="L265" s="60"/>
      <c r="M265" s="59"/>
      <c r="N265" s="63"/>
      <c r="O265" s="60"/>
      <c r="P265" s="60"/>
      <c r="Q265" s="60"/>
      <c r="R265" s="60"/>
      <c r="S265" s="60"/>
      <c r="T265" s="60"/>
      <c r="U265" s="60"/>
      <c r="V265" s="64"/>
      <c r="W265" s="60"/>
      <c r="X265" s="59"/>
      <c r="Y265" s="60"/>
      <c r="Z265" s="59"/>
      <c r="AA265" s="60"/>
    </row>
    <row r="266">
      <c r="A266" s="58"/>
      <c r="B266" s="58"/>
      <c r="C266" s="59"/>
      <c r="D266" s="60"/>
      <c r="E266" s="61"/>
      <c r="F266" s="62"/>
      <c r="G266" s="62"/>
      <c r="H266" s="62"/>
      <c r="I266" s="59"/>
      <c r="J266" s="60"/>
      <c r="K266" s="59"/>
      <c r="L266" s="60"/>
      <c r="M266" s="59"/>
      <c r="N266" s="63"/>
      <c r="O266" s="60"/>
      <c r="P266" s="60"/>
      <c r="Q266" s="60"/>
      <c r="R266" s="60"/>
      <c r="S266" s="60"/>
      <c r="T266" s="60"/>
      <c r="U266" s="60"/>
      <c r="V266" s="64"/>
      <c r="W266" s="60"/>
      <c r="X266" s="59"/>
      <c r="Y266" s="60"/>
      <c r="Z266" s="59"/>
      <c r="AA266" s="60"/>
    </row>
    <row r="267">
      <c r="A267" s="58"/>
      <c r="B267" s="58"/>
      <c r="C267" s="59"/>
      <c r="D267" s="60"/>
      <c r="E267" s="61"/>
      <c r="F267" s="62"/>
      <c r="G267" s="62"/>
      <c r="H267" s="62"/>
      <c r="I267" s="59"/>
      <c r="J267" s="60"/>
      <c r="K267" s="59"/>
      <c r="L267" s="60"/>
      <c r="M267" s="59"/>
      <c r="N267" s="63"/>
      <c r="O267" s="60"/>
      <c r="P267" s="60"/>
      <c r="Q267" s="60"/>
      <c r="R267" s="60"/>
      <c r="S267" s="60"/>
      <c r="T267" s="60"/>
      <c r="U267" s="60"/>
      <c r="V267" s="64"/>
      <c r="W267" s="60"/>
      <c r="X267" s="59"/>
      <c r="Y267" s="60"/>
      <c r="Z267" s="59"/>
      <c r="AA267" s="60"/>
    </row>
    <row r="268">
      <c r="A268" s="58"/>
      <c r="B268" s="58"/>
      <c r="C268" s="59"/>
      <c r="D268" s="60"/>
      <c r="E268" s="61"/>
      <c r="F268" s="62"/>
      <c r="G268" s="62"/>
      <c r="H268" s="62"/>
      <c r="I268" s="59"/>
      <c r="J268" s="60"/>
      <c r="K268" s="59"/>
      <c r="L268" s="60"/>
      <c r="M268" s="59"/>
      <c r="N268" s="63"/>
      <c r="O268" s="60"/>
      <c r="P268" s="60"/>
      <c r="Q268" s="60"/>
      <c r="R268" s="60"/>
      <c r="S268" s="60"/>
      <c r="T268" s="60"/>
      <c r="U268" s="60"/>
      <c r="V268" s="64"/>
      <c r="W268" s="60"/>
      <c r="X268" s="59"/>
      <c r="Y268" s="60"/>
      <c r="Z268" s="59"/>
      <c r="AA268" s="60"/>
    </row>
    <row r="269">
      <c r="A269" s="58"/>
      <c r="B269" s="58"/>
      <c r="C269" s="59"/>
      <c r="D269" s="60"/>
      <c r="E269" s="61"/>
      <c r="F269" s="62"/>
      <c r="G269" s="62"/>
      <c r="H269" s="62"/>
      <c r="I269" s="59"/>
      <c r="J269" s="60"/>
      <c r="K269" s="59"/>
      <c r="L269" s="60"/>
      <c r="M269" s="59"/>
      <c r="N269" s="63"/>
      <c r="O269" s="60"/>
      <c r="P269" s="60"/>
      <c r="Q269" s="60"/>
      <c r="R269" s="60"/>
      <c r="S269" s="60"/>
      <c r="T269" s="60"/>
      <c r="U269" s="60"/>
      <c r="V269" s="64"/>
      <c r="W269" s="60"/>
      <c r="X269" s="59"/>
      <c r="Y269" s="60"/>
      <c r="Z269" s="59"/>
      <c r="AA269" s="60"/>
    </row>
    <row r="270">
      <c r="A270" s="58"/>
      <c r="B270" s="58"/>
      <c r="C270" s="59"/>
      <c r="D270" s="60"/>
      <c r="E270" s="61"/>
      <c r="F270" s="62"/>
      <c r="G270" s="62"/>
      <c r="H270" s="62"/>
      <c r="I270" s="59"/>
      <c r="J270" s="60"/>
      <c r="K270" s="59"/>
      <c r="L270" s="60"/>
      <c r="M270" s="59"/>
      <c r="N270" s="63"/>
      <c r="O270" s="60"/>
      <c r="P270" s="60"/>
      <c r="Q270" s="60"/>
      <c r="R270" s="60"/>
      <c r="S270" s="60"/>
      <c r="T270" s="60"/>
      <c r="U270" s="60"/>
      <c r="V270" s="64"/>
      <c r="W270" s="60"/>
      <c r="X270" s="59"/>
      <c r="Y270" s="60"/>
      <c r="Z270" s="59"/>
      <c r="AA270" s="60"/>
    </row>
    <row r="271">
      <c r="A271" s="58"/>
      <c r="B271" s="58"/>
      <c r="C271" s="59"/>
      <c r="D271" s="60"/>
      <c r="E271" s="61"/>
      <c r="F271" s="62"/>
      <c r="G271" s="62"/>
      <c r="H271" s="62"/>
      <c r="I271" s="59"/>
      <c r="J271" s="60"/>
      <c r="K271" s="59"/>
      <c r="L271" s="60"/>
      <c r="M271" s="59"/>
      <c r="N271" s="63"/>
      <c r="O271" s="60"/>
      <c r="P271" s="60"/>
      <c r="Q271" s="60"/>
      <c r="R271" s="60"/>
      <c r="S271" s="60"/>
      <c r="T271" s="60"/>
      <c r="U271" s="60"/>
      <c r="V271" s="64"/>
      <c r="W271" s="60"/>
      <c r="X271" s="59"/>
      <c r="Y271" s="60"/>
      <c r="Z271" s="59"/>
      <c r="AA271" s="60"/>
    </row>
    <row r="272">
      <c r="A272" s="58"/>
      <c r="B272" s="58"/>
      <c r="C272" s="59"/>
      <c r="D272" s="60"/>
      <c r="E272" s="61"/>
      <c r="F272" s="62"/>
      <c r="G272" s="62"/>
      <c r="H272" s="62"/>
      <c r="I272" s="59"/>
      <c r="J272" s="60"/>
      <c r="K272" s="59"/>
      <c r="L272" s="60"/>
      <c r="M272" s="59"/>
      <c r="N272" s="63"/>
      <c r="O272" s="60"/>
      <c r="P272" s="60"/>
      <c r="Q272" s="60"/>
      <c r="R272" s="60"/>
      <c r="S272" s="60"/>
      <c r="T272" s="60"/>
      <c r="U272" s="60"/>
      <c r="V272" s="64"/>
      <c r="W272" s="60"/>
      <c r="X272" s="59"/>
      <c r="Y272" s="60"/>
      <c r="Z272" s="59"/>
      <c r="AA272" s="60"/>
    </row>
    <row r="273">
      <c r="A273" s="58"/>
      <c r="B273" s="58"/>
      <c r="C273" s="59"/>
      <c r="D273" s="60"/>
      <c r="E273" s="61"/>
      <c r="F273" s="62"/>
      <c r="G273" s="62"/>
      <c r="H273" s="62"/>
      <c r="I273" s="59"/>
      <c r="J273" s="60"/>
      <c r="K273" s="59"/>
      <c r="L273" s="60"/>
      <c r="M273" s="59"/>
      <c r="N273" s="63"/>
      <c r="O273" s="60"/>
      <c r="P273" s="60"/>
      <c r="Q273" s="60"/>
      <c r="R273" s="60"/>
      <c r="S273" s="60"/>
      <c r="T273" s="60"/>
      <c r="U273" s="60"/>
      <c r="V273" s="64"/>
      <c r="W273" s="60"/>
      <c r="X273" s="59"/>
      <c r="Y273" s="60"/>
      <c r="Z273" s="59"/>
      <c r="AA273" s="60"/>
    </row>
    <row r="274">
      <c r="A274" s="58"/>
      <c r="B274" s="58"/>
      <c r="C274" s="59"/>
      <c r="D274" s="60"/>
      <c r="E274" s="61"/>
      <c r="F274" s="62"/>
      <c r="G274" s="62"/>
      <c r="H274" s="62"/>
      <c r="I274" s="59"/>
      <c r="J274" s="60"/>
      <c r="K274" s="59"/>
      <c r="L274" s="60"/>
      <c r="M274" s="59"/>
      <c r="N274" s="63"/>
      <c r="O274" s="60"/>
      <c r="P274" s="60"/>
      <c r="Q274" s="60"/>
      <c r="R274" s="60"/>
      <c r="S274" s="60"/>
      <c r="T274" s="60"/>
      <c r="U274" s="60"/>
      <c r="V274" s="64"/>
      <c r="W274" s="60"/>
      <c r="X274" s="59"/>
      <c r="Y274" s="60"/>
      <c r="Z274" s="59"/>
      <c r="AA274" s="60"/>
    </row>
    <row r="275">
      <c r="A275" s="58"/>
      <c r="B275" s="58"/>
      <c r="C275" s="59"/>
      <c r="D275" s="60"/>
      <c r="E275" s="61"/>
      <c r="F275" s="62"/>
      <c r="G275" s="62"/>
      <c r="H275" s="62"/>
      <c r="I275" s="59"/>
      <c r="J275" s="60"/>
      <c r="K275" s="59"/>
      <c r="L275" s="60"/>
      <c r="M275" s="59"/>
      <c r="N275" s="63"/>
      <c r="O275" s="60"/>
      <c r="P275" s="60"/>
      <c r="Q275" s="60"/>
      <c r="R275" s="60"/>
      <c r="S275" s="60"/>
      <c r="T275" s="60"/>
      <c r="U275" s="60"/>
      <c r="V275" s="64"/>
      <c r="W275" s="60"/>
      <c r="X275" s="59"/>
      <c r="Y275" s="60"/>
      <c r="Z275" s="59"/>
      <c r="AA275" s="60"/>
    </row>
    <row r="276">
      <c r="A276" s="58"/>
      <c r="B276" s="58"/>
      <c r="C276" s="59"/>
      <c r="D276" s="60"/>
      <c r="E276" s="61"/>
      <c r="F276" s="62"/>
      <c r="G276" s="62"/>
      <c r="H276" s="62"/>
      <c r="I276" s="59"/>
      <c r="J276" s="60"/>
      <c r="K276" s="59"/>
      <c r="L276" s="60"/>
      <c r="M276" s="59"/>
      <c r="N276" s="63"/>
      <c r="O276" s="60"/>
      <c r="P276" s="60"/>
      <c r="Q276" s="60"/>
      <c r="R276" s="60"/>
      <c r="S276" s="60"/>
      <c r="T276" s="60"/>
      <c r="U276" s="60"/>
      <c r="V276" s="64"/>
      <c r="W276" s="60"/>
      <c r="X276" s="59"/>
      <c r="Y276" s="60"/>
      <c r="Z276" s="59"/>
      <c r="AA276" s="60"/>
    </row>
    <row r="277">
      <c r="A277" s="58"/>
      <c r="B277" s="58"/>
      <c r="C277" s="59"/>
      <c r="D277" s="60"/>
      <c r="E277" s="61"/>
      <c r="F277" s="62"/>
      <c r="G277" s="62"/>
      <c r="H277" s="62"/>
      <c r="I277" s="59"/>
      <c r="J277" s="60"/>
      <c r="K277" s="59"/>
      <c r="L277" s="60"/>
      <c r="M277" s="59"/>
      <c r="N277" s="63"/>
      <c r="O277" s="60"/>
      <c r="P277" s="60"/>
      <c r="Q277" s="60"/>
      <c r="R277" s="60"/>
      <c r="S277" s="60"/>
      <c r="T277" s="60"/>
      <c r="U277" s="60"/>
      <c r="V277" s="64"/>
      <c r="W277" s="60"/>
      <c r="X277" s="59"/>
      <c r="Y277" s="60"/>
      <c r="Z277" s="59"/>
      <c r="AA277" s="60"/>
    </row>
    <row r="278">
      <c r="A278" s="58"/>
      <c r="B278" s="58"/>
      <c r="C278" s="59"/>
      <c r="D278" s="60"/>
      <c r="E278" s="61"/>
      <c r="F278" s="62"/>
      <c r="G278" s="62"/>
      <c r="H278" s="62"/>
      <c r="I278" s="59"/>
      <c r="J278" s="60"/>
      <c r="K278" s="59"/>
      <c r="L278" s="60"/>
      <c r="M278" s="59"/>
      <c r="N278" s="63"/>
      <c r="O278" s="60"/>
      <c r="P278" s="60"/>
      <c r="Q278" s="60"/>
      <c r="R278" s="60"/>
      <c r="S278" s="60"/>
      <c r="T278" s="60"/>
      <c r="U278" s="60"/>
      <c r="V278" s="64"/>
      <c r="W278" s="60"/>
      <c r="X278" s="59"/>
      <c r="Y278" s="60"/>
      <c r="Z278" s="59"/>
      <c r="AA278" s="60"/>
    </row>
    <row r="279">
      <c r="A279" s="58"/>
      <c r="B279" s="58"/>
      <c r="C279" s="59"/>
      <c r="D279" s="60"/>
      <c r="E279" s="61"/>
      <c r="F279" s="62"/>
      <c r="G279" s="62"/>
      <c r="H279" s="62"/>
      <c r="I279" s="59"/>
      <c r="J279" s="60"/>
      <c r="K279" s="59"/>
      <c r="L279" s="60"/>
      <c r="M279" s="59"/>
      <c r="N279" s="63"/>
      <c r="O279" s="60"/>
      <c r="P279" s="60"/>
      <c r="Q279" s="60"/>
      <c r="R279" s="60"/>
      <c r="S279" s="60"/>
      <c r="T279" s="60"/>
      <c r="U279" s="60"/>
      <c r="V279" s="64"/>
      <c r="W279" s="60"/>
      <c r="X279" s="59"/>
      <c r="Y279" s="60"/>
      <c r="Z279" s="59"/>
      <c r="AA279" s="60"/>
    </row>
    <row r="280">
      <c r="A280" s="58"/>
      <c r="B280" s="58"/>
      <c r="C280" s="59"/>
      <c r="D280" s="60"/>
      <c r="E280" s="61"/>
      <c r="F280" s="62"/>
      <c r="G280" s="62"/>
      <c r="H280" s="62"/>
      <c r="I280" s="59"/>
      <c r="J280" s="60"/>
      <c r="K280" s="59"/>
      <c r="L280" s="60"/>
      <c r="M280" s="59"/>
      <c r="N280" s="63"/>
      <c r="O280" s="60"/>
      <c r="P280" s="60"/>
      <c r="Q280" s="60"/>
      <c r="R280" s="60"/>
      <c r="S280" s="60"/>
      <c r="T280" s="60"/>
      <c r="U280" s="60"/>
      <c r="V280" s="64"/>
      <c r="W280" s="60"/>
      <c r="X280" s="59"/>
      <c r="Y280" s="60"/>
      <c r="Z280" s="59"/>
      <c r="AA280" s="60"/>
    </row>
    <row r="281">
      <c r="A281" s="58"/>
      <c r="B281" s="58"/>
      <c r="C281" s="59"/>
      <c r="D281" s="60"/>
      <c r="E281" s="61"/>
      <c r="F281" s="62"/>
      <c r="G281" s="62"/>
      <c r="H281" s="62"/>
      <c r="I281" s="59"/>
      <c r="J281" s="60"/>
      <c r="K281" s="59"/>
      <c r="L281" s="60"/>
      <c r="M281" s="59"/>
      <c r="N281" s="63"/>
      <c r="O281" s="60"/>
      <c r="P281" s="60"/>
      <c r="Q281" s="60"/>
      <c r="R281" s="60"/>
      <c r="S281" s="60"/>
      <c r="T281" s="60"/>
      <c r="U281" s="60"/>
      <c r="V281" s="64"/>
      <c r="W281" s="60"/>
      <c r="X281" s="59"/>
      <c r="Y281" s="60"/>
      <c r="Z281" s="59"/>
      <c r="AA281" s="60"/>
    </row>
    <row r="282">
      <c r="A282" s="58"/>
      <c r="B282" s="58"/>
      <c r="C282" s="59"/>
      <c r="D282" s="60"/>
      <c r="E282" s="61"/>
      <c r="F282" s="62"/>
      <c r="G282" s="62"/>
      <c r="H282" s="62"/>
      <c r="I282" s="59"/>
      <c r="J282" s="60"/>
      <c r="K282" s="59"/>
      <c r="L282" s="60"/>
      <c r="M282" s="59"/>
      <c r="N282" s="63"/>
      <c r="O282" s="60"/>
      <c r="P282" s="60"/>
      <c r="Q282" s="60"/>
      <c r="R282" s="60"/>
      <c r="S282" s="60"/>
      <c r="T282" s="60"/>
      <c r="U282" s="60"/>
      <c r="V282" s="64"/>
      <c r="W282" s="60"/>
      <c r="X282" s="59"/>
      <c r="Y282" s="60"/>
      <c r="Z282" s="59"/>
      <c r="AA282" s="60"/>
    </row>
    <row r="283">
      <c r="A283" s="58"/>
      <c r="B283" s="58"/>
      <c r="C283" s="59"/>
      <c r="D283" s="60"/>
      <c r="E283" s="61"/>
      <c r="F283" s="62"/>
      <c r="G283" s="62"/>
      <c r="H283" s="62"/>
      <c r="I283" s="59"/>
      <c r="J283" s="60"/>
      <c r="K283" s="59"/>
      <c r="L283" s="60"/>
      <c r="M283" s="59"/>
      <c r="N283" s="63"/>
      <c r="O283" s="60"/>
      <c r="P283" s="60"/>
      <c r="Q283" s="60"/>
      <c r="R283" s="60"/>
      <c r="S283" s="60"/>
      <c r="T283" s="60"/>
      <c r="U283" s="60"/>
      <c r="V283" s="64"/>
      <c r="W283" s="60"/>
      <c r="X283" s="59"/>
      <c r="Y283" s="60"/>
      <c r="Z283" s="59"/>
      <c r="AA283" s="60"/>
    </row>
    <row r="284">
      <c r="A284" s="58"/>
      <c r="B284" s="58"/>
      <c r="C284" s="59"/>
      <c r="D284" s="60"/>
      <c r="E284" s="61"/>
      <c r="F284" s="62"/>
      <c r="G284" s="62"/>
      <c r="H284" s="62"/>
      <c r="I284" s="59"/>
      <c r="J284" s="60"/>
      <c r="K284" s="59"/>
      <c r="L284" s="60"/>
      <c r="M284" s="59"/>
      <c r="N284" s="63"/>
      <c r="O284" s="60"/>
      <c r="P284" s="60"/>
      <c r="Q284" s="60"/>
      <c r="R284" s="60"/>
      <c r="S284" s="60"/>
      <c r="T284" s="60"/>
      <c r="U284" s="60"/>
      <c r="V284" s="64"/>
      <c r="W284" s="60"/>
      <c r="X284" s="59"/>
      <c r="Y284" s="60"/>
      <c r="Z284" s="59"/>
      <c r="AA284" s="60"/>
    </row>
    <row r="285">
      <c r="A285" s="58"/>
      <c r="B285" s="58"/>
      <c r="C285" s="59"/>
      <c r="D285" s="60"/>
      <c r="E285" s="61"/>
      <c r="F285" s="62"/>
      <c r="G285" s="62"/>
      <c r="H285" s="62"/>
      <c r="I285" s="59"/>
      <c r="J285" s="60"/>
      <c r="K285" s="59"/>
      <c r="L285" s="60"/>
      <c r="M285" s="59"/>
      <c r="N285" s="63"/>
      <c r="O285" s="60"/>
      <c r="P285" s="60"/>
      <c r="Q285" s="60"/>
      <c r="R285" s="60"/>
      <c r="S285" s="60"/>
      <c r="T285" s="60"/>
      <c r="U285" s="60"/>
      <c r="V285" s="64"/>
      <c r="W285" s="60"/>
      <c r="X285" s="59"/>
      <c r="Y285" s="60"/>
      <c r="Z285" s="59"/>
      <c r="AA285" s="60"/>
    </row>
    <row r="286">
      <c r="A286" s="58"/>
      <c r="B286" s="58"/>
      <c r="C286" s="59"/>
      <c r="D286" s="60"/>
      <c r="E286" s="61"/>
      <c r="F286" s="62"/>
      <c r="G286" s="62"/>
      <c r="H286" s="62"/>
      <c r="I286" s="59"/>
      <c r="J286" s="60"/>
      <c r="K286" s="59"/>
      <c r="L286" s="60"/>
      <c r="M286" s="59"/>
      <c r="N286" s="63"/>
      <c r="O286" s="60"/>
      <c r="P286" s="60"/>
      <c r="Q286" s="60"/>
      <c r="R286" s="60"/>
      <c r="S286" s="60"/>
      <c r="T286" s="60"/>
      <c r="U286" s="60"/>
      <c r="V286" s="64"/>
      <c r="W286" s="60"/>
      <c r="X286" s="59"/>
      <c r="Y286" s="60"/>
      <c r="Z286" s="59"/>
      <c r="AA286" s="60"/>
    </row>
    <row r="287">
      <c r="A287" s="58"/>
      <c r="B287" s="58"/>
      <c r="C287" s="59"/>
      <c r="D287" s="60"/>
      <c r="E287" s="61"/>
      <c r="F287" s="62"/>
      <c r="G287" s="62"/>
      <c r="H287" s="62"/>
      <c r="I287" s="59"/>
      <c r="J287" s="60"/>
      <c r="K287" s="59"/>
      <c r="L287" s="60"/>
      <c r="M287" s="59"/>
      <c r="N287" s="63"/>
      <c r="O287" s="60"/>
      <c r="P287" s="60"/>
      <c r="Q287" s="60"/>
      <c r="R287" s="60"/>
      <c r="S287" s="60"/>
      <c r="T287" s="60"/>
      <c r="U287" s="60"/>
      <c r="V287" s="64"/>
      <c r="W287" s="60"/>
      <c r="X287" s="59"/>
      <c r="Y287" s="60"/>
      <c r="Z287" s="59"/>
      <c r="AA287" s="60"/>
    </row>
    <row r="288">
      <c r="A288" s="58"/>
      <c r="B288" s="58"/>
      <c r="C288" s="59"/>
      <c r="D288" s="60"/>
      <c r="E288" s="61"/>
      <c r="F288" s="62"/>
      <c r="G288" s="62"/>
      <c r="H288" s="62"/>
      <c r="I288" s="59"/>
      <c r="J288" s="60"/>
      <c r="K288" s="59"/>
      <c r="L288" s="60"/>
      <c r="M288" s="59"/>
      <c r="N288" s="63"/>
      <c r="O288" s="60"/>
      <c r="P288" s="60"/>
      <c r="Q288" s="60"/>
      <c r="R288" s="60"/>
      <c r="S288" s="60"/>
      <c r="T288" s="60"/>
      <c r="U288" s="60"/>
      <c r="V288" s="64"/>
      <c r="W288" s="60"/>
      <c r="X288" s="59"/>
      <c r="Y288" s="60"/>
      <c r="Z288" s="59"/>
      <c r="AA288" s="60"/>
    </row>
    <row r="289">
      <c r="A289" s="58"/>
      <c r="B289" s="58"/>
      <c r="C289" s="59"/>
      <c r="D289" s="60"/>
      <c r="E289" s="61"/>
      <c r="F289" s="62"/>
      <c r="G289" s="62"/>
      <c r="H289" s="62"/>
      <c r="I289" s="59"/>
      <c r="J289" s="60"/>
      <c r="K289" s="59"/>
      <c r="L289" s="60"/>
      <c r="M289" s="59"/>
      <c r="N289" s="63"/>
      <c r="O289" s="60"/>
      <c r="P289" s="60"/>
      <c r="Q289" s="60"/>
      <c r="R289" s="60"/>
      <c r="S289" s="60"/>
      <c r="T289" s="60"/>
      <c r="U289" s="60"/>
      <c r="V289" s="64"/>
      <c r="W289" s="60"/>
      <c r="X289" s="59"/>
      <c r="Y289" s="60"/>
      <c r="Z289" s="59"/>
      <c r="AA289" s="60"/>
    </row>
    <row r="290">
      <c r="A290" s="58"/>
      <c r="B290" s="58"/>
      <c r="C290" s="59"/>
      <c r="D290" s="60"/>
      <c r="E290" s="61"/>
      <c r="F290" s="62"/>
      <c r="G290" s="62"/>
      <c r="H290" s="62"/>
      <c r="I290" s="59"/>
      <c r="J290" s="60"/>
      <c r="K290" s="59"/>
      <c r="L290" s="60"/>
      <c r="M290" s="59"/>
      <c r="N290" s="63"/>
      <c r="O290" s="60"/>
      <c r="P290" s="60"/>
      <c r="Q290" s="60"/>
      <c r="R290" s="60"/>
      <c r="S290" s="60"/>
      <c r="T290" s="60"/>
      <c r="U290" s="60"/>
      <c r="V290" s="64"/>
      <c r="W290" s="60"/>
      <c r="X290" s="59"/>
      <c r="Y290" s="60"/>
      <c r="Z290" s="59"/>
      <c r="AA290" s="60"/>
    </row>
    <row r="291">
      <c r="A291" s="58"/>
      <c r="B291" s="58"/>
      <c r="C291" s="59"/>
      <c r="D291" s="60"/>
      <c r="E291" s="61"/>
      <c r="F291" s="62"/>
      <c r="G291" s="62"/>
      <c r="H291" s="62"/>
      <c r="I291" s="59"/>
      <c r="J291" s="60"/>
      <c r="K291" s="59"/>
      <c r="L291" s="60"/>
      <c r="M291" s="59"/>
      <c r="N291" s="63"/>
      <c r="O291" s="60"/>
      <c r="P291" s="60"/>
      <c r="Q291" s="60"/>
      <c r="R291" s="60"/>
      <c r="S291" s="60"/>
      <c r="T291" s="60"/>
      <c r="U291" s="60"/>
      <c r="V291" s="64"/>
      <c r="W291" s="60"/>
      <c r="X291" s="59"/>
      <c r="Y291" s="60"/>
      <c r="Z291" s="59"/>
      <c r="AA291" s="60"/>
    </row>
    <row r="292">
      <c r="A292" s="58"/>
      <c r="B292" s="58"/>
      <c r="C292" s="59"/>
      <c r="D292" s="60"/>
      <c r="E292" s="61"/>
      <c r="F292" s="62"/>
      <c r="G292" s="62"/>
      <c r="H292" s="62"/>
      <c r="I292" s="59"/>
      <c r="J292" s="60"/>
      <c r="K292" s="59"/>
      <c r="L292" s="60"/>
      <c r="M292" s="59"/>
      <c r="N292" s="63"/>
      <c r="O292" s="60"/>
      <c r="P292" s="60"/>
      <c r="Q292" s="60"/>
      <c r="R292" s="60"/>
      <c r="S292" s="60"/>
      <c r="T292" s="60"/>
      <c r="U292" s="60"/>
      <c r="V292" s="64"/>
      <c r="W292" s="60"/>
      <c r="X292" s="59"/>
      <c r="Y292" s="60"/>
      <c r="Z292" s="59"/>
      <c r="AA292" s="60"/>
    </row>
    <row r="293">
      <c r="A293" s="58"/>
      <c r="B293" s="58"/>
      <c r="C293" s="59"/>
      <c r="D293" s="60"/>
      <c r="E293" s="61"/>
      <c r="F293" s="62"/>
      <c r="G293" s="62"/>
      <c r="H293" s="62"/>
      <c r="I293" s="59"/>
      <c r="J293" s="60"/>
      <c r="K293" s="59"/>
      <c r="L293" s="60"/>
      <c r="M293" s="59"/>
      <c r="N293" s="63"/>
      <c r="O293" s="60"/>
      <c r="P293" s="60"/>
      <c r="Q293" s="60"/>
      <c r="R293" s="60"/>
      <c r="S293" s="60"/>
      <c r="T293" s="60"/>
      <c r="U293" s="60"/>
      <c r="V293" s="64"/>
      <c r="W293" s="60"/>
      <c r="X293" s="59"/>
      <c r="Y293" s="60"/>
      <c r="Z293" s="59"/>
      <c r="AA293" s="60"/>
    </row>
    <row r="294">
      <c r="A294" s="58"/>
      <c r="B294" s="58"/>
      <c r="C294" s="59"/>
      <c r="D294" s="60"/>
      <c r="E294" s="61"/>
      <c r="F294" s="62"/>
      <c r="G294" s="62"/>
      <c r="H294" s="62"/>
      <c r="I294" s="59"/>
      <c r="J294" s="60"/>
      <c r="K294" s="59"/>
      <c r="L294" s="60"/>
      <c r="M294" s="59"/>
      <c r="N294" s="63"/>
      <c r="O294" s="60"/>
      <c r="P294" s="60"/>
      <c r="Q294" s="60"/>
      <c r="R294" s="60"/>
      <c r="S294" s="60"/>
      <c r="T294" s="60"/>
      <c r="U294" s="60"/>
      <c r="V294" s="64"/>
      <c r="W294" s="60"/>
      <c r="X294" s="59"/>
      <c r="Y294" s="60"/>
      <c r="Z294" s="59"/>
      <c r="AA294" s="60"/>
    </row>
    <row r="295">
      <c r="A295" s="58"/>
      <c r="B295" s="58"/>
      <c r="C295" s="59"/>
      <c r="D295" s="60"/>
      <c r="E295" s="61"/>
      <c r="F295" s="62"/>
      <c r="G295" s="62"/>
      <c r="H295" s="62"/>
      <c r="I295" s="59"/>
      <c r="J295" s="60"/>
      <c r="K295" s="59"/>
      <c r="L295" s="60"/>
      <c r="M295" s="59"/>
      <c r="N295" s="63"/>
      <c r="O295" s="60"/>
      <c r="P295" s="60"/>
      <c r="Q295" s="60"/>
      <c r="R295" s="60"/>
      <c r="S295" s="60"/>
      <c r="T295" s="60"/>
      <c r="U295" s="60"/>
      <c r="V295" s="64"/>
      <c r="W295" s="60"/>
      <c r="X295" s="59"/>
      <c r="Y295" s="60"/>
      <c r="Z295" s="59"/>
      <c r="AA295" s="60"/>
    </row>
    <row r="296">
      <c r="A296" s="58"/>
      <c r="B296" s="58"/>
      <c r="C296" s="59"/>
      <c r="D296" s="60"/>
      <c r="E296" s="61"/>
      <c r="F296" s="62"/>
      <c r="G296" s="62"/>
      <c r="H296" s="62"/>
      <c r="I296" s="59"/>
      <c r="J296" s="60"/>
      <c r="K296" s="59"/>
      <c r="L296" s="60"/>
      <c r="M296" s="59"/>
      <c r="N296" s="63"/>
      <c r="O296" s="60"/>
      <c r="P296" s="60"/>
      <c r="Q296" s="60"/>
      <c r="R296" s="60"/>
      <c r="S296" s="60"/>
      <c r="T296" s="60"/>
      <c r="U296" s="60"/>
      <c r="V296" s="64"/>
      <c r="W296" s="60"/>
      <c r="X296" s="59"/>
      <c r="Y296" s="60"/>
      <c r="Z296" s="59"/>
      <c r="AA296" s="60"/>
    </row>
    <row r="297">
      <c r="A297" s="58"/>
      <c r="B297" s="58"/>
      <c r="C297" s="59"/>
      <c r="D297" s="60"/>
      <c r="E297" s="61"/>
      <c r="F297" s="62"/>
      <c r="G297" s="62"/>
      <c r="H297" s="62"/>
      <c r="I297" s="59"/>
      <c r="J297" s="60"/>
      <c r="K297" s="59"/>
      <c r="L297" s="60"/>
      <c r="M297" s="59"/>
      <c r="N297" s="63"/>
      <c r="O297" s="60"/>
      <c r="P297" s="60"/>
      <c r="Q297" s="60"/>
      <c r="R297" s="60"/>
      <c r="S297" s="60"/>
      <c r="T297" s="60"/>
      <c r="U297" s="60"/>
      <c r="V297" s="64"/>
      <c r="W297" s="60"/>
      <c r="X297" s="59"/>
      <c r="Y297" s="60"/>
      <c r="Z297" s="59"/>
      <c r="AA297" s="60"/>
    </row>
    <row r="298">
      <c r="A298" s="58"/>
      <c r="B298" s="58"/>
      <c r="C298" s="59"/>
      <c r="D298" s="60"/>
      <c r="E298" s="61"/>
      <c r="F298" s="62"/>
      <c r="G298" s="62"/>
      <c r="H298" s="62"/>
      <c r="I298" s="59"/>
      <c r="J298" s="60"/>
      <c r="K298" s="59"/>
      <c r="L298" s="60"/>
      <c r="M298" s="59"/>
      <c r="N298" s="63"/>
      <c r="O298" s="60"/>
      <c r="P298" s="60"/>
      <c r="Q298" s="60"/>
      <c r="R298" s="60"/>
      <c r="S298" s="60"/>
      <c r="T298" s="60"/>
      <c r="U298" s="60"/>
      <c r="V298" s="64"/>
      <c r="W298" s="60"/>
      <c r="X298" s="59"/>
      <c r="Y298" s="60"/>
      <c r="Z298" s="59"/>
      <c r="AA298" s="60"/>
    </row>
    <row r="299">
      <c r="A299" s="58"/>
      <c r="B299" s="58"/>
      <c r="C299" s="59"/>
      <c r="D299" s="60"/>
      <c r="E299" s="61"/>
      <c r="F299" s="62"/>
      <c r="G299" s="62"/>
      <c r="H299" s="62"/>
      <c r="I299" s="59"/>
      <c r="J299" s="60"/>
      <c r="K299" s="59"/>
      <c r="L299" s="60"/>
      <c r="M299" s="59"/>
      <c r="N299" s="63"/>
      <c r="O299" s="60"/>
      <c r="P299" s="60"/>
      <c r="Q299" s="60"/>
      <c r="R299" s="60"/>
      <c r="S299" s="60"/>
      <c r="T299" s="60"/>
      <c r="U299" s="60"/>
      <c r="V299" s="64"/>
      <c r="W299" s="60"/>
      <c r="X299" s="59"/>
      <c r="Y299" s="60"/>
      <c r="Z299" s="59"/>
      <c r="AA299" s="60"/>
    </row>
    <row r="300">
      <c r="A300" s="58"/>
      <c r="B300" s="58"/>
      <c r="C300" s="59"/>
      <c r="D300" s="60"/>
      <c r="E300" s="61"/>
      <c r="F300" s="62"/>
      <c r="G300" s="62"/>
      <c r="H300" s="62"/>
      <c r="I300" s="59"/>
      <c r="J300" s="60"/>
      <c r="K300" s="59"/>
      <c r="L300" s="60"/>
      <c r="M300" s="59"/>
      <c r="N300" s="63"/>
      <c r="O300" s="60"/>
      <c r="P300" s="60"/>
      <c r="Q300" s="60"/>
      <c r="R300" s="60"/>
      <c r="S300" s="60"/>
      <c r="T300" s="60"/>
      <c r="U300" s="60"/>
      <c r="V300" s="64"/>
      <c r="W300" s="60"/>
      <c r="X300" s="59"/>
      <c r="Y300" s="60"/>
      <c r="Z300" s="59"/>
      <c r="AA300" s="60"/>
    </row>
    <row r="301">
      <c r="A301" s="58"/>
      <c r="B301" s="58"/>
      <c r="C301" s="59"/>
      <c r="D301" s="60"/>
      <c r="E301" s="61"/>
      <c r="F301" s="62"/>
      <c r="G301" s="62"/>
      <c r="H301" s="62"/>
      <c r="I301" s="59"/>
      <c r="J301" s="60"/>
      <c r="K301" s="59"/>
      <c r="L301" s="60"/>
      <c r="M301" s="59"/>
      <c r="N301" s="63"/>
      <c r="O301" s="60"/>
      <c r="P301" s="60"/>
      <c r="Q301" s="60"/>
      <c r="R301" s="60"/>
      <c r="S301" s="60"/>
      <c r="T301" s="60"/>
      <c r="U301" s="60"/>
      <c r="V301" s="64"/>
      <c r="W301" s="60"/>
      <c r="X301" s="59"/>
      <c r="Y301" s="60"/>
      <c r="Z301" s="59"/>
      <c r="AA301" s="60"/>
    </row>
    <row r="302">
      <c r="A302" s="58"/>
      <c r="B302" s="58"/>
      <c r="C302" s="59"/>
      <c r="D302" s="60"/>
      <c r="E302" s="61"/>
      <c r="F302" s="62"/>
      <c r="G302" s="62"/>
      <c r="H302" s="62"/>
      <c r="I302" s="59"/>
      <c r="J302" s="60"/>
      <c r="K302" s="59"/>
      <c r="L302" s="60"/>
      <c r="M302" s="59"/>
      <c r="N302" s="63"/>
      <c r="O302" s="60"/>
      <c r="P302" s="60"/>
      <c r="Q302" s="60"/>
      <c r="R302" s="60"/>
      <c r="S302" s="60"/>
      <c r="T302" s="60"/>
      <c r="U302" s="60"/>
      <c r="V302" s="64"/>
      <c r="W302" s="60"/>
      <c r="X302" s="59"/>
      <c r="Y302" s="60"/>
      <c r="Z302" s="59"/>
      <c r="AA302" s="60"/>
    </row>
    <row r="303">
      <c r="A303" s="58"/>
      <c r="B303" s="58"/>
      <c r="C303" s="59"/>
      <c r="D303" s="60"/>
      <c r="E303" s="61"/>
      <c r="F303" s="62"/>
      <c r="G303" s="62"/>
      <c r="H303" s="62"/>
      <c r="I303" s="59"/>
      <c r="J303" s="60"/>
      <c r="K303" s="59"/>
      <c r="L303" s="60"/>
      <c r="M303" s="59"/>
      <c r="N303" s="63"/>
      <c r="O303" s="60"/>
      <c r="P303" s="60"/>
      <c r="Q303" s="60"/>
      <c r="R303" s="60"/>
      <c r="S303" s="60"/>
      <c r="T303" s="60"/>
      <c r="U303" s="60"/>
      <c r="V303" s="64"/>
      <c r="W303" s="60"/>
      <c r="X303" s="59"/>
      <c r="Y303" s="60"/>
      <c r="Z303" s="59"/>
      <c r="AA303" s="60"/>
    </row>
    <row r="304">
      <c r="A304" s="58"/>
      <c r="B304" s="58"/>
      <c r="C304" s="59"/>
      <c r="D304" s="60"/>
      <c r="E304" s="61"/>
      <c r="F304" s="62"/>
      <c r="G304" s="62"/>
      <c r="H304" s="62"/>
      <c r="I304" s="59"/>
      <c r="J304" s="60"/>
      <c r="K304" s="59"/>
      <c r="L304" s="60"/>
      <c r="M304" s="59"/>
      <c r="N304" s="63"/>
      <c r="O304" s="60"/>
      <c r="P304" s="60"/>
      <c r="Q304" s="60"/>
      <c r="R304" s="60"/>
      <c r="S304" s="60"/>
      <c r="T304" s="60"/>
      <c r="U304" s="60"/>
      <c r="V304" s="64"/>
      <c r="W304" s="60"/>
      <c r="X304" s="59"/>
      <c r="Y304" s="60"/>
      <c r="Z304" s="59"/>
      <c r="AA304" s="60"/>
    </row>
    <row r="305">
      <c r="A305" s="58"/>
      <c r="B305" s="58"/>
      <c r="C305" s="59"/>
      <c r="D305" s="60"/>
      <c r="E305" s="61"/>
      <c r="F305" s="62"/>
      <c r="G305" s="62"/>
      <c r="H305" s="62"/>
      <c r="I305" s="59"/>
      <c r="J305" s="60"/>
      <c r="K305" s="59"/>
      <c r="L305" s="60"/>
      <c r="M305" s="59"/>
      <c r="N305" s="63"/>
      <c r="O305" s="60"/>
      <c r="P305" s="60"/>
      <c r="Q305" s="60"/>
      <c r="R305" s="60"/>
      <c r="S305" s="60"/>
      <c r="T305" s="60"/>
      <c r="U305" s="60"/>
      <c r="V305" s="64"/>
      <c r="W305" s="60"/>
      <c r="X305" s="59"/>
      <c r="Y305" s="60"/>
      <c r="Z305" s="59"/>
      <c r="AA305" s="60"/>
    </row>
    <row r="306">
      <c r="A306" s="58"/>
      <c r="B306" s="58"/>
      <c r="C306" s="59"/>
      <c r="D306" s="60"/>
      <c r="E306" s="61"/>
      <c r="F306" s="62"/>
      <c r="G306" s="62"/>
      <c r="H306" s="62"/>
      <c r="I306" s="59"/>
      <c r="J306" s="60"/>
      <c r="K306" s="59"/>
      <c r="L306" s="60"/>
      <c r="M306" s="59"/>
      <c r="N306" s="63"/>
      <c r="O306" s="60"/>
      <c r="P306" s="60"/>
      <c r="Q306" s="60"/>
      <c r="R306" s="60"/>
      <c r="S306" s="60"/>
      <c r="T306" s="60"/>
      <c r="U306" s="60"/>
      <c r="V306" s="64"/>
      <c r="W306" s="60"/>
      <c r="X306" s="59"/>
      <c r="Y306" s="60"/>
      <c r="Z306" s="59"/>
      <c r="AA306" s="60"/>
    </row>
    <row r="307">
      <c r="A307" s="58"/>
      <c r="B307" s="58"/>
      <c r="C307" s="59"/>
      <c r="D307" s="60"/>
      <c r="E307" s="61"/>
      <c r="F307" s="62"/>
      <c r="G307" s="62"/>
      <c r="H307" s="62"/>
      <c r="I307" s="59"/>
      <c r="J307" s="60"/>
      <c r="K307" s="59"/>
      <c r="L307" s="60"/>
      <c r="M307" s="59"/>
      <c r="N307" s="63"/>
      <c r="O307" s="60"/>
      <c r="P307" s="60"/>
      <c r="Q307" s="60"/>
      <c r="R307" s="60"/>
      <c r="S307" s="60"/>
      <c r="T307" s="60"/>
      <c r="U307" s="60"/>
      <c r="V307" s="64"/>
      <c r="W307" s="60"/>
      <c r="X307" s="59"/>
      <c r="Y307" s="60"/>
      <c r="Z307" s="59"/>
      <c r="AA307" s="60"/>
    </row>
    <row r="308">
      <c r="A308" s="58"/>
      <c r="B308" s="58"/>
      <c r="C308" s="59"/>
      <c r="D308" s="60"/>
      <c r="E308" s="61"/>
      <c r="F308" s="62"/>
      <c r="G308" s="62"/>
      <c r="H308" s="62"/>
      <c r="I308" s="59"/>
      <c r="J308" s="60"/>
      <c r="K308" s="59"/>
      <c r="L308" s="60"/>
      <c r="M308" s="59"/>
      <c r="N308" s="63"/>
      <c r="O308" s="60"/>
      <c r="P308" s="60"/>
      <c r="Q308" s="60"/>
      <c r="R308" s="60"/>
      <c r="S308" s="60"/>
      <c r="T308" s="60"/>
      <c r="U308" s="60"/>
      <c r="V308" s="64"/>
      <c r="W308" s="60"/>
      <c r="X308" s="59"/>
      <c r="Y308" s="60"/>
      <c r="Z308" s="59"/>
      <c r="AA308" s="60"/>
    </row>
    <row r="309">
      <c r="A309" s="58"/>
      <c r="B309" s="58"/>
      <c r="C309" s="59"/>
      <c r="D309" s="60"/>
      <c r="E309" s="61"/>
      <c r="F309" s="62"/>
      <c r="G309" s="62"/>
      <c r="H309" s="62"/>
      <c r="I309" s="59"/>
      <c r="J309" s="60"/>
      <c r="K309" s="59"/>
      <c r="L309" s="60"/>
      <c r="M309" s="59"/>
      <c r="N309" s="63"/>
      <c r="O309" s="60"/>
      <c r="P309" s="60"/>
      <c r="Q309" s="60"/>
      <c r="R309" s="60"/>
      <c r="S309" s="60"/>
      <c r="T309" s="60"/>
      <c r="U309" s="60"/>
      <c r="V309" s="64"/>
      <c r="W309" s="60"/>
      <c r="X309" s="59"/>
      <c r="Y309" s="60"/>
      <c r="Z309" s="59"/>
      <c r="AA309" s="60"/>
    </row>
    <row r="310">
      <c r="A310" s="58"/>
      <c r="B310" s="58"/>
      <c r="C310" s="59"/>
      <c r="D310" s="60"/>
      <c r="E310" s="61"/>
      <c r="F310" s="62"/>
      <c r="G310" s="62"/>
      <c r="H310" s="62"/>
      <c r="I310" s="59"/>
      <c r="J310" s="60"/>
      <c r="K310" s="59"/>
      <c r="L310" s="60"/>
      <c r="M310" s="59"/>
      <c r="N310" s="63"/>
      <c r="O310" s="60"/>
      <c r="P310" s="60"/>
      <c r="Q310" s="60"/>
      <c r="R310" s="60"/>
      <c r="S310" s="60"/>
      <c r="T310" s="60"/>
      <c r="U310" s="60"/>
      <c r="V310" s="64"/>
      <c r="W310" s="60"/>
      <c r="X310" s="59"/>
      <c r="Y310" s="60"/>
      <c r="Z310" s="59"/>
      <c r="AA310" s="60"/>
    </row>
    <row r="311">
      <c r="A311" s="58"/>
      <c r="B311" s="58"/>
      <c r="C311" s="59"/>
      <c r="D311" s="60"/>
      <c r="E311" s="61"/>
      <c r="F311" s="62"/>
      <c r="G311" s="62"/>
      <c r="H311" s="62"/>
      <c r="I311" s="59"/>
      <c r="J311" s="60"/>
      <c r="K311" s="59"/>
      <c r="L311" s="60"/>
      <c r="M311" s="59"/>
      <c r="N311" s="63"/>
      <c r="O311" s="60"/>
      <c r="P311" s="60"/>
      <c r="Q311" s="60"/>
      <c r="R311" s="60"/>
      <c r="S311" s="60"/>
      <c r="T311" s="60"/>
      <c r="U311" s="60"/>
      <c r="V311" s="64"/>
      <c r="W311" s="60"/>
      <c r="X311" s="59"/>
      <c r="Y311" s="60"/>
      <c r="Z311" s="59"/>
      <c r="AA311" s="60"/>
    </row>
    <row r="312">
      <c r="A312" s="58"/>
      <c r="B312" s="58"/>
      <c r="C312" s="59"/>
      <c r="D312" s="60"/>
      <c r="E312" s="61"/>
      <c r="F312" s="62"/>
      <c r="G312" s="62"/>
      <c r="H312" s="62"/>
      <c r="I312" s="59"/>
      <c r="J312" s="60"/>
      <c r="K312" s="59"/>
      <c r="L312" s="60"/>
      <c r="M312" s="59"/>
      <c r="N312" s="63"/>
      <c r="O312" s="60"/>
      <c r="P312" s="60"/>
      <c r="Q312" s="60"/>
      <c r="R312" s="60"/>
      <c r="S312" s="60"/>
      <c r="T312" s="60"/>
      <c r="U312" s="60"/>
      <c r="V312" s="64"/>
      <c r="W312" s="60"/>
      <c r="X312" s="59"/>
      <c r="Y312" s="60"/>
      <c r="Z312" s="59"/>
      <c r="AA312" s="60"/>
    </row>
    <row r="313">
      <c r="A313" s="58"/>
      <c r="B313" s="58"/>
      <c r="C313" s="59"/>
      <c r="D313" s="60"/>
      <c r="E313" s="61"/>
      <c r="F313" s="62"/>
      <c r="G313" s="62"/>
      <c r="H313" s="62"/>
      <c r="I313" s="59"/>
      <c r="J313" s="60"/>
      <c r="K313" s="59"/>
      <c r="L313" s="60"/>
      <c r="M313" s="59"/>
      <c r="N313" s="63"/>
      <c r="O313" s="60"/>
      <c r="P313" s="60"/>
      <c r="Q313" s="60"/>
      <c r="R313" s="60"/>
      <c r="S313" s="60"/>
      <c r="T313" s="60"/>
      <c r="U313" s="60"/>
      <c r="V313" s="64"/>
      <c r="W313" s="60"/>
      <c r="X313" s="59"/>
      <c r="Y313" s="60"/>
      <c r="Z313" s="59"/>
      <c r="AA313" s="60"/>
    </row>
    <row r="314">
      <c r="A314" s="58"/>
      <c r="B314" s="58"/>
      <c r="C314" s="59"/>
      <c r="D314" s="60"/>
      <c r="E314" s="61"/>
      <c r="F314" s="62"/>
      <c r="G314" s="62"/>
      <c r="H314" s="62"/>
      <c r="I314" s="59"/>
      <c r="J314" s="60"/>
      <c r="K314" s="59"/>
      <c r="L314" s="60"/>
      <c r="M314" s="59"/>
      <c r="N314" s="63"/>
      <c r="O314" s="60"/>
      <c r="P314" s="60"/>
      <c r="Q314" s="60"/>
      <c r="R314" s="60"/>
      <c r="S314" s="60"/>
      <c r="T314" s="60"/>
      <c r="U314" s="60"/>
      <c r="V314" s="64"/>
      <c r="W314" s="60"/>
      <c r="X314" s="59"/>
      <c r="Y314" s="60"/>
      <c r="Z314" s="59"/>
      <c r="AA314" s="60"/>
    </row>
    <row r="315">
      <c r="A315" s="58"/>
      <c r="B315" s="58"/>
      <c r="C315" s="59"/>
      <c r="D315" s="60"/>
      <c r="E315" s="61"/>
      <c r="F315" s="62"/>
      <c r="G315" s="62"/>
      <c r="H315" s="62"/>
      <c r="I315" s="59"/>
      <c r="J315" s="60"/>
      <c r="K315" s="59"/>
      <c r="L315" s="60"/>
      <c r="M315" s="59"/>
      <c r="N315" s="63"/>
      <c r="O315" s="60"/>
      <c r="P315" s="60"/>
      <c r="Q315" s="60"/>
      <c r="R315" s="60"/>
      <c r="S315" s="60"/>
      <c r="T315" s="60"/>
      <c r="U315" s="60"/>
      <c r="V315" s="64"/>
      <c r="W315" s="60"/>
      <c r="X315" s="59"/>
      <c r="Y315" s="60"/>
      <c r="Z315" s="59"/>
      <c r="AA315" s="60"/>
    </row>
    <row r="316">
      <c r="A316" s="58"/>
      <c r="B316" s="58"/>
      <c r="C316" s="59"/>
      <c r="D316" s="60"/>
      <c r="E316" s="61"/>
      <c r="F316" s="62"/>
      <c r="G316" s="62"/>
      <c r="H316" s="62"/>
      <c r="I316" s="59"/>
      <c r="J316" s="60"/>
      <c r="K316" s="59"/>
      <c r="L316" s="60"/>
      <c r="M316" s="59"/>
      <c r="N316" s="63"/>
      <c r="O316" s="60"/>
      <c r="P316" s="60"/>
      <c r="Q316" s="60"/>
      <c r="R316" s="60"/>
      <c r="S316" s="60"/>
      <c r="T316" s="60"/>
      <c r="U316" s="60"/>
      <c r="V316" s="64"/>
      <c r="W316" s="60"/>
      <c r="X316" s="59"/>
      <c r="Y316" s="60"/>
      <c r="Z316" s="59"/>
      <c r="AA316" s="60"/>
    </row>
    <row r="317">
      <c r="A317" s="58"/>
      <c r="B317" s="58"/>
      <c r="C317" s="59"/>
      <c r="D317" s="60"/>
      <c r="E317" s="61"/>
      <c r="F317" s="62"/>
      <c r="G317" s="62"/>
      <c r="H317" s="62"/>
      <c r="I317" s="59"/>
      <c r="J317" s="60"/>
      <c r="K317" s="59"/>
      <c r="L317" s="60"/>
      <c r="M317" s="59"/>
      <c r="N317" s="63"/>
      <c r="O317" s="60"/>
      <c r="P317" s="60"/>
      <c r="Q317" s="60"/>
      <c r="R317" s="60"/>
      <c r="S317" s="60"/>
      <c r="T317" s="60"/>
      <c r="U317" s="60"/>
      <c r="V317" s="64"/>
      <c r="W317" s="60"/>
      <c r="X317" s="59"/>
      <c r="Y317" s="60"/>
      <c r="Z317" s="59"/>
      <c r="AA317" s="60"/>
    </row>
    <row r="318">
      <c r="A318" s="58"/>
      <c r="B318" s="58"/>
      <c r="C318" s="59"/>
      <c r="D318" s="60"/>
      <c r="E318" s="61"/>
      <c r="F318" s="62"/>
      <c r="G318" s="62"/>
      <c r="H318" s="62"/>
      <c r="I318" s="59"/>
      <c r="J318" s="60"/>
      <c r="K318" s="59"/>
      <c r="L318" s="60"/>
      <c r="M318" s="59"/>
      <c r="N318" s="63"/>
      <c r="O318" s="60"/>
      <c r="P318" s="60"/>
      <c r="Q318" s="60"/>
      <c r="R318" s="60"/>
      <c r="S318" s="60"/>
      <c r="T318" s="60"/>
      <c r="U318" s="60"/>
      <c r="V318" s="64"/>
      <c r="W318" s="60"/>
      <c r="X318" s="59"/>
      <c r="Y318" s="60"/>
      <c r="Z318" s="59"/>
      <c r="AA318" s="60"/>
    </row>
    <row r="319">
      <c r="A319" s="58"/>
      <c r="B319" s="58"/>
      <c r="C319" s="59"/>
      <c r="D319" s="60"/>
      <c r="E319" s="61"/>
      <c r="F319" s="62"/>
      <c r="G319" s="62"/>
      <c r="H319" s="62"/>
      <c r="I319" s="59"/>
      <c r="J319" s="60"/>
      <c r="K319" s="59"/>
      <c r="L319" s="60"/>
      <c r="M319" s="59"/>
      <c r="N319" s="63"/>
      <c r="O319" s="60"/>
      <c r="P319" s="60"/>
      <c r="Q319" s="60"/>
      <c r="R319" s="60"/>
      <c r="S319" s="60"/>
      <c r="T319" s="60"/>
      <c r="U319" s="60"/>
      <c r="V319" s="64"/>
      <c r="W319" s="60"/>
      <c r="X319" s="59"/>
      <c r="Y319" s="60"/>
      <c r="Z319" s="59"/>
      <c r="AA319" s="60"/>
    </row>
    <row r="320">
      <c r="A320" s="58"/>
      <c r="B320" s="58"/>
      <c r="C320" s="59"/>
      <c r="D320" s="60"/>
      <c r="E320" s="61"/>
      <c r="F320" s="62"/>
      <c r="G320" s="62"/>
      <c r="H320" s="62"/>
      <c r="I320" s="59"/>
      <c r="J320" s="60"/>
      <c r="K320" s="59"/>
      <c r="L320" s="60"/>
      <c r="M320" s="59"/>
      <c r="N320" s="63"/>
      <c r="O320" s="60"/>
      <c r="P320" s="60"/>
      <c r="Q320" s="60"/>
      <c r="R320" s="60"/>
      <c r="S320" s="60"/>
      <c r="T320" s="60"/>
      <c r="U320" s="60"/>
      <c r="V320" s="64"/>
      <c r="W320" s="60"/>
      <c r="X320" s="59"/>
      <c r="Y320" s="60"/>
      <c r="Z320" s="59"/>
      <c r="AA320" s="60"/>
    </row>
    <row r="321">
      <c r="A321" s="58"/>
      <c r="B321" s="58"/>
      <c r="C321" s="59"/>
      <c r="D321" s="60"/>
      <c r="E321" s="61"/>
      <c r="F321" s="62"/>
      <c r="G321" s="62"/>
      <c r="H321" s="62"/>
      <c r="I321" s="59"/>
      <c r="J321" s="60"/>
      <c r="K321" s="59"/>
      <c r="L321" s="60"/>
      <c r="M321" s="59"/>
      <c r="N321" s="63"/>
      <c r="O321" s="60"/>
      <c r="P321" s="60"/>
      <c r="Q321" s="60"/>
      <c r="R321" s="60"/>
      <c r="S321" s="60"/>
      <c r="T321" s="60"/>
      <c r="U321" s="60"/>
      <c r="V321" s="64"/>
      <c r="W321" s="60"/>
      <c r="X321" s="59"/>
      <c r="Y321" s="60"/>
      <c r="Z321" s="59"/>
      <c r="AA321" s="60"/>
    </row>
    <row r="322">
      <c r="A322" s="58"/>
      <c r="B322" s="58"/>
      <c r="C322" s="59"/>
      <c r="D322" s="60"/>
      <c r="E322" s="61"/>
      <c r="F322" s="62"/>
      <c r="G322" s="62"/>
      <c r="H322" s="62"/>
      <c r="I322" s="59"/>
      <c r="J322" s="60"/>
      <c r="K322" s="59"/>
      <c r="L322" s="60"/>
      <c r="M322" s="59"/>
      <c r="N322" s="63"/>
      <c r="O322" s="60"/>
      <c r="P322" s="60"/>
      <c r="Q322" s="60"/>
      <c r="R322" s="60"/>
      <c r="S322" s="60"/>
      <c r="T322" s="60"/>
      <c r="U322" s="60"/>
      <c r="V322" s="64"/>
      <c r="W322" s="60"/>
      <c r="X322" s="59"/>
      <c r="Y322" s="60"/>
      <c r="Z322" s="59"/>
      <c r="AA322" s="60"/>
    </row>
    <row r="323">
      <c r="A323" s="58"/>
      <c r="B323" s="58"/>
      <c r="C323" s="59"/>
      <c r="D323" s="60"/>
      <c r="E323" s="61"/>
      <c r="F323" s="62"/>
      <c r="G323" s="62"/>
      <c r="H323" s="62"/>
      <c r="I323" s="59"/>
      <c r="J323" s="60"/>
      <c r="K323" s="59"/>
      <c r="L323" s="60"/>
      <c r="M323" s="59"/>
      <c r="N323" s="63"/>
      <c r="O323" s="60"/>
      <c r="P323" s="60"/>
      <c r="Q323" s="60"/>
      <c r="R323" s="60"/>
      <c r="S323" s="60"/>
      <c r="T323" s="60"/>
      <c r="U323" s="60"/>
      <c r="V323" s="64"/>
      <c r="W323" s="60"/>
      <c r="X323" s="59"/>
      <c r="Y323" s="60"/>
      <c r="Z323" s="59"/>
      <c r="AA323" s="60"/>
    </row>
    <row r="324">
      <c r="A324" s="58"/>
      <c r="B324" s="58"/>
      <c r="C324" s="59"/>
      <c r="D324" s="60"/>
      <c r="E324" s="61"/>
      <c r="F324" s="62"/>
      <c r="G324" s="62"/>
      <c r="H324" s="62"/>
      <c r="I324" s="59"/>
      <c r="J324" s="60"/>
      <c r="K324" s="59"/>
      <c r="L324" s="60"/>
      <c r="M324" s="59"/>
      <c r="N324" s="63"/>
      <c r="O324" s="60"/>
      <c r="P324" s="60"/>
      <c r="Q324" s="60"/>
      <c r="R324" s="60"/>
      <c r="S324" s="60"/>
      <c r="T324" s="60"/>
      <c r="U324" s="60"/>
      <c r="V324" s="64"/>
      <c r="W324" s="60"/>
      <c r="X324" s="59"/>
      <c r="Y324" s="60"/>
      <c r="Z324" s="59"/>
      <c r="AA324" s="60"/>
    </row>
    <row r="325">
      <c r="A325" s="58"/>
      <c r="B325" s="58"/>
      <c r="C325" s="59"/>
      <c r="D325" s="60"/>
      <c r="E325" s="61"/>
      <c r="F325" s="62"/>
      <c r="G325" s="62"/>
      <c r="H325" s="62"/>
      <c r="I325" s="59"/>
      <c r="J325" s="60"/>
      <c r="K325" s="59"/>
      <c r="L325" s="60"/>
      <c r="M325" s="59"/>
      <c r="N325" s="63"/>
      <c r="O325" s="60"/>
      <c r="P325" s="60"/>
      <c r="Q325" s="60"/>
      <c r="R325" s="60"/>
      <c r="S325" s="60"/>
      <c r="T325" s="60"/>
      <c r="U325" s="60"/>
      <c r="V325" s="64"/>
      <c r="W325" s="60"/>
      <c r="X325" s="59"/>
      <c r="Y325" s="60"/>
      <c r="Z325" s="59"/>
      <c r="AA325" s="60"/>
    </row>
    <row r="326">
      <c r="A326" s="58"/>
      <c r="B326" s="58"/>
      <c r="C326" s="59"/>
      <c r="D326" s="60"/>
      <c r="E326" s="61"/>
      <c r="F326" s="62"/>
      <c r="G326" s="62"/>
      <c r="H326" s="62"/>
      <c r="I326" s="59"/>
      <c r="J326" s="60"/>
      <c r="K326" s="59"/>
      <c r="L326" s="60"/>
      <c r="M326" s="59"/>
      <c r="N326" s="63"/>
      <c r="O326" s="60"/>
      <c r="P326" s="60"/>
      <c r="Q326" s="60"/>
      <c r="R326" s="60"/>
      <c r="S326" s="60"/>
      <c r="T326" s="60"/>
      <c r="U326" s="60"/>
      <c r="V326" s="64"/>
      <c r="W326" s="60"/>
      <c r="X326" s="59"/>
      <c r="Y326" s="60"/>
      <c r="Z326" s="59"/>
      <c r="AA326" s="60"/>
    </row>
    <row r="327">
      <c r="A327" s="58"/>
      <c r="B327" s="58"/>
      <c r="C327" s="59"/>
      <c r="D327" s="60"/>
      <c r="E327" s="61"/>
      <c r="F327" s="62"/>
      <c r="G327" s="62"/>
      <c r="H327" s="62"/>
      <c r="I327" s="59"/>
      <c r="J327" s="60"/>
      <c r="K327" s="59"/>
      <c r="L327" s="60"/>
      <c r="M327" s="59"/>
      <c r="N327" s="63"/>
      <c r="O327" s="60"/>
      <c r="P327" s="60"/>
      <c r="Q327" s="60"/>
      <c r="R327" s="60"/>
      <c r="S327" s="60"/>
      <c r="T327" s="60"/>
      <c r="U327" s="60"/>
      <c r="V327" s="64"/>
      <c r="W327" s="60"/>
      <c r="X327" s="59"/>
      <c r="Y327" s="60"/>
      <c r="Z327" s="59"/>
      <c r="AA327" s="60"/>
    </row>
    <row r="328">
      <c r="A328" s="58"/>
      <c r="B328" s="58"/>
      <c r="C328" s="59"/>
      <c r="D328" s="60"/>
      <c r="E328" s="61"/>
      <c r="F328" s="62"/>
      <c r="G328" s="62"/>
      <c r="H328" s="62"/>
      <c r="I328" s="59"/>
      <c r="J328" s="60"/>
      <c r="K328" s="59"/>
      <c r="L328" s="60"/>
      <c r="M328" s="59"/>
      <c r="N328" s="63"/>
      <c r="O328" s="60"/>
      <c r="P328" s="60"/>
      <c r="Q328" s="60"/>
      <c r="R328" s="60"/>
      <c r="S328" s="60"/>
      <c r="T328" s="60"/>
      <c r="U328" s="60"/>
      <c r="V328" s="64"/>
      <c r="W328" s="60"/>
      <c r="X328" s="59"/>
      <c r="Y328" s="60"/>
      <c r="Z328" s="59"/>
      <c r="AA328" s="60"/>
    </row>
    <row r="329">
      <c r="A329" s="58"/>
      <c r="B329" s="58"/>
      <c r="C329" s="59"/>
      <c r="D329" s="60"/>
      <c r="E329" s="61"/>
      <c r="F329" s="62"/>
      <c r="G329" s="62"/>
      <c r="H329" s="62"/>
      <c r="I329" s="59"/>
      <c r="J329" s="60"/>
      <c r="K329" s="59"/>
      <c r="L329" s="60"/>
      <c r="M329" s="59"/>
      <c r="N329" s="63"/>
      <c r="O329" s="60"/>
      <c r="P329" s="60"/>
      <c r="Q329" s="60"/>
      <c r="R329" s="60"/>
      <c r="S329" s="60"/>
      <c r="T329" s="60"/>
      <c r="U329" s="60"/>
      <c r="V329" s="64"/>
      <c r="W329" s="60"/>
      <c r="X329" s="59"/>
      <c r="Y329" s="60"/>
      <c r="Z329" s="59"/>
      <c r="AA329" s="60"/>
    </row>
    <row r="330">
      <c r="A330" s="58"/>
      <c r="B330" s="58"/>
      <c r="C330" s="59"/>
      <c r="D330" s="60"/>
      <c r="E330" s="61"/>
      <c r="F330" s="62"/>
      <c r="G330" s="62"/>
      <c r="H330" s="62"/>
      <c r="I330" s="59"/>
      <c r="J330" s="60"/>
      <c r="K330" s="59"/>
      <c r="L330" s="60"/>
      <c r="M330" s="59"/>
      <c r="N330" s="63"/>
      <c r="O330" s="60"/>
      <c r="P330" s="60"/>
      <c r="Q330" s="60"/>
      <c r="R330" s="60"/>
      <c r="S330" s="60"/>
      <c r="T330" s="60"/>
      <c r="U330" s="60"/>
      <c r="V330" s="64"/>
      <c r="W330" s="60"/>
      <c r="X330" s="59"/>
      <c r="Y330" s="60"/>
      <c r="Z330" s="59"/>
      <c r="AA330" s="60"/>
    </row>
    <row r="331">
      <c r="A331" s="58"/>
      <c r="B331" s="58"/>
      <c r="C331" s="59"/>
      <c r="D331" s="60"/>
      <c r="E331" s="61"/>
      <c r="F331" s="62"/>
      <c r="G331" s="62"/>
      <c r="H331" s="62"/>
      <c r="I331" s="59"/>
      <c r="J331" s="60"/>
      <c r="K331" s="59"/>
      <c r="L331" s="60"/>
      <c r="M331" s="59"/>
      <c r="N331" s="63"/>
      <c r="O331" s="60"/>
      <c r="P331" s="60"/>
      <c r="Q331" s="60"/>
      <c r="R331" s="60"/>
      <c r="S331" s="60"/>
      <c r="T331" s="60"/>
      <c r="U331" s="60"/>
      <c r="V331" s="64"/>
      <c r="W331" s="60"/>
      <c r="X331" s="59"/>
      <c r="Y331" s="60"/>
      <c r="Z331" s="59"/>
      <c r="AA331" s="60"/>
    </row>
    <row r="332">
      <c r="A332" s="58"/>
      <c r="B332" s="58"/>
      <c r="C332" s="59"/>
      <c r="D332" s="60"/>
      <c r="E332" s="61"/>
      <c r="F332" s="62"/>
      <c r="G332" s="62"/>
      <c r="H332" s="62"/>
      <c r="I332" s="59"/>
      <c r="J332" s="60"/>
      <c r="K332" s="59"/>
      <c r="L332" s="60"/>
      <c r="M332" s="59"/>
      <c r="N332" s="63"/>
      <c r="O332" s="60"/>
      <c r="P332" s="60"/>
      <c r="Q332" s="60"/>
      <c r="R332" s="60"/>
      <c r="S332" s="60"/>
      <c r="T332" s="60"/>
      <c r="U332" s="60"/>
      <c r="V332" s="64"/>
      <c r="W332" s="60"/>
      <c r="X332" s="59"/>
      <c r="Y332" s="60"/>
      <c r="Z332" s="59"/>
      <c r="AA332" s="60"/>
    </row>
    <row r="333">
      <c r="A333" s="58"/>
      <c r="B333" s="58"/>
      <c r="C333" s="59"/>
      <c r="D333" s="60"/>
      <c r="E333" s="61"/>
      <c r="F333" s="62"/>
      <c r="G333" s="62"/>
      <c r="H333" s="62"/>
      <c r="I333" s="59"/>
      <c r="J333" s="60"/>
      <c r="K333" s="59"/>
      <c r="L333" s="60"/>
      <c r="M333" s="59"/>
      <c r="N333" s="63"/>
      <c r="O333" s="60"/>
      <c r="P333" s="60"/>
      <c r="Q333" s="60"/>
      <c r="R333" s="60"/>
      <c r="S333" s="60"/>
      <c r="T333" s="60"/>
      <c r="U333" s="60"/>
      <c r="V333" s="64"/>
      <c r="W333" s="60"/>
      <c r="X333" s="59"/>
      <c r="Y333" s="60"/>
      <c r="Z333" s="59"/>
      <c r="AA333" s="60"/>
    </row>
    <row r="334">
      <c r="A334" s="58"/>
      <c r="B334" s="58"/>
      <c r="C334" s="59"/>
      <c r="D334" s="60"/>
      <c r="E334" s="61"/>
      <c r="F334" s="62"/>
      <c r="G334" s="62"/>
      <c r="H334" s="62"/>
      <c r="I334" s="59"/>
      <c r="J334" s="60"/>
      <c r="K334" s="59"/>
      <c r="L334" s="60"/>
      <c r="M334" s="59"/>
      <c r="N334" s="63"/>
      <c r="O334" s="60"/>
      <c r="P334" s="60"/>
      <c r="Q334" s="60"/>
      <c r="R334" s="60"/>
      <c r="S334" s="60"/>
      <c r="T334" s="60"/>
      <c r="U334" s="60"/>
      <c r="V334" s="64"/>
      <c r="W334" s="60"/>
      <c r="X334" s="59"/>
      <c r="Y334" s="60"/>
      <c r="Z334" s="59"/>
      <c r="AA334" s="60"/>
    </row>
    <row r="335">
      <c r="A335" s="58"/>
      <c r="B335" s="58"/>
      <c r="C335" s="59"/>
      <c r="D335" s="60"/>
      <c r="E335" s="61"/>
      <c r="F335" s="62"/>
      <c r="G335" s="62"/>
      <c r="H335" s="62"/>
      <c r="I335" s="59"/>
      <c r="J335" s="60"/>
      <c r="K335" s="59"/>
      <c r="L335" s="60"/>
      <c r="M335" s="59"/>
      <c r="N335" s="63"/>
      <c r="O335" s="60"/>
      <c r="P335" s="60"/>
      <c r="Q335" s="60"/>
      <c r="R335" s="60"/>
      <c r="S335" s="60"/>
      <c r="T335" s="60"/>
      <c r="U335" s="60"/>
      <c r="V335" s="64"/>
      <c r="W335" s="60"/>
      <c r="X335" s="59"/>
      <c r="Y335" s="60"/>
      <c r="Z335" s="59"/>
      <c r="AA335" s="60"/>
    </row>
    <row r="336">
      <c r="A336" s="58"/>
      <c r="B336" s="58"/>
      <c r="C336" s="59"/>
      <c r="D336" s="60"/>
      <c r="E336" s="61"/>
      <c r="F336" s="62"/>
      <c r="G336" s="62"/>
      <c r="H336" s="62"/>
      <c r="I336" s="59"/>
      <c r="J336" s="60"/>
      <c r="K336" s="59"/>
      <c r="L336" s="60"/>
      <c r="M336" s="59"/>
      <c r="N336" s="63"/>
      <c r="O336" s="60"/>
      <c r="P336" s="60"/>
      <c r="Q336" s="60"/>
      <c r="R336" s="60"/>
      <c r="S336" s="60"/>
      <c r="T336" s="60"/>
      <c r="U336" s="60"/>
      <c r="V336" s="64"/>
      <c r="W336" s="60"/>
      <c r="X336" s="59"/>
      <c r="Y336" s="60"/>
      <c r="Z336" s="59"/>
      <c r="AA336" s="60"/>
    </row>
    <row r="337">
      <c r="A337" s="58"/>
      <c r="B337" s="58"/>
      <c r="C337" s="59"/>
      <c r="D337" s="60"/>
      <c r="E337" s="61"/>
      <c r="F337" s="62"/>
      <c r="G337" s="62"/>
      <c r="H337" s="62"/>
      <c r="I337" s="59"/>
      <c r="J337" s="60"/>
      <c r="K337" s="59"/>
      <c r="L337" s="60"/>
      <c r="M337" s="59"/>
      <c r="N337" s="63"/>
      <c r="O337" s="60"/>
      <c r="P337" s="60"/>
      <c r="Q337" s="60"/>
      <c r="R337" s="60"/>
      <c r="S337" s="60"/>
      <c r="T337" s="60"/>
      <c r="U337" s="60"/>
      <c r="V337" s="64"/>
      <c r="W337" s="60"/>
      <c r="X337" s="59"/>
      <c r="Y337" s="60"/>
      <c r="Z337" s="59"/>
      <c r="AA337" s="60"/>
    </row>
    <row r="338">
      <c r="A338" s="58"/>
      <c r="B338" s="58"/>
      <c r="C338" s="59"/>
      <c r="D338" s="60"/>
      <c r="E338" s="61"/>
      <c r="F338" s="62"/>
      <c r="G338" s="62"/>
      <c r="H338" s="62"/>
      <c r="I338" s="59"/>
      <c r="J338" s="60"/>
      <c r="K338" s="59"/>
      <c r="L338" s="60"/>
      <c r="M338" s="59"/>
      <c r="N338" s="63"/>
      <c r="O338" s="60"/>
      <c r="P338" s="60"/>
      <c r="Q338" s="60"/>
      <c r="R338" s="60"/>
      <c r="S338" s="60"/>
      <c r="T338" s="60"/>
      <c r="U338" s="60"/>
      <c r="V338" s="64"/>
      <c r="W338" s="60"/>
      <c r="X338" s="59"/>
      <c r="Y338" s="60"/>
      <c r="Z338" s="59"/>
      <c r="AA338" s="60"/>
    </row>
    <row r="339">
      <c r="A339" s="58"/>
      <c r="B339" s="58"/>
      <c r="C339" s="59"/>
      <c r="D339" s="60"/>
      <c r="E339" s="61"/>
      <c r="F339" s="62"/>
      <c r="G339" s="62"/>
      <c r="H339" s="62"/>
      <c r="I339" s="59"/>
      <c r="J339" s="60"/>
      <c r="K339" s="59"/>
      <c r="L339" s="60"/>
      <c r="M339" s="59"/>
      <c r="N339" s="63"/>
      <c r="O339" s="60"/>
      <c r="P339" s="60"/>
      <c r="Q339" s="60"/>
      <c r="R339" s="60"/>
      <c r="S339" s="60"/>
      <c r="T339" s="60"/>
      <c r="U339" s="60"/>
      <c r="V339" s="64"/>
      <c r="W339" s="60"/>
      <c r="X339" s="59"/>
      <c r="Y339" s="60"/>
      <c r="Z339" s="59"/>
      <c r="AA339" s="60"/>
    </row>
    <row r="340">
      <c r="A340" s="58"/>
      <c r="B340" s="58"/>
      <c r="C340" s="59"/>
      <c r="D340" s="60"/>
      <c r="E340" s="61"/>
      <c r="F340" s="62"/>
      <c r="G340" s="62"/>
      <c r="H340" s="62"/>
      <c r="I340" s="59"/>
      <c r="J340" s="60"/>
      <c r="K340" s="59"/>
      <c r="L340" s="60"/>
      <c r="M340" s="59"/>
      <c r="N340" s="63"/>
      <c r="O340" s="60"/>
      <c r="P340" s="60"/>
      <c r="Q340" s="60"/>
      <c r="R340" s="60"/>
      <c r="S340" s="60"/>
      <c r="T340" s="60"/>
      <c r="U340" s="60"/>
      <c r="V340" s="64"/>
      <c r="W340" s="60"/>
      <c r="X340" s="59"/>
      <c r="Y340" s="60"/>
      <c r="Z340" s="59"/>
      <c r="AA340" s="60"/>
    </row>
    <row r="341">
      <c r="A341" s="58"/>
      <c r="B341" s="58"/>
      <c r="C341" s="59"/>
      <c r="D341" s="60"/>
      <c r="E341" s="61"/>
      <c r="F341" s="62"/>
      <c r="G341" s="62"/>
      <c r="H341" s="62"/>
      <c r="I341" s="59"/>
      <c r="J341" s="60"/>
      <c r="K341" s="59"/>
      <c r="L341" s="60"/>
      <c r="M341" s="59"/>
      <c r="N341" s="63"/>
      <c r="O341" s="60"/>
      <c r="P341" s="60"/>
      <c r="Q341" s="60"/>
      <c r="R341" s="60"/>
      <c r="S341" s="60"/>
      <c r="T341" s="60"/>
      <c r="U341" s="60"/>
      <c r="V341" s="64"/>
      <c r="W341" s="60"/>
      <c r="X341" s="59"/>
      <c r="Y341" s="60"/>
      <c r="Z341" s="59"/>
      <c r="AA341" s="60"/>
    </row>
    <row r="342">
      <c r="A342" s="58"/>
      <c r="B342" s="58"/>
      <c r="C342" s="59"/>
      <c r="D342" s="60"/>
      <c r="E342" s="61"/>
      <c r="F342" s="62"/>
      <c r="G342" s="62"/>
      <c r="H342" s="62"/>
      <c r="I342" s="59"/>
      <c r="J342" s="60"/>
      <c r="K342" s="59"/>
      <c r="L342" s="60"/>
      <c r="M342" s="59"/>
      <c r="N342" s="63"/>
      <c r="O342" s="60"/>
      <c r="P342" s="60"/>
      <c r="Q342" s="60"/>
      <c r="R342" s="60"/>
      <c r="S342" s="60"/>
      <c r="T342" s="60"/>
      <c r="U342" s="60"/>
      <c r="V342" s="64"/>
      <c r="W342" s="60"/>
      <c r="X342" s="59"/>
      <c r="Y342" s="60"/>
      <c r="Z342" s="59"/>
      <c r="AA342" s="60"/>
    </row>
    <row r="343">
      <c r="A343" s="58"/>
      <c r="B343" s="58"/>
      <c r="C343" s="59"/>
      <c r="D343" s="60"/>
      <c r="E343" s="61"/>
      <c r="F343" s="62"/>
      <c r="G343" s="62"/>
      <c r="H343" s="62"/>
      <c r="I343" s="59"/>
      <c r="J343" s="60"/>
      <c r="K343" s="59"/>
      <c r="L343" s="60"/>
      <c r="M343" s="59"/>
      <c r="N343" s="63"/>
      <c r="O343" s="60"/>
      <c r="P343" s="60"/>
      <c r="Q343" s="60"/>
      <c r="R343" s="60"/>
      <c r="S343" s="60"/>
      <c r="T343" s="60"/>
      <c r="U343" s="60"/>
      <c r="V343" s="64"/>
      <c r="W343" s="60"/>
      <c r="X343" s="59"/>
      <c r="Y343" s="60"/>
      <c r="Z343" s="59"/>
      <c r="AA343" s="60"/>
    </row>
    <row r="344">
      <c r="A344" s="58"/>
      <c r="B344" s="58"/>
      <c r="C344" s="59"/>
      <c r="D344" s="60"/>
      <c r="E344" s="61"/>
      <c r="F344" s="62"/>
      <c r="G344" s="62"/>
      <c r="H344" s="62"/>
      <c r="I344" s="59"/>
      <c r="J344" s="60"/>
      <c r="K344" s="59"/>
      <c r="L344" s="60"/>
      <c r="M344" s="59"/>
      <c r="N344" s="63"/>
      <c r="O344" s="60"/>
      <c r="P344" s="60"/>
      <c r="Q344" s="60"/>
      <c r="R344" s="60"/>
      <c r="S344" s="60"/>
      <c r="T344" s="60"/>
      <c r="U344" s="60"/>
      <c r="V344" s="64"/>
      <c r="W344" s="60"/>
      <c r="X344" s="59"/>
      <c r="Y344" s="60"/>
      <c r="Z344" s="59"/>
      <c r="AA344" s="60"/>
    </row>
    <row r="345">
      <c r="A345" s="58"/>
      <c r="B345" s="58"/>
      <c r="C345" s="59"/>
      <c r="D345" s="60"/>
      <c r="E345" s="61"/>
      <c r="F345" s="62"/>
      <c r="G345" s="62"/>
      <c r="H345" s="62"/>
      <c r="I345" s="59"/>
      <c r="J345" s="60"/>
      <c r="K345" s="59"/>
      <c r="L345" s="60"/>
      <c r="M345" s="59"/>
      <c r="N345" s="63"/>
      <c r="O345" s="60"/>
      <c r="P345" s="60"/>
      <c r="Q345" s="60"/>
      <c r="R345" s="60"/>
      <c r="S345" s="60"/>
      <c r="T345" s="60"/>
      <c r="U345" s="60"/>
      <c r="V345" s="64"/>
      <c r="W345" s="60"/>
      <c r="X345" s="59"/>
      <c r="Y345" s="60"/>
      <c r="Z345" s="59"/>
      <c r="AA345" s="60"/>
    </row>
    <row r="346">
      <c r="A346" s="58"/>
      <c r="B346" s="58"/>
      <c r="C346" s="59"/>
      <c r="D346" s="60"/>
      <c r="E346" s="61"/>
      <c r="F346" s="62"/>
      <c r="G346" s="62"/>
      <c r="H346" s="62"/>
      <c r="I346" s="59"/>
      <c r="J346" s="60"/>
      <c r="K346" s="59"/>
      <c r="L346" s="60"/>
      <c r="M346" s="59"/>
      <c r="N346" s="63"/>
      <c r="O346" s="60"/>
      <c r="P346" s="60"/>
      <c r="Q346" s="60"/>
      <c r="R346" s="60"/>
      <c r="S346" s="60"/>
      <c r="T346" s="60"/>
      <c r="U346" s="60"/>
      <c r="V346" s="64"/>
      <c r="W346" s="60"/>
      <c r="X346" s="59"/>
      <c r="Y346" s="60"/>
      <c r="Z346" s="59"/>
      <c r="AA346" s="60"/>
    </row>
    <row r="347">
      <c r="A347" s="58"/>
      <c r="B347" s="58"/>
      <c r="C347" s="59"/>
      <c r="D347" s="60"/>
      <c r="E347" s="61"/>
      <c r="F347" s="62"/>
      <c r="G347" s="62"/>
      <c r="H347" s="62"/>
      <c r="I347" s="59"/>
      <c r="J347" s="60"/>
      <c r="K347" s="59"/>
      <c r="L347" s="60"/>
      <c r="M347" s="59"/>
      <c r="N347" s="63"/>
      <c r="O347" s="60"/>
      <c r="P347" s="60"/>
      <c r="Q347" s="60"/>
      <c r="R347" s="60"/>
      <c r="S347" s="60"/>
      <c r="T347" s="60"/>
      <c r="U347" s="60"/>
      <c r="V347" s="64"/>
      <c r="W347" s="60"/>
      <c r="X347" s="59"/>
      <c r="Y347" s="60"/>
      <c r="Z347" s="59"/>
      <c r="AA347" s="60"/>
    </row>
    <row r="348">
      <c r="A348" s="58"/>
      <c r="B348" s="58"/>
      <c r="C348" s="59"/>
      <c r="D348" s="60"/>
      <c r="E348" s="61"/>
      <c r="F348" s="62"/>
      <c r="G348" s="62"/>
      <c r="H348" s="62"/>
      <c r="I348" s="59"/>
      <c r="J348" s="60"/>
      <c r="K348" s="59"/>
      <c r="L348" s="60"/>
      <c r="M348" s="59"/>
      <c r="N348" s="63"/>
      <c r="O348" s="60"/>
      <c r="P348" s="60"/>
      <c r="Q348" s="60"/>
      <c r="R348" s="60"/>
      <c r="S348" s="60"/>
      <c r="T348" s="60"/>
      <c r="U348" s="60"/>
      <c r="V348" s="64"/>
      <c r="W348" s="60"/>
      <c r="X348" s="59"/>
      <c r="Y348" s="60"/>
      <c r="Z348" s="59"/>
      <c r="AA348" s="60"/>
    </row>
    <row r="349">
      <c r="A349" s="58"/>
      <c r="B349" s="58"/>
      <c r="C349" s="59"/>
      <c r="D349" s="60"/>
      <c r="E349" s="61"/>
      <c r="F349" s="62"/>
      <c r="G349" s="62"/>
      <c r="H349" s="62"/>
      <c r="I349" s="59"/>
      <c r="J349" s="60"/>
      <c r="K349" s="59"/>
      <c r="L349" s="60"/>
      <c r="M349" s="59"/>
      <c r="N349" s="63"/>
      <c r="O349" s="60"/>
      <c r="P349" s="60"/>
      <c r="Q349" s="60"/>
      <c r="R349" s="60"/>
      <c r="S349" s="60"/>
      <c r="T349" s="60"/>
      <c r="U349" s="60"/>
      <c r="V349" s="64"/>
      <c r="W349" s="60"/>
      <c r="X349" s="59"/>
      <c r="Y349" s="60"/>
      <c r="Z349" s="59"/>
      <c r="AA349" s="60"/>
    </row>
    <row r="350">
      <c r="A350" s="58"/>
      <c r="B350" s="58"/>
      <c r="C350" s="59"/>
      <c r="D350" s="60"/>
      <c r="E350" s="61"/>
      <c r="F350" s="62"/>
      <c r="G350" s="62"/>
      <c r="H350" s="62"/>
      <c r="I350" s="59"/>
      <c r="J350" s="60"/>
      <c r="K350" s="59"/>
      <c r="L350" s="60"/>
      <c r="M350" s="59"/>
      <c r="N350" s="63"/>
      <c r="O350" s="60"/>
      <c r="P350" s="60"/>
      <c r="Q350" s="60"/>
      <c r="R350" s="60"/>
      <c r="S350" s="60"/>
      <c r="T350" s="60"/>
      <c r="U350" s="60"/>
      <c r="V350" s="64"/>
      <c r="W350" s="60"/>
      <c r="X350" s="59"/>
      <c r="Y350" s="60"/>
      <c r="Z350" s="59"/>
      <c r="AA350" s="60"/>
    </row>
    <row r="351">
      <c r="A351" s="58"/>
      <c r="B351" s="58"/>
      <c r="C351" s="59"/>
      <c r="D351" s="60"/>
      <c r="E351" s="61"/>
      <c r="F351" s="62"/>
      <c r="G351" s="62"/>
      <c r="H351" s="62"/>
      <c r="I351" s="59"/>
      <c r="J351" s="60"/>
      <c r="K351" s="59"/>
      <c r="L351" s="60"/>
      <c r="M351" s="59"/>
      <c r="N351" s="63"/>
      <c r="O351" s="60"/>
      <c r="P351" s="60"/>
      <c r="Q351" s="60"/>
      <c r="R351" s="60"/>
      <c r="S351" s="60"/>
      <c r="T351" s="60"/>
      <c r="U351" s="60"/>
      <c r="V351" s="64"/>
      <c r="W351" s="60"/>
      <c r="X351" s="59"/>
      <c r="Y351" s="60"/>
      <c r="Z351" s="59"/>
      <c r="AA351" s="60"/>
    </row>
    <row r="352">
      <c r="A352" s="58"/>
      <c r="B352" s="58"/>
      <c r="C352" s="59"/>
      <c r="D352" s="60"/>
      <c r="E352" s="61"/>
      <c r="F352" s="62"/>
      <c r="G352" s="62"/>
      <c r="H352" s="62"/>
      <c r="I352" s="59"/>
      <c r="J352" s="60"/>
      <c r="K352" s="59"/>
      <c r="L352" s="60"/>
      <c r="M352" s="59"/>
      <c r="N352" s="63"/>
      <c r="O352" s="60"/>
      <c r="P352" s="60"/>
      <c r="Q352" s="60"/>
      <c r="R352" s="60"/>
      <c r="S352" s="60"/>
      <c r="T352" s="60"/>
      <c r="U352" s="60"/>
      <c r="V352" s="64"/>
      <c r="W352" s="60"/>
      <c r="X352" s="59"/>
      <c r="Y352" s="60"/>
      <c r="Z352" s="59"/>
      <c r="AA352" s="60"/>
    </row>
    <row r="353">
      <c r="A353" s="58"/>
      <c r="B353" s="58"/>
      <c r="C353" s="59"/>
      <c r="D353" s="60"/>
      <c r="E353" s="61"/>
      <c r="F353" s="62"/>
      <c r="G353" s="62"/>
      <c r="H353" s="62"/>
      <c r="I353" s="59"/>
      <c r="J353" s="60"/>
      <c r="K353" s="59"/>
      <c r="L353" s="60"/>
      <c r="M353" s="59"/>
      <c r="N353" s="63"/>
      <c r="O353" s="60"/>
      <c r="P353" s="60"/>
      <c r="Q353" s="60"/>
      <c r="R353" s="60"/>
      <c r="S353" s="60"/>
      <c r="T353" s="60"/>
      <c r="U353" s="60"/>
      <c r="V353" s="64"/>
      <c r="W353" s="60"/>
      <c r="X353" s="59"/>
      <c r="Y353" s="60"/>
      <c r="Z353" s="59"/>
      <c r="AA353" s="60"/>
    </row>
    <row r="354">
      <c r="A354" s="58"/>
      <c r="B354" s="58"/>
      <c r="C354" s="59"/>
      <c r="D354" s="60"/>
      <c r="E354" s="61"/>
      <c r="F354" s="62"/>
      <c r="G354" s="62"/>
      <c r="H354" s="62"/>
      <c r="I354" s="59"/>
      <c r="J354" s="60"/>
      <c r="K354" s="59"/>
      <c r="L354" s="60"/>
      <c r="M354" s="59"/>
      <c r="N354" s="63"/>
      <c r="O354" s="60"/>
      <c r="P354" s="60"/>
      <c r="Q354" s="60"/>
      <c r="R354" s="60"/>
      <c r="S354" s="60"/>
      <c r="T354" s="60"/>
      <c r="U354" s="60"/>
      <c r="V354" s="64"/>
      <c r="W354" s="60"/>
      <c r="X354" s="59"/>
      <c r="Y354" s="60"/>
      <c r="Z354" s="59"/>
      <c r="AA354" s="60"/>
    </row>
    <row r="355">
      <c r="A355" s="58"/>
      <c r="B355" s="58"/>
      <c r="C355" s="59"/>
      <c r="D355" s="60"/>
      <c r="E355" s="61"/>
      <c r="F355" s="62"/>
      <c r="G355" s="62"/>
      <c r="H355" s="62"/>
      <c r="I355" s="59"/>
      <c r="J355" s="60"/>
      <c r="K355" s="59"/>
      <c r="L355" s="60"/>
      <c r="M355" s="59"/>
      <c r="N355" s="63"/>
      <c r="O355" s="60"/>
      <c r="P355" s="60"/>
      <c r="Q355" s="60"/>
      <c r="R355" s="60"/>
      <c r="S355" s="60"/>
      <c r="T355" s="60"/>
      <c r="U355" s="60"/>
      <c r="V355" s="64"/>
      <c r="W355" s="60"/>
      <c r="X355" s="59"/>
      <c r="Y355" s="60"/>
      <c r="Z355" s="59"/>
      <c r="AA355" s="60"/>
    </row>
    <row r="356">
      <c r="A356" s="58"/>
      <c r="B356" s="58"/>
      <c r="C356" s="59"/>
      <c r="D356" s="60"/>
      <c r="E356" s="61"/>
      <c r="F356" s="62"/>
      <c r="G356" s="62"/>
      <c r="H356" s="62"/>
      <c r="I356" s="59"/>
      <c r="J356" s="60"/>
      <c r="K356" s="59"/>
      <c r="L356" s="60"/>
      <c r="M356" s="59"/>
      <c r="N356" s="63"/>
      <c r="O356" s="60"/>
      <c r="P356" s="60"/>
      <c r="Q356" s="60"/>
      <c r="R356" s="60"/>
      <c r="S356" s="60"/>
      <c r="T356" s="60"/>
      <c r="U356" s="60"/>
      <c r="V356" s="64"/>
      <c r="W356" s="60"/>
      <c r="X356" s="59"/>
      <c r="Y356" s="60"/>
      <c r="Z356" s="59"/>
      <c r="AA356" s="60"/>
    </row>
    <row r="357">
      <c r="A357" s="58"/>
      <c r="B357" s="58"/>
      <c r="C357" s="59"/>
      <c r="D357" s="60"/>
      <c r="E357" s="61"/>
      <c r="F357" s="62"/>
      <c r="G357" s="62"/>
      <c r="H357" s="62"/>
      <c r="I357" s="59"/>
      <c r="J357" s="60"/>
      <c r="K357" s="59"/>
      <c r="L357" s="60"/>
      <c r="M357" s="59"/>
      <c r="N357" s="63"/>
      <c r="O357" s="60"/>
      <c r="P357" s="60"/>
      <c r="Q357" s="60"/>
      <c r="R357" s="60"/>
      <c r="S357" s="60"/>
      <c r="T357" s="60"/>
      <c r="U357" s="60"/>
      <c r="V357" s="64"/>
      <c r="W357" s="60"/>
      <c r="X357" s="59"/>
      <c r="Y357" s="60"/>
      <c r="Z357" s="59"/>
      <c r="AA357" s="60"/>
    </row>
    <row r="358">
      <c r="A358" s="58"/>
      <c r="B358" s="58"/>
      <c r="C358" s="59"/>
      <c r="D358" s="60"/>
      <c r="E358" s="61"/>
      <c r="F358" s="62"/>
      <c r="G358" s="62"/>
      <c r="H358" s="62"/>
      <c r="I358" s="59"/>
      <c r="J358" s="60"/>
      <c r="K358" s="59"/>
      <c r="L358" s="60"/>
      <c r="M358" s="59"/>
      <c r="N358" s="63"/>
      <c r="O358" s="60"/>
      <c r="P358" s="60"/>
      <c r="Q358" s="60"/>
      <c r="R358" s="60"/>
      <c r="S358" s="60"/>
      <c r="T358" s="60"/>
      <c r="U358" s="60"/>
      <c r="V358" s="64"/>
      <c r="W358" s="60"/>
      <c r="X358" s="59"/>
      <c r="Y358" s="60"/>
      <c r="Z358" s="59"/>
      <c r="AA358" s="60"/>
    </row>
    <row r="359">
      <c r="A359" s="58"/>
      <c r="B359" s="58"/>
      <c r="C359" s="59"/>
      <c r="D359" s="60"/>
      <c r="E359" s="61"/>
      <c r="F359" s="62"/>
      <c r="G359" s="62"/>
      <c r="H359" s="62"/>
      <c r="I359" s="59"/>
      <c r="J359" s="60"/>
      <c r="K359" s="59"/>
      <c r="L359" s="60"/>
      <c r="M359" s="59"/>
      <c r="N359" s="63"/>
      <c r="O359" s="60"/>
      <c r="P359" s="60"/>
      <c r="Q359" s="60"/>
      <c r="R359" s="60"/>
      <c r="S359" s="60"/>
      <c r="T359" s="60"/>
      <c r="U359" s="60"/>
      <c r="V359" s="64"/>
      <c r="W359" s="60"/>
      <c r="X359" s="59"/>
      <c r="Y359" s="60"/>
      <c r="Z359" s="59"/>
      <c r="AA359" s="60"/>
    </row>
    <row r="360">
      <c r="A360" s="58"/>
      <c r="B360" s="58"/>
      <c r="C360" s="59"/>
      <c r="D360" s="60"/>
      <c r="E360" s="61"/>
      <c r="F360" s="62"/>
      <c r="G360" s="62"/>
      <c r="H360" s="62"/>
      <c r="I360" s="59"/>
      <c r="J360" s="60"/>
      <c r="K360" s="59"/>
      <c r="L360" s="60"/>
      <c r="M360" s="59"/>
      <c r="N360" s="63"/>
      <c r="O360" s="60"/>
      <c r="P360" s="60"/>
      <c r="Q360" s="60"/>
      <c r="R360" s="60"/>
      <c r="S360" s="60"/>
      <c r="T360" s="60"/>
      <c r="U360" s="60"/>
      <c r="V360" s="64"/>
      <c r="W360" s="60"/>
      <c r="X360" s="59"/>
      <c r="Y360" s="60"/>
      <c r="Z360" s="59"/>
      <c r="AA360" s="60"/>
    </row>
    <row r="361">
      <c r="A361" s="58"/>
      <c r="B361" s="58"/>
      <c r="C361" s="59"/>
      <c r="D361" s="60"/>
      <c r="E361" s="61"/>
      <c r="F361" s="62"/>
      <c r="G361" s="62"/>
      <c r="H361" s="62"/>
      <c r="I361" s="59"/>
      <c r="J361" s="60"/>
      <c r="K361" s="59"/>
      <c r="L361" s="60"/>
      <c r="M361" s="59"/>
      <c r="N361" s="63"/>
      <c r="O361" s="60"/>
      <c r="P361" s="60"/>
      <c r="Q361" s="60"/>
      <c r="R361" s="60"/>
      <c r="S361" s="60"/>
      <c r="T361" s="60"/>
      <c r="U361" s="60"/>
      <c r="V361" s="64"/>
      <c r="W361" s="60"/>
      <c r="X361" s="59"/>
      <c r="Y361" s="60"/>
      <c r="Z361" s="59"/>
      <c r="AA361" s="60"/>
    </row>
    <row r="362">
      <c r="A362" s="58"/>
      <c r="B362" s="58"/>
      <c r="C362" s="59"/>
      <c r="D362" s="60"/>
      <c r="E362" s="61"/>
      <c r="F362" s="62"/>
      <c r="G362" s="62"/>
      <c r="H362" s="62"/>
      <c r="I362" s="59"/>
      <c r="J362" s="60"/>
      <c r="K362" s="59"/>
      <c r="L362" s="60"/>
      <c r="M362" s="59"/>
      <c r="N362" s="63"/>
      <c r="O362" s="60"/>
      <c r="P362" s="60"/>
      <c r="Q362" s="60"/>
      <c r="R362" s="60"/>
      <c r="S362" s="60"/>
      <c r="T362" s="60"/>
      <c r="U362" s="60"/>
      <c r="V362" s="64"/>
      <c r="W362" s="60"/>
      <c r="X362" s="59"/>
      <c r="Y362" s="60"/>
      <c r="Z362" s="59"/>
      <c r="AA362" s="60"/>
    </row>
    <row r="363">
      <c r="A363" s="58"/>
      <c r="B363" s="58"/>
      <c r="C363" s="59"/>
      <c r="D363" s="60"/>
      <c r="E363" s="61"/>
      <c r="F363" s="62"/>
      <c r="G363" s="62"/>
      <c r="H363" s="62"/>
      <c r="I363" s="59"/>
      <c r="J363" s="60"/>
      <c r="K363" s="59"/>
      <c r="L363" s="60"/>
      <c r="M363" s="59"/>
      <c r="N363" s="63"/>
      <c r="O363" s="60"/>
      <c r="P363" s="60"/>
      <c r="Q363" s="60"/>
      <c r="R363" s="60"/>
      <c r="S363" s="60"/>
      <c r="T363" s="60"/>
      <c r="U363" s="60"/>
      <c r="V363" s="64"/>
      <c r="W363" s="60"/>
      <c r="X363" s="59"/>
      <c r="Y363" s="60"/>
      <c r="Z363" s="59"/>
      <c r="AA363" s="60"/>
    </row>
    <row r="364">
      <c r="A364" s="58"/>
      <c r="B364" s="58"/>
      <c r="C364" s="59"/>
      <c r="D364" s="60"/>
      <c r="E364" s="61"/>
      <c r="F364" s="62"/>
      <c r="G364" s="62"/>
      <c r="H364" s="62"/>
      <c r="I364" s="59"/>
      <c r="J364" s="60"/>
      <c r="K364" s="59"/>
      <c r="L364" s="60"/>
      <c r="M364" s="59"/>
      <c r="N364" s="63"/>
      <c r="O364" s="60"/>
      <c r="P364" s="60"/>
      <c r="Q364" s="60"/>
      <c r="R364" s="60"/>
      <c r="S364" s="60"/>
      <c r="T364" s="60"/>
      <c r="U364" s="60"/>
      <c r="V364" s="64"/>
      <c r="W364" s="60"/>
      <c r="X364" s="59"/>
      <c r="Y364" s="60"/>
      <c r="Z364" s="59"/>
      <c r="AA364" s="60"/>
    </row>
    <row r="365">
      <c r="A365" s="58"/>
      <c r="B365" s="58"/>
      <c r="C365" s="59"/>
      <c r="D365" s="60"/>
      <c r="E365" s="61"/>
      <c r="F365" s="62"/>
      <c r="G365" s="62"/>
      <c r="H365" s="62"/>
      <c r="I365" s="59"/>
      <c r="J365" s="60"/>
      <c r="K365" s="59"/>
      <c r="L365" s="60"/>
      <c r="M365" s="59"/>
      <c r="N365" s="63"/>
      <c r="O365" s="60"/>
      <c r="P365" s="60"/>
      <c r="Q365" s="60"/>
      <c r="R365" s="60"/>
      <c r="S365" s="60"/>
      <c r="T365" s="60"/>
      <c r="U365" s="60"/>
      <c r="V365" s="64"/>
      <c r="W365" s="60"/>
      <c r="X365" s="59"/>
      <c r="Y365" s="60"/>
      <c r="Z365" s="59"/>
      <c r="AA365" s="60"/>
    </row>
    <row r="366">
      <c r="A366" s="58"/>
      <c r="B366" s="58"/>
      <c r="C366" s="59"/>
      <c r="D366" s="60"/>
      <c r="E366" s="61"/>
      <c r="F366" s="62"/>
      <c r="G366" s="62"/>
      <c r="H366" s="62"/>
      <c r="I366" s="59"/>
      <c r="J366" s="60"/>
      <c r="K366" s="59"/>
      <c r="L366" s="60"/>
      <c r="M366" s="59"/>
      <c r="N366" s="63"/>
      <c r="O366" s="60"/>
      <c r="P366" s="60"/>
      <c r="Q366" s="60"/>
      <c r="R366" s="60"/>
      <c r="S366" s="60"/>
      <c r="T366" s="60"/>
      <c r="U366" s="60"/>
      <c r="V366" s="64"/>
      <c r="W366" s="60"/>
      <c r="X366" s="59"/>
      <c r="Y366" s="60"/>
      <c r="Z366" s="59"/>
      <c r="AA366" s="60"/>
    </row>
    <row r="367">
      <c r="A367" s="58"/>
      <c r="B367" s="58"/>
      <c r="C367" s="59"/>
      <c r="D367" s="60"/>
      <c r="E367" s="61"/>
      <c r="F367" s="62"/>
      <c r="G367" s="62"/>
      <c r="H367" s="62"/>
      <c r="I367" s="59"/>
      <c r="J367" s="60"/>
      <c r="K367" s="59"/>
      <c r="L367" s="60"/>
      <c r="M367" s="59"/>
      <c r="N367" s="63"/>
      <c r="O367" s="60"/>
      <c r="P367" s="60"/>
      <c r="Q367" s="60"/>
      <c r="R367" s="60"/>
      <c r="S367" s="60"/>
      <c r="T367" s="60"/>
      <c r="U367" s="60"/>
      <c r="V367" s="64"/>
      <c r="W367" s="60"/>
      <c r="X367" s="59"/>
      <c r="Y367" s="60"/>
      <c r="Z367" s="59"/>
      <c r="AA367" s="60"/>
    </row>
    <row r="368">
      <c r="A368" s="58"/>
      <c r="B368" s="58"/>
      <c r="C368" s="59"/>
      <c r="D368" s="60"/>
      <c r="E368" s="61"/>
      <c r="F368" s="62"/>
      <c r="G368" s="62"/>
      <c r="H368" s="62"/>
      <c r="I368" s="59"/>
      <c r="J368" s="60"/>
      <c r="K368" s="59"/>
      <c r="L368" s="60"/>
      <c r="M368" s="59"/>
      <c r="N368" s="63"/>
      <c r="O368" s="60"/>
      <c r="P368" s="60"/>
      <c r="Q368" s="60"/>
      <c r="R368" s="60"/>
      <c r="S368" s="60"/>
      <c r="T368" s="60"/>
      <c r="U368" s="60"/>
      <c r="V368" s="64"/>
      <c r="W368" s="60"/>
      <c r="X368" s="59"/>
      <c r="Y368" s="60"/>
      <c r="Z368" s="59"/>
      <c r="AA368" s="60"/>
    </row>
    <row r="369">
      <c r="A369" s="58"/>
      <c r="B369" s="58"/>
      <c r="C369" s="59"/>
      <c r="D369" s="60"/>
      <c r="E369" s="61"/>
      <c r="F369" s="62"/>
      <c r="G369" s="62"/>
      <c r="H369" s="62"/>
      <c r="I369" s="59"/>
      <c r="J369" s="60"/>
      <c r="K369" s="59"/>
      <c r="L369" s="60"/>
      <c r="M369" s="59"/>
      <c r="N369" s="63"/>
      <c r="O369" s="60"/>
      <c r="P369" s="60"/>
      <c r="Q369" s="60"/>
      <c r="R369" s="60"/>
      <c r="S369" s="60"/>
      <c r="T369" s="60"/>
      <c r="U369" s="60"/>
      <c r="V369" s="64"/>
      <c r="W369" s="60"/>
      <c r="X369" s="59"/>
      <c r="Y369" s="60"/>
      <c r="Z369" s="59"/>
      <c r="AA369" s="60"/>
    </row>
    <row r="370">
      <c r="A370" s="58"/>
      <c r="B370" s="58"/>
      <c r="C370" s="59"/>
      <c r="D370" s="60"/>
      <c r="E370" s="61"/>
      <c r="F370" s="62"/>
      <c r="G370" s="62"/>
      <c r="H370" s="62"/>
      <c r="I370" s="59"/>
      <c r="J370" s="60"/>
      <c r="K370" s="59"/>
      <c r="L370" s="60"/>
      <c r="M370" s="59"/>
      <c r="N370" s="63"/>
      <c r="O370" s="60"/>
      <c r="P370" s="60"/>
      <c r="Q370" s="60"/>
      <c r="R370" s="60"/>
      <c r="S370" s="60"/>
      <c r="T370" s="60"/>
      <c r="U370" s="60"/>
      <c r="V370" s="64"/>
      <c r="W370" s="60"/>
      <c r="X370" s="59"/>
      <c r="Y370" s="60"/>
      <c r="Z370" s="59"/>
      <c r="AA370" s="60"/>
    </row>
    <row r="371">
      <c r="A371" s="58"/>
      <c r="B371" s="58"/>
      <c r="C371" s="59"/>
      <c r="D371" s="60"/>
      <c r="E371" s="61"/>
      <c r="F371" s="62"/>
      <c r="G371" s="62"/>
      <c r="H371" s="62"/>
      <c r="I371" s="59"/>
      <c r="J371" s="60"/>
      <c r="K371" s="59"/>
      <c r="L371" s="60"/>
      <c r="M371" s="59"/>
      <c r="N371" s="63"/>
      <c r="O371" s="60"/>
      <c r="P371" s="60"/>
      <c r="Q371" s="60"/>
      <c r="R371" s="60"/>
      <c r="S371" s="60"/>
      <c r="T371" s="60"/>
      <c r="U371" s="60"/>
      <c r="V371" s="64"/>
      <c r="W371" s="60"/>
      <c r="X371" s="59"/>
      <c r="Y371" s="60"/>
      <c r="Z371" s="59"/>
      <c r="AA371" s="60"/>
    </row>
    <row r="372">
      <c r="A372" s="58"/>
      <c r="B372" s="58"/>
      <c r="C372" s="59"/>
      <c r="D372" s="60"/>
      <c r="E372" s="61"/>
      <c r="F372" s="62"/>
      <c r="G372" s="62"/>
      <c r="H372" s="62"/>
      <c r="I372" s="59"/>
      <c r="J372" s="60"/>
      <c r="K372" s="59"/>
      <c r="L372" s="60"/>
      <c r="M372" s="59"/>
      <c r="N372" s="63"/>
      <c r="O372" s="60"/>
      <c r="P372" s="60"/>
      <c r="Q372" s="60"/>
      <c r="R372" s="60"/>
      <c r="S372" s="60"/>
      <c r="T372" s="60"/>
      <c r="U372" s="60"/>
      <c r="V372" s="64"/>
      <c r="W372" s="60"/>
      <c r="X372" s="59"/>
      <c r="Y372" s="60"/>
      <c r="Z372" s="59"/>
      <c r="AA372" s="60"/>
    </row>
    <row r="373">
      <c r="A373" s="58"/>
      <c r="B373" s="58"/>
      <c r="C373" s="59"/>
      <c r="D373" s="60"/>
      <c r="E373" s="61"/>
      <c r="F373" s="62"/>
      <c r="G373" s="62"/>
      <c r="H373" s="62"/>
      <c r="I373" s="59"/>
      <c r="J373" s="60"/>
      <c r="K373" s="59"/>
      <c r="L373" s="60"/>
      <c r="M373" s="59"/>
      <c r="N373" s="63"/>
      <c r="O373" s="60"/>
      <c r="P373" s="60"/>
      <c r="Q373" s="60"/>
      <c r="R373" s="60"/>
      <c r="S373" s="60"/>
      <c r="T373" s="60"/>
      <c r="U373" s="60"/>
      <c r="V373" s="64"/>
      <c r="W373" s="60"/>
      <c r="X373" s="59"/>
      <c r="Y373" s="60"/>
      <c r="Z373" s="59"/>
      <c r="AA373" s="60"/>
    </row>
    <row r="374">
      <c r="A374" s="58"/>
      <c r="B374" s="58"/>
      <c r="C374" s="59"/>
      <c r="D374" s="60"/>
      <c r="E374" s="61"/>
      <c r="F374" s="62"/>
      <c r="G374" s="62"/>
      <c r="H374" s="62"/>
      <c r="I374" s="59"/>
      <c r="J374" s="60"/>
      <c r="K374" s="59"/>
      <c r="L374" s="60"/>
      <c r="M374" s="59"/>
      <c r="N374" s="63"/>
      <c r="O374" s="60"/>
      <c r="P374" s="60"/>
      <c r="Q374" s="60"/>
      <c r="R374" s="60"/>
      <c r="S374" s="60"/>
      <c r="T374" s="60"/>
      <c r="U374" s="60"/>
      <c r="V374" s="64"/>
      <c r="W374" s="60"/>
      <c r="X374" s="59"/>
      <c r="Y374" s="60"/>
      <c r="Z374" s="59"/>
      <c r="AA374" s="60"/>
    </row>
    <row r="375">
      <c r="A375" s="58"/>
      <c r="B375" s="58"/>
      <c r="C375" s="59"/>
      <c r="D375" s="60"/>
      <c r="E375" s="61"/>
      <c r="F375" s="62"/>
      <c r="G375" s="62"/>
      <c r="H375" s="62"/>
      <c r="I375" s="59"/>
      <c r="J375" s="60"/>
      <c r="K375" s="59"/>
      <c r="L375" s="60"/>
      <c r="M375" s="59"/>
      <c r="N375" s="63"/>
      <c r="O375" s="60"/>
      <c r="P375" s="60"/>
      <c r="Q375" s="60"/>
      <c r="R375" s="60"/>
      <c r="S375" s="60"/>
      <c r="T375" s="60"/>
      <c r="U375" s="60"/>
      <c r="V375" s="64"/>
      <c r="W375" s="60"/>
      <c r="X375" s="59"/>
      <c r="Y375" s="60"/>
      <c r="Z375" s="59"/>
      <c r="AA375" s="60"/>
    </row>
    <row r="376">
      <c r="A376" s="58"/>
      <c r="B376" s="58"/>
      <c r="C376" s="59"/>
      <c r="D376" s="60"/>
      <c r="E376" s="61"/>
      <c r="F376" s="62"/>
      <c r="G376" s="62"/>
      <c r="H376" s="62"/>
      <c r="I376" s="59"/>
      <c r="J376" s="60"/>
      <c r="K376" s="59"/>
      <c r="L376" s="60"/>
      <c r="M376" s="59"/>
      <c r="N376" s="63"/>
      <c r="O376" s="60"/>
      <c r="P376" s="60"/>
      <c r="Q376" s="60"/>
      <c r="R376" s="60"/>
      <c r="S376" s="60"/>
      <c r="T376" s="60"/>
      <c r="U376" s="60"/>
      <c r="V376" s="64"/>
      <c r="W376" s="60"/>
      <c r="X376" s="59"/>
      <c r="Y376" s="60"/>
      <c r="Z376" s="59"/>
      <c r="AA376" s="60"/>
    </row>
    <row r="377">
      <c r="A377" s="58"/>
      <c r="B377" s="58"/>
      <c r="C377" s="59"/>
      <c r="D377" s="60"/>
      <c r="E377" s="61"/>
      <c r="F377" s="62"/>
      <c r="G377" s="62"/>
      <c r="H377" s="62"/>
      <c r="I377" s="59"/>
      <c r="J377" s="60"/>
      <c r="K377" s="59"/>
      <c r="L377" s="60"/>
      <c r="M377" s="59"/>
      <c r="N377" s="63"/>
      <c r="O377" s="60"/>
      <c r="P377" s="60"/>
      <c r="Q377" s="60"/>
      <c r="R377" s="60"/>
      <c r="S377" s="60"/>
      <c r="T377" s="60"/>
      <c r="U377" s="60"/>
      <c r="V377" s="64"/>
      <c r="W377" s="60"/>
      <c r="X377" s="59"/>
      <c r="Y377" s="60"/>
      <c r="Z377" s="59"/>
      <c r="AA377" s="60"/>
    </row>
    <row r="378">
      <c r="A378" s="58"/>
      <c r="B378" s="58"/>
      <c r="C378" s="59"/>
      <c r="D378" s="60"/>
      <c r="E378" s="61"/>
      <c r="F378" s="62"/>
      <c r="G378" s="62"/>
      <c r="H378" s="62"/>
      <c r="I378" s="59"/>
      <c r="J378" s="60"/>
      <c r="K378" s="59"/>
      <c r="L378" s="60"/>
      <c r="M378" s="59"/>
      <c r="N378" s="63"/>
      <c r="O378" s="60"/>
      <c r="P378" s="60"/>
      <c r="Q378" s="60"/>
      <c r="R378" s="60"/>
      <c r="S378" s="60"/>
      <c r="T378" s="60"/>
      <c r="U378" s="60"/>
      <c r="V378" s="64"/>
      <c r="W378" s="60"/>
      <c r="X378" s="59"/>
      <c r="Y378" s="60"/>
      <c r="Z378" s="59"/>
      <c r="AA378" s="60"/>
    </row>
    <row r="379">
      <c r="A379" s="58"/>
      <c r="B379" s="58"/>
      <c r="C379" s="59"/>
      <c r="D379" s="60"/>
      <c r="E379" s="61"/>
      <c r="F379" s="62"/>
      <c r="G379" s="62"/>
      <c r="H379" s="62"/>
      <c r="I379" s="59"/>
      <c r="J379" s="60"/>
      <c r="K379" s="59"/>
      <c r="L379" s="60"/>
      <c r="M379" s="59"/>
      <c r="N379" s="63"/>
      <c r="O379" s="60"/>
      <c r="P379" s="60"/>
      <c r="Q379" s="60"/>
      <c r="R379" s="60"/>
      <c r="S379" s="60"/>
      <c r="T379" s="60"/>
      <c r="U379" s="60"/>
      <c r="V379" s="64"/>
      <c r="W379" s="60"/>
      <c r="X379" s="59"/>
      <c r="Y379" s="60"/>
      <c r="Z379" s="59"/>
      <c r="AA379" s="60"/>
    </row>
    <row r="380">
      <c r="A380" s="58"/>
      <c r="B380" s="58"/>
      <c r="C380" s="59"/>
      <c r="D380" s="60"/>
      <c r="E380" s="61"/>
      <c r="F380" s="62"/>
      <c r="G380" s="62"/>
      <c r="H380" s="62"/>
      <c r="I380" s="59"/>
      <c r="J380" s="60"/>
      <c r="K380" s="59"/>
      <c r="L380" s="60"/>
      <c r="M380" s="59"/>
      <c r="N380" s="63"/>
      <c r="O380" s="60"/>
      <c r="P380" s="60"/>
      <c r="Q380" s="60"/>
      <c r="R380" s="60"/>
      <c r="S380" s="60"/>
      <c r="T380" s="60"/>
      <c r="U380" s="60"/>
      <c r="V380" s="64"/>
      <c r="W380" s="60"/>
      <c r="X380" s="59"/>
      <c r="Y380" s="60"/>
      <c r="Z380" s="59"/>
      <c r="AA380" s="60"/>
    </row>
    <row r="381">
      <c r="A381" s="58"/>
      <c r="B381" s="58"/>
      <c r="C381" s="59"/>
      <c r="D381" s="60"/>
      <c r="E381" s="61"/>
      <c r="F381" s="62"/>
      <c r="G381" s="62"/>
      <c r="H381" s="62"/>
      <c r="I381" s="59"/>
      <c r="J381" s="60"/>
      <c r="K381" s="59"/>
      <c r="L381" s="60"/>
      <c r="M381" s="59"/>
      <c r="N381" s="63"/>
      <c r="O381" s="60"/>
      <c r="P381" s="60"/>
      <c r="Q381" s="60"/>
      <c r="R381" s="60"/>
      <c r="S381" s="60"/>
      <c r="T381" s="60"/>
      <c r="U381" s="60"/>
      <c r="V381" s="64"/>
      <c r="W381" s="60"/>
      <c r="X381" s="59"/>
      <c r="Y381" s="60"/>
      <c r="Z381" s="59"/>
      <c r="AA381" s="60"/>
    </row>
    <row r="382">
      <c r="A382" s="58"/>
      <c r="B382" s="58"/>
      <c r="C382" s="59"/>
      <c r="D382" s="60"/>
      <c r="E382" s="61"/>
      <c r="F382" s="62"/>
      <c r="G382" s="62"/>
      <c r="H382" s="62"/>
      <c r="I382" s="59"/>
      <c r="J382" s="60"/>
      <c r="K382" s="59"/>
      <c r="L382" s="60"/>
      <c r="M382" s="59"/>
      <c r="N382" s="63"/>
      <c r="O382" s="60"/>
      <c r="P382" s="60"/>
      <c r="Q382" s="60"/>
      <c r="R382" s="60"/>
      <c r="S382" s="60"/>
      <c r="T382" s="60"/>
      <c r="U382" s="60"/>
      <c r="V382" s="64"/>
      <c r="W382" s="60"/>
      <c r="X382" s="59"/>
      <c r="Y382" s="60"/>
      <c r="Z382" s="59"/>
      <c r="AA382" s="60"/>
    </row>
    <row r="383">
      <c r="A383" s="58"/>
      <c r="B383" s="58"/>
      <c r="C383" s="59"/>
      <c r="D383" s="60"/>
      <c r="E383" s="61"/>
      <c r="F383" s="62"/>
      <c r="G383" s="62"/>
      <c r="H383" s="62"/>
      <c r="I383" s="59"/>
      <c r="J383" s="60"/>
      <c r="K383" s="59"/>
      <c r="L383" s="60"/>
      <c r="M383" s="59"/>
      <c r="N383" s="63"/>
      <c r="O383" s="60"/>
      <c r="P383" s="60"/>
      <c r="Q383" s="60"/>
      <c r="R383" s="60"/>
      <c r="S383" s="60"/>
      <c r="T383" s="60"/>
      <c r="U383" s="60"/>
      <c r="V383" s="64"/>
      <c r="W383" s="60"/>
      <c r="X383" s="59"/>
      <c r="Y383" s="60"/>
      <c r="Z383" s="59"/>
      <c r="AA383" s="60"/>
    </row>
    <row r="384">
      <c r="A384" s="58"/>
      <c r="B384" s="58"/>
      <c r="C384" s="59"/>
      <c r="D384" s="60"/>
      <c r="E384" s="61"/>
      <c r="F384" s="62"/>
      <c r="G384" s="62"/>
      <c r="H384" s="62"/>
      <c r="I384" s="59"/>
      <c r="J384" s="60"/>
      <c r="K384" s="59"/>
      <c r="L384" s="60"/>
      <c r="M384" s="59"/>
      <c r="N384" s="63"/>
      <c r="O384" s="60"/>
      <c r="P384" s="60"/>
      <c r="Q384" s="60"/>
      <c r="R384" s="60"/>
      <c r="S384" s="60"/>
      <c r="T384" s="60"/>
      <c r="U384" s="60"/>
      <c r="V384" s="64"/>
      <c r="W384" s="60"/>
      <c r="X384" s="59"/>
      <c r="Y384" s="60"/>
      <c r="Z384" s="59"/>
      <c r="AA384" s="60"/>
    </row>
    <row r="385">
      <c r="A385" s="58"/>
      <c r="B385" s="58"/>
      <c r="C385" s="59"/>
      <c r="D385" s="60"/>
      <c r="E385" s="61"/>
      <c r="F385" s="62"/>
      <c r="G385" s="62"/>
      <c r="H385" s="62"/>
      <c r="I385" s="59"/>
      <c r="J385" s="60"/>
      <c r="K385" s="59"/>
      <c r="L385" s="60"/>
      <c r="M385" s="59"/>
      <c r="N385" s="63"/>
      <c r="O385" s="60"/>
      <c r="P385" s="60"/>
      <c r="Q385" s="60"/>
      <c r="R385" s="60"/>
      <c r="S385" s="60"/>
      <c r="T385" s="60"/>
      <c r="U385" s="60"/>
      <c r="V385" s="64"/>
      <c r="W385" s="60"/>
      <c r="X385" s="59"/>
      <c r="Y385" s="60"/>
      <c r="Z385" s="59"/>
      <c r="AA385" s="60"/>
    </row>
    <row r="386">
      <c r="A386" s="58"/>
      <c r="B386" s="58"/>
      <c r="C386" s="59"/>
      <c r="D386" s="60"/>
      <c r="E386" s="61"/>
      <c r="F386" s="62"/>
      <c r="G386" s="62"/>
      <c r="H386" s="62"/>
      <c r="I386" s="59"/>
      <c r="J386" s="60"/>
      <c r="K386" s="59"/>
      <c r="L386" s="60"/>
      <c r="M386" s="59"/>
      <c r="N386" s="63"/>
      <c r="O386" s="60"/>
      <c r="P386" s="60"/>
      <c r="Q386" s="60"/>
      <c r="R386" s="60"/>
      <c r="S386" s="60"/>
      <c r="T386" s="60"/>
      <c r="U386" s="60"/>
      <c r="V386" s="64"/>
      <c r="W386" s="60"/>
      <c r="X386" s="59"/>
      <c r="Y386" s="60"/>
      <c r="Z386" s="59"/>
      <c r="AA386" s="60"/>
    </row>
    <row r="387">
      <c r="A387" s="58"/>
      <c r="B387" s="58"/>
      <c r="C387" s="59"/>
      <c r="D387" s="60"/>
      <c r="E387" s="61"/>
      <c r="F387" s="62"/>
      <c r="G387" s="62"/>
      <c r="H387" s="62"/>
      <c r="I387" s="59"/>
      <c r="J387" s="60"/>
      <c r="K387" s="59"/>
      <c r="L387" s="60"/>
      <c r="M387" s="59"/>
      <c r="N387" s="63"/>
      <c r="O387" s="60"/>
      <c r="P387" s="60"/>
      <c r="Q387" s="60"/>
      <c r="R387" s="60"/>
      <c r="S387" s="60"/>
      <c r="T387" s="60"/>
      <c r="U387" s="60"/>
      <c r="V387" s="64"/>
      <c r="W387" s="60"/>
      <c r="X387" s="59"/>
      <c r="Y387" s="60"/>
      <c r="Z387" s="59"/>
      <c r="AA387" s="60"/>
    </row>
    <row r="388">
      <c r="A388" s="58"/>
      <c r="B388" s="58"/>
      <c r="C388" s="59"/>
      <c r="D388" s="60"/>
      <c r="E388" s="61"/>
      <c r="F388" s="62"/>
      <c r="G388" s="62"/>
      <c r="H388" s="62"/>
      <c r="I388" s="59"/>
      <c r="J388" s="60"/>
      <c r="K388" s="59"/>
      <c r="L388" s="60"/>
      <c r="M388" s="59"/>
      <c r="N388" s="63"/>
      <c r="O388" s="60"/>
      <c r="P388" s="60"/>
      <c r="Q388" s="60"/>
      <c r="R388" s="60"/>
      <c r="S388" s="60"/>
      <c r="T388" s="60"/>
      <c r="U388" s="60"/>
      <c r="V388" s="64"/>
      <c r="W388" s="60"/>
      <c r="X388" s="59"/>
      <c r="Y388" s="60"/>
      <c r="Z388" s="59"/>
      <c r="AA388" s="60"/>
    </row>
    <row r="389">
      <c r="A389" s="58"/>
      <c r="B389" s="58"/>
      <c r="C389" s="59"/>
      <c r="D389" s="60"/>
      <c r="E389" s="61"/>
      <c r="F389" s="62"/>
      <c r="G389" s="62"/>
      <c r="H389" s="62"/>
      <c r="I389" s="59"/>
      <c r="J389" s="60"/>
      <c r="K389" s="59"/>
      <c r="L389" s="60"/>
      <c r="M389" s="59"/>
      <c r="N389" s="63"/>
      <c r="O389" s="60"/>
      <c r="P389" s="60"/>
      <c r="Q389" s="60"/>
      <c r="R389" s="60"/>
      <c r="S389" s="60"/>
      <c r="T389" s="60"/>
      <c r="U389" s="60"/>
      <c r="V389" s="64"/>
      <c r="W389" s="60"/>
      <c r="X389" s="59"/>
      <c r="Y389" s="60"/>
      <c r="Z389" s="59"/>
      <c r="AA389" s="60"/>
    </row>
    <row r="390">
      <c r="A390" s="58"/>
      <c r="B390" s="58"/>
      <c r="C390" s="59"/>
      <c r="D390" s="60"/>
      <c r="E390" s="61"/>
      <c r="F390" s="62"/>
      <c r="G390" s="62"/>
      <c r="H390" s="62"/>
      <c r="I390" s="59"/>
      <c r="J390" s="60"/>
      <c r="K390" s="59"/>
      <c r="L390" s="60"/>
      <c r="M390" s="59"/>
      <c r="N390" s="63"/>
      <c r="O390" s="60"/>
      <c r="P390" s="60"/>
      <c r="Q390" s="60"/>
      <c r="R390" s="60"/>
      <c r="S390" s="60"/>
      <c r="T390" s="60"/>
      <c r="U390" s="60"/>
      <c r="V390" s="64"/>
      <c r="W390" s="60"/>
      <c r="X390" s="59"/>
      <c r="Y390" s="60"/>
      <c r="Z390" s="59"/>
      <c r="AA390" s="60"/>
    </row>
    <row r="391">
      <c r="A391" s="58"/>
      <c r="B391" s="58"/>
      <c r="C391" s="59"/>
      <c r="D391" s="60"/>
      <c r="E391" s="61"/>
      <c r="F391" s="62"/>
      <c r="G391" s="62"/>
      <c r="H391" s="62"/>
      <c r="I391" s="59"/>
      <c r="J391" s="60"/>
      <c r="K391" s="59"/>
      <c r="L391" s="60"/>
      <c r="M391" s="59"/>
      <c r="N391" s="63"/>
      <c r="O391" s="60"/>
      <c r="P391" s="60"/>
      <c r="Q391" s="60"/>
      <c r="R391" s="60"/>
      <c r="S391" s="60"/>
      <c r="T391" s="60"/>
      <c r="U391" s="60"/>
      <c r="V391" s="64"/>
      <c r="W391" s="60"/>
      <c r="X391" s="59"/>
      <c r="Y391" s="60"/>
      <c r="Z391" s="59"/>
      <c r="AA391" s="60"/>
    </row>
    <row r="392">
      <c r="A392" s="58"/>
      <c r="B392" s="58"/>
      <c r="C392" s="59"/>
      <c r="D392" s="60"/>
      <c r="E392" s="61"/>
      <c r="F392" s="62"/>
      <c r="G392" s="62"/>
      <c r="H392" s="62"/>
      <c r="I392" s="59"/>
      <c r="J392" s="60"/>
      <c r="K392" s="59"/>
      <c r="L392" s="60"/>
      <c r="M392" s="59"/>
      <c r="N392" s="63"/>
      <c r="O392" s="60"/>
      <c r="P392" s="60"/>
      <c r="Q392" s="60"/>
      <c r="R392" s="60"/>
      <c r="S392" s="60"/>
      <c r="T392" s="60"/>
      <c r="U392" s="60"/>
      <c r="V392" s="64"/>
      <c r="W392" s="60"/>
      <c r="X392" s="59"/>
      <c r="Y392" s="60"/>
      <c r="Z392" s="59"/>
      <c r="AA392" s="60"/>
    </row>
    <row r="393">
      <c r="A393" s="58"/>
      <c r="B393" s="58"/>
      <c r="C393" s="59"/>
      <c r="D393" s="60"/>
      <c r="E393" s="61"/>
      <c r="F393" s="62"/>
      <c r="G393" s="62"/>
      <c r="H393" s="62"/>
      <c r="I393" s="59"/>
      <c r="J393" s="60"/>
      <c r="K393" s="59"/>
      <c r="L393" s="60"/>
      <c r="M393" s="59"/>
      <c r="N393" s="63"/>
      <c r="O393" s="60"/>
      <c r="P393" s="60"/>
      <c r="Q393" s="60"/>
      <c r="R393" s="60"/>
      <c r="S393" s="60"/>
      <c r="T393" s="60"/>
      <c r="U393" s="60"/>
      <c r="V393" s="64"/>
      <c r="W393" s="60"/>
      <c r="X393" s="59"/>
      <c r="Y393" s="60"/>
      <c r="Z393" s="59"/>
      <c r="AA393" s="60"/>
    </row>
    <row r="394">
      <c r="A394" s="58"/>
      <c r="B394" s="58"/>
      <c r="C394" s="59"/>
      <c r="D394" s="60"/>
      <c r="E394" s="61"/>
      <c r="F394" s="62"/>
      <c r="G394" s="62"/>
      <c r="H394" s="62"/>
      <c r="I394" s="59"/>
      <c r="J394" s="60"/>
      <c r="K394" s="59"/>
      <c r="L394" s="60"/>
      <c r="M394" s="59"/>
      <c r="N394" s="63"/>
      <c r="O394" s="60"/>
      <c r="P394" s="60"/>
      <c r="Q394" s="60"/>
      <c r="R394" s="60"/>
      <c r="S394" s="60"/>
      <c r="T394" s="60"/>
      <c r="U394" s="60"/>
      <c r="V394" s="64"/>
      <c r="W394" s="60"/>
      <c r="X394" s="59"/>
      <c r="Y394" s="60"/>
      <c r="Z394" s="59"/>
      <c r="AA394" s="60"/>
    </row>
    <row r="395">
      <c r="A395" s="58"/>
      <c r="B395" s="58"/>
      <c r="C395" s="59"/>
      <c r="D395" s="60"/>
      <c r="E395" s="61"/>
      <c r="F395" s="62"/>
      <c r="G395" s="62"/>
      <c r="H395" s="62"/>
      <c r="I395" s="59"/>
      <c r="J395" s="60"/>
      <c r="K395" s="59"/>
      <c r="L395" s="60"/>
      <c r="M395" s="59"/>
      <c r="N395" s="63"/>
      <c r="O395" s="60"/>
      <c r="P395" s="60"/>
      <c r="Q395" s="60"/>
      <c r="R395" s="60"/>
      <c r="S395" s="60"/>
      <c r="T395" s="60"/>
      <c r="U395" s="60"/>
      <c r="V395" s="64"/>
      <c r="W395" s="60"/>
      <c r="X395" s="59"/>
      <c r="Y395" s="60"/>
      <c r="Z395" s="59"/>
      <c r="AA395" s="60"/>
    </row>
    <row r="396">
      <c r="A396" s="58"/>
      <c r="B396" s="58"/>
      <c r="C396" s="59"/>
      <c r="D396" s="60"/>
      <c r="E396" s="61"/>
      <c r="F396" s="62"/>
      <c r="G396" s="62"/>
      <c r="H396" s="62"/>
      <c r="I396" s="59"/>
      <c r="J396" s="60"/>
      <c r="K396" s="59"/>
      <c r="L396" s="60"/>
      <c r="M396" s="59"/>
      <c r="N396" s="63"/>
      <c r="O396" s="60"/>
      <c r="P396" s="60"/>
      <c r="Q396" s="60"/>
      <c r="R396" s="60"/>
      <c r="S396" s="60"/>
      <c r="T396" s="60"/>
      <c r="U396" s="60"/>
      <c r="V396" s="64"/>
      <c r="W396" s="60"/>
      <c r="X396" s="59"/>
      <c r="Y396" s="60"/>
      <c r="Z396" s="59"/>
      <c r="AA396" s="60"/>
    </row>
    <row r="397">
      <c r="A397" s="58"/>
      <c r="B397" s="58"/>
      <c r="C397" s="59"/>
      <c r="D397" s="60"/>
      <c r="E397" s="61"/>
      <c r="F397" s="62"/>
      <c r="G397" s="62"/>
      <c r="H397" s="62"/>
      <c r="I397" s="59"/>
      <c r="J397" s="60"/>
      <c r="K397" s="59"/>
      <c r="L397" s="60"/>
      <c r="M397" s="59"/>
      <c r="N397" s="63"/>
      <c r="O397" s="60"/>
      <c r="P397" s="60"/>
      <c r="Q397" s="60"/>
      <c r="R397" s="60"/>
      <c r="S397" s="60"/>
      <c r="T397" s="60"/>
      <c r="U397" s="60"/>
      <c r="V397" s="64"/>
      <c r="W397" s="60"/>
      <c r="X397" s="59"/>
      <c r="Y397" s="60"/>
      <c r="Z397" s="59"/>
      <c r="AA397" s="60"/>
    </row>
    <row r="398">
      <c r="A398" s="58"/>
      <c r="B398" s="58"/>
      <c r="C398" s="59"/>
      <c r="D398" s="60"/>
      <c r="E398" s="61"/>
      <c r="F398" s="62"/>
      <c r="G398" s="62"/>
      <c r="H398" s="62"/>
      <c r="I398" s="59"/>
      <c r="J398" s="60"/>
      <c r="K398" s="59"/>
      <c r="L398" s="60"/>
      <c r="M398" s="59"/>
      <c r="N398" s="63"/>
      <c r="O398" s="60"/>
      <c r="P398" s="60"/>
      <c r="Q398" s="60"/>
      <c r="R398" s="60"/>
      <c r="S398" s="60"/>
      <c r="T398" s="60"/>
      <c r="U398" s="60"/>
      <c r="V398" s="64"/>
      <c r="W398" s="60"/>
      <c r="X398" s="59"/>
      <c r="Y398" s="60"/>
      <c r="Z398" s="59"/>
      <c r="AA398" s="60"/>
    </row>
    <row r="399">
      <c r="A399" s="58"/>
      <c r="B399" s="58"/>
      <c r="C399" s="59"/>
      <c r="D399" s="60"/>
      <c r="E399" s="61"/>
      <c r="F399" s="62"/>
      <c r="G399" s="62"/>
      <c r="H399" s="62"/>
      <c r="I399" s="59"/>
      <c r="J399" s="60"/>
      <c r="K399" s="59"/>
      <c r="L399" s="60"/>
      <c r="M399" s="59"/>
      <c r="N399" s="63"/>
      <c r="O399" s="60"/>
      <c r="P399" s="60"/>
      <c r="Q399" s="60"/>
      <c r="R399" s="60"/>
      <c r="S399" s="60"/>
      <c r="T399" s="60"/>
      <c r="U399" s="60"/>
      <c r="V399" s="64"/>
      <c r="W399" s="60"/>
      <c r="X399" s="59"/>
      <c r="Y399" s="60"/>
      <c r="Z399" s="59"/>
      <c r="AA399" s="60"/>
    </row>
    <row r="400">
      <c r="A400" s="58"/>
      <c r="B400" s="58"/>
      <c r="C400" s="59"/>
      <c r="D400" s="60"/>
      <c r="E400" s="61"/>
      <c r="F400" s="62"/>
      <c r="G400" s="62"/>
      <c r="H400" s="62"/>
      <c r="I400" s="59"/>
      <c r="J400" s="60"/>
      <c r="K400" s="59"/>
      <c r="L400" s="60"/>
      <c r="M400" s="59"/>
      <c r="N400" s="63"/>
      <c r="O400" s="60"/>
      <c r="P400" s="60"/>
      <c r="Q400" s="60"/>
      <c r="R400" s="60"/>
      <c r="S400" s="60"/>
      <c r="T400" s="60"/>
      <c r="U400" s="60"/>
      <c r="V400" s="64"/>
      <c r="W400" s="60"/>
      <c r="X400" s="59"/>
      <c r="Y400" s="60"/>
      <c r="Z400" s="59"/>
      <c r="AA400" s="60"/>
    </row>
    <row r="401">
      <c r="A401" s="58"/>
      <c r="B401" s="58"/>
      <c r="C401" s="59"/>
      <c r="D401" s="60"/>
      <c r="E401" s="61"/>
      <c r="F401" s="62"/>
      <c r="G401" s="62"/>
      <c r="H401" s="62"/>
      <c r="I401" s="59"/>
      <c r="J401" s="60"/>
      <c r="K401" s="59"/>
      <c r="L401" s="60"/>
      <c r="M401" s="59"/>
      <c r="N401" s="63"/>
      <c r="O401" s="60"/>
      <c r="P401" s="60"/>
      <c r="Q401" s="60"/>
      <c r="R401" s="60"/>
      <c r="S401" s="60"/>
      <c r="T401" s="60"/>
      <c r="U401" s="60"/>
      <c r="V401" s="64"/>
      <c r="W401" s="60"/>
      <c r="X401" s="59"/>
      <c r="Y401" s="60"/>
      <c r="Z401" s="59"/>
      <c r="AA401" s="60"/>
    </row>
    <row r="402">
      <c r="A402" s="58"/>
      <c r="B402" s="58"/>
      <c r="C402" s="59"/>
      <c r="D402" s="60"/>
      <c r="E402" s="61"/>
      <c r="F402" s="62"/>
      <c r="G402" s="62"/>
      <c r="H402" s="62"/>
      <c r="I402" s="59"/>
      <c r="J402" s="60"/>
      <c r="K402" s="59"/>
      <c r="L402" s="60"/>
      <c r="M402" s="59"/>
      <c r="N402" s="63"/>
      <c r="O402" s="60"/>
      <c r="P402" s="60"/>
      <c r="Q402" s="60"/>
      <c r="R402" s="60"/>
      <c r="S402" s="60"/>
      <c r="T402" s="60"/>
      <c r="U402" s="60"/>
      <c r="V402" s="64"/>
      <c r="W402" s="60"/>
      <c r="X402" s="59"/>
      <c r="Y402" s="60"/>
      <c r="Z402" s="59"/>
      <c r="AA402" s="60"/>
    </row>
    <row r="403">
      <c r="A403" s="58"/>
      <c r="B403" s="58"/>
      <c r="C403" s="59"/>
      <c r="D403" s="60"/>
      <c r="E403" s="61"/>
      <c r="F403" s="62"/>
      <c r="G403" s="62"/>
      <c r="H403" s="62"/>
      <c r="I403" s="59"/>
      <c r="J403" s="60"/>
      <c r="K403" s="59"/>
      <c r="L403" s="60"/>
      <c r="M403" s="59"/>
      <c r="N403" s="63"/>
      <c r="O403" s="60"/>
      <c r="P403" s="60"/>
      <c r="Q403" s="60"/>
      <c r="R403" s="60"/>
      <c r="S403" s="60"/>
      <c r="T403" s="60"/>
      <c r="U403" s="60"/>
      <c r="V403" s="64"/>
      <c r="W403" s="60"/>
      <c r="X403" s="59"/>
      <c r="Y403" s="60"/>
      <c r="Z403" s="59"/>
      <c r="AA403" s="60"/>
    </row>
    <row r="404">
      <c r="A404" s="58"/>
      <c r="B404" s="58"/>
      <c r="C404" s="59"/>
      <c r="D404" s="60"/>
      <c r="E404" s="61"/>
      <c r="F404" s="62"/>
      <c r="G404" s="62"/>
      <c r="H404" s="62"/>
      <c r="I404" s="59"/>
      <c r="J404" s="60"/>
      <c r="K404" s="59"/>
      <c r="L404" s="60"/>
      <c r="M404" s="59"/>
      <c r="N404" s="63"/>
      <c r="O404" s="60"/>
      <c r="P404" s="60"/>
      <c r="Q404" s="60"/>
      <c r="R404" s="60"/>
      <c r="S404" s="60"/>
      <c r="T404" s="60"/>
      <c r="U404" s="60"/>
      <c r="V404" s="64"/>
      <c r="W404" s="60"/>
      <c r="X404" s="59"/>
      <c r="Y404" s="60"/>
      <c r="Z404" s="59"/>
      <c r="AA404" s="60"/>
    </row>
    <row r="405">
      <c r="A405" s="58"/>
      <c r="B405" s="58"/>
      <c r="C405" s="59"/>
      <c r="D405" s="60"/>
      <c r="E405" s="61"/>
      <c r="F405" s="62"/>
      <c r="G405" s="62"/>
      <c r="H405" s="62"/>
      <c r="I405" s="59"/>
      <c r="J405" s="60"/>
      <c r="K405" s="59"/>
      <c r="L405" s="60"/>
      <c r="M405" s="59"/>
      <c r="N405" s="63"/>
      <c r="O405" s="60"/>
      <c r="P405" s="60"/>
      <c r="Q405" s="60"/>
      <c r="R405" s="60"/>
      <c r="S405" s="60"/>
      <c r="T405" s="60"/>
      <c r="U405" s="60"/>
      <c r="V405" s="64"/>
      <c r="W405" s="60"/>
      <c r="X405" s="59"/>
      <c r="Y405" s="60"/>
      <c r="Z405" s="59"/>
      <c r="AA405" s="60"/>
    </row>
    <row r="406">
      <c r="A406" s="58"/>
      <c r="B406" s="58"/>
      <c r="C406" s="59"/>
      <c r="D406" s="60"/>
      <c r="E406" s="61"/>
      <c r="F406" s="62"/>
      <c r="G406" s="62"/>
      <c r="H406" s="62"/>
      <c r="I406" s="59"/>
      <c r="J406" s="60"/>
      <c r="K406" s="59"/>
      <c r="L406" s="60"/>
      <c r="M406" s="59"/>
      <c r="N406" s="63"/>
      <c r="O406" s="60"/>
      <c r="P406" s="60"/>
      <c r="Q406" s="60"/>
      <c r="R406" s="60"/>
      <c r="S406" s="60"/>
      <c r="T406" s="60"/>
      <c r="U406" s="60"/>
      <c r="V406" s="64"/>
      <c r="W406" s="60"/>
      <c r="X406" s="59"/>
      <c r="Y406" s="60"/>
      <c r="Z406" s="59"/>
      <c r="AA406" s="60"/>
    </row>
    <row r="407">
      <c r="A407" s="58"/>
      <c r="B407" s="58"/>
      <c r="C407" s="59"/>
      <c r="D407" s="60"/>
      <c r="E407" s="61"/>
      <c r="F407" s="62"/>
      <c r="G407" s="62"/>
      <c r="H407" s="62"/>
      <c r="I407" s="59"/>
      <c r="J407" s="60"/>
      <c r="K407" s="59"/>
      <c r="L407" s="60"/>
      <c r="M407" s="59"/>
      <c r="N407" s="63"/>
      <c r="O407" s="60"/>
      <c r="P407" s="60"/>
      <c r="Q407" s="60"/>
      <c r="R407" s="60"/>
      <c r="S407" s="60"/>
      <c r="T407" s="60"/>
      <c r="U407" s="60"/>
      <c r="V407" s="64"/>
      <c r="W407" s="60"/>
      <c r="X407" s="59"/>
      <c r="Y407" s="60"/>
      <c r="Z407" s="59"/>
      <c r="AA407" s="60"/>
    </row>
    <row r="408">
      <c r="A408" s="58"/>
      <c r="B408" s="58"/>
      <c r="C408" s="59"/>
      <c r="D408" s="60"/>
      <c r="E408" s="61"/>
      <c r="F408" s="62"/>
      <c r="G408" s="62"/>
      <c r="H408" s="62"/>
      <c r="I408" s="59"/>
      <c r="J408" s="60"/>
      <c r="K408" s="59"/>
      <c r="L408" s="60"/>
      <c r="M408" s="59"/>
      <c r="N408" s="63"/>
      <c r="O408" s="60"/>
      <c r="P408" s="60"/>
      <c r="Q408" s="60"/>
      <c r="R408" s="60"/>
      <c r="S408" s="60"/>
      <c r="T408" s="60"/>
      <c r="U408" s="60"/>
      <c r="V408" s="64"/>
      <c r="W408" s="60"/>
      <c r="X408" s="59"/>
      <c r="Y408" s="60"/>
      <c r="Z408" s="59"/>
      <c r="AA408" s="60"/>
    </row>
    <row r="409">
      <c r="A409" s="58"/>
      <c r="B409" s="58"/>
      <c r="C409" s="59"/>
      <c r="D409" s="60"/>
      <c r="E409" s="61"/>
      <c r="F409" s="62"/>
      <c r="G409" s="62"/>
      <c r="H409" s="62"/>
      <c r="I409" s="59"/>
      <c r="J409" s="60"/>
      <c r="K409" s="59"/>
      <c r="L409" s="60"/>
      <c r="M409" s="59"/>
      <c r="N409" s="63"/>
      <c r="O409" s="60"/>
      <c r="P409" s="60"/>
      <c r="Q409" s="60"/>
      <c r="R409" s="60"/>
      <c r="S409" s="60"/>
      <c r="T409" s="60"/>
      <c r="U409" s="60"/>
      <c r="V409" s="64"/>
      <c r="W409" s="60"/>
      <c r="X409" s="59"/>
      <c r="Y409" s="60"/>
      <c r="Z409" s="59"/>
      <c r="AA409" s="60"/>
    </row>
    <row r="410">
      <c r="A410" s="58"/>
      <c r="B410" s="58"/>
      <c r="C410" s="59"/>
      <c r="D410" s="60"/>
      <c r="E410" s="61"/>
      <c r="F410" s="62"/>
      <c r="G410" s="62"/>
      <c r="H410" s="62"/>
      <c r="I410" s="59"/>
      <c r="J410" s="60"/>
      <c r="K410" s="59"/>
      <c r="L410" s="60"/>
      <c r="M410" s="59"/>
      <c r="N410" s="63"/>
      <c r="O410" s="60"/>
      <c r="P410" s="60"/>
      <c r="Q410" s="60"/>
      <c r="R410" s="60"/>
      <c r="S410" s="60"/>
      <c r="T410" s="60"/>
      <c r="U410" s="60"/>
      <c r="V410" s="64"/>
      <c r="W410" s="60"/>
      <c r="X410" s="59"/>
      <c r="Y410" s="60"/>
      <c r="Z410" s="59"/>
      <c r="AA410" s="60"/>
    </row>
    <row r="411">
      <c r="A411" s="58"/>
      <c r="B411" s="58"/>
      <c r="C411" s="59"/>
      <c r="D411" s="60"/>
      <c r="E411" s="61"/>
      <c r="F411" s="62"/>
      <c r="G411" s="62"/>
      <c r="H411" s="62"/>
      <c r="I411" s="59"/>
      <c r="J411" s="60"/>
      <c r="K411" s="59"/>
      <c r="L411" s="60"/>
      <c r="M411" s="59"/>
      <c r="N411" s="63"/>
      <c r="O411" s="60"/>
      <c r="P411" s="60"/>
      <c r="Q411" s="60"/>
      <c r="R411" s="60"/>
      <c r="S411" s="60"/>
      <c r="T411" s="60"/>
      <c r="U411" s="60"/>
      <c r="V411" s="64"/>
      <c r="W411" s="60"/>
      <c r="X411" s="59"/>
      <c r="Y411" s="60"/>
      <c r="Z411" s="59"/>
      <c r="AA411" s="60"/>
    </row>
    <row r="412">
      <c r="A412" s="58"/>
      <c r="B412" s="58"/>
      <c r="C412" s="59"/>
      <c r="D412" s="60"/>
      <c r="E412" s="61"/>
      <c r="F412" s="62"/>
      <c r="G412" s="62"/>
      <c r="H412" s="62"/>
      <c r="I412" s="59"/>
      <c r="J412" s="60"/>
      <c r="K412" s="59"/>
      <c r="L412" s="60"/>
      <c r="M412" s="59"/>
      <c r="N412" s="63"/>
      <c r="O412" s="60"/>
      <c r="P412" s="60"/>
      <c r="Q412" s="60"/>
      <c r="R412" s="60"/>
      <c r="S412" s="60"/>
      <c r="T412" s="60"/>
      <c r="U412" s="60"/>
      <c r="V412" s="64"/>
      <c r="W412" s="60"/>
      <c r="X412" s="59"/>
      <c r="Y412" s="60"/>
      <c r="Z412" s="59"/>
      <c r="AA412" s="60"/>
    </row>
    <row r="413">
      <c r="A413" s="58"/>
      <c r="B413" s="58"/>
      <c r="C413" s="59"/>
      <c r="D413" s="60"/>
      <c r="E413" s="61"/>
      <c r="F413" s="62"/>
      <c r="G413" s="62"/>
      <c r="H413" s="62"/>
      <c r="I413" s="59"/>
      <c r="J413" s="60"/>
      <c r="K413" s="59"/>
      <c r="L413" s="60"/>
      <c r="M413" s="59"/>
      <c r="N413" s="63"/>
      <c r="O413" s="60"/>
      <c r="P413" s="60"/>
      <c r="Q413" s="60"/>
      <c r="R413" s="60"/>
      <c r="S413" s="60"/>
      <c r="T413" s="60"/>
      <c r="U413" s="60"/>
      <c r="V413" s="64"/>
      <c r="W413" s="60"/>
      <c r="X413" s="59"/>
      <c r="Y413" s="60"/>
      <c r="Z413" s="59"/>
      <c r="AA413" s="60"/>
    </row>
    <row r="414">
      <c r="A414" s="58"/>
      <c r="B414" s="58"/>
      <c r="C414" s="59"/>
      <c r="D414" s="60"/>
      <c r="E414" s="61"/>
      <c r="F414" s="62"/>
      <c r="G414" s="62"/>
      <c r="H414" s="62"/>
      <c r="I414" s="59"/>
      <c r="J414" s="60"/>
      <c r="K414" s="59"/>
      <c r="L414" s="60"/>
      <c r="M414" s="59"/>
      <c r="N414" s="63"/>
      <c r="O414" s="60"/>
      <c r="P414" s="60"/>
      <c r="Q414" s="60"/>
      <c r="R414" s="60"/>
      <c r="S414" s="60"/>
      <c r="T414" s="60"/>
      <c r="U414" s="60"/>
      <c r="V414" s="64"/>
      <c r="W414" s="60"/>
      <c r="X414" s="59"/>
      <c r="Y414" s="60"/>
      <c r="Z414" s="59"/>
      <c r="AA414" s="60"/>
    </row>
    <row r="415">
      <c r="A415" s="58"/>
      <c r="B415" s="58"/>
      <c r="C415" s="59"/>
      <c r="D415" s="60"/>
      <c r="E415" s="61"/>
      <c r="F415" s="62"/>
      <c r="G415" s="62"/>
      <c r="H415" s="62"/>
      <c r="I415" s="59"/>
      <c r="J415" s="60"/>
      <c r="K415" s="59"/>
      <c r="L415" s="60"/>
      <c r="M415" s="59"/>
      <c r="N415" s="63"/>
      <c r="O415" s="60"/>
      <c r="P415" s="60"/>
      <c r="Q415" s="60"/>
      <c r="R415" s="60"/>
      <c r="S415" s="60"/>
      <c r="T415" s="60"/>
      <c r="U415" s="60"/>
      <c r="V415" s="64"/>
      <c r="W415" s="60"/>
      <c r="X415" s="59"/>
      <c r="Y415" s="60"/>
      <c r="Z415" s="59"/>
      <c r="AA415" s="60"/>
    </row>
    <row r="416">
      <c r="A416" s="58"/>
      <c r="B416" s="58"/>
      <c r="C416" s="59"/>
      <c r="D416" s="60"/>
      <c r="E416" s="61"/>
      <c r="F416" s="62"/>
      <c r="G416" s="62"/>
      <c r="H416" s="62"/>
      <c r="I416" s="59"/>
      <c r="J416" s="60"/>
      <c r="K416" s="59"/>
      <c r="L416" s="60"/>
      <c r="M416" s="59"/>
      <c r="N416" s="63"/>
      <c r="O416" s="60"/>
      <c r="P416" s="60"/>
      <c r="Q416" s="60"/>
      <c r="R416" s="60"/>
      <c r="S416" s="60"/>
      <c r="T416" s="60"/>
      <c r="U416" s="60"/>
      <c r="V416" s="64"/>
      <c r="W416" s="60"/>
      <c r="X416" s="59"/>
      <c r="Y416" s="60"/>
      <c r="Z416" s="59"/>
      <c r="AA416" s="60"/>
    </row>
    <row r="417">
      <c r="A417" s="58"/>
      <c r="B417" s="58"/>
      <c r="C417" s="59"/>
      <c r="D417" s="60"/>
      <c r="E417" s="61"/>
      <c r="F417" s="62"/>
      <c r="G417" s="62"/>
      <c r="H417" s="62"/>
      <c r="I417" s="59"/>
      <c r="J417" s="60"/>
      <c r="K417" s="59"/>
      <c r="L417" s="60"/>
      <c r="M417" s="59"/>
      <c r="N417" s="63"/>
      <c r="O417" s="60"/>
      <c r="P417" s="60"/>
      <c r="Q417" s="60"/>
      <c r="R417" s="60"/>
      <c r="S417" s="60"/>
      <c r="T417" s="60"/>
      <c r="U417" s="60"/>
      <c r="V417" s="64"/>
      <c r="W417" s="60"/>
      <c r="X417" s="59"/>
      <c r="Y417" s="60"/>
      <c r="Z417" s="59"/>
      <c r="AA417" s="60"/>
    </row>
    <row r="418">
      <c r="A418" s="58"/>
      <c r="B418" s="58"/>
      <c r="C418" s="59"/>
      <c r="D418" s="60"/>
      <c r="E418" s="61"/>
      <c r="F418" s="62"/>
      <c r="G418" s="62"/>
      <c r="H418" s="62"/>
      <c r="I418" s="59"/>
      <c r="J418" s="60"/>
      <c r="K418" s="59"/>
      <c r="L418" s="60"/>
      <c r="M418" s="59"/>
      <c r="N418" s="63"/>
      <c r="O418" s="60"/>
      <c r="P418" s="60"/>
      <c r="Q418" s="60"/>
      <c r="R418" s="60"/>
      <c r="S418" s="60"/>
      <c r="T418" s="60"/>
      <c r="U418" s="60"/>
      <c r="V418" s="64"/>
      <c r="W418" s="60"/>
      <c r="X418" s="59"/>
      <c r="Y418" s="60"/>
      <c r="Z418" s="59"/>
      <c r="AA418" s="60"/>
    </row>
    <row r="419">
      <c r="A419" s="58"/>
      <c r="B419" s="58"/>
      <c r="C419" s="59"/>
      <c r="D419" s="60"/>
      <c r="E419" s="61"/>
      <c r="F419" s="62"/>
      <c r="G419" s="62"/>
      <c r="H419" s="62"/>
      <c r="I419" s="59"/>
      <c r="J419" s="60"/>
      <c r="K419" s="59"/>
      <c r="L419" s="60"/>
      <c r="M419" s="59"/>
      <c r="N419" s="63"/>
      <c r="O419" s="60"/>
      <c r="P419" s="60"/>
      <c r="Q419" s="60"/>
      <c r="R419" s="60"/>
      <c r="S419" s="60"/>
      <c r="T419" s="60"/>
      <c r="U419" s="60"/>
      <c r="V419" s="64"/>
      <c r="W419" s="60"/>
      <c r="X419" s="59"/>
      <c r="Y419" s="60"/>
      <c r="Z419" s="59"/>
      <c r="AA419" s="60"/>
    </row>
    <row r="420">
      <c r="A420" s="58"/>
      <c r="B420" s="58"/>
      <c r="C420" s="59"/>
      <c r="D420" s="60"/>
      <c r="E420" s="61"/>
      <c r="F420" s="62"/>
      <c r="G420" s="62"/>
      <c r="H420" s="62"/>
      <c r="I420" s="59"/>
      <c r="J420" s="60"/>
      <c r="K420" s="59"/>
      <c r="L420" s="60"/>
      <c r="M420" s="59"/>
      <c r="N420" s="63"/>
      <c r="O420" s="60"/>
      <c r="P420" s="60"/>
      <c r="Q420" s="60"/>
      <c r="R420" s="60"/>
      <c r="S420" s="60"/>
      <c r="T420" s="60"/>
      <c r="U420" s="60"/>
      <c r="V420" s="64"/>
      <c r="W420" s="60"/>
      <c r="X420" s="59"/>
      <c r="Y420" s="60"/>
      <c r="Z420" s="59"/>
      <c r="AA420" s="60"/>
    </row>
    <row r="421">
      <c r="A421" s="58"/>
      <c r="B421" s="58"/>
      <c r="C421" s="59"/>
      <c r="D421" s="60"/>
      <c r="E421" s="61"/>
      <c r="F421" s="62"/>
      <c r="G421" s="62"/>
      <c r="H421" s="62"/>
      <c r="I421" s="59"/>
      <c r="J421" s="60"/>
      <c r="K421" s="59"/>
      <c r="L421" s="60"/>
      <c r="M421" s="59"/>
      <c r="N421" s="63"/>
      <c r="O421" s="60"/>
      <c r="P421" s="60"/>
      <c r="Q421" s="60"/>
      <c r="R421" s="60"/>
      <c r="S421" s="60"/>
      <c r="T421" s="60"/>
      <c r="U421" s="60"/>
      <c r="V421" s="64"/>
      <c r="W421" s="60"/>
      <c r="X421" s="59"/>
      <c r="Y421" s="60"/>
      <c r="Z421" s="59"/>
      <c r="AA421" s="60"/>
    </row>
    <row r="422">
      <c r="A422" s="58"/>
      <c r="B422" s="58"/>
      <c r="C422" s="59"/>
      <c r="D422" s="60"/>
      <c r="E422" s="61"/>
      <c r="F422" s="62"/>
      <c r="G422" s="62"/>
      <c r="H422" s="62"/>
      <c r="I422" s="59"/>
      <c r="J422" s="60"/>
      <c r="K422" s="59"/>
      <c r="L422" s="60"/>
      <c r="M422" s="59"/>
      <c r="N422" s="63"/>
      <c r="O422" s="60"/>
      <c r="P422" s="60"/>
      <c r="Q422" s="60"/>
      <c r="R422" s="60"/>
      <c r="S422" s="60"/>
      <c r="T422" s="60"/>
      <c r="U422" s="60"/>
      <c r="V422" s="64"/>
      <c r="W422" s="60"/>
      <c r="X422" s="59"/>
      <c r="Y422" s="60"/>
      <c r="Z422" s="59"/>
      <c r="AA422" s="60"/>
    </row>
    <row r="423">
      <c r="A423" s="58"/>
      <c r="B423" s="58"/>
      <c r="C423" s="59"/>
      <c r="D423" s="60"/>
      <c r="E423" s="61"/>
      <c r="F423" s="62"/>
      <c r="G423" s="62"/>
      <c r="H423" s="62"/>
      <c r="I423" s="59"/>
      <c r="J423" s="60"/>
      <c r="K423" s="59"/>
      <c r="L423" s="60"/>
      <c r="M423" s="59"/>
      <c r="N423" s="63"/>
      <c r="O423" s="60"/>
      <c r="P423" s="60"/>
      <c r="Q423" s="60"/>
      <c r="R423" s="60"/>
      <c r="S423" s="60"/>
      <c r="T423" s="60"/>
      <c r="U423" s="60"/>
      <c r="V423" s="64"/>
      <c r="W423" s="60"/>
      <c r="X423" s="59"/>
      <c r="Y423" s="60"/>
      <c r="Z423" s="59"/>
      <c r="AA423" s="60"/>
    </row>
    <row r="424">
      <c r="A424" s="58"/>
      <c r="B424" s="58"/>
      <c r="C424" s="59"/>
      <c r="D424" s="60"/>
      <c r="E424" s="61"/>
      <c r="F424" s="62"/>
      <c r="G424" s="62"/>
      <c r="H424" s="62"/>
      <c r="I424" s="59"/>
      <c r="J424" s="60"/>
      <c r="K424" s="59"/>
      <c r="L424" s="60"/>
      <c r="M424" s="59"/>
      <c r="N424" s="63"/>
      <c r="O424" s="60"/>
      <c r="P424" s="60"/>
      <c r="Q424" s="60"/>
      <c r="R424" s="60"/>
      <c r="S424" s="60"/>
      <c r="T424" s="60"/>
      <c r="U424" s="60"/>
      <c r="V424" s="64"/>
      <c r="W424" s="60"/>
      <c r="X424" s="59"/>
      <c r="Y424" s="60"/>
      <c r="Z424" s="59"/>
      <c r="AA424" s="60"/>
    </row>
    <row r="425">
      <c r="A425" s="58"/>
      <c r="B425" s="58"/>
      <c r="C425" s="59"/>
      <c r="D425" s="60"/>
      <c r="E425" s="61"/>
      <c r="F425" s="62"/>
      <c r="G425" s="62"/>
      <c r="H425" s="62"/>
      <c r="I425" s="59"/>
      <c r="J425" s="60"/>
      <c r="K425" s="59"/>
      <c r="L425" s="60"/>
      <c r="M425" s="59"/>
      <c r="N425" s="63"/>
      <c r="O425" s="60"/>
      <c r="P425" s="60"/>
      <c r="Q425" s="60"/>
      <c r="R425" s="60"/>
      <c r="S425" s="60"/>
      <c r="T425" s="60"/>
      <c r="U425" s="60"/>
      <c r="V425" s="64"/>
      <c r="W425" s="60"/>
      <c r="X425" s="59"/>
      <c r="Y425" s="60"/>
      <c r="Z425" s="59"/>
      <c r="AA425" s="60"/>
    </row>
    <row r="426">
      <c r="A426" s="58"/>
      <c r="B426" s="58"/>
      <c r="C426" s="59"/>
      <c r="D426" s="60"/>
      <c r="E426" s="61"/>
      <c r="F426" s="62"/>
      <c r="G426" s="62"/>
      <c r="H426" s="62"/>
      <c r="I426" s="59"/>
      <c r="J426" s="60"/>
      <c r="K426" s="59"/>
      <c r="L426" s="60"/>
      <c r="M426" s="59"/>
      <c r="N426" s="63"/>
      <c r="O426" s="60"/>
      <c r="P426" s="60"/>
      <c r="Q426" s="60"/>
      <c r="R426" s="60"/>
      <c r="S426" s="60"/>
      <c r="T426" s="60"/>
      <c r="U426" s="60"/>
      <c r="V426" s="64"/>
      <c r="W426" s="60"/>
      <c r="X426" s="59"/>
      <c r="Y426" s="60"/>
      <c r="Z426" s="59"/>
      <c r="AA426" s="60"/>
    </row>
    <row r="427">
      <c r="A427" s="58"/>
      <c r="B427" s="58"/>
      <c r="C427" s="59"/>
      <c r="D427" s="60"/>
      <c r="E427" s="61"/>
      <c r="F427" s="62"/>
      <c r="G427" s="62"/>
      <c r="H427" s="62"/>
      <c r="I427" s="59"/>
      <c r="J427" s="60"/>
      <c r="K427" s="59"/>
      <c r="L427" s="60"/>
      <c r="M427" s="59"/>
      <c r="N427" s="63"/>
      <c r="O427" s="60"/>
      <c r="P427" s="60"/>
      <c r="Q427" s="60"/>
      <c r="R427" s="60"/>
      <c r="S427" s="60"/>
      <c r="T427" s="60"/>
      <c r="U427" s="60"/>
      <c r="V427" s="64"/>
      <c r="W427" s="60"/>
      <c r="X427" s="59"/>
      <c r="Y427" s="60"/>
      <c r="Z427" s="59"/>
      <c r="AA427" s="60"/>
    </row>
    <row r="428">
      <c r="A428" s="58"/>
      <c r="B428" s="58"/>
      <c r="C428" s="59"/>
      <c r="D428" s="60"/>
      <c r="E428" s="61"/>
      <c r="F428" s="62"/>
      <c r="G428" s="62"/>
      <c r="H428" s="62"/>
      <c r="I428" s="59"/>
      <c r="J428" s="60"/>
      <c r="K428" s="59"/>
      <c r="L428" s="60"/>
      <c r="M428" s="59"/>
      <c r="N428" s="63"/>
      <c r="O428" s="60"/>
      <c r="P428" s="60"/>
      <c r="Q428" s="60"/>
      <c r="R428" s="60"/>
      <c r="S428" s="60"/>
      <c r="T428" s="60"/>
      <c r="U428" s="60"/>
      <c r="V428" s="64"/>
      <c r="W428" s="60"/>
      <c r="X428" s="59"/>
      <c r="Y428" s="60"/>
      <c r="Z428" s="59"/>
      <c r="AA428" s="60"/>
    </row>
    <row r="429">
      <c r="A429" s="58"/>
      <c r="B429" s="58"/>
      <c r="C429" s="59"/>
      <c r="D429" s="60"/>
      <c r="E429" s="61"/>
      <c r="F429" s="62"/>
      <c r="G429" s="62"/>
      <c r="H429" s="62"/>
      <c r="I429" s="59"/>
      <c r="J429" s="60"/>
      <c r="K429" s="59"/>
      <c r="L429" s="60"/>
      <c r="M429" s="59"/>
      <c r="N429" s="63"/>
      <c r="O429" s="60"/>
      <c r="P429" s="60"/>
      <c r="Q429" s="60"/>
      <c r="R429" s="60"/>
      <c r="S429" s="60"/>
      <c r="T429" s="60"/>
      <c r="U429" s="60"/>
      <c r="V429" s="64"/>
      <c r="W429" s="60"/>
      <c r="X429" s="59"/>
      <c r="Y429" s="60"/>
      <c r="Z429" s="59"/>
      <c r="AA429" s="60"/>
    </row>
    <row r="430">
      <c r="A430" s="58"/>
      <c r="B430" s="58"/>
      <c r="C430" s="59"/>
      <c r="D430" s="60"/>
      <c r="E430" s="61"/>
      <c r="F430" s="62"/>
      <c r="G430" s="62"/>
      <c r="H430" s="62"/>
      <c r="I430" s="59"/>
      <c r="J430" s="60"/>
      <c r="K430" s="59"/>
      <c r="L430" s="60"/>
      <c r="M430" s="59"/>
      <c r="N430" s="63"/>
      <c r="O430" s="60"/>
      <c r="P430" s="60"/>
      <c r="Q430" s="60"/>
      <c r="R430" s="60"/>
      <c r="S430" s="60"/>
      <c r="T430" s="60"/>
      <c r="U430" s="60"/>
      <c r="V430" s="64"/>
      <c r="W430" s="60"/>
      <c r="X430" s="59"/>
      <c r="Y430" s="60"/>
      <c r="Z430" s="59"/>
      <c r="AA430" s="60"/>
    </row>
    <row r="431">
      <c r="A431" s="58"/>
      <c r="B431" s="58"/>
      <c r="C431" s="59"/>
      <c r="D431" s="60"/>
      <c r="E431" s="61"/>
      <c r="F431" s="62"/>
      <c r="G431" s="62"/>
      <c r="H431" s="62"/>
      <c r="I431" s="59"/>
      <c r="J431" s="60"/>
      <c r="K431" s="59"/>
      <c r="L431" s="60"/>
      <c r="M431" s="59"/>
      <c r="N431" s="63"/>
      <c r="O431" s="60"/>
      <c r="P431" s="60"/>
      <c r="Q431" s="60"/>
      <c r="R431" s="60"/>
      <c r="S431" s="60"/>
      <c r="T431" s="60"/>
      <c r="U431" s="60"/>
      <c r="V431" s="64"/>
      <c r="W431" s="60"/>
      <c r="X431" s="59"/>
      <c r="Y431" s="60"/>
      <c r="Z431" s="59"/>
      <c r="AA431" s="60"/>
    </row>
    <row r="432">
      <c r="A432" s="58"/>
      <c r="B432" s="58"/>
      <c r="C432" s="59"/>
      <c r="D432" s="60"/>
      <c r="E432" s="61"/>
      <c r="F432" s="62"/>
      <c r="G432" s="62"/>
      <c r="H432" s="62"/>
      <c r="I432" s="59"/>
      <c r="J432" s="60"/>
      <c r="K432" s="59"/>
      <c r="L432" s="60"/>
      <c r="M432" s="59"/>
      <c r="N432" s="63"/>
      <c r="O432" s="60"/>
      <c r="P432" s="60"/>
      <c r="Q432" s="60"/>
      <c r="R432" s="60"/>
      <c r="S432" s="60"/>
      <c r="T432" s="60"/>
      <c r="U432" s="60"/>
      <c r="V432" s="64"/>
      <c r="W432" s="60"/>
      <c r="X432" s="59"/>
      <c r="Y432" s="60"/>
      <c r="Z432" s="59"/>
      <c r="AA432" s="60"/>
    </row>
    <row r="433">
      <c r="A433" s="58"/>
      <c r="B433" s="58"/>
      <c r="C433" s="59"/>
      <c r="D433" s="60"/>
      <c r="E433" s="61"/>
      <c r="F433" s="62"/>
      <c r="G433" s="62"/>
      <c r="H433" s="62"/>
      <c r="I433" s="59"/>
      <c r="J433" s="60"/>
      <c r="K433" s="59"/>
      <c r="L433" s="60"/>
      <c r="M433" s="59"/>
      <c r="N433" s="63"/>
      <c r="O433" s="60"/>
      <c r="P433" s="60"/>
      <c r="Q433" s="60"/>
      <c r="R433" s="60"/>
      <c r="S433" s="60"/>
      <c r="T433" s="60"/>
      <c r="U433" s="60"/>
      <c r="V433" s="64"/>
      <c r="W433" s="60"/>
      <c r="X433" s="59"/>
      <c r="Y433" s="60"/>
      <c r="Z433" s="59"/>
      <c r="AA433" s="60"/>
    </row>
    <row r="434">
      <c r="A434" s="58"/>
      <c r="B434" s="58"/>
      <c r="C434" s="59"/>
      <c r="D434" s="60"/>
      <c r="E434" s="61"/>
      <c r="F434" s="62"/>
      <c r="G434" s="62"/>
      <c r="H434" s="62"/>
      <c r="I434" s="59"/>
      <c r="J434" s="60"/>
      <c r="K434" s="59"/>
      <c r="L434" s="60"/>
      <c r="M434" s="59"/>
      <c r="N434" s="63"/>
      <c r="O434" s="60"/>
      <c r="P434" s="60"/>
      <c r="Q434" s="60"/>
      <c r="R434" s="60"/>
      <c r="S434" s="60"/>
      <c r="T434" s="60"/>
      <c r="U434" s="60"/>
      <c r="V434" s="64"/>
      <c r="W434" s="60"/>
      <c r="X434" s="59"/>
      <c r="Y434" s="60"/>
      <c r="Z434" s="59"/>
      <c r="AA434" s="60"/>
    </row>
    <row r="435">
      <c r="A435" s="58"/>
      <c r="B435" s="58"/>
      <c r="C435" s="59"/>
      <c r="D435" s="60"/>
      <c r="E435" s="61"/>
      <c r="F435" s="62"/>
      <c r="G435" s="62"/>
      <c r="H435" s="62"/>
      <c r="I435" s="59"/>
      <c r="J435" s="60"/>
      <c r="K435" s="59"/>
      <c r="L435" s="60"/>
      <c r="M435" s="59"/>
      <c r="N435" s="63"/>
      <c r="O435" s="60"/>
      <c r="P435" s="60"/>
      <c r="Q435" s="60"/>
      <c r="R435" s="60"/>
      <c r="S435" s="60"/>
      <c r="T435" s="60"/>
      <c r="U435" s="60"/>
      <c r="V435" s="64"/>
      <c r="W435" s="60"/>
      <c r="X435" s="59"/>
      <c r="Y435" s="60"/>
      <c r="Z435" s="59"/>
      <c r="AA435" s="60"/>
    </row>
    <row r="436">
      <c r="A436" s="58"/>
      <c r="B436" s="58"/>
      <c r="C436" s="59"/>
      <c r="D436" s="60"/>
      <c r="E436" s="61"/>
      <c r="F436" s="62"/>
      <c r="G436" s="62"/>
      <c r="H436" s="62"/>
      <c r="I436" s="59"/>
      <c r="J436" s="60"/>
      <c r="K436" s="59"/>
      <c r="L436" s="60"/>
      <c r="M436" s="59"/>
      <c r="N436" s="63"/>
      <c r="O436" s="60"/>
      <c r="P436" s="60"/>
      <c r="Q436" s="60"/>
      <c r="R436" s="60"/>
      <c r="S436" s="60"/>
      <c r="T436" s="60"/>
      <c r="U436" s="60"/>
      <c r="V436" s="64"/>
      <c r="W436" s="60"/>
      <c r="X436" s="59"/>
      <c r="Y436" s="60"/>
      <c r="Z436" s="59"/>
      <c r="AA436" s="60"/>
    </row>
    <row r="437">
      <c r="A437" s="58"/>
      <c r="B437" s="58"/>
      <c r="C437" s="59"/>
      <c r="D437" s="60"/>
      <c r="E437" s="61"/>
      <c r="F437" s="62"/>
      <c r="G437" s="62"/>
      <c r="H437" s="62"/>
      <c r="I437" s="59"/>
      <c r="J437" s="60"/>
      <c r="K437" s="59"/>
      <c r="L437" s="60"/>
      <c r="M437" s="59"/>
      <c r="N437" s="63"/>
      <c r="O437" s="60"/>
      <c r="P437" s="60"/>
      <c r="Q437" s="60"/>
      <c r="R437" s="60"/>
      <c r="S437" s="60"/>
      <c r="T437" s="60"/>
      <c r="U437" s="60"/>
      <c r="V437" s="64"/>
      <c r="W437" s="60"/>
      <c r="X437" s="59"/>
      <c r="Y437" s="60"/>
      <c r="Z437" s="59"/>
      <c r="AA437" s="60"/>
    </row>
    <row r="438">
      <c r="A438" s="58"/>
      <c r="B438" s="58"/>
      <c r="C438" s="59"/>
      <c r="D438" s="60"/>
      <c r="E438" s="61"/>
      <c r="F438" s="62"/>
      <c r="G438" s="62"/>
      <c r="H438" s="62"/>
      <c r="I438" s="59"/>
      <c r="J438" s="60"/>
      <c r="K438" s="59"/>
      <c r="L438" s="60"/>
      <c r="M438" s="59"/>
      <c r="N438" s="63"/>
      <c r="O438" s="60"/>
      <c r="P438" s="60"/>
      <c r="Q438" s="60"/>
      <c r="R438" s="60"/>
      <c r="S438" s="60"/>
      <c r="T438" s="60"/>
      <c r="U438" s="60"/>
      <c r="V438" s="64"/>
      <c r="W438" s="60"/>
      <c r="X438" s="59"/>
      <c r="Y438" s="60"/>
      <c r="Z438" s="59"/>
      <c r="AA438" s="60"/>
    </row>
    <row r="439">
      <c r="A439" s="58"/>
      <c r="B439" s="58"/>
      <c r="C439" s="59"/>
      <c r="D439" s="60"/>
      <c r="E439" s="61"/>
      <c r="F439" s="62"/>
      <c r="G439" s="62"/>
      <c r="H439" s="62"/>
      <c r="I439" s="59"/>
      <c r="J439" s="60"/>
      <c r="K439" s="59"/>
      <c r="L439" s="60"/>
      <c r="M439" s="59"/>
      <c r="N439" s="63"/>
      <c r="O439" s="60"/>
      <c r="P439" s="60"/>
      <c r="Q439" s="60"/>
      <c r="R439" s="60"/>
      <c r="S439" s="60"/>
      <c r="T439" s="60"/>
      <c r="U439" s="60"/>
      <c r="V439" s="64"/>
      <c r="W439" s="60"/>
      <c r="X439" s="59"/>
      <c r="Y439" s="60"/>
      <c r="Z439" s="59"/>
      <c r="AA439" s="60"/>
    </row>
    <row r="440">
      <c r="A440" s="58"/>
      <c r="B440" s="58"/>
      <c r="C440" s="59"/>
      <c r="D440" s="60"/>
      <c r="E440" s="61"/>
      <c r="F440" s="62"/>
      <c r="G440" s="62"/>
      <c r="H440" s="62"/>
      <c r="I440" s="59"/>
      <c r="J440" s="60"/>
      <c r="K440" s="59"/>
      <c r="L440" s="60"/>
      <c r="M440" s="59"/>
      <c r="N440" s="63"/>
      <c r="O440" s="60"/>
      <c r="P440" s="60"/>
      <c r="Q440" s="60"/>
      <c r="R440" s="60"/>
      <c r="S440" s="60"/>
      <c r="T440" s="60"/>
      <c r="U440" s="60"/>
      <c r="V440" s="64"/>
      <c r="W440" s="60"/>
      <c r="X440" s="59"/>
      <c r="Y440" s="60"/>
      <c r="Z440" s="59"/>
      <c r="AA440" s="60"/>
    </row>
    <row r="441">
      <c r="A441" s="58"/>
      <c r="B441" s="58"/>
      <c r="C441" s="59"/>
      <c r="D441" s="60"/>
      <c r="E441" s="61"/>
      <c r="F441" s="62"/>
      <c r="G441" s="62"/>
      <c r="H441" s="62"/>
      <c r="I441" s="59"/>
      <c r="J441" s="60"/>
      <c r="K441" s="59"/>
      <c r="L441" s="60"/>
      <c r="M441" s="59"/>
      <c r="N441" s="63"/>
      <c r="O441" s="60"/>
      <c r="P441" s="60"/>
      <c r="Q441" s="60"/>
      <c r="R441" s="60"/>
      <c r="S441" s="60"/>
      <c r="T441" s="60"/>
      <c r="U441" s="60"/>
      <c r="V441" s="64"/>
      <c r="W441" s="60"/>
      <c r="X441" s="59"/>
      <c r="Y441" s="60"/>
      <c r="Z441" s="59"/>
      <c r="AA441" s="60"/>
    </row>
    <row r="442">
      <c r="A442" s="58"/>
      <c r="B442" s="58"/>
      <c r="C442" s="59"/>
      <c r="D442" s="60"/>
      <c r="E442" s="61"/>
      <c r="F442" s="62"/>
      <c r="G442" s="62"/>
      <c r="H442" s="62"/>
      <c r="I442" s="59"/>
      <c r="J442" s="60"/>
      <c r="K442" s="59"/>
      <c r="L442" s="60"/>
      <c r="M442" s="59"/>
      <c r="N442" s="63"/>
      <c r="O442" s="60"/>
      <c r="P442" s="60"/>
      <c r="Q442" s="60"/>
      <c r="R442" s="60"/>
      <c r="S442" s="60"/>
      <c r="T442" s="60"/>
      <c r="U442" s="60"/>
      <c r="V442" s="64"/>
      <c r="W442" s="60"/>
      <c r="X442" s="59"/>
      <c r="Y442" s="60"/>
      <c r="Z442" s="59"/>
      <c r="AA442" s="60"/>
    </row>
    <row r="443">
      <c r="A443" s="58"/>
      <c r="B443" s="58"/>
      <c r="C443" s="59"/>
      <c r="D443" s="60"/>
      <c r="E443" s="61"/>
      <c r="F443" s="62"/>
      <c r="G443" s="62"/>
      <c r="H443" s="62"/>
      <c r="I443" s="59"/>
      <c r="J443" s="60"/>
      <c r="K443" s="59"/>
      <c r="L443" s="60"/>
      <c r="M443" s="59"/>
      <c r="N443" s="63"/>
      <c r="O443" s="60"/>
      <c r="P443" s="60"/>
      <c r="Q443" s="60"/>
      <c r="R443" s="60"/>
      <c r="S443" s="60"/>
      <c r="T443" s="60"/>
      <c r="U443" s="60"/>
      <c r="V443" s="64"/>
      <c r="W443" s="60"/>
      <c r="X443" s="59"/>
      <c r="Y443" s="60"/>
      <c r="Z443" s="59"/>
      <c r="AA443" s="60"/>
    </row>
    <row r="444">
      <c r="A444" s="58"/>
      <c r="B444" s="58"/>
      <c r="C444" s="59"/>
      <c r="D444" s="60"/>
      <c r="E444" s="61"/>
      <c r="F444" s="62"/>
      <c r="G444" s="62"/>
      <c r="H444" s="62"/>
      <c r="I444" s="59"/>
      <c r="J444" s="60"/>
      <c r="K444" s="59"/>
      <c r="L444" s="60"/>
      <c r="M444" s="59"/>
      <c r="N444" s="63"/>
      <c r="O444" s="60"/>
      <c r="P444" s="60"/>
      <c r="Q444" s="60"/>
      <c r="R444" s="60"/>
      <c r="S444" s="60"/>
      <c r="T444" s="60"/>
      <c r="U444" s="60"/>
      <c r="V444" s="64"/>
      <c r="W444" s="60"/>
      <c r="X444" s="59"/>
      <c r="Y444" s="60"/>
      <c r="Z444" s="59"/>
      <c r="AA444" s="60"/>
    </row>
    <row r="445">
      <c r="A445" s="58"/>
      <c r="B445" s="58"/>
      <c r="C445" s="59"/>
      <c r="D445" s="60"/>
      <c r="E445" s="61"/>
      <c r="F445" s="62"/>
      <c r="G445" s="62"/>
      <c r="H445" s="62"/>
      <c r="I445" s="59"/>
      <c r="J445" s="60"/>
      <c r="K445" s="59"/>
      <c r="L445" s="60"/>
      <c r="M445" s="59"/>
      <c r="N445" s="63"/>
      <c r="O445" s="60"/>
      <c r="P445" s="60"/>
      <c r="Q445" s="60"/>
      <c r="R445" s="60"/>
      <c r="S445" s="60"/>
      <c r="T445" s="60"/>
      <c r="U445" s="60"/>
      <c r="V445" s="64"/>
      <c r="W445" s="60"/>
      <c r="X445" s="59"/>
      <c r="Y445" s="60"/>
      <c r="Z445" s="59"/>
      <c r="AA445" s="60"/>
    </row>
    <row r="446">
      <c r="A446" s="58"/>
      <c r="B446" s="58"/>
      <c r="C446" s="59"/>
      <c r="D446" s="60"/>
      <c r="E446" s="61"/>
      <c r="F446" s="62"/>
      <c r="G446" s="62"/>
      <c r="H446" s="62"/>
      <c r="I446" s="59"/>
      <c r="J446" s="60"/>
      <c r="K446" s="59"/>
      <c r="L446" s="60"/>
      <c r="M446" s="59"/>
      <c r="N446" s="63"/>
      <c r="O446" s="60"/>
      <c r="P446" s="60"/>
      <c r="Q446" s="60"/>
      <c r="R446" s="60"/>
      <c r="S446" s="60"/>
      <c r="T446" s="60"/>
      <c r="U446" s="60"/>
      <c r="V446" s="64"/>
      <c r="W446" s="60"/>
      <c r="X446" s="59"/>
      <c r="Y446" s="60"/>
      <c r="Z446" s="59"/>
      <c r="AA446" s="60"/>
    </row>
    <row r="447">
      <c r="A447" s="58"/>
      <c r="B447" s="58"/>
      <c r="C447" s="59"/>
      <c r="D447" s="60"/>
      <c r="E447" s="61"/>
      <c r="F447" s="62"/>
      <c r="G447" s="62"/>
      <c r="H447" s="62"/>
      <c r="I447" s="59"/>
      <c r="J447" s="60"/>
      <c r="K447" s="59"/>
      <c r="L447" s="60"/>
      <c r="M447" s="59"/>
      <c r="N447" s="63"/>
      <c r="O447" s="60"/>
      <c r="P447" s="60"/>
      <c r="Q447" s="60"/>
      <c r="R447" s="60"/>
      <c r="S447" s="60"/>
      <c r="T447" s="60"/>
      <c r="U447" s="60"/>
      <c r="V447" s="64"/>
      <c r="W447" s="60"/>
      <c r="X447" s="59"/>
      <c r="Y447" s="60"/>
      <c r="Z447" s="59"/>
      <c r="AA447" s="60"/>
    </row>
    <row r="448">
      <c r="A448" s="58"/>
      <c r="B448" s="58"/>
      <c r="C448" s="59"/>
      <c r="D448" s="60"/>
      <c r="E448" s="61"/>
      <c r="F448" s="62"/>
      <c r="G448" s="62"/>
      <c r="H448" s="62"/>
      <c r="I448" s="59"/>
      <c r="J448" s="60"/>
      <c r="K448" s="59"/>
      <c r="L448" s="60"/>
      <c r="M448" s="59"/>
      <c r="N448" s="63"/>
      <c r="O448" s="60"/>
      <c r="P448" s="60"/>
      <c r="Q448" s="60"/>
      <c r="R448" s="60"/>
      <c r="S448" s="60"/>
      <c r="T448" s="60"/>
      <c r="U448" s="60"/>
      <c r="V448" s="64"/>
      <c r="W448" s="60"/>
      <c r="X448" s="59"/>
      <c r="Y448" s="60"/>
      <c r="Z448" s="59"/>
      <c r="AA448" s="60"/>
    </row>
    <row r="449">
      <c r="A449" s="58"/>
      <c r="B449" s="58"/>
      <c r="C449" s="59"/>
      <c r="D449" s="60"/>
      <c r="E449" s="61"/>
      <c r="F449" s="62"/>
      <c r="G449" s="62"/>
      <c r="H449" s="62"/>
      <c r="I449" s="59"/>
      <c r="J449" s="60"/>
      <c r="K449" s="59"/>
      <c r="L449" s="60"/>
      <c r="M449" s="59"/>
      <c r="N449" s="63"/>
      <c r="O449" s="60"/>
      <c r="P449" s="60"/>
      <c r="Q449" s="60"/>
      <c r="R449" s="60"/>
      <c r="S449" s="60"/>
      <c r="T449" s="60"/>
      <c r="U449" s="60"/>
      <c r="V449" s="64"/>
      <c r="W449" s="60"/>
      <c r="X449" s="59"/>
      <c r="Y449" s="60"/>
      <c r="Z449" s="59"/>
      <c r="AA449" s="60"/>
    </row>
    <row r="450">
      <c r="A450" s="58"/>
      <c r="B450" s="58"/>
      <c r="C450" s="59"/>
      <c r="D450" s="60"/>
      <c r="E450" s="61"/>
      <c r="F450" s="62"/>
      <c r="G450" s="62"/>
      <c r="H450" s="62"/>
      <c r="I450" s="59"/>
      <c r="J450" s="60"/>
      <c r="K450" s="59"/>
      <c r="L450" s="60"/>
      <c r="M450" s="59"/>
      <c r="N450" s="63"/>
      <c r="O450" s="60"/>
      <c r="P450" s="60"/>
      <c r="Q450" s="60"/>
      <c r="R450" s="60"/>
      <c r="S450" s="60"/>
      <c r="T450" s="60"/>
      <c r="U450" s="60"/>
      <c r="V450" s="64"/>
      <c r="W450" s="60"/>
      <c r="X450" s="59"/>
      <c r="Y450" s="60"/>
      <c r="Z450" s="59"/>
      <c r="AA450" s="60"/>
    </row>
    <row r="451">
      <c r="A451" s="58"/>
      <c r="B451" s="58"/>
      <c r="C451" s="59"/>
      <c r="D451" s="60"/>
      <c r="E451" s="61"/>
      <c r="F451" s="62"/>
      <c r="G451" s="62"/>
      <c r="H451" s="62"/>
      <c r="I451" s="59"/>
      <c r="J451" s="60"/>
      <c r="K451" s="59"/>
      <c r="L451" s="60"/>
      <c r="M451" s="59"/>
      <c r="N451" s="63"/>
      <c r="O451" s="60"/>
      <c r="P451" s="60"/>
      <c r="Q451" s="60"/>
      <c r="R451" s="60"/>
      <c r="S451" s="60"/>
      <c r="T451" s="60"/>
      <c r="U451" s="60"/>
      <c r="V451" s="64"/>
      <c r="W451" s="60"/>
      <c r="X451" s="59"/>
      <c r="Y451" s="60"/>
      <c r="Z451" s="59"/>
      <c r="AA451" s="60"/>
    </row>
    <row r="452">
      <c r="A452" s="58"/>
      <c r="B452" s="58"/>
      <c r="C452" s="59"/>
      <c r="D452" s="60"/>
      <c r="E452" s="61"/>
      <c r="F452" s="62"/>
      <c r="G452" s="62"/>
      <c r="H452" s="62"/>
      <c r="I452" s="59"/>
      <c r="J452" s="60"/>
      <c r="K452" s="59"/>
      <c r="L452" s="60"/>
      <c r="M452" s="59"/>
      <c r="N452" s="63"/>
      <c r="O452" s="60"/>
      <c r="P452" s="60"/>
      <c r="Q452" s="60"/>
      <c r="R452" s="60"/>
      <c r="S452" s="60"/>
      <c r="T452" s="60"/>
      <c r="U452" s="60"/>
      <c r="V452" s="64"/>
      <c r="W452" s="60"/>
      <c r="X452" s="59"/>
      <c r="Y452" s="60"/>
      <c r="Z452" s="59"/>
      <c r="AA452" s="60"/>
    </row>
    <row r="453">
      <c r="A453" s="58"/>
      <c r="B453" s="58"/>
      <c r="C453" s="59"/>
      <c r="D453" s="60"/>
      <c r="E453" s="61"/>
      <c r="F453" s="62"/>
      <c r="G453" s="62"/>
      <c r="H453" s="62"/>
      <c r="I453" s="59"/>
      <c r="J453" s="60"/>
      <c r="K453" s="59"/>
      <c r="L453" s="60"/>
      <c r="M453" s="59"/>
      <c r="N453" s="63"/>
      <c r="O453" s="60"/>
      <c r="P453" s="60"/>
      <c r="Q453" s="60"/>
      <c r="R453" s="60"/>
      <c r="S453" s="60"/>
      <c r="T453" s="60"/>
      <c r="U453" s="60"/>
      <c r="V453" s="64"/>
      <c r="W453" s="60"/>
      <c r="X453" s="59"/>
      <c r="Y453" s="60"/>
      <c r="Z453" s="59"/>
      <c r="AA453" s="60"/>
    </row>
    <row r="454">
      <c r="A454" s="58"/>
      <c r="B454" s="58"/>
      <c r="C454" s="59"/>
      <c r="D454" s="60"/>
      <c r="E454" s="61"/>
      <c r="F454" s="62"/>
      <c r="G454" s="62"/>
      <c r="H454" s="62"/>
      <c r="I454" s="59"/>
      <c r="J454" s="60"/>
      <c r="K454" s="59"/>
      <c r="L454" s="60"/>
      <c r="M454" s="59"/>
      <c r="N454" s="63"/>
      <c r="O454" s="60"/>
      <c r="P454" s="60"/>
      <c r="Q454" s="60"/>
      <c r="R454" s="60"/>
      <c r="S454" s="60"/>
      <c r="T454" s="60"/>
      <c r="U454" s="60"/>
      <c r="V454" s="64"/>
      <c r="W454" s="60"/>
      <c r="X454" s="59"/>
      <c r="Y454" s="60"/>
      <c r="Z454" s="59"/>
      <c r="AA454" s="60"/>
    </row>
    <row r="455">
      <c r="A455" s="58"/>
      <c r="B455" s="58"/>
      <c r="C455" s="59"/>
      <c r="D455" s="60"/>
      <c r="E455" s="61"/>
      <c r="F455" s="62"/>
      <c r="G455" s="62"/>
      <c r="H455" s="62"/>
      <c r="I455" s="59"/>
      <c r="J455" s="60"/>
      <c r="K455" s="59"/>
      <c r="L455" s="60"/>
      <c r="M455" s="59"/>
      <c r="N455" s="63"/>
      <c r="O455" s="60"/>
      <c r="P455" s="60"/>
      <c r="Q455" s="60"/>
      <c r="R455" s="60"/>
      <c r="S455" s="60"/>
      <c r="T455" s="60"/>
      <c r="U455" s="60"/>
      <c r="V455" s="64"/>
      <c r="W455" s="60"/>
      <c r="X455" s="59"/>
      <c r="Y455" s="60"/>
      <c r="Z455" s="59"/>
      <c r="AA455" s="60"/>
    </row>
    <row r="456">
      <c r="A456" s="58"/>
      <c r="B456" s="58"/>
      <c r="C456" s="59"/>
      <c r="D456" s="60"/>
      <c r="E456" s="61"/>
      <c r="F456" s="62"/>
      <c r="G456" s="62"/>
      <c r="H456" s="62"/>
      <c r="I456" s="59"/>
      <c r="J456" s="60"/>
      <c r="K456" s="59"/>
      <c r="L456" s="60"/>
      <c r="M456" s="59"/>
      <c r="N456" s="63"/>
      <c r="O456" s="60"/>
      <c r="P456" s="60"/>
      <c r="Q456" s="60"/>
      <c r="R456" s="60"/>
      <c r="S456" s="60"/>
      <c r="T456" s="60"/>
      <c r="U456" s="60"/>
      <c r="V456" s="64"/>
      <c r="W456" s="60"/>
      <c r="X456" s="59"/>
      <c r="Y456" s="60"/>
      <c r="Z456" s="59"/>
      <c r="AA456" s="60"/>
    </row>
    <row r="457">
      <c r="A457" s="58"/>
      <c r="B457" s="58"/>
      <c r="C457" s="59"/>
      <c r="D457" s="60"/>
      <c r="E457" s="61"/>
      <c r="F457" s="62"/>
      <c r="G457" s="62"/>
      <c r="H457" s="62"/>
      <c r="I457" s="59"/>
      <c r="J457" s="60"/>
      <c r="K457" s="59"/>
      <c r="L457" s="60"/>
      <c r="M457" s="59"/>
      <c r="N457" s="63"/>
      <c r="O457" s="60"/>
      <c r="P457" s="60"/>
      <c r="Q457" s="60"/>
      <c r="R457" s="60"/>
      <c r="S457" s="60"/>
      <c r="T457" s="60"/>
      <c r="U457" s="60"/>
      <c r="V457" s="64"/>
      <c r="W457" s="60"/>
      <c r="X457" s="59"/>
      <c r="Y457" s="60"/>
      <c r="Z457" s="59"/>
      <c r="AA457" s="60"/>
    </row>
    <row r="458">
      <c r="A458" s="58"/>
      <c r="B458" s="58"/>
      <c r="C458" s="59"/>
      <c r="D458" s="60"/>
      <c r="E458" s="61"/>
      <c r="F458" s="62"/>
      <c r="G458" s="62"/>
      <c r="H458" s="62"/>
      <c r="I458" s="59"/>
      <c r="J458" s="60"/>
      <c r="K458" s="59"/>
      <c r="L458" s="60"/>
      <c r="M458" s="59"/>
      <c r="N458" s="63"/>
      <c r="O458" s="60"/>
      <c r="P458" s="60"/>
      <c r="Q458" s="60"/>
      <c r="R458" s="60"/>
      <c r="S458" s="60"/>
      <c r="T458" s="60"/>
      <c r="U458" s="60"/>
      <c r="V458" s="64"/>
      <c r="W458" s="60"/>
      <c r="X458" s="59"/>
      <c r="Y458" s="60"/>
      <c r="Z458" s="59"/>
      <c r="AA458" s="60"/>
    </row>
    <row r="459">
      <c r="A459" s="58"/>
      <c r="B459" s="58"/>
      <c r="C459" s="59"/>
      <c r="D459" s="60"/>
      <c r="E459" s="61"/>
      <c r="F459" s="62"/>
      <c r="G459" s="62"/>
      <c r="H459" s="62"/>
      <c r="I459" s="59"/>
      <c r="J459" s="60"/>
      <c r="K459" s="59"/>
      <c r="L459" s="60"/>
      <c r="M459" s="59"/>
      <c r="N459" s="63"/>
      <c r="O459" s="60"/>
      <c r="P459" s="60"/>
      <c r="Q459" s="60"/>
      <c r="R459" s="60"/>
      <c r="S459" s="60"/>
      <c r="T459" s="60"/>
      <c r="U459" s="60"/>
      <c r="V459" s="64"/>
      <c r="W459" s="60"/>
      <c r="X459" s="59"/>
      <c r="Y459" s="60"/>
      <c r="Z459" s="59"/>
      <c r="AA459" s="60"/>
    </row>
    <row r="460">
      <c r="A460" s="58"/>
      <c r="B460" s="58"/>
      <c r="C460" s="59"/>
      <c r="D460" s="60"/>
      <c r="E460" s="61"/>
      <c r="F460" s="62"/>
      <c r="G460" s="62"/>
      <c r="H460" s="62"/>
      <c r="I460" s="59"/>
      <c r="J460" s="60"/>
      <c r="K460" s="59"/>
      <c r="L460" s="60"/>
      <c r="M460" s="59"/>
      <c r="N460" s="63"/>
      <c r="O460" s="60"/>
      <c r="P460" s="60"/>
      <c r="Q460" s="60"/>
      <c r="R460" s="60"/>
      <c r="S460" s="60"/>
      <c r="T460" s="60"/>
      <c r="U460" s="60"/>
      <c r="V460" s="64"/>
      <c r="W460" s="60"/>
      <c r="X460" s="59"/>
      <c r="Y460" s="60"/>
      <c r="Z460" s="59"/>
      <c r="AA460" s="60"/>
    </row>
    <row r="461">
      <c r="A461" s="58"/>
      <c r="B461" s="58"/>
      <c r="C461" s="59"/>
      <c r="D461" s="60"/>
      <c r="E461" s="61"/>
      <c r="F461" s="62"/>
      <c r="G461" s="62"/>
      <c r="H461" s="62"/>
      <c r="I461" s="59"/>
      <c r="J461" s="60"/>
      <c r="K461" s="59"/>
      <c r="L461" s="60"/>
      <c r="M461" s="59"/>
      <c r="N461" s="63"/>
      <c r="O461" s="60"/>
      <c r="P461" s="60"/>
      <c r="Q461" s="60"/>
      <c r="R461" s="60"/>
      <c r="S461" s="60"/>
      <c r="T461" s="60"/>
      <c r="U461" s="60"/>
      <c r="V461" s="64"/>
      <c r="W461" s="60"/>
      <c r="X461" s="59"/>
      <c r="Y461" s="60"/>
      <c r="Z461" s="59"/>
      <c r="AA461" s="60"/>
    </row>
    <row r="462">
      <c r="A462" s="58"/>
      <c r="B462" s="58"/>
      <c r="C462" s="59"/>
      <c r="D462" s="60"/>
      <c r="E462" s="61"/>
      <c r="F462" s="62"/>
      <c r="G462" s="62"/>
      <c r="H462" s="62"/>
      <c r="I462" s="59"/>
      <c r="J462" s="60"/>
      <c r="K462" s="59"/>
      <c r="L462" s="60"/>
      <c r="M462" s="59"/>
      <c r="N462" s="63"/>
      <c r="O462" s="60"/>
      <c r="P462" s="60"/>
      <c r="Q462" s="60"/>
      <c r="R462" s="60"/>
      <c r="S462" s="60"/>
      <c r="T462" s="60"/>
      <c r="U462" s="60"/>
      <c r="V462" s="64"/>
      <c r="W462" s="60"/>
      <c r="X462" s="59"/>
      <c r="Y462" s="60"/>
      <c r="Z462" s="59"/>
      <c r="AA462" s="60"/>
    </row>
    <row r="463">
      <c r="A463" s="58"/>
      <c r="B463" s="58"/>
      <c r="C463" s="59"/>
      <c r="D463" s="60"/>
      <c r="E463" s="61"/>
      <c r="F463" s="62"/>
      <c r="G463" s="62"/>
      <c r="H463" s="62"/>
      <c r="I463" s="59"/>
      <c r="J463" s="60"/>
      <c r="K463" s="59"/>
      <c r="L463" s="60"/>
      <c r="M463" s="59"/>
      <c r="N463" s="63"/>
      <c r="O463" s="60"/>
      <c r="P463" s="60"/>
      <c r="Q463" s="60"/>
      <c r="R463" s="60"/>
      <c r="S463" s="60"/>
      <c r="T463" s="60"/>
      <c r="U463" s="60"/>
      <c r="V463" s="64"/>
      <c r="W463" s="60"/>
      <c r="X463" s="59"/>
      <c r="Y463" s="60"/>
      <c r="Z463" s="59"/>
      <c r="AA463" s="60"/>
    </row>
    <row r="464">
      <c r="A464" s="58"/>
      <c r="B464" s="58"/>
      <c r="C464" s="59"/>
      <c r="D464" s="60"/>
      <c r="E464" s="61"/>
      <c r="F464" s="62"/>
      <c r="G464" s="62"/>
      <c r="H464" s="62"/>
      <c r="I464" s="59"/>
      <c r="J464" s="60"/>
      <c r="K464" s="59"/>
      <c r="L464" s="60"/>
      <c r="M464" s="59"/>
      <c r="N464" s="63"/>
      <c r="O464" s="60"/>
      <c r="P464" s="60"/>
      <c r="Q464" s="60"/>
      <c r="R464" s="60"/>
      <c r="S464" s="60"/>
      <c r="T464" s="60"/>
      <c r="U464" s="60"/>
      <c r="V464" s="64"/>
      <c r="W464" s="60"/>
      <c r="X464" s="59"/>
      <c r="Y464" s="60"/>
      <c r="Z464" s="59"/>
      <c r="AA464" s="60"/>
    </row>
    <row r="465">
      <c r="A465" s="58"/>
      <c r="B465" s="58"/>
      <c r="C465" s="59"/>
      <c r="D465" s="60"/>
      <c r="E465" s="61"/>
      <c r="F465" s="62"/>
      <c r="G465" s="62"/>
      <c r="H465" s="62"/>
      <c r="I465" s="59"/>
      <c r="J465" s="60"/>
      <c r="K465" s="59"/>
      <c r="L465" s="60"/>
      <c r="M465" s="59"/>
      <c r="N465" s="63"/>
      <c r="O465" s="60"/>
      <c r="P465" s="60"/>
      <c r="Q465" s="60"/>
      <c r="R465" s="60"/>
      <c r="S465" s="60"/>
      <c r="T465" s="60"/>
      <c r="U465" s="60"/>
      <c r="V465" s="64"/>
      <c r="W465" s="60"/>
      <c r="X465" s="59"/>
      <c r="Y465" s="60"/>
      <c r="Z465" s="59"/>
      <c r="AA465" s="60"/>
    </row>
    <row r="466">
      <c r="A466" s="58"/>
      <c r="B466" s="58"/>
      <c r="C466" s="59"/>
      <c r="D466" s="60"/>
      <c r="E466" s="61"/>
      <c r="F466" s="62"/>
      <c r="G466" s="62"/>
      <c r="H466" s="62"/>
      <c r="I466" s="59"/>
      <c r="J466" s="60"/>
      <c r="K466" s="59"/>
      <c r="L466" s="60"/>
      <c r="M466" s="59"/>
      <c r="N466" s="63"/>
      <c r="O466" s="60"/>
      <c r="P466" s="60"/>
      <c r="Q466" s="60"/>
      <c r="R466" s="60"/>
      <c r="S466" s="60"/>
      <c r="T466" s="60"/>
      <c r="U466" s="60"/>
      <c r="V466" s="64"/>
      <c r="W466" s="60"/>
      <c r="X466" s="59"/>
      <c r="Y466" s="60"/>
      <c r="Z466" s="59"/>
      <c r="AA466" s="60"/>
    </row>
    <row r="467">
      <c r="A467" s="58"/>
      <c r="B467" s="58"/>
      <c r="C467" s="59"/>
      <c r="D467" s="60"/>
      <c r="E467" s="61"/>
      <c r="F467" s="62"/>
      <c r="G467" s="62"/>
      <c r="H467" s="62"/>
      <c r="I467" s="59"/>
      <c r="J467" s="60"/>
      <c r="K467" s="59"/>
      <c r="L467" s="60"/>
      <c r="M467" s="59"/>
      <c r="N467" s="63"/>
      <c r="O467" s="60"/>
      <c r="P467" s="60"/>
      <c r="Q467" s="60"/>
      <c r="R467" s="60"/>
      <c r="S467" s="60"/>
      <c r="T467" s="60"/>
      <c r="U467" s="60"/>
      <c r="V467" s="64"/>
      <c r="W467" s="60"/>
      <c r="X467" s="59"/>
      <c r="Y467" s="60"/>
      <c r="Z467" s="59"/>
      <c r="AA467" s="60"/>
    </row>
    <row r="468">
      <c r="A468" s="58"/>
      <c r="B468" s="58"/>
      <c r="C468" s="59"/>
      <c r="D468" s="60"/>
      <c r="E468" s="61"/>
      <c r="F468" s="62"/>
      <c r="G468" s="62"/>
      <c r="H468" s="62"/>
      <c r="I468" s="59"/>
      <c r="J468" s="60"/>
      <c r="K468" s="59"/>
      <c r="L468" s="60"/>
      <c r="M468" s="59"/>
      <c r="N468" s="63"/>
      <c r="O468" s="60"/>
      <c r="P468" s="60"/>
      <c r="Q468" s="60"/>
      <c r="R468" s="60"/>
      <c r="S468" s="60"/>
      <c r="T468" s="60"/>
      <c r="U468" s="60"/>
      <c r="V468" s="64"/>
      <c r="W468" s="60"/>
      <c r="X468" s="59"/>
      <c r="Y468" s="60"/>
      <c r="Z468" s="59"/>
      <c r="AA468" s="60"/>
    </row>
    <row r="469">
      <c r="A469" s="58"/>
      <c r="B469" s="58"/>
      <c r="C469" s="59"/>
      <c r="D469" s="60"/>
      <c r="E469" s="61"/>
      <c r="F469" s="62"/>
      <c r="G469" s="62"/>
      <c r="H469" s="62"/>
      <c r="I469" s="59"/>
      <c r="J469" s="60"/>
      <c r="K469" s="59"/>
      <c r="L469" s="60"/>
      <c r="M469" s="59"/>
      <c r="N469" s="63"/>
      <c r="O469" s="60"/>
      <c r="P469" s="60"/>
      <c r="Q469" s="60"/>
      <c r="R469" s="60"/>
      <c r="S469" s="60"/>
      <c r="T469" s="60"/>
      <c r="U469" s="60"/>
      <c r="V469" s="64"/>
      <c r="W469" s="60"/>
      <c r="X469" s="59"/>
      <c r="Y469" s="60"/>
      <c r="Z469" s="59"/>
      <c r="AA469" s="60"/>
    </row>
    <row r="470">
      <c r="A470" s="58"/>
      <c r="B470" s="58"/>
      <c r="C470" s="59"/>
      <c r="D470" s="60"/>
      <c r="E470" s="61"/>
      <c r="F470" s="62"/>
      <c r="G470" s="62"/>
      <c r="H470" s="62"/>
      <c r="I470" s="59"/>
      <c r="J470" s="60"/>
      <c r="K470" s="59"/>
      <c r="L470" s="60"/>
      <c r="M470" s="59"/>
      <c r="N470" s="63"/>
      <c r="O470" s="60"/>
      <c r="P470" s="60"/>
      <c r="Q470" s="60"/>
      <c r="R470" s="60"/>
      <c r="S470" s="60"/>
      <c r="T470" s="60"/>
      <c r="U470" s="60"/>
      <c r="V470" s="64"/>
      <c r="W470" s="60"/>
      <c r="X470" s="59"/>
      <c r="Y470" s="60"/>
      <c r="Z470" s="59"/>
      <c r="AA470" s="60"/>
    </row>
    <row r="471">
      <c r="A471" s="58"/>
      <c r="B471" s="58"/>
      <c r="C471" s="59"/>
      <c r="D471" s="60"/>
      <c r="E471" s="61"/>
      <c r="F471" s="62"/>
      <c r="G471" s="62"/>
      <c r="H471" s="62"/>
      <c r="I471" s="59"/>
      <c r="J471" s="60"/>
      <c r="K471" s="59"/>
      <c r="L471" s="60"/>
      <c r="M471" s="59"/>
      <c r="N471" s="63"/>
      <c r="O471" s="60"/>
      <c r="P471" s="60"/>
      <c r="Q471" s="60"/>
      <c r="R471" s="60"/>
      <c r="S471" s="60"/>
      <c r="T471" s="60"/>
      <c r="U471" s="60"/>
      <c r="V471" s="64"/>
      <c r="W471" s="60"/>
      <c r="X471" s="59"/>
      <c r="Y471" s="60"/>
      <c r="Z471" s="59"/>
      <c r="AA471" s="60"/>
    </row>
    <row r="472">
      <c r="A472" s="58"/>
      <c r="B472" s="58"/>
      <c r="C472" s="59"/>
      <c r="D472" s="60"/>
      <c r="E472" s="61"/>
      <c r="F472" s="62"/>
      <c r="G472" s="62"/>
      <c r="H472" s="62"/>
      <c r="I472" s="59"/>
      <c r="J472" s="60"/>
      <c r="K472" s="59"/>
      <c r="L472" s="60"/>
      <c r="M472" s="59"/>
      <c r="N472" s="63"/>
      <c r="O472" s="60"/>
      <c r="P472" s="60"/>
      <c r="Q472" s="60"/>
      <c r="R472" s="60"/>
      <c r="S472" s="60"/>
      <c r="T472" s="60"/>
      <c r="U472" s="60"/>
      <c r="V472" s="64"/>
      <c r="W472" s="60"/>
      <c r="X472" s="59"/>
      <c r="Y472" s="60"/>
      <c r="Z472" s="59"/>
      <c r="AA472" s="60"/>
    </row>
    <row r="473">
      <c r="A473" s="58"/>
      <c r="B473" s="58"/>
      <c r="C473" s="59"/>
      <c r="D473" s="60"/>
      <c r="E473" s="61"/>
      <c r="F473" s="62"/>
      <c r="G473" s="62"/>
      <c r="H473" s="62"/>
      <c r="I473" s="59"/>
      <c r="J473" s="60"/>
      <c r="K473" s="59"/>
      <c r="L473" s="60"/>
      <c r="M473" s="59"/>
      <c r="N473" s="63"/>
      <c r="O473" s="60"/>
      <c r="P473" s="60"/>
      <c r="Q473" s="60"/>
      <c r="R473" s="60"/>
      <c r="S473" s="60"/>
      <c r="T473" s="60"/>
      <c r="U473" s="60"/>
      <c r="V473" s="64"/>
      <c r="W473" s="60"/>
      <c r="X473" s="59"/>
      <c r="Y473" s="60"/>
      <c r="Z473" s="59"/>
      <c r="AA473" s="60"/>
    </row>
    <row r="474">
      <c r="A474" s="58"/>
      <c r="B474" s="58"/>
      <c r="C474" s="59"/>
      <c r="D474" s="60"/>
      <c r="E474" s="61"/>
      <c r="F474" s="62"/>
      <c r="G474" s="62"/>
      <c r="H474" s="62"/>
      <c r="I474" s="59"/>
      <c r="J474" s="60"/>
      <c r="K474" s="59"/>
      <c r="L474" s="60"/>
      <c r="M474" s="59"/>
      <c r="N474" s="63"/>
      <c r="O474" s="60"/>
      <c r="P474" s="60"/>
      <c r="Q474" s="60"/>
      <c r="R474" s="60"/>
      <c r="S474" s="60"/>
      <c r="T474" s="60"/>
      <c r="U474" s="60"/>
      <c r="V474" s="64"/>
      <c r="W474" s="60"/>
      <c r="X474" s="59"/>
      <c r="Y474" s="60"/>
      <c r="Z474" s="59"/>
      <c r="AA474" s="60"/>
    </row>
    <row r="475">
      <c r="A475" s="58"/>
      <c r="B475" s="58"/>
      <c r="C475" s="59"/>
      <c r="D475" s="60"/>
      <c r="E475" s="61"/>
      <c r="F475" s="62"/>
      <c r="G475" s="62"/>
      <c r="H475" s="62"/>
      <c r="I475" s="59"/>
      <c r="J475" s="60"/>
      <c r="K475" s="59"/>
      <c r="L475" s="60"/>
      <c r="M475" s="59"/>
      <c r="N475" s="63"/>
      <c r="O475" s="60"/>
      <c r="P475" s="60"/>
      <c r="Q475" s="60"/>
      <c r="R475" s="60"/>
      <c r="S475" s="60"/>
      <c r="T475" s="60"/>
      <c r="U475" s="60"/>
      <c r="V475" s="64"/>
      <c r="W475" s="60"/>
      <c r="X475" s="59"/>
      <c r="Y475" s="60"/>
      <c r="Z475" s="59"/>
      <c r="AA475" s="60"/>
    </row>
    <row r="476">
      <c r="A476" s="58"/>
      <c r="B476" s="58"/>
      <c r="C476" s="59"/>
      <c r="D476" s="60"/>
      <c r="E476" s="61"/>
      <c r="F476" s="62"/>
      <c r="G476" s="62"/>
      <c r="H476" s="62"/>
      <c r="I476" s="59"/>
      <c r="J476" s="60"/>
      <c r="K476" s="59"/>
      <c r="L476" s="60"/>
      <c r="M476" s="59"/>
      <c r="N476" s="63"/>
      <c r="O476" s="60"/>
      <c r="P476" s="60"/>
      <c r="Q476" s="60"/>
      <c r="R476" s="60"/>
      <c r="S476" s="60"/>
      <c r="T476" s="60"/>
      <c r="U476" s="60"/>
      <c r="V476" s="64"/>
      <c r="W476" s="60"/>
      <c r="X476" s="59"/>
      <c r="Y476" s="60"/>
      <c r="Z476" s="59"/>
      <c r="AA476" s="60"/>
    </row>
    <row r="477">
      <c r="A477" s="58"/>
      <c r="B477" s="58"/>
      <c r="C477" s="59"/>
      <c r="D477" s="60"/>
      <c r="E477" s="61"/>
      <c r="F477" s="62"/>
      <c r="G477" s="62"/>
      <c r="H477" s="62"/>
      <c r="I477" s="59"/>
      <c r="J477" s="60"/>
      <c r="K477" s="59"/>
      <c r="L477" s="60"/>
      <c r="M477" s="59"/>
      <c r="N477" s="63"/>
      <c r="O477" s="60"/>
      <c r="P477" s="60"/>
      <c r="Q477" s="60"/>
      <c r="R477" s="60"/>
      <c r="S477" s="60"/>
      <c r="T477" s="60"/>
      <c r="U477" s="60"/>
      <c r="V477" s="64"/>
      <c r="W477" s="60"/>
      <c r="X477" s="59"/>
      <c r="Y477" s="60"/>
      <c r="Z477" s="59"/>
      <c r="AA477" s="60"/>
    </row>
    <row r="478">
      <c r="A478" s="58"/>
      <c r="B478" s="58"/>
      <c r="C478" s="59"/>
      <c r="D478" s="60"/>
      <c r="E478" s="61"/>
      <c r="F478" s="62"/>
      <c r="G478" s="62"/>
      <c r="H478" s="62"/>
      <c r="I478" s="59"/>
      <c r="J478" s="60"/>
      <c r="K478" s="59"/>
      <c r="L478" s="60"/>
      <c r="M478" s="59"/>
      <c r="N478" s="63"/>
      <c r="O478" s="60"/>
      <c r="P478" s="60"/>
      <c r="Q478" s="60"/>
      <c r="R478" s="60"/>
      <c r="S478" s="60"/>
      <c r="T478" s="60"/>
      <c r="U478" s="60"/>
      <c r="V478" s="64"/>
      <c r="W478" s="60"/>
      <c r="X478" s="59"/>
      <c r="Y478" s="60"/>
      <c r="Z478" s="59"/>
      <c r="AA478" s="60"/>
    </row>
    <row r="479">
      <c r="A479" s="58"/>
      <c r="B479" s="58"/>
      <c r="C479" s="59"/>
      <c r="D479" s="60"/>
      <c r="E479" s="61"/>
      <c r="F479" s="62"/>
      <c r="G479" s="62"/>
      <c r="H479" s="62"/>
      <c r="I479" s="59"/>
      <c r="J479" s="60"/>
      <c r="K479" s="59"/>
      <c r="L479" s="60"/>
      <c r="M479" s="59"/>
      <c r="N479" s="63"/>
      <c r="O479" s="60"/>
      <c r="P479" s="60"/>
      <c r="Q479" s="60"/>
      <c r="R479" s="60"/>
      <c r="S479" s="60"/>
      <c r="T479" s="60"/>
      <c r="U479" s="60"/>
      <c r="V479" s="64"/>
      <c r="W479" s="60"/>
      <c r="X479" s="59"/>
      <c r="Y479" s="60"/>
      <c r="Z479" s="59"/>
      <c r="AA479" s="60"/>
    </row>
    <row r="480">
      <c r="A480" s="58"/>
      <c r="B480" s="58"/>
      <c r="C480" s="59"/>
      <c r="D480" s="60"/>
      <c r="E480" s="61"/>
      <c r="F480" s="62"/>
      <c r="G480" s="62"/>
      <c r="H480" s="62"/>
      <c r="I480" s="59"/>
      <c r="J480" s="60"/>
      <c r="K480" s="59"/>
      <c r="L480" s="60"/>
      <c r="M480" s="59"/>
      <c r="N480" s="63"/>
      <c r="O480" s="60"/>
      <c r="P480" s="60"/>
      <c r="Q480" s="60"/>
      <c r="R480" s="60"/>
      <c r="S480" s="60"/>
      <c r="T480" s="60"/>
      <c r="U480" s="60"/>
      <c r="V480" s="64"/>
      <c r="W480" s="60"/>
      <c r="X480" s="59"/>
      <c r="Y480" s="60"/>
      <c r="Z480" s="59"/>
      <c r="AA480" s="60"/>
    </row>
    <row r="481">
      <c r="A481" s="58"/>
      <c r="B481" s="58"/>
      <c r="C481" s="59"/>
      <c r="D481" s="60"/>
      <c r="E481" s="61"/>
      <c r="F481" s="62"/>
      <c r="G481" s="62"/>
      <c r="H481" s="62"/>
      <c r="I481" s="59"/>
      <c r="J481" s="60"/>
      <c r="K481" s="59"/>
      <c r="L481" s="60"/>
      <c r="M481" s="59"/>
      <c r="N481" s="63"/>
      <c r="O481" s="60"/>
      <c r="P481" s="60"/>
      <c r="Q481" s="60"/>
      <c r="R481" s="60"/>
      <c r="S481" s="60"/>
      <c r="T481" s="60"/>
      <c r="U481" s="60"/>
      <c r="V481" s="64"/>
      <c r="W481" s="60"/>
      <c r="X481" s="59"/>
      <c r="Y481" s="60"/>
      <c r="Z481" s="59"/>
      <c r="AA481" s="60"/>
    </row>
    <row r="482">
      <c r="A482" s="58"/>
      <c r="B482" s="58"/>
      <c r="C482" s="59"/>
      <c r="D482" s="60"/>
      <c r="E482" s="61"/>
      <c r="F482" s="62"/>
      <c r="G482" s="62"/>
      <c r="H482" s="62"/>
      <c r="I482" s="59"/>
      <c r="J482" s="60"/>
      <c r="K482" s="59"/>
      <c r="L482" s="60"/>
      <c r="M482" s="59"/>
      <c r="N482" s="63"/>
      <c r="O482" s="60"/>
      <c r="P482" s="60"/>
      <c r="Q482" s="60"/>
      <c r="R482" s="60"/>
      <c r="S482" s="60"/>
      <c r="T482" s="60"/>
      <c r="U482" s="60"/>
      <c r="V482" s="64"/>
      <c r="W482" s="60"/>
      <c r="X482" s="59"/>
      <c r="Y482" s="60"/>
      <c r="Z482" s="59"/>
      <c r="AA482" s="60"/>
    </row>
    <row r="483">
      <c r="A483" s="58"/>
      <c r="B483" s="58"/>
      <c r="C483" s="59"/>
      <c r="D483" s="60"/>
      <c r="E483" s="61"/>
      <c r="F483" s="62"/>
      <c r="G483" s="62"/>
      <c r="H483" s="62"/>
      <c r="I483" s="59"/>
      <c r="J483" s="60"/>
      <c r="K483" s="59"/>
      <c r="L483" s="60"/>
      <c r="M483" s="59"/>
      <c r="N483" s="63"/>
      <c r="O483" s="60"/>
      <c r="P483" s="60"/>
      <c r="Q483" s="60"/>
      <c r="R483" s="60"/>
      <c r="S483" s="60"/>
      <c r="T483" s="60"/>
      <c r="U483" s="60"/>
      <c r="V483" s="64"/>
      <c r="W483" s="60"/>
      <c r="X483" s="59"/>
      <c r="Y483" s="60"/>
      <c r="Z483" s="59"/>
      <c r="AA483" s="60"/>
    </row>
    <row r="484">
      <c r="A484" s="58"/>
      <c r="B484" s="58"/>
      <c r="C484" s="59"/>
      <c r="D484" s="60"/>
      <c r="E484" s="61"/>
      <c r="F484" s="62"/>
      <c r="G484" s="62"/>
      <c r="H484" s="62"/>
      <c r="I484" s="59"/>
      <c r="J484" s="60"/>
      <c r="K484" s="59"/>
      <c r="L484" s="60"/>
      <c r="M484" s="59"/>
      <c r="N484" s="63"/>
      <c r="O484" s="60"/>
      <c r="P484" s="60"/>
      <c r="Q484" s="60"/>
      <c r="R484" s="60"/>
      <c r="S484" s="60"/>
      <c r="T484" s="60"/>
      <c r="U484" s="60"/>
      <c r="V484" s="64"/>
      <c r="W484" s="60"/>
      <c r="X484" s="59"/>
      <c r="Y484" s="60"/>
      <c r="Z484" s="59"/>
      <c r="AA484" s="60"/>
    </row>
    <row r="485">
      <c r="A485" s="58"/>
      <c r="B485" s="58"/>
      <c r="C485" s="59"/>
      <c r="D485" s="60"/>
      <c r="E485" s="61"/>
      <c r="F485" s="62"/>
      <c r="G485" s="62"/>
      <c r="H485" s="62"/>
      <c r="I485" s="59"/>
      <c r="J485" s="60"/>
      <c r="K485" s="59"/>
      <c r="L485" s="60"/>
      <c r="M485" s="59"/>
      <c r="N485" s="63"/>
      <c r="O485" s="60"/>
      <c r="P485" s="60"/>
      <c r="Q485" s="60"/>
      <c r="R485" s="60"/>
      <c r="S485" s="60"/>
      <c r="T485" s="60"/>
      <c r="U485" s="60"/>
      <c r="V485" s="64"/>
      <c r="W485" s="60"/>
      <c r="X485" s="59"/>
      <c r="Y485" s="60"/>
      <c r="Z485" s="59"/>
      <c r="AA485" s="60"/>
    </row>
    <row r="486">
      <c r="A486" s="58"/>
      <c r="B486" s="58"/>
      <c r="C486" s="59"/>
      <c r="D486" s="60"/>
      <c r="E486" s="61"/>
      <c r="F486" s="62"/>
      <c r="G486" s="62"/>
      <c r="H486" s="62"/>
      <c r="I486" s="59"/>
      <c r="J486" s="60"/>
      <c r="K486" s="59"/>
      <c r="L486" s="60"/>
      <c r="M486" s="59"/>
      <c r="N486" s="63"/>
      <c r="O486" s="60"/>
      <c r="P486" s="60"/>
      <c r="Q486" s="60"/>
      <c r="R486" s="60"/>
      <c r="S486" s="60"/>
      <c r="T486" s="60"/>
      <c r="U486" s="60"/>
      <c r="V486" s="64"/>
      <c r="W486" s="60"/>
      <c r="X486" s="59"/>
      <c r="Y486" s="60"/>
      <c r="Z486" s="59"/>
      <c r="AA486" s="60"/>
    </row>
    <row r="487">
      <c r="A487" s="58"/>
      <c r="B487" s="58"/>
      <c r="C487" s="59"/>
      <c r="D487" s="60"/>
      <c r="E487" s="61"/>
      <c r="F487" s="62"/>
      <c r="G487" s="62"/>
      <c r="H487" s="62"/>
      <c r="I487" s="59"/>
      <c r="J487" s="60"/>
      <c r="K487" s="59"/>
      <c r="L487" s="60"/>
      <c r="M487" s="59"/>
      <c r="N487" s="63"/>
      <c r="O487" s="60"/>
      <c r="P487" s="60"/>
      <c r="Q487" s="60"/>
      <c r="R487" s="60"/>
      <c r="S487" s="60"/>
      <c r="T487" s="60"/>
      <c r="U487" s="60"/>
      <c r="V487" s="64"/>
      <c r="W487" s="60"/>
      <c r="X487" s="59"/>
      <c r="Y487" s="60"/>
      <c r="Z487" s="59"/>
      <c r="AA487" s="60"/>
    </row>
    <row r="488">
      <c r="A488" s="58"/>
      <c r="B488" s="58"/>
      <c r="C488" s="59"/>
      <c r="D488" s="60"/>
      <c r="E488" s="61"/>
      <c r="F488" s="62"/>
      <c r="G488" s="62"/>
      <c r="H488" s="62"/>
      <c r="I488" s="59"/>
      <c r="J488" s="60"/>
      <c r="K488" s="59"/>
      <c r="L488" s="60"/>
      <c r="M488" s="59"/>
      <c r="N488" s="63"/>
      <c r="O488" s="60"/>
      <c r="P488" s="60"/>
      <c r="Q488" s="60"/>
      <c r="R488" s="60"/>
      <c r="S488" s="60"/>
      <c r="T488" s="60"/>
      <c r="U488" s="60"/>
      <c r="V488" s="64"/>
      <c r="W488" s="60"/>
      <c r="X488" s="59"/>
      <c r="Y488" s="60"/>
      <c r="Z488" s="59"/>
      <c r="AA488" s="60"/>
    </row>
    <row r="489">
      <c r="A489" s="58"/>
      <c r="B489" s="58"/>
      <c r="C489" s="59"/>
      <c r="D489" s="60"/>
      <c r="E489" s="61"/>
      <c r="F489" s="62"/>
      <c r="G489" s="62"/>
      <c r="H489" s="62"/>
      <c r="I489" s="59"/>
      <c r="J489" s="60"/>
      <c r="K489" s="59"/>
      <c r="L489" s="60"/>
      <c r="M489" s="59"/>
      <c r="N489" s="63"/>
      <c r="O489" s="60"/>
      <c r="P489" s="60"/>
      <c r="Q489" s="60"/>
      <c r="R489" s="60"/>
      <c r="S489" s="60"/>
      <c r="T489" s="60"/>
      <c r="U489" s="60"/>
      <c r="V489" s="64"/>
      <c r="W489" s="60"/>
      <c r="X489" s="59"/>
      <c r="Y489" s="60"/>
      <c r="Z489" s="59"/>
      <c r="AA489" s="60"/>
    </row>
    <row r="490">
      <c r="A490" s="58"/>
      <c r="B490" s="58"/>
      <c r="C490" s="59"/>
      <c r="D490" s="60"/>
      <c r="E490" s="61"/>
      <c r="F490" s="62"/>
      <c r="G490" s="62"/>
      <c r="H490" s="62"/>
      <c r="I490" s="59"/>
      <c r="J490" s="60"/>
      <c r="K490" s="59"/>
      <c r="L490" s="60"/>
      <c r="M490" s="59"/>
      <c r="N490" s="63"/>
      <c r="O490" s="60"/>
      <c r="P490" s="60"/>
      <c r="Q490" s="60"/>
      <c r="R490" s="60"/>
      <c r="S490" s="60"/>
      <c r="T490" s="60"/>
      <c r="U490" s="60"/>
      <c r="V490" s="64"/>
      <c r="W490" s="60"/>
      <c r="X490" s="59"/>
      <c r="Y490" s="60"/>
      <c r="Z490" s="59"/>
      <c r="AA490" s="60"/>
    </row>
    <row r="491">
      <c r="A491" s="58"/>
      <c r="B491" s="58"/>
      <c r="C491" s="59"/>
      <c r="D491" s="60"/>
      <c r="E491" s="61"/>
      <c r="F491" s="62"/>
      <c r="G491" s="62"/>
      <c r="H491" s="62"/>
      <c r="I491" s="59"/>
      <c r="J491" s="60"/>
      <c r="K491" s="59"/>
      <c r="L491" s="60"/>
      <c r="M491" s="59"/>
      <c r="N491" s="63"/>
      <c r="O491" s="60"/>
      <c r="P491" s="60"/>
      <c r="Q491" s="60"/>
      <c r="R491" s="60"/>
      <c r="S491" s="60"/>
      <c r="T491" s="60"/>
      <c r="U491" s="60"/>
      <c r="V491" s="64"/>
      <c r="W491" s="60"/>
      <c r="X491" s="59"/>
      <c r="Y491" s="60"/>
      <c r="Z491" s="59"/>
      <c r="AA491" s="60"/>
    </row>
    <row r="492">
      <c r="A492" s="58"/>
      <c r="B492" s="58"/>
      <c r="C492" s="59"/>
      <c r="D492" s="60"/>
      <c r="E492" s="61"/>
      <c r="F492" s="62"/>
      <c r="G492" s="62"/>
      <c r="H492" s="62"/>
      <c r="I492" s="59"/>
      <c r="J492" s="60"/>
      <c r="K492" s="59"/>
      <c r="L492" s="60"/>
      <c r="M492" s="59"/>
      <c r="N492" s="63"/>
      <c r="O492" s="60"/>
      <c r="P492" s="60"/>
      <c r="Q492" s="60"/>
      <c r="R492" s="60"/>
      <c r="S492" s="60"/>
      <c r="T492" s="60"/>
      <c r="U492" s="60"/>
      <c r="V492" s="64"/>
      <c r="W492" s="60"/>
      <c r="X492" s="59"/>
      <c r="Y492" s="60"/>
      <c r="Z492" s="59"/>
      <c r="AA492" s="60"/>
    </row>
    <row r="493">
      <c r="A493" s="58"/>
      <c r="B493" s="58"/>
      <c r="C493" s="59"/>
      <c r="D493" s="60"/>
      <c r="E493" s="61"/>
      <c r="F493" s="62"/>
      <c r="G493" s="62"/>
      <c r="H493" s="62"/>
      <c r="I493" s="59"/>
      <c r="J493" s="60"/>
      <c r="K493" s="59"/>
      <c r="L493" s="60"/>
      <c r="M493" s="59"/>
      <c r="N493" s="63"/>
      <c r="O493" s="60"/>
      <c r="P493" s="60"/>
      <c r="Q493" s="60"/>
      <c r="R493" s="60"/>
      <c r="S493" s="60"/>
      <c r="T493" s="60"/>
      <c r="U493" s="60"/>
      <c r="V493" s="64"/>
      <c r="W493" s="60"/>
      <c r="X493" s="59"/>
      <c r="Y493" s="60"/>
      <c r="Z493" s="59"/>
      <c r="AA493" s="60"/>
    </row>
    <row r="494">
      <c r="A494" s="58"/>
      <c r="B494" s="58"/>
      <c r="C494" s="59"/>
      <c r="D494" s="60"/>
      <c r="E494" s="61"/>
      <c r="F494" s="62"/>
      <c r="G494" s="62"/>
      <c r="H494" s="62"/>
      <c r="I494" s="59"/>
      <c r="J494" s="60"/>
      <c r="K494" s="59"/>
      <c r="L494" s="60"/>
      <c r="M494" s="59"/>
      <c r="N494" s="63"/>
      <c r="O494" s="60"/>
      <c r="P494" s="60"/>
      <c r="Q494" s="60"/>
      <c r="R494" s="60"/>
      <c r="S494" s="60"/>
      <c r="T494" s="60"/>
      <c r="U494" s="60"/>
      <c r="V494" s="64"/>
      <c r="W494" s="60"/>
      <c r="X494" s="59"/>
      <c r="Y494" s="60"/>
      <c r="Z494" s="59"/>
      <c r="AA494" s="60"/>
    </row>
    <row r="495">
      <c r="A495" s="58"/>
      <c r="B495" s="58"/>
      <c r="C495" s="59"/>
      <c r="D495" s="60"/>
      <c r="E495" s="61"/>
      <c r="F495" s="62"/>
      <c r="G495" s="62"/>
      <c r="H495" s="62"/>
      <c r="I495" s="59"/>
      <c r="J495" s="60"/>
      <c r="K495" s="59"/>
      <c r="L495" s="60"/>
      <c r="M495" s="59"/>
      <c r="N495" s="63"/>
      <c r="O495" s="60"/>
      <c r="P495" s="60"/>
      <c r="Q495" s="60"/>
      <c r="R495" s="60"/>
      <c r="S495" s="60"/>
      <c r="T495" s="60"/>
      <c r="U495" s="60"/>
      <c r="V495" s="64"/>
      <c r="W495" s="60"/>
      <c r="X495" s="59"/>
      <c r="Y495" s="60"/>
      <c r="Z495" s="59"/>
      <c r="AA495" s="60"/>
    </row>
    <row r="496">
      <c r="A496" s="58"/>
      <c r="B496" s="58"/>
      <c r="C496" s="59"/>
      <c r="D496" s="60"/>
      <c r="E496" s="61"/>
      <c r="F496" s="62"/>
      <c r="G496" s="62"/>
      <c r="H496" s="62"/>
      <c r="I496" s="59"/>
      <c r="J496" s="60"/>
      <c r="K496" s="59"/>
      <c r="L496" s="60"/>
      <c r="M496" s="59"/>
      <c r="N496" s="63"/>
      <c r="O496" s="60"/>
      <c r="P496" s="60"/>
      <c r="Q496" s="60"/>
      <c r="R496" s="60"/>
      <c r="S496" s="60"/>
      <c r="T496" s="60"/>
      <c r="U496" s="60"/>
      <c r="V496" s="64"/>
      <c r="W496" s="60"/>
      <c r="X496" s="59"/>
      <c r="Y496" s="60"/>
      <c r="Z496" s="59"/>
      <c r="AA496" s="60"/>
    </row>
    <row r="497">
      <c r="A497" s="58"/>
      <c r="B497" s="58"/>
      <c r="C497" s="59"/>
      <c r="D497" s="60"/>
      <c r="E497" s="61"/>
      <c r="F497" s="62"/>
      <c r="G497" s="62"/>
      <c r="H497" s="62"/>
      <c r="I497" s="59"/>
      <c r="J497" s="60"/>
      <c r="K497" s="59"/>
      <c r="L497" s="60"/>
      <c r="M497" s="59"/>
      <c r="N497" s="63"/>
      <c r="O497" s="60"/>
      <c r="P497" s="60"/>
      <c r="Q497" s="60"/>
      <c r="R497" s="60"/>
      <c r="S497" s="60"/>
      <c r="T497" s="60"/>
      <c r="U497" s="60"/>
      <c r="V497" s="64"/>
      <c r="W497" s="60"/>
      <c r="X497" s="59"/>
      <c r="Y497" s="60"/>
      <c r="Z497" s="59"/>
      <c r="AA497" s="60"/>
    </row>
    <row r="498">
      <c r="A498" s="58"/>
      <c r="B498" s="58"/>
      <c r="C498" s="59"/>
      <c r="D498" s="60"/>
      <c r="E498" s="61"/>
      <c r="F498" s="62"/>
      <c r="G498" s="62"/>
      <c r="H498" s="62"/>
      <c r="I498" s="59"/>
      <c r="J498" s="60"/>
      <c r="K498" s="59"/>
      <c r="L498" s="60"/>
      <c r="M498" s="59"/>
      <c r="N498" s="63"/>
      <c r="O498" s="60"/>
      <c r="P498" s="60"/>
      <c r="Q498" s="60"/>
      <c r="R498" s="60"/>
      <c r="S498" s="60"/>
      <c r="T498" s="60"/>
      <c r="U498" s="60"/>
      <c r="V498" s="64"/>
      <c r="W498" s="60"/>
      <c r="X498" s="59"/>
      <c r="Y498" s="60"/>
      <c r="Z498" s="59"/>
      <c r="AA498" s="60"/>
    </row>
    <row r="499">
      <c r="A499" s="58"/>
      <c r="B499" s="58"/>
      <c r="C499" s="59"/>
      <c r="D499" s="60"/>
      <c r="E499" s="61"/>
      <c r="F499" s="62"/>
      <c r="G499" s="62"/>
      <c r="H499" s="62"/>
      <c r="I499" s="59"/>
      <c r="J499" s="60"/>
      <c r="K499" s="59"/>
      <c r="L499" s="60"/>
      <c r="M499" s="59"/>
      <c r="N499" s="63"/>
      <c r="O499" s="60"/>
      <c r="P499" s="60"/>
      <c r="Q499" s="60"/>
      <c r="R499" s="60"/>
      <c r="S499" s="60"/>
      <c r="T499" s="60"/>
      <c r="U499" s="60"/>
      <c r="V499" s="64"/>
      <c r="W499" s="60"/>
      <c r="X499" s="59"/>
      <c r="Y499" s="60"/>
      <c r="Z499" s="59"/>
      <c r="AA499" s="60"/>
    </row>
    <row r="500">
      <c r="A500" s="58"/>
      <c r="B500" s="58"/>
      <c r="C500" s="59"/>
      <c r="D500" s="60"/>
      <c r="E500" s="61"/>
      <c r="F500" s="62"/>
      <c r="G500" s="62"/>
      <c r="H500" s="62"/>
      <c r="I500" s="59"/>
      <c r="J500" s="60"/>
      <c r="K500" s="59"/>
      <c r="L500" s="60"/>
      <c r="M500" s="59"/>
      <c r="N500" s="63"/>
      <c r="O500" s="60"/>
      <c r="P500" s="60"/>
      <c r="Q500" s="60"/>
      <c r="R500" s="60"/>
      <c r="S500" s="60"/>
      <c r="T500" s="60"/>
      <c r="U500" s="60"/>
      <c r="V500" s="64"/>
      <c r="W500" s="60"/>
      <c r="X500" s="59"/>
      <c r="Y500" s="60"/>
      <c r="Z500" s="59"/>
      <c r="AA500" s="60"/>
    </row>
    <row r="501">
      <c r="A501" s="58"/>
      <c r="B501" s="58"/>
      <c r="C501" s="59"/>
      <c r="D501" s="60"/>
      <c r="E501" s="61"/>
      <c r="F501" s="62"/>
      <c r="G501" s="62"/>
      <c r="H501" s="62"/>
      <c r="I501" s="59"/>
      <c r="J501" s="60"/>
      <c r="K501" s="59"/>
      <c r="L501" s="60"/>
      <c r="M501" s="59"/>
      <c r="N501" s="63"/>
      <c r="O501" s="60"/>
      <c r="P501" s="60"/>
      <c r="Q501" s="60"/>
      <c r="R501" s="60"/>
      <c r="S501" s="60"/>
      <c r="T501" s="60"/>
      <c r="U501" s="60"/>
      <c r="V501" s="64"/>
      <c r="W501" s="60"/>
      <c r="X501" s="59"/>
      <c r="Y501" s="60"/>
      <c r="Z501" s="59"/>
      <c r="AA501" s="60"/>
    </row>
    <row r="502">
      <c r="A502" s="58"/>
      <c r="B502" s="58"/>
      <c r="C502" s="59"/>
      <c r="D502" s="60"/>
      <c r="E502" s="61"/>
      <c r="F502" s="62"/>
      <c r="G502" s="62"/>
      <c r="H502" s="62"/>
      <c r="I502" s="59"/>
      <c r="J502" s="60"/>
      <c r="K502" s="59"/>
      <c r="L502" s="60"/>
      <c r="M502" s="59"/>
      <c r="N502" s="63"/>
      <c r="O502" s="60"/>
      <c r="P502" s="60"/>
      <c r="Q502" s="60"/>
      <c r="R502" s="60"/>
      <c r="S502" s="60"/>
      <c r="T502" s="60"/>
      <c r="U502" s="60"/>
      <c r="V502" s="64"/>
      <c r="W502" s="60"/>
      <c r="X502" s="59"/>
      <c r="Y502" s="60"/>
      <c r="Z502" s="59"/>
      <c r="AA502" s="60"/>
    </row>
    <row r="503">
      <c r="A503" s="58"/>
      <c r="B503" s="58"/>
      <c r="C503" s="59"/>
      <c r="D503" s="60"/>
      <c r="E503" s="61"/>
      <c r="F503" s="62"/>
      <c r="G503" s="62"/>
      <c r="H503" s="62"/>
      <c r="I503" s="59"/>
      <c r="J503" s="60"/>
      <c r="K503" s="59"/>
      <c r="L503" s="60"/>
      <c r="M503" s="59"/>
      <c r="N503" s="63"/>
      <c r="O503" s="60"/>
      <c r="P503" s="60"/>
      <c r="Q503" s="60"/>
      <c r="R503" s="60"/>
      <c r="S503" s="60"/>
      <c r="T503" s="60"/>
      <c r="U503" s="60"/>
      <c r="V503" s="64"/>
      <c r="W503" s="60"/>
      <c r="X503" s="59"/>
      <c r="Y503" s="60"/>
      <c r="Z503" s="59"/>
      <c r="AA503" s="60"/>
    </row>
    <row r="504">
      <c r="A504" s="58"/>
      <c r="B504" s="58"/>
      <c r="C504" s="59"/>
      <c r="D504" s="60"/>
      <c r="E504" s="61"/>
      <c r="F504" s="62"/>
      <c r="G504" s="62"/>
      <c r="H504" s="62"/>
      <c r="I504" s="59"/>
      <c r="J504" s="60"/>
      <c r="K504" s="59"/>
      <c r="L504" s="60"/>
      <c r="M504" s="59"/>
      <c r="N504" s="63"/>
      <c r="O504" s="60"/>
      <c r="P504" s="60"/>
      <c r="Q504" s="60"/>
      <c r="R504" s="60"/>
      <c r="S504" s="60"/>
      <c r="T504" s="60"/>
      <c r="U504" s="60"/>
      <c r="V504" s="64"/>
      <c r="W504" s="60"/>
      <c r="X504" s="59"/>
      <c r="Y504" s="60"/>
      <c r="Z504" s="59"/>
      <c r="AA504" s="60"/>
    </row>
    <row r="505">
      <c r="A505" s="58"/>
      <c r="B505" s="58"/>
      <c r="C505" s="59"/>
      <c r="D505" s="60"/>
      <c r="E505" s="61"/>
      <c r="F505" s="62"/>
      <c r="G505" s="62"/>
      <c r="H505" s="62"/>
      <c r="I505" s="59"/>
      <c r="J505" s="60"/>
      <c r="K505" s="59"/>
      <c r="L505" s="60"/>
      <c r="M505" s="59"/>
      <c r="N505" s="63"/>
      <c r="O505" s="60"/>
      <c r="P505" s="60"/>
      <c r="Q505" s="60"/>
      <c r="R505" s="60"/>
      <c r="S505" s="60"/>
      <c r="T505" s="60"/>
      <c r="U505" s="60"/>
      <c r="V505" s="64"/>
      <c r="W505" s="60"/>
      <c r="X505" s="59"/>
      <c r="Y505" s="60"/>
      <c r="Z505" s="59"/>
      <c r="AA505" s="60"/>
    </row>
    <row r="506">
      <c r="A506" s="58"/>
      <c r="B506" s="58"/>
      <c r="C506" s="59"/>
      <c r="D506" s="60"/>
      <c r="E506" s="61"/>
      <c r="F506" s="62"/>
      <c r="G506" s="62"/>
      <c r="H506" s="62"/>
      <c r="I506" s="59"/>
      <c r="J506" s="60"/>
      <c r="K506" s="59"/>
      <c r="L506" s="60"/>
      <c r="M506" s="59"/>
      <c r="N506" s="63"/>
      <c r="O506" s="60"/>
      <c r="P506" s="60"/>
      <c r="Q506" s="60"/>
      <c r="R506" s="60"/>
      <c r="S506" s="60"/>
      <c r="T506" s="60"/>
      <c r="U506" s="60"/>
      <c r="V506" s="64"/>
      <c r="W506" s="60"/>
      <c r="X506" s="59"/>
      <c r="Y506" s="60"/>
      <c r="Z506" s="59"/>
      <c r="AA506" s="60"/>
    </row>
    <row r="507">
      <c r="A507" s="58"/>
      <c r="B507" s="58"/>
      <c r="C507" s="59"/>
      <c r="D507" s="60"/>
      <c r="E507" s="61"/>
      <c r="F507" s="62"/>
      <c r="G507" s="62"/>
      <c r="H507" s="62"/>
      <c r="I507" s="59"/>
      <c r="J507" s="60"/>
      <c r="K507" s="59"/>
      <c r="L507" s="60"/>
      <c r="M507" s="59"/>
      <c r="N507" s="63"/>
      <c r="O507" s="60"/>
      <c r="P507" s="60"/>
      <c r="Q507" s="60"/>
      <c r="R507" s="60"/>
      <c r="S507" s="60"/>
      <c r="T507" s="60"/>
      <c r="U507" s="60"/>
      <c r="V507" s="64"/>
      <c r="W507" s="60"/>
      <c r="X507" s="59"/>
      <c r="Y507" s="60"/>
      <c r="Z507" s="59"/>
      <c r="AA507" s="60"/>
    </row>
    <row r="508">
      <c r="A508" s="58"/>
      <c r="B508" s="58"/>
      <c r="C508" s="59"/>
      <c r="D508" s="60"/>
      <c r="E508" s="61"/>
      <c r="F508" s="62"/>
      <c r="G508" s="62"/>
      <c r="H508" s="62"/>
      <c r="I508" s="59"/>
      <c r="J508" s="60"/>
      <c r="K508" s="59"/>
      <c r="L508" s="60"/>
      <c r="M508" s="59"/>
      <c r="N508" s="63"/>
      <c r="O508" s="60"/>
      <c r="P508" s="60"/>
      <c r="Q508" s="60"/>
      <c r="R508" s="60"/>
      <c r="S508" s="60"/>
      <c r="T508" s="60"/>
      <c r="U508" s="60"/>
      <c r="V508" s="64"/>
      <c r="W508" s="60"/>
      <c r="X508" s="59"/>
      <c r="Y508" s="60"/>
      <c r="Z508" s="59"/>
      <c r="AA508" s="60"/>
    </row>
    <row r="509">
      <c r="A509" s="58"/>
      <c r="B509" s="58"/>
      <c r="C509" s="59"/>
      <c r="D509" s="60"/>
      <c r="E509" s="61"/>
      <c r="F509" s="62"/>
      <c r="G509" s="62"/>
      <c r="H509" s="62"/>
      <c r="I509" s="59"/>
      <c r="J509" s="60"/>
      <c r="K509" s="59"/>
      <c r="L509" s="60"/>
      <c r="M509" s="59"/>
      <c r="N509" s="63"/>
      <c r="O509" s="60"/>
      <c r="P509" s="60"/>
      <c r="Q509" s="60"/>
      <c r="R509" s="60"/>
      <c r="S509" s="60"/>
      <c r="T509" s="60"/>
      <c r="U509" s="60"/>
      <c r="V509" s="64"/>
      <c r="W509" s="60"/>
      <c r="X509" s="59"/>
      <c r="Y509" s="60"/>
      <c r="Z509" s="59"/>
      <c r="AA509" s="60"/>
    </row>
    <row r="510">
      <c r="A510" s="58"/>
      <c r="B510" s="58"/>
      <c r="C510" s="59"/>
      <c r="D510" s="60"/>
      <c r="E510" s="61"/>
      <c r="F510" s="62"/>
      <c r="G510" s="62"/>
      <c r="H510" s="62"/>
      <c r="I510" s="59"/>
      <c r="J510" s="60"/>
      <c r="K510" s="59"/>
      <c r="L510" s="60"/>
      <c r="M510" s="59"/>
      <c r="N510" s="63"/>
      <c r="O510" s="60"/>
      <c r="P510" s="60"/>
      <c r="Q510" s="60"/>
      <c r="R510" s="60"/>
      <c r="S510" s="60"/>
      <c r="T510" s="60"/>
      <c r="U510" s="60"/>
      <c r="V510" s="64"/>
      <c r="W510" s="60"/>
      <c r="X510" s="59"/>
      <c r="Y510" s="60"/>
      <c r="Z510" s="59"/>
      <c r="AA510" s="60"/>
    </row>
    <row r="511">
      <c r="A511" s="58"/>
      <c r="B511" s="58"/>
      <c r="C511" s="59"/>
      <c r="D511" s="60"/>
      <c r="E511" s="61"/>
      <c r="F511" s="62"/>
      <c r="G511" s="62"/>
      <c r="H511" s="62"/>
      <c r="I511" s="59"/>
      <c r="J511" s="60"/>
      <c r="K511" s="59"/>
      <c r="L511" s="60"/>
      <c r="M511" s="59"/>
      <c r="N511" s="63"/>
      <c r="O511" s="60"/>
      <c r="P511" s="60"/>
      <c r="Q511" s="60"/>
      <c r="R511" s="60"/>
      <c r="S511" s="60"/>
      <c r="T511" s="60"/>
      <c r="U511" s="60"/>
      <c r="V511" s="64"/>
      <c r="W511" s="60"/>
      <c r="X511" s="59"/>
      <c r="Y511" s="60"/>
      <c r="Z511" s="59"/>
      <c r="AA511" s="60"/>
    </row>
    <row r="512">
      <c r="A512" s="58"/>
      <c r="B512" s="58"/>
      <c r="C512" s="59"/>
      <c r="D512" s="60"/>
      <c r="E512" s="61"/>
      <c r="F512" s="62"/>
      <c r="G512" s="62"/>
      <c r="H512" s="62"/>
      <c r="I512" s="59"/>
      <c r="J512" s="60"/>
      <c r="K512" s="59"/>
      <c r="L512" s="60"/>
      <c r="M512" s="59"/>
      <c r="N512" s="63"/>
      <c r="O512" s="60"/>
      <c r="P512" s="60"/>
      <c r="Q512" s="60"/>
      <c r="R512" s="60"/>
      <c r="S512" s="60"/>
      <c r="T512" s="60"/>
      <c r="U512" s="60"/>
      <c r="V512" s="64"/>
      <c r="W512" s="60"/>
      <c r="X512" s="59"/>
      <c r="Y512" s="60"/>
      <c r="Z512" s="59"/>
      <c r="AA512" s="60"/>
    </row>
    <row r="513">
      <c r="A513" s="58"/>
      <c r="B513" s="58"/>
      <c r="C513" s="59"/>
      <c r="D513" s="60"/>
      <c r="E513" s="61"/>
      <c r="F513" s="62"/>
      <c r="G513" s="62"/>
      <c r="H513" s="62"/>
      <c r="I513" s="59"/>
      <c r="J513" s="60"/>
      <c r="K513" s="59"/>
      <c r="L513" s="60"/>
      <c r="M513" s="59"/>
      <c r="N513" s="63"/>
      <c r="O513" s="60"/>
      <c r="P513" s="60"/>
      <c r="Q513" s="60"/>
      <c r="R513" s="60"/>
      <c r="S513" s="60"/>
      <c r="T513" s="60"/>
      <c r="U513" s="60"/>
      <c r="V513" s="64"/>
      <c r="W513" s="60"/>
      <c r="X513" s="59"/>
      <c r="Y513" s="60"/>
      <c r="Z513" s="59"/>
      <c r="AA513" s="60"/>
    </row>
    <row r="514">
      <c r="A514" s="58"/>
      <c r="B514" s="58"/>
      <c r="C514" s="59"/>
      <c r="D514" s="60"/>
      <c r="E514" s="61"/>
      <c r="F514" s="62"/>
      <c r="G514" s="62"/>
      <c r="H514" s="62"/>
      <c r="I514" s="59"/>
      <c r="J514" s="60"/>
      <c r="K514" s="59"/>
      <c r="L514" s="60"/>
      <c r="M514" s="59"/>
      <c r="N514" s="63"/>
      <c r="O514" s="60"/>
      <c r="P514" s="60"/>
      <c r="Q514" s="60"/>
      <c r="R514" s="60"/>
      <c r="S514" s="60"/>
      <c r="T514" s="60"/>
      <c r="U514" s="60"/>
      <c r="V514" s="64"/>
      <c r="W514" s="60"/>
      <c r="X514" s="59"/>
      <c r="Y514" s="60"/>
      <c r="Z514" s="59"/>
      <c r="AA514" s="60"/>
    </row>
    <row r="515">
      <c r="A515" s="58"/>
      <c r="B515" s="58"/>
      <c r="C515" s="59"/>
      <c r="D515" s="60"/>
      <c r="E515" s="61"/>
      <c r="F515" s="62"/>
      <c r="G515" s="62"/>
      <c r="H515" s="62"/>
      <c r="I515" s="59"/>
      <c r="J515" s="60"/>
      <c r="K515" s="59"/>
      <c r="L515" s="60"/>
      <c r="M515" s="59"/>
      <c r="N515" s="63"/>
      <c r="O515" s="60"/>
      <c r="P515" s="60"/>
      <c r="Q515" s="60"/>
      <c r="R515" s="60"/>
      <c r="S515" s="60"/>
      <c r="T515" s="60"/>
      <c r="U515" s="60"/>
      <c r="V515" s="64"/>
      <c r="W515" s="60"/>
      <c r="X515" s="59"/>
      <c r="Y515" s="60"/>
      <c r="Z515" s="59"/>
      <c r="AA515" s="60"/>
    </row>
    <row r="516">
      <c r="A516" s="58"/>
      <c r="B516" s="58"/>
      <c r="C516" s="59"/>
      <c r="D516" s="60"/>
      <c r="E516" s="61"/>
      <c r="F516" s="62"/>
      <c r="G516" s="62"/>
      <c r="H516" s="62"/>
      <c r="I516" s="59"/>
      <c r="J516" s="60"/>
      <c r="K516" s="59"/>
      <c r="L516" s="60"/>
      <c r="M516" s="59"/>
      <c r="N516" s="63"/>
      <c r="O516" s="60"/>
      <c r="P516" s="60"/>
      <c r="Q516" s="60"/>
      <c r="R516" s="60"/>
      <c r="S516" s="60"/>
      <c r="T516" s="60"/>
      <c r="U516" s="60"/>
      <c r="V516" s="64"/>
      <c r="W516" s="60"/>
      <c r="X516" s="59"/>
      <c r="Y516" s="60"/>
      <c r="Z516" s="59"/>
      <c r="AA516" s="60"/>
    </row>
    <row r="517">
      <c r="A517" s="58"/>
      <c r="B517" s="58"/>
      <c r="C517" s="59"/>
      <c r="D517" s="60"/>
      <c r="E517" s="61"/>
      <c r="F517" s="62"/>
      <c r="G517" s="62"/>
      <c r="H517" s="62"/>
      <c r="I517" s="59"/>
      <c r="J517" s="60"/>
      <c r="K517" s="59"/>
      <c r="L517" s="60"/>
      <c r="M517" s="59"/>
      <c r="N517" s="63"/>
      <c r="O517" s="60"/>
      <c r="P517" s="60"/>
      <c r="Q517" s="60"/>
      <c r="R517" s="60"/>
      <c r="S517" s="60"/>
      <c r="T517" s="60"/>
      <c r="U517" s="60"/>
      <c r="V517" s="64"/>
      <c r="W517" s="60"/>
      <c r="X517" s="59"/>
      <c r="Y517" s="60"/>
      <c r="Z517" s="59"/>
      <c r="AA517" s="60"/>
    </row>
    <row r="518">
      <c r="A518" s="58"/>
      <c r="B518" s="58"/>
      <c r="C518" s="59"/>
      <c r="D518" s="60"/>
      <c r="E518" s="61"/>
      <c r="F518" s="62"/>
      <c r="G518" s="62"/>
      <c r="H518" s="62"/>
      <c r="I518" s="59"/>
      <c r="J518" s="60"/>
      <c r="K518" s="59"/>
      <c r="L518" s="60"/>
      <c r="M518" s="59"/>
      <c r="N518" s="63"/>
      <c r="O518" s="60"/>
      <c r="P518" s="60"/>
      <c r="Q518" s="60"/>
      <c r="R518" s="60"/>
      <c r="S518" s="60"/>
      <c r="T518" s="60"/>
      <c r="U518" s="60"/>
      <c r="V518" s="64"/>
      <c r="W518" s="60"/>
      <c r="X518" s="59"/>
      <c r="Y518" s="60"/>
      <c r="Z518" s="59"/>
      <c r="AA518" s="60"/>
    </row>
    <row r="519">
      <c r="A519" s="58"/>
      <c r="B519" s="58"/>
      <c r="C519" s="59"/>
      <c r="D519" s="60"/>
      <c r="E519" s="61"/>
      <c r="F519" s="62"/>
      <c r="G519" s="62"/>
      <c r="H519" s="62"/>
      <c r="I519" s="59"/>
      <c r="J519" s="60"/>
      <c r="K519" s="59"/>
      <c r="L519" s="60"/>
      <c r="M519" s="59"/>
      <c r="N519" s="63"/>
      <c r="O519" s="60"/>
      <c r="P519" s="60"/>
      <c r="Q519" s="60"/>
      <c r="R519" s="60"/>
      <c r="S519" s="60"/>
      <c r="T519" s="60"/>
      <c r="U519" s="60"/>
      <c r="V519" s="64"/>
      <c r="W519" s="60"/>
      <c r="X519" s="59"/>
      <c r="Y519" s="60"/>
      <c r="Z519" s="59"/>
      <c r="AA519" s="60"/>
    </row>
    <row r="520">
      <c r="A520" s="58"/>
      <c r="B520" s="58"/>
      <c r="C520" s="59"/>
      <c r="D520" s="60"/>
      <c r="E520" s="61"/>
      <c r="F520" s="62"/>
      <c r="G520" s="62"/>
      <c r="H520" s="62"/>
      <c r="I520" s="59"/>
      <c r="J520" s="60"/>
      <c r="K520" s="59"/>
      <c r="L520" s="60"/>
      <c r="M520" s="59"/>
      <c r="N520" s="63"/>
      <c r="O520" s="60"/>
      <c r="P520" s="60"/>
      <c r="Q520" s="60"/>
      <c r="R520" s="60"/>
      <c r="S520" s="60"/>
      <c r="T520" s="60"/>
      <c r="U520" s="60"/>
      <c r="V520" s="64"/>
      <c r="W520" s="60"/>
      <c r="X520" s="59"/>
      <c r="Y520" s="60"/>
      <c r="Z520" s="59"/>
      <c r="AA520" s="60"/>
    </row>
    <row r="521">
      <c r="A521" s="58"/>
      <c r="B521" s="58"/>
      <c r="C521" s="59"/>
      <c r="D521" s="60"/>
      <c r="E521" s="61"/>
      <c r="F521" s="62"/>
      <c r="G521" s="62"/>
      <c r="H521" s="62"/>
      <c r="I521" s="59"/>
      <c r="J521" s="60"/>
      <c r="K521" s="59"/>
      <c r="L521" s="60"/>
      <c r="M521" s="59"/>
      <c r="N521" s="63"/>
      <c r="O521" s="60"/>
      <c r="P521" s="60"/>
      <c r="Q521" s="60"/>
      <c r="R521" s="60"/>
      <c r="S521" s="60"/>
      <c r="T521" s="60"/>
      <c r="U521" s="60"/>
      <c r="V521" s="64"/>
      <c r="W521" s="60"/>
      <c r="X521" s="59"/>
      <c r="Y521" s="60"/>
      <c r="Z521" s="59"/>
      <c r="AA521" s="60"/>
    </row>
    <row r="522">
      <c r="A522" s="58"/>
      <c r="B522" s="58"/>
      <c r="C522" s="59"/>
      <c r="D522" s="60"/>
      <c r="E522" s="61"/>
      <c r="F522" s="62"/>
      <c r="G522" s="62"/>
      <c r="H522" s="62"/>
      <c r="I522" s="59"/>
      <c r="J522" s="60"/>
      <c r="K522" s="59"/>
      <c r="L522" s="60"/>
      <c r="M522" s="59"/>
      <c r="N522" s="63"/>
      <c r="O522" s="60"/>
      <c r="P522" s="60"/>
      <c r="Q522" s="60"/>
      <c r="R522" s="60"/>
      <c r="S522" s="60"/>
      <c r="T522" s="60"/>
      <c r="U522" s="60"/>
      <c r="V522" s="64"/>
      <c r="W522" s="60"/>
      <c r="X522" s="59"/>
      <c r="Y522" s="60"/>
      <c r="Z522" s="59"/>
      <c r="AA522" s="60"/>
    </row>
    <row r="523">
      <c r="A523" s="58"/>
      <c r="B523" s="58"/>
      <c r="C523" s="59"/>
      <c r="D523" s="60"/>
      <c r="E523" s="61"/>
      <c r="F523" s="62"/>
      <c r="G523" s="62"/>
      <c r="H523" s="62"/>
      <c r="I523" s="59"/>
      <c r="J523" s="60"/>
      <c r="K523" s="59"/>
      <c r="L523" s="60"/>
      <c r="M523" s="59"/>
      <c r="N523" s="63"/>
      <c r="O523" s="60"/>
      <c r="P523" s="60"/>
      <c r="Q523" s="60"/>
      <c r="R523" s="60"/>
      <c r="S523" s="60"/>
      <c r="T523" s="60"/>
      <c r="U523" s="60"/>
      <c r="V523" s="64"/>
      <c r="W523" s="60"/>
      <c r="X523" s="59"/>
      <c r="Y523" s="60"/>
      <c r="Z523" s="59"/>
      <c r="AA523" s="60"/>
    </row>
    <row r="524">
      <c r="A524" s="58"/>
      <c r="B524" s="58"/>
      <c r="C524" s="59"/>
      <c r="D524" s="60"/>
      <c r="E524" s="61"/>
      <c r="F524" s="62"/>
      <c r="G524" s="62"/>
      <c r="H524" s="62"/>
      <c r="I524" s="59"/>
      <c r="J524" s="60"/>
      <c r="K524" s="59"/>
      <c r="L524" s="60"/>
      <c r="M524" s="59"/>
      <c r="N524" s="63"/>
      <c r="O524" s="60"/>
      <c r="P524" s="60"/>
      <c r="Q524" s="60"/>
      <c r="R524" s="60"/>
      <c r="S524" s="60"/>
      <c r="T524" s="60"/>
      <c r="U524" s="60"/>
      <c r="V524" s="64"/>
      <c r="W524" s="60"/>
      <c r="X524" s="59"/>
      <c r="Y524" s="60"/>
      <c r="Z524" s="59"/>
      <c r="AA524" s="60"/>
    </row>
    <row r="525">
      <c r="A525" s="58"/>
      <c r="B525" s="58"/>
      <c r="C525" s="59"/>
      <c r="D525" s="60"/>
      <c r="E525" s="61"/>
      <c r="F525" s="62"/>
      <c r="G525" s="62"/>
      <c r="H525" s="62"/>
      <c r="I525" s="59"/>
      <c r="J525" s="60"/>
      <c r="K525" s="59"/>
      <c r="L525" s="60"/>
      <c r="M525" s="59"/>
      <c r="N525" s="63"/>
      <c r="O525" s="60"/>
      <c r="P525" s="60"/>
      <c r="Q525" s="60"/>
      <c r="R525" s="60"/>
      <c r="S525" s="60"/>
      <c r="T525" s="60"/>
      <c r="U525" s="60"/>
      <c r="V525" s="64"/>
      <c r="W525" s="60"/>
      <c r="X525" s="59"/>
      <c r="Y525" s="60"/>
      <c r="Z525" s="59"/>
      <c r="AA525" s="60"/>
    </row>
    <row r="526">
      <c r="A526" s="58"/>
      <c r="B526" s="58"/>
      <c r="C526" s="59"/>
      <c r="D526" s="60"/>
      <c r="E526" s="61"/>
      <c r="F526" s="62"/>
      <c r="G526" s="62"/>
      <c r="H526" s="62"/>
      <c r="I526" s="59"/>
      <c r="J526" s="60"/>
      <c r="K526" s="59"/>
      <c r="L526" s="60"/>
      <c r="M526" s="59"/>
      <c r="N526" s="63"/>
      <c r="O526" s="60"/>
      <c r="P526" s="60"/>
      <c r="Q526" s="60"/>
      <c r="R526" s="60"/>
      <c r="S526" s="60"/>
      <c r="T526" s="60"/>
      <c r="U526" s="60"/>
      <c r="V526" s="64"/>
      <c r="W526" s="60"/>
      <c r="X526" s="59"/>
      <c r="Y526" s="60"/>
      <c r="Z526" s="59"/>
      <c r="AA526" s="60"/>
    </row>
    <row r="527">
      <c r="A527" s="58"/>
      <c r="B527" s="58"/>
      <c r="C527" s="59"/>
      <c r="D527" s="60"/>
      <c r="E527" s="61"/>
      <c r="F527" s="62"/>
      <c r="G527" s="62"/>
      <c r="H527" s="62"/>
      <c r="I527" s="59"/>
      <c r="J527" s="60"/>
      <c r="K527" s="59"/>
      <c r="L527" s="60"/>
      <c r="M527" s="59"/>
      <c r="N527" s="63"/>
      <c r="O527" s="60"/>
      <c r="P527" s="60"/>
      <c r="Q527" s="60"/>
      <c r="R527" s="60"/>
      <c r="S527" s="60"/>
      <c r="T527" s="60"/>
      <c r="U527" s="60"/>
      <c r="V527" s="64"/>
      <c r="W527" s="60"/>
      <c r="X527" s="59"/>
      <c r="Y527" s="60"/>
      <c r="Z527" s="59"/>
      <c r="AA527" s="60"/>
    </row>
    <row r="528">
      <c r="A528" s="58"/>
      <c r="B528" s="58"/>
      <c r="C528" s="59"/>
      <c r="D528" s="60"/>
      <c r="E528" s="61"/>
      <c r="F528" s="62"/>
      <c r="G528" s="62"/>
      <c r="H528" s="62"/>
      <c r="I528" s="59"/>
      <c r="J528" s="60"/>
      <c r="K528" s="59"/>
      <c r="L528" s="60"/>
      <c r="M528" s="59"/>
      <c r="N528" s="63"/>
      <c r="O528" s="60"/>
      <c r="P528" s="60"/>
      <c r="Q528" s="60"/>
      <c r="R528" s="60"/>
      <c r="S528" s="60"/>
      <c r="T528" s="60"/>
      <c r="U528" s="60"/>
      <c r="V528" s="64"/>
      <c r="W528" s="60"/>
      <c r="X528" s="59"/>
      <c r="Y528" s="60"/>
      <c r="Z528" s="59"/>
      <c r="AA528" s="60"/>
    </row>
    <row r="529">
      <c r="A529" s="58"/>
      <c r="B529" s="58"/>
      <c r="C529" s="59"/>
      <c r="D529" s="60"/>
      <c r="E529" s="61"/>
      <c r="F529" s="62"/>
      <c r="G529" s="62"/>
      <c r="H529" s="62"/>
      <c r="I529" s="59"/>
      <c r="J529" s="60"/>
      <c r="K529" s="59"/>
      <c r="L529" s="60"/>
      <c r="M529" s="59"/>
      <c r="N529" s="63"/>
      <c r="O529" s="60"/>
      <c r="P529" s="60"/>
      <c r="Q529" s="60"/>
      <c r="R529" s="60"/>
      <c r="S529" s="60"/>
      <c r="T529" s="60"/>
      <c r="U529" s="60"/>
      <c r="V529" s="64"/>
      <c r="W529" s="60"/>
      <c r="X529" s="59"/>
      <c r="Y529" s="60"/>
      <c r="Z529" s="59"/>
      <c r="AA529" s="60"/>
    </row>
    <row r="530">
      <c r="A530" s="58"/>
      <c r="B530" s="58"/>
      <c r="C530" s="59"/>
      <c r="D530" s="60"/>
      <c r="E530" s="61"/>
      <c r="F530" s="62"/>
      <c r="G530" s="62"/>
      <c r="H530" s="62"/>
      <c r="I530" s="59"/>
      <c r="J530" s="60"/>
      <c r="K530" s="59"/>
      <c r="L530" s="60"/>
      <c r="M530" s="59"/>
      <c r="N530" s="63"/>
      <c r="O530" s="60"/>
      <c r="P530" s="60"/>
      <c r="Q530" s="60"/>
      <c r="R530" s="60"/>
      <c r="S530" s="60"/>
      <c r="T530" s="60"/>
      <c r="U530" s="60"/>
      <c r="V530" s="64"/>
      <c r="W530" s="60"/>
      <c r="X530" s="59"/>
      <c r="Y530" s="60"/>
      <c r="Z530" s="59"/>
      <c r="AA530" s="60"/>
    </row>
    <row r="531">
      <c r="A531" s="58"/>
      <c r="B531" s="58"/>
      <c r="C531" s="59"/>
      <c r="D531" s="60"/>
      <c r="E531" s="61"/>
      <c r="F531" s="62"/>
      <c r="G531" s="62"/>
      <c r="H531" s="62"/>
      <c r="I531" s="59"/>
      <c r="J531" s="60"/>
      <c r="K531" s="59"/>
      <c r="L531" s="60"/>
      <c r="M531" s="59"/>
      <c r="N531" s="63"/>
      <c r="O531" s="60"/>
      <c r="P531" s="60"/>
      <c r="Q531" s="60"/>
      <c r="R531" s="60"/>
      <c r="S531" s="60"/>
      <c r="T531" s="60"/>
      <c r="U531" s="60"/>
      <c r="V531" s="64"/>
      <c r="W531" s="60"/>
      <c r="X531" s="59"/>
      <c r="Y531" s="60"/>
      <c r="Z531" s="59"/>
      <c r="AA531" s="60"/>
    </row>
    <row r="532">
      <c r="A532" s="58"/>
      <c r="B532" s="58"/>
      <c r="C532" s="59"/>
      <c r="D532" s="60"/>
      <c r="E532" s="61"/>
      <c r="F532" s="62"/>
      <c r="G532" s="62"/>
      <c r="H532" s="62"/>
      <c r="I532" s="59"/>
      <c r="J532" s="60"/>
      <c r="K532" s="59"/>
      <c r="L532" s="60"/>
      <c r="M532" s="59"/>
      <c r="N532" s="63"/>
      <c r="O532" s="60"/>
      <c r="P532" s="60"/>
      <c r="Q532" s="60"/>
      <c r="R532" s="60"/>
      <c r="S532" s="60"/>
      <c r="T532" s="60"/>
      <c r="U532" s="60"/>
      <c r="V532" s="64"/>
      <c r="W532" s="60"/>
      <c r="X532" s="59"/>
      <c r="Y532" s="60"/>
      <c r="Z532" s="59"/>
      <c r="AA532" s="60"/>
    </row>
    <row r="533">
      <c r="A533" s="58"/>
      <c r="B533" s="58"/>
      <c r="C533" s="59"/>
      <c r="D533" s="60"/>
      <c r="E533" s="61"/>
      <c r="F533" s="62"/>
      <c r="G533" s="62"/>
      <c r="H533" s="62"/>
      <c r="I533" s="59"/>
      <c r="J533" s="60"/>
      <c r="K533" s="59"/>
      <c r="L533" s="60"/>
      <c r="M533" s="59"/>
      <c r="N533" s="63"/>
      <c r="O533" s="60"/>
      <c r="P533" s="60"/>
      <c r="Q533" s="60"/>
      <c r="R533" s="60"/>
      <c r="S533" s="60"/>
      <c r="T533" s="60"/>
      <c r="U533" s="60"/>
      <c r="V533" s="64"/>
      <c r="W533" s="60"/>
      <c r="X533" s="59"/>
      <c r="Y533" s="60"/>
      <c r="Z533" s="59"/>
      <c r="AA533" s="60"/>
    </row>
    <row r="534">
      <c r="A534" s="58"/>
      <c r="B534" s="58"/>
      <c r="C534" s="59"/>
      <c r="D534" s="60"/>
      <c r="E534" s="61"/>
      <c r="F534" s="62"/>
      <c r="G534" s="62"/>
      <c r="H534" s="62"/>
      <c r="I534" s="59"/>
      <c r="J534" s="60"/>
      <c r="K534" s="59"/>
      <c r="L534" s="60"/>
      <c r="M534" s="59"/>
      <c r="N534" s="63"/>
      <c r="O534" s="60"/>
      <c r="P534" s="60"/>
      <c r="Q534" s="60"/>
      <c r="R534" s="60"/>
      <c r="S534" s="60"/>
      <c r="T534" s="60"/>
      <c r="U534" s="60"/>
      <c r="V534" s="64"/>
      <c r="W534" s="60"/>
      <c r="X534" s="59"/>
      <c r="Y534" s="60"/>
      <c r="Z534" s="59"/>
      <c r="AA534" s="60"/>
    </row>
    <row r="535">
      <c r="A535" s="58"/>
      <c r="B535" s="58"/>
      <c r="C535" s="59"/>
      <c r="D535" s="60"/>
      <c r="E535" s="61"/>
      <c r="F535" s="62"/>
      <c r="G535" s="62"/>
      <c r="H535" s="62"/>
      <c r="I535" s="59"/>
      <c r="J535" s="60"/>
      <c r="K535" s="59"/>
      <c r="L535" s="60"/>
      <c r="M535" s="59"/>
      <c r="N535" s="63"/>
      <c r="O535" s="60"/>
      <c r="P535" s="60"/>
      <c r="Q535" s="60"/>
      <c r="R535" s="60"/>
      <c r="S535" s="60"/>
      <c r="T535" s="60"/>
      <c r="U535" s="60"/>
      <c r="V535" s="64"/>
      <c r="W535" s="60"/>
      <c r="X535" s="59"/>
      <c r="Y535" s="60"/>
      <c r="Z535" s="59"/>
      <c r="AA535" s="60"/>
    </row>
    <row r="536">
      <c r="A536" s="58"/>
      <c r="B536" s="58"/>
      <c r="C536" s="59"/>
      <c r="D536" s="60"/>
      <c r="E536" s="61"/>
      <c r="F536" s="62"/>
      <c r="G536" s="62"/>
      <c r="H536" s="62"/>
      <c r="I536" s="59"/>
      <c r="J536" s="60"/>
      <c r="K536" s="59"/>
      <c r="L536" s="60"/>
      <c r="M536" s="59"/>
      <c r="N536" s="63"/>
      <c r="O536" s="60"/>
      <c r="P536" s="60"/>
      <c r="Q536" s="60"/>
      <c r="R536" s="60"/>
      <c r="S536" s="60"/>
      <c r="T536" s="60"/>
      <c r="U536" s="60"/>
      <c r="V536" s="64"/>
      <c r="W536" s="60"/>
      <c r="X536" s="59"/>
      <c r="Y536" s="60"/>
      <c r="Z536" s="59"/>
      <c r="AA536" s="60"/>
    </row>
    <row r="537">
      <c r="A537" s="58"/>
      <c r="B537" s="58"/>
      <c r="C537" s="59"/>
      <c r="D537" s="60"/>
      <c r="E537" s="61"/>
      <c r="F537" s="62"/>
      <c r="G537" s="62"/>
      <c r="H537" s="62"/>
      <c r="I537" s="59"/>
      <c r="J537" s="60"/>
      <c r="K537" s="59"/>
      <c r="L537" s="60"/>
      <c r="M537" s="59"/>
      <c r="N537" s="63"/>
      <c r="O537" s="60"/>
      <c r="P537" s="60"/>
      <c r="Q537" s="60"/>
      <c r="R537" s="60"/>
      <c r="S537" s="60"/>
      <c r="T537" s="60"/>
      <c r="U537" s="60"/>
      <c r="V537" s="64"/>
      <c r="W537" s="60"/>
      <c r="X537" s="59"/>
      <c r="Y537" s="60"/>
      <c r="Z537" s="59"/>
      <c r="AA537" s="60"/>
    </row>
    <row r="538">
      <c r="A538" s="58"/>
      <c r="B538" s="58"/>
      <c r="C538" s="59"/>
      <c r="D538" s="60"/>
      <c r="E538" s="61"/>
      <c r="F538" s="62"/>
      <c r="G538" s="62"/>
      <c r="H538" s="62"/>
      <c r="I538" s="59"/>
      <c r="J538" s="60"/>
      <c r="K538" s="59"/>
      <c r="L538" s="60"/>
      <c r="M538" s="59"/>
      <c r="N538" s="63"/>
      <c r="O538" s="60"/>
      <c r="P538" s="60"/>
      <c r="Q538" s="60"/>
      <c r="R538" s="60"/>
      <c r="S538" s="60"/>
      <c r="T538" s="60"/>
      <c r="U538" s="60"/>
      <c r="V538" s="64"/>
      <c r="W538" s="60"/>
      <c r="X538" s="59"/>
      <c r="Y538" s="60"/>
      <c r="Z538" s="59"/>
      <c r="AA538" s="60"/>
    </row>
    <row r="539">
      <c r="A539" s="58"/>
      <c r="B539" s="58"/>
      <c r="C539" s="59"/>
      <c r="D539" s="60"/>
      <c r="E539" s="61"/>
      <c r="F539" s="62"/>
      <c r="G539" s="62"/>
      <c r="H539" s="62"/>
      <c r="I539" s="59"/>
      <c r="J539" s="60"/>
      <c r="K539" s="59"/>
      <c r="L539" s="60"/>
      <c r="M539" s="59"/>
      <c r="N539" s="63"/>
      <c r="O539" s="60"/>
      <c r="P539" s="60"/>
      <c r="Q539" s="60"/>
      <c r="R539" s="60"/>
      <c r="S539" s="60"/>
      <c r="T539" s="60"/>
      <c r="U539" s="60"/>
      <c r="V539" s="64"/>
      <c r="W539" s="60"/>
      <c r="X539" s="59"/>
      <c r="Y539" s="60"/>
      <c r="Z539" s="59"/>
      <c r="AA539" s="60"/>
    </row>
    <row r="540">
      <c r="A540" s="58"/>
      <c r="B540" s="58"/>
      <c r="C540" s="59"/>
      <c r="D540" s="60"/>
      <c r="E540" s="61"/>
      <c r="F540" s="62"/>
      <c r="G540" s="62"/>
      <c r="H540" s="62"/>
      <c r="I540" s="59"/>
      <c r="J540" s="60"/>
      <c r="K540" s="59"/>
      <c r="L540" s="60"/>
      <c r="M540" s="59"/>
      <c r="N540" s="63"/>
      <c r="O540" s="60"/>
      <c r="P540" s="60"/>
      <c r="Q540" s="60"/>
      <c r="R540" s="60"/>
      <c r="S540" s="60"/>
      <c r="T540" s="60"/>
      <c r="U540" s="60"/>
      <c r="V540" s="64"/>
      <c r="W540" s="60"/>
      <c r="X540" s="59"/>
      <c r="Y540" s="60"/>
      <c r="Z540" s="59"/>
      <c r="AA540" s="60"/>
    </row>
    <row r="541">
      <c r="A541" s="58"/>
      <c r="B541" s="58"/>
      <c r="C541" s="59"/>
      <c r="D541" s="60"/>
      <c r="E541" s="61"/>
      <c r="F541" s="62"/>
      <c r="G541" s="62"/>
      <c r="H541" s="62"/>
      <c r="I541" s="59"/>
      <c r="J541" s="60"/>
      <c r="K541" s="59"/>
      <c r="L541" s="60"/>
      <c r="M541" s="59"/>
      <c r="N541" s="63"/>
      <c r="O541" s="60"/>
      <c r="P541" s="60"/>
      <c r="Q541" s="60"/>
      <c r="R541" s="60"/>
      <c r="S541" s="60"/>
      <c r="T541" s="60"/>
      <c r="U541" s="60"/>
      <c r="V541" s="64"/>
      <c r="W541" s="60"/>
      <c r="X541" s="59"/>
      <c r="Y541" s="60"/>
      <c r="Z541" s="59"/>
      <c r="AA541" s="60"/>
    </row>
    <row r="542">
      <c r="A542" s="58"/>
      <c r="B542" s="58"/>
      <c r="C542" s="59"/>
      <c r="D542" s="60"/>
      <c r="E542" s="61"/>
      <c r="F542" s="62"/>
      <c r="G542" s="62"/>
      <c r="H542" s="62"/>
      <c r="I542" s="59"/>
      <c r="J542" s="60"/>
      <c r="K542" s="59"/>
      <c r="L542" s="60"/>
      <c r="M542" s="59"/>
      <c r="N542" s="63"/>
      <c r="O542" s="60"/>
      <c r="P542" s="60"/>
      <c r="Q542" s="60"/>
      <c r="R542" s="60"/>
      <c r="S542" s="60"/>
      <c r="T542" s="60"/>
      <c r="U542" s="60"/>
      <c r="V542" s="64"/>
      <c r="W542" s="60"/>
      <c r="X542" s="59"/>
      <c r="Y542" s="60"/>
      <c r="Z542" s="59"/>
      <c r="AA542" s="60"/>
    </row>
    <row r="543">
      <c r="A543" s="58"/>
      <c r="B543" s="58"/>
      <c r="C543" s="59"/>
      <c r="D543" s="60"/>
      <c r="E543" s="61"/>
      <c r="F543" s="62"/>
      <c r="G543" s="62"/>
      <c r="H543" s="62"/>
      <c r="I543" s="59"/>
      <c r="J543" s="60"/>
      <c r="K543" s="59"/>
      <c r="L543" s="60"/>
      <c r="M543" s="59"/>
      <c r="N543" s="63"/>
      <c r="O543" s="60"/>
      <c r="P543" s="60"/>
      <c r="Q543" s="60"/>
      <c r="R543" s="60"/>
      <c r="S543" s="60"/>
      <c r="T543" s="60"/>
      <c r="U543" s="60"/>
      <c r="V543" s="64"/>
      <c r="W543" s="60"/>
      <c r="X543" s="59"/>
      <c r="Y543" s="60"/>
      <c r="Z543" s="59"/>
      <c r="AA543" s="60"/>
    </row>
    <row r="544">
      <c r="A544" s="58"/>
      <c r="B544" s="58"/>
      <c r="C544" s="59"/>
      <c r="D544" s="60"/>
      <c r="E544" s="61"/>
      <c r="F544" s="62"/>
      <c r="G544" s="62"/>
      <c r="H544" s="62"/>
      <c r="I544" s="59"/>
      <c r="J544" s="60"/>
      <c r="K544" s="59"/>
      <c r="L544" s="60"/>
      <c r="M544" s="59"/>
      <c r="N544" s="63"/>
      <c r="O544" s="60"/>
      <c r="P544" s="60"/>
      <c r="Q544" s="60"/>
      <c r="R544" s="60"/>
      <c r="S544" s="60"/>
      <c r="T544" s="60"/>
      <c r="U544" s="60"/>
      <c r="V544" s="64"/>
      <c r="W544" s="60"/>
      <c r="X544" s="59"/>
      <c r="Y544" s="60"/>
      <c r="Z544" s="59"/>
      <c r="AA544" s="60"/>
    </row>
    <row r="545">
      <c r="A545" s="58"/>
      <c r="B545" s="58"/>
      <c r="C545" s="59"/>
      <c r="D545" s="60"/>
      <c r="E545" s="61"/>
      <c r="F545" s="62"/>
      <c r="G545" s="62"/>
      <c r="H545" s="62"/>
      <c r="I545" s="59"/>
      <c r="J545" s="60"/>
      <c r="K545" s="59"/>
      <c r="L545" s="60"/>
      <c r="M545" s="59"/>
      <c r="N545" s="63"/>
      <c r="O545" s="60"/>
      <c r="P545" s="60"/>
      <c r="Q545" s="60"/>
      <c r="R545" s="60"/>
      <c r="S545" s="60"/>
      <c r="T545" s="60"/>
      <c r="U545" s="60"/>
      <c r="V545" s="64"/>
      <c r="W545" s="60"/>
      <c r="X545" s="59"/>
      <c r="Y545" s="60"/>
      <c r="Z545" s="59"/>
      <c r="AA545" s="60"/>
    </row>
    <row r="546">
      <c r="A546" s="58"/>
      <c r="B546" s="58"/>
      <c r="C546" s="59"/>
      <c r="D546" s="60"/>
      <c r="E546" s="61"/>
      <c r="F546" s="62"/>
      <c r="G546" s="62"/>
      <c r="H546" s="62"/>
      <c r="I546" s="59"/>
      <c r="J546" s="60"/>
      <c r="K546" s="59"/>
      <c r="L546" s="60"/>
      <c r="M546" s="59"/>
      <c r="N546" s="63"/>
      <c r="O546" s="60"/>
      <c r="P546" s="60"/>
      <c r="Q546" s="60"/>
      <c r="R546" s="60"/>
      <c r="S546" s="60"/>
      <c r="T546" s="60"/>
      <c r="U546" s="60"/>
      <c r="V546" s="64"/>
      <c r="W546" s="60"/>
      <c r="X546" s="59"/>
      <c r="Y546" s="60"/>
      <c r="Z546" s="59"/>
      <c r="AA546" s="60"/>
    </row>
    <row r="547">
      <c r="A547" s="58"/>
      <c r="B547" s="58"/>
      <c r="C547" s="59"/>
      <c r="D547" s="60"/>
      <c r="E547" s="61"/>
      <c r="F547" s="62"/>
      <c r="G547" s="62"/>
      <c r="H547" s="62"/>
      <c r="I547" s="59"/>
      <c r="J547" s="60"/>
      <c r="K547" s="59"/>
      <c r="L547" s="60"/>
      <c r="M547" s="59"/>
      <c r="N547" s="63"/>
      <c r="O547" s="60"/>
      <c r="P547" s="60"/>
      <c r="Q547" s="60"/>
      <c r="R547" s="60"/>
      <c r="S547" s="60"/>
      <c r="T547" s="60"/>
      <c r="U547" s="60"/>
      <c r="V547" s="64"/>
      <c r="W547" s="60"/>
      <c r="X547" s="59"/>
      <c r="Y547" s="60"/>
      <c r="Z547" s="59"/>
      <c r="AA547" s="60"/>
    </row>
    <row r="548">
      <c r="A548" s="58"/>
      <c r="B548" s="58"/>
      <c r="C548" s="59"/>
      <c r="D548" s="60"/>
      <c r="E548" s="61"/>
      <c r="F548" s="62"/>
      <c r="G548" s="62"/>
      <c r="H548" s="62"/>
      <c r="I548" s="59"/>
      <c r="J548" s="60"/>
      <c r="K548" s="59"/>
      <c r="L548" s="60"/>
      <c r="M548" s="59"/>
      <c r="N548" s="63"/>
      <c r="O548" s="60"/>
      <c r="P548" s="60"/>
      <c r="Q548" s="60"/>
      <c r="R548" s="60"/>
      <c r="S548" s="60"/>
      <c r="T548" s="60"/>
      <c r="U548" s="60"/>
      <c r="V548" s="64"/>
      <c r="W548" s="60"/>
      <c r="X548" s="59"/>
      <c r="Y548" s="60"/>
      <c r="Z548" s="59"/>
      <c r="AA548" s="60"/>
    </row>
    <row r="549">
      <c r="A549" s="58"/>
      <c r="B549" s="58"/>
      <c r="C549" s="59"/>
      <c r="D549" s="60"/>
      <c r="E549" s="61"/>
      <c r="F549" s="62"/>
      <c r="G549" s="62"/>
      <c r="H549" s="62"/>
      <c r="I549" s="59"/>
      <c r="J549" s="60"/>
      <c r="K549" s="59"/>
      <c r="L549" s="60"/>
      <c r="M549" s="59"/>
      <c r="N549" s="63"/>
      <c r="O549" s="60"/>
      <c r="P549" s="60"/>
      <c r="Q549" s="60"/>
      <c r="R549" s="60"/>
      <c r="S549" s="60"/>
      <c r="T549" s="60"/>
      <c r="U549" s="60"/>
      <c r="V549" s="64"/>
      <c r="W549" s="60"/>
      <c r="X549" s="59"/>
      <c r="Y549" s="60"/>
      <c r="Z549" s="59"/>
      <c r="AA549" s="60"/>
    </row>
    <row r="550">
      <c r="A550" s="58"/>
      <c r="B550" s="58"/>
      <c r="C550" s="59"/>
      <c r="D550" s="60"/>
      <c r="E550" s="61"/>
      <c r="F550" s="62"/>
      <c r="G550" s="62"/>
      <c r="H550" s="62"/>
      <c r="I550" s="59"/>
      <c r="J550" s="60"/>
      <c r="K550" s="59"/>
      <c r="L550" s="60"/>
      <c r="M550" s="59"/>
      <c r="N550" s="63"/>
      <c r="O550" s="60"/>
      <c r="P550" s="60"/>
      <c r="Q550" s="60"/>
      <c r="R550" s="60"/>
      <c r="S550" s="60"/>
      <c r="T550" s="60"/>
      <c r="U550" s="60"/>
      <c r="V550" s="64"/>
      <c r="W550" s="60"/>
      <c r="X550" s="59"/>
      <c r="Y550" s="60"/>
      <c r="Z550" s="59"/>
      <c r="AA550" s="60"/>
    </row>
    <row r="551">
      <c r="A551" s="58"/>
      <c r="B551" s="58"/>
      <c r="C551" s="59"/>
      <c r="D551" s="60"/>
      <c r="E551" s="61"/>
      <c r="F551" s="62"/>
      <c r="G551" s="62"/>
      <c r="H551" s="62"/>
      <c r="I551" s="59"/>
      <c r="J551" s="60"/>
      <c r="K551" s="59"/>
      <c r="L551" s="60"/>
      <c r="M551" s="59"/>
      <c r="N551" s="63"/>
      <c r="O551" s="60"/>
      <c r="P551" s="60"/>
      <c r="Q551" s="60"/>
      <c r="R551" s="60"/>
      <c r="S551" s="60"/>
      <c r="T551" s="60"/>
      <c r="U551" s="60"/>
      <c r="V551" s="64"/>
      <c r="W551" s="60"/>
      <c r="X551" s="59"/>
      <c r="Y551" s="60"/>
      <c r="Z551" s="59"/>
      <c r="AA551" s="60"/>
    </row>
    <row r="552">
      <c r="A552" s="58"/>
      <c r="B552" s="58"/>
      <c r="C552" s="59"/>
      <c r="D552" s="60"/>
      <c r="E552" s="61"/>
      <c r="F552" s="62"/>
      <c r="G552" s="62"/>
      <c r="H552" s="62"/>
      <c r="I552" s="59"/>
      <c r="J552" s="60"/>
      <c r="K552" s="59"/>
      <c r="L552" s="60"/>
      <c r="M552" s="59"/>
      <c r="N552" s="63"/>
      <c r="O552" s="60"/>
      <c r="P552" s="60"/>
      <c r="Q552" s="60"/>
      <c r="R552" s="60"/>
      <c r="S552" s="60"/>
      <c r="T552" s="60"/>
      <c r="U552" s="60"/>
      <c r="V552" s="64"/>
      <c r="W552" s="60"/>
      <c r="X552" s="59"/>
      <c r="Y552" s="60"/>
      <c r="Z552" s="59"/>
      <c r="AA552" s="60"/>
    </row>
    <row r="553">
      <c r="A553" s="58"/>
      <c r="B553" s="58"/>
      <c r="C553" s="59"/>
      <c r="D553" s="60"/>
      <c r="E553" s="61"/>
      <c r="F553" s="62"/>
      <c r="G553" s="62"/>
      <c r="H553" s="62"/>
      <c r="I553" s="59"/>
      <c r="J553" s="60"/>
      <c r="K553" s="59"/>
      <c r="L553" s="60"/>
      <c r="M553" s="59"/>
      <c r="N553" s="63"/>
      <c r="O553" s="60"/>
      <c r="P553" s="60"/>
      <c r="Q553" s="60"/>
      <c r="R553" s="60"/>
      <c r="S553" s="60"/>
      <c r="T553" s="60"/>
      <c r="U553" s="60"/>
      <c r="V553" s="64"/>
      <c r="W553" s="60"/>
      <c r="X553" s="59"/>
      <c r="Y553" s="60"/>
      <c r="Z553" s="59"/>
      <c r="AA553" s="60"/>
    </row>
    <row r="554">
      <c r="A554" s="58"/>
      <c r="B554" s="58"/>
      <c r="C554" s="59"/>
      <c r="D554" s="60"/>
      <c r="E554" s="61"/>
      <c r="F554" s="62"/>
      <c r="G554" s="62"/>
      <c r="H554" s="62"/>
      <c r="I554" s="59"/>
      <c r="J554" s="60"/>
      <c r="K554" s="59"/>
      <c r="L554" s="60"/>
      <c r="M554" s="59"/>
      <c r="N554" s="63"/>
      <c r="O554" s="60"/>
      <c r="P554" s="60"/>
      <c r="Q554" s="60"/>
      <c r="R554" s="60"/>
      <c r="S554" s="60"/>
      <c r="T554" s="60"/>
      <c r="U554" s="60"/>
      <c r="V554" s="64"/>
      <c r="W554" s="60"/>
      <c r="X554" s="59"/>
      <c r="Y554" s="60"/>
      <c r="Z554" s="59"/>
      <c r="AA554" s="60"/>
    </row>
    <row r="555">
      <c r="A555" s="58"/>
      <c r="B555" s="58"/>
      <c r="C555" s="59"/>
      <c r="D555" s="60"/>
      <c r="E555" s="61"/>
      <c r="F555" s="62"/>
      <c r="G555" s="62"/>
      <c r="H555" s="62"/>
      <c r="I555" s="59"/>
      <c r="J555" s="60"/>
      <c r="K555" s="59"/>
      <c r="L555" s="60"/>
      <c r="M555" s="59"/>
      <c r="N555" s="63"/>
      <c r="O555" s="60"/>
      <c r="P555" s="60"/>
      <c r="Q555" s="60"/>
      <c r="R555" s="60"/>
      <c r="S555" s="60"/>
      <c r="T555" s="60"/>
      <c r="U555" s="60"/>
      <c r="V555" s="64"/>
      <c r="W555" s="60"/>
      <c r="X555" s="59"/>
      <c r="Y555" s="60"/>
      <c r="Z555" s="59"/>
      <c r="AA555" s="60"/>
    </row>
    <row r="556">
      <c r="A556" s="58"/>
      <c r="B556" s="58"/>
      <c r="C556" s="59"/>
      <c r="D556" s="60"/>
      <c r="E556" s="61"/>
      <c r="F556" s="62"/>
      <c r="G556" s="62"/>
      <c r="H556" s="62"/>
      <c r="I556" s="59"/>
      <c r="J556" s="60"/>
      <c r="K556" s="59"/>
      <c r="L556" s="60"/>
      <c r="M556" s="59"/>
      <c r="N556" s="63"/>
      <c r="O556" s="60"/>
      <c r="P556" s="60"/>
      <c r="Q556" s="60"/>
      <c r="R556" s="60"/>
      <c r="S556" s="60"/>
      <c r="T556" s="60"/>
      <c r="U556" s="60"/>
      <c r="V556" s="64"/>
      <c r="W556" s="60"/>
      <c r="X556" s="59"/>
      <c r="Y556" s="60"/>
      <c r="Z556" s="59"/>
      <c r="AA556" s="60"/>
    </row>
    <row r="557">
      <c r="A557" s="58"/>
      <c r="B557" s="58"/>
      <c r="C557" s="59"/>
      <c r="D557" s="60"/>
      <c r="E557" s="61"/>
      <c r="F557" s="62"/>
      <c r="G557" s="62"/>
      <c r="H557" s="62"/>
      <c r="I557" s="59"/>
      <c r="J557" s="60"/>
      <c r="K557" s="59"/>
      <c r="L557" s="60"/>
      <c r="M557" s="59"/>
      <c r="N557" s="63"/>
      <c r="O557" s="60"/>
      <c r="P557" s="60"/>
      <c r="Q557" s="60"/>
      <c r="R557" s="60"/>
      <c r="S557" s="60"/>
      <c r="T557" s="60"/>
      <c r="U557" s="60"/>
      <c r="V557" s="64"/>
      <c r="W557" s="60"/>
      <c r="X557" s="59"/>
      <c r="Y557" s="60"/>
      <c r="Z557" s="59"/>
      <c r="AA557" s="60"/>
    </row>
    <row r="558">
      <c r="A558" s="58"/>
      <c r="B558" s="58"/>
      <c r="C558" s="59"/>
      <c r="D558" s="60"/>
      <c r="E558" s="61"/>
      <c r="F558" s="62"/>
      <c r="G558" s="62"/>
      <c r="H558" s="62"/>
      <c r="I558" s="59"/>
      <c r="J558" s="60"/>
      <c r="K558" s="59"/>
      <c r="L558" s="60"/>
      <c r="M558" s="59"/>
      <c r="N558" s="63"/>
      <c r="O558" s="60"/>
      <c r="P558" s="60"/>
      <c r="Q558" s="60"/>
      <c r="R558" s="60"/>
      <c r="S558" s="60"/>
      <c r="T558" s="60"/>
      <c r="U558" s="60"/>
      <c r="V558" s="64"/>
      <c r="W558" s="60"/>
      <c r="X558" s="59"/>
      <c r="Y558" s="60"/>
      <c r="Z558" s="59"/>
      <c r="AA558" s="60"/>
    </row>
    <row r="559">
      <c r="A559" s="58"/>
      <c r="B559" s="58"/>
      <c r="C559" s="59"/>
      <c r="D559" s="60"/>
      <c r="E559" s="61"/>
      <c r="F559" s="62"/>
      <c r="G559" s="62"/>
      <c r="H559" s="62"/>
      <c r="I559" s="59"/>
      <c r="J559" s="60"/>
      <c r="K559" s="59"/>
      <c r="L559" s="60"/>
      <c r="M559" s="59"/>
      <c r="N559" s="63"/>
      <c r="O559" s="60"/>
      <c r="P559" s="60"/>
      <c r="Q559" s="60"/>
      <c r="R559" s="60"/>
      <c r="S559" s="60"/>
      <c r="T559" s="60"/>
      <c r="U559" s="60"/>
      <c r="V559" s="64"/>
      <c r="W559" s="60"/>
      <c r="X559" s="59"/>
      <c r="Y559" s="60"/>
      <c r="Z559" s="59"/>
      <c r="AA559" s="60"/>
    </row>
    <row r="560">
      <c r="A560" s="58"/>
      <c r="B560" s="58"/>
      <c r="C560" s="59"/>
      <c r="D560" s="60"/>
      <c r="E560" s="61"/>
      <c r="F560" s="62"/>
      <c r="G560" s="62"/>
      <c r="H560" s="62"/>
      <c r="I560" s="59"/>
      <c r="J560" s="60"/>
      <c r="K560" s="59"/>
      <c r="L560" s="60"/>
      <c r="M560" s="59"/>
      <c r="N560" s="63"/>
      <c r="O560" s="60"/>
      <c r="P560" s="60"/>
      <c r="Q560" s="60"/>
      <c r="R560" s="60"/>
      <c r="S560" s="60"/>
      <c r="T560" s="60"/>
      <c r="U560" s="60"/>
      <c r="V560" s="64"/>
      <c r="W560" s="60"/>
      <c r="X560" s="59"/>
      <c r="Y560" s="60"/>
      <c r="Z560" s="59"/>
      <c r="AA560" s="60"/>
    </row>
    <row r="561">
      <c r="A561" s="58"/>
      <c r="B561" s="58"/>
      <c r="C561" s="59"/>
      <c r="D561" s="60"/>
      <c r="E561" s="61"/>
      <c r="F561" s="62"/>
      <c r="G561" s="62"/>
      <c r="H561" s="62"/>
      <c r="I561" s="59"/>
      <c r="J561" s="60"/>
      <c r="K561" s="59"/>
      <c r="L561" s="60"/>
      <c r="M561" s="59"/>
      <c r="N561" s="63"/>
      <c r="O561" s="60"/>
      <c r="P561" s="60"/>
      <c r="Q561" s="60"/>
      <c r="R561" s="60"/>
      <c r="S561" s="60"/>
      <c r="T561" s="60"/>
      <c r="U561" s="60"/>
      <c r="V561" s="64"/>
      <c r="W561" s="60"/>
      <c r="X561" s="59"/>
      <c r="Y561" s="60"/>
      <c r="Z561" s="59"/>
      <c r="AA561" s="60"/>
    </row>
    <row r="562">
      <c r="A562" s="58"/>
      <c r="B562" s="58"/>
      <c r="C562" s="59"/>
      <c r="D562" s="60"/>
      <c r="E562" s="61"/>
      <c r="F562" s="62"/>
      <c r="G562" s="62"/>
      <c r="H562" s="62"/>
      <c r="I562" s="59"/>
      <c r="J562" s="60"/>
      <c r="K562" s="59"/>
      <c r="L562" s="60"/>
      <c r="M562" s="59"/>
      <c r="N562" s="63"/>
      <c r="O562" s="60"/>
      <c r="P562" s="60"/>
      <c r="Q562" s="60"/>
      <c r="R562" s="60"/>
      <c r="S562" s="60"/>
      <c r="T562" s="60"/>
      <c r="U562" s="60"/>
      <c r="V562" s="64"/>
      <c r="W562" s="60"/>
      <c r="X562" s="59"/>
      <c r="Y562" s="60"/>
      <c r="Z562" s="59"/>
      <c r="AA562" s="60"/>
    </row>
    <row r="563">
      <c r="A563" s="58"/>
      <c r="B563" s="58"/>
      <c r="C563" s="59"/>
      <c r="D563" s="60"/>
      <c r="E563" s="61"/>
      <c r="F563" s="62"/>
      <c r="G563" s="62"/>
      <c r="H563" s="62"/>
      <c r="I563" s="59"/>
      <c r="J563" s="60"/>
      <c r="K563" s="59"/>
      <c r="L563" s="60"/>
      <c r="M563" s="59"/>
      <c r="N563" s="63"/>
      <c r="O563" s="60"/>
      <c r="P563" s="60"/>
      <c r="Q563" s="60"/>
      <c r="R563" s="60"/>
      <c r="S563" s="60"/>
      <c r="T563" s="60"/>
      <c r="U563" s="60"/>
      <c r="V563" s="64"/>
      <c r="W563" s="60"/>
      <c r="X563" s="59"/>
      <c r="Y563" s="60"/>
      <c r="Z563" s="59"/>
      <c r="AA563" s="60"/>
    </row>
    <row r="564">
      <c r="A564" s="58"/>
      <c r="B564" s="58"/>
      <c r="C564" s="59"/>
      <c r="D564" s="60"/>
      <c r="E564" s="61"/>
      <c r="F564" s="62"/>
      <c r="G564" s="62"/>
      <c r="H564" s="62"/>
      <c r="I564" s="59"/>
      <c r="J564" s="60"/>
      <c r="K564" s="59"/>
      <c r="L564" s="60"/>
      <c r="M564" s="59"/>
      <c r="N564" s="63"/>
      <c r="O564" s="60"/>
      <c r="P564" s="60"/>
      <c r="Q564" s="60"/>
      <c r="R564" s="60"/>
      <c r="S564" s="60"/>
      <c r="T564" s="60"/>
      <c r="U564" s="60"/>
      <c r="V564" s="64"/>
      <c r="W564" s="60"/>
      <c r="X564" s="59"/>
      <c r="Y564" s="60"/>
      <c r="Z564" s="59"/>
      <c r="AA564" s="60"/>
    </row>
    <row r="565">
      <c r="A565" s="58"/>
      <c r="B565" s="58"/>
      <c r="C565" s="59"/>
      <c r="D565" s="60"/>
      <c r="E565" s="61"/>
      <c r="F565" s="62"/>
      <c r="G565" s="62"/>
      <c r="H565" s="62"/>
      <c r="I565" s="59"/>
      <c r="J565" s="60"/>
      <c r="K565" s="59"/>
      <c r="L565" s="60"/>
      <c r="M565" s="59"/>
      <c r="N565" s="63"/>
      <c r="O565" s="60"/>
      <c r="P565" s="60"/>
      <c r="Q565" s="60"/>
      <c r="R565" s="60"/>
      <c r="S565" s="60"/>
      <c r="T565" s="60"/>
      <c r="U565" s="60"/>
      <c r="V565" s="64"/>
      <c r="W565" s="60"/>
      <c r="X565" s="59"/>
      <c r="Y565" s="60"/>
      <c r="Z565" s="59"/>
      <c r="AA565" s="60"/>
    </row>
    <row r="566">
      <c r="A566" s="58"/>
      <c r="B566" s="58"/>
      <c r="C566" s="59"/>
      <c r="D566" s="60"/>
      <c r="E566" s="61"/>
      <c r="F566" s="62"/>
      <c r="G566" s="62"/>
      <c r="H566" s="62"/>
      <c r="I566" s="59"/>
      <c r="J566" s="60"/>
      <c r="K566" s="59"/>
      <c r="L566" s="60"/>
      <c r="M566" s="59"/>
      <c r="N566" s="63"/>
      <c r="O566" s="60"/>
      <c r="P566" s="60"/>
      <c r="Q566" s="60"/>
      <c r="R566" s="60"/>
      <c r="S566" s="60"/>
      <c r="T566" s="60"/>
      <c r="U566" s="60"/>
      <c r="V566" s="64"/>
      <c r="W566" s="60"/>
      <c r="X566" s="59"/>
      <c r="Y566" s="60"/>
      <c r="Z566" s="59"/>
      <c r="AA566" s="60"/>
    </row>
    <row r="567">
      <c r="A567" s="58"/>
      <c r="B567" s="58"/>
      <c r="C567" s="59"/>
      <c r="D567" s="60"/>
      <c r="E567" s="61"/>
      <c r="F567" s="62"/>
      <c r="G567" s="62"/>
      <c r="H567" s="62"/>
      <c r="I567" s="59"/>
      <c r="J567" s="60"/>
      <c r="K567" s="59"/>
      <c r="L567" s="60"/>
      <c r="M567" s="59"/>
      <c r="N567" s="63"/>
      <c r="O567" s="60"/>
      <c r="P567" s="60"/>
      <c r="Q567" s="60"/>
      <c r="R567" s="60"/>
      <c r="S567" s="60"/>
      <c r="T567" s="60"/>
      <c r="U567" s="60"/>
      <c r="V567" s="64"/>
      <c r="W567" s="60"/>
      <c r="X567" s="59"/>
      <c r="Y567" s="60"/>
      <c r="Z567" s="59"/>
      <c r="AA567" s="60"/>
    </row>
    <row r="568">
      <c r="A568" s="58"/>
      <c r="B568" s="58"/>
      <c r="C568" s="59"/>
      <c r="D568" s="60"/>
      <c r="E568" s="61"/>
      <c r="F568" s="62"/>
      <c r="G568" s="62"/>
      <c r="H568" s="62"/>
      <c r="I568" s="59"/>
      <c r="J568" s="60"/>
      <c r="K568" s="59"/>
      <c r="L568" s="60"/>
      <c r="M568" s="59"/>
      <c r="N568" s="63"/>
      <c r="O568" s="60"/>
      <c r="P568" s="60"/>
      <c r="Q568" s="60"/>
      <c r="R568" s="60"/>
      <c r="S568" s="60"/>
      <c r="T568" s="60"/>
      <c r="U568" s="60"/>
      <c r="V568" s="64"/>
      <c r="W568" s="60"/>
      <c r="X568" s="59"/>
      <c r="Y568" s="60"/>
      <c r="Z568" s="59"/>
      <c r="AA568" s="60"/>
    </row>
    <row r="569">
      <c r="A569" s="58"/>
      <c r="B569" s="58"/>
      <c r="C569" s="59"/>
      <c r="D569" s="60"/>
      <c r="E569" s="61"/>
      <c r="F569" s="62"/>
      <c r="G569" s="62"/>
      <c r="H569" s="62"/>
      <c r="I569" s="59"/>
      <c r="J569" s="60"/>
      <c r="K569" s="59"/>
      <c r="L569" s="60"/>
      <c r="M569" s="59"/>
      <c r="N569" s="63"/>
      <c r="O569" s="60"/>
      <c r="P569" s="60"/>
      <c r="Q569" s="60"/>
      <c r="R569" s="60"/>
      <c r="S569" s="60"/>
      <c r="T569" s="60"/>
      <c r="U569" s="60"/>
      <c r="V569" s="64"/>
      <c r="W569" s="60"/>
      <c r="X569" s="59"/>
      <c r="Y569" s="60"/>
      <c r="Z569" s="59"/>
      <c r="AA569" s="60"/>
    </row>
    <row r="570">
      <c r="A570" s="58"/>
      <c r="B570" s="58"/>
      <c r="C570" s="59"/>
      <c r="D570" s="60"/>
      <c r="E570" s="61"/>
      <c r="F570" s="62"/>
      <c r="G570" s="62"/>
      <c r="H570" s="62"/>
      <c r="I570" s="59"/>
      <c r="J570" s="60"/>
      <c r="K570" s="59"/>
      <c r="L570" s="60"/>
      <c r="M570" s="59"/>
      <c r="N570" s="63"/>
      <c r="O570" s="60"/>
      <c r="P570" s="60"/>
      <c r="Q570" s="60"/>
      <c r="R570" s="60"/>
      <c r="S570" s="60"/>
      <c r="T570" s="60"/>
      <c r="U570" s="60"/>
      <c r="V570" s="64"/>
      <c r="W570" s="60"/>
      <c r="X570" s="59"/>
      <c r="Y570" s="60"/>
      <c r="Z570" s="59"/>
      <c r="AA570" s="60"/>
    </row>
    <row r="571">
      <c r="A571" s="58"/>
      <c r="B571" s="58"/>
      <c r="C571" s="59"/>
      <c r="D571" s="60"/>
      <c r="E571" s="61"/>
      <c r="F571" s="62"/>
      <c r="G571" s="62"/>
      <c r="H571" s="62"/>
      <c r="I571" s="59"/>
      <c r="J571" s="60"/>
      <c r="K571" s="59"/>
      <c r="L571" s="60"/>
      <c r="M571" s="59"/>
      <c r="N571" s="63"/>
      <c r="O571" s="60"/>
      <c r="P571" s="60"/>
      <c r="Q571" s="60"/>
      <c r="R571" s="60"/>
      <c r="S571" s="60"/>
      <c r="T571" s="60"/>
      <c r="U571" s="60"/>
      <c r="V571" s="64"/>
      <c r="W571" s="60"/>
      <c r="X571" s="59"/>
      <c r="Y571" s="60"/>
      <c r="Z571" s="59"/>
      <c r="AA571" s="60"/>
    </row>
    <row r="572">
      <c r="A572" s="58"/>
      <c r="B572" s="58"/>
      <c r="C572" s="59"/>
      <c r="D572" s="60"/>
      <c r="E572" s="61"/>
      <c r="F572" s="62"/>
      <c r="G572" s="62"/>
      <c r="H572" s="62"/>
      <c r="I572" s="59"/>
      <c r="J572" s="60"/>
      <c r="K572" s="59"/>
      <c r="L572" s="60"/>
      <c r="M572" s="59"/>
      <c r="N572" s="63"/>
      <c r="O572" s="60"/>
      <c r="P572" s="60"/>
      <c r="Q572" s="60"/>
      <c r="R572" s="60"/>
      <c r="S572" s="60"/>
      <c r="T572" s="60"/>
      <c r="U572" s="60"/>
      <c r="V572" s="64"/>
      <c r="W572" s="60"/>
      <c r="X572" s="59"/>
      <c r="Y572" s="60"/>
      <c r="Z572" s="59"/>
      <c r="AA572" s="60"/>
    </row>
    <row r="573">
      <c r="A573" s="58"/>
      <c r="B573" s="58"/>
      <c r="C573" s="59"/>
      <c r="D573" s="60"/>
      <c r="E573" s="61"/>
      <c r="F573" s="62"/>
      <c r="G573" s="62"/>
      <c r="H573" s="62"/>
      <c r="I573" s="59"/>
      <c r="J573" s="60"/>
      <c r="K573" s="59"/>
      <c r="L573" s="60"/>
      <c r="M573" s="59"/>
      <c r="N573" s="63"/>
      <c r="O573" s="60"/>
      <c r="P573" s="60"/>
      <c r="Q573" s="60"/>
      <c r="R573" s="60"/>
      <c r="S573" s="60"/>
      <c r="T573" s="60"/>
      <c r="U573" s="60"/>
      <c r="V573" s="64"/>
      <c r="W573" s="60"/>
      <c r="X573" s="59"/>
      <c r="Y573" s="60"/>
      <c r="Z573" s="59"/>
      <c r="AA573" s="60"/>
    </row>
    <row r="574">
      <c r="A574" s="58"/>
      <c r="B574" s="58"/>
      <c r="C574" s="59"/>
      <c r="D574" s="60"/>
      <c r="E574" s="61"/>
      <c r="F574" s="62"/>
      <c r="G574" s="62"/>
      <c r="H574" s="62"/>
      <c r="I574" s="59"/>
      <c r="J574" s="60"/>
      <c r="K574" s="59"/>
      <c r="L574" s="60"/>
      <c r="M574" s="59"/>
      <c r="N574" s="63"/>
      <c r="O574" s="60"/>
      <c r="P574" s="60"/>
      <c r="Q574" s="60"/>
      <c r="R574" s="60"/>
      <c r="S574" s="60"/>
      <c r="T574" s="60"/>
      <c r="U574" s="60"/>
      <c r="V574" s="64"/>
      <c r="W574" s="60"/>
      <c r="X574" s="59"/>
      <c r="Y574" s="60"/>
      <c r="Z574" s="59"/>
      <c r="AA574" s="60"/>
    </row>
    <row r="575">
      <c r="A575" s="58"/>
      <c r="B575" s="58"/>
      <c r="C575" s="59"/>
      <c r="D575" s="60"/>
      <c r="E575" s="61"/>
      <c r="F575" s="62"/>
      <c r="G575" s="62"/>
      <c r="H575" s="62"/>
      <c r="I575" s="59"/>
      <c r="J575" s="60"/>
      <c r="K575" s="59"/>
      <c r="L575" s="60"/>
      <c r="M575" s="59"/>
      <c r="N575" s="63"/>
      <c r="O575" s="60"/>
      <c r="P575" s="60"/>
      <c r="Q575" s="60"/>
      <c r="R575" s="60"/>
      <c r="S575" s="60"/>
      <c r="T575" s="60"/>
      <c r="U575" s="60"/>
      <c r="V575" s="64"/>
      <c r="W575" s="60"/>
      <c r="X575" s="59"/>
      <c r="Y575" s="60"/>
      <c r="Z575" s="59"/>
      <c r="AA575" s="60"/>
    </row>
    <row r="576">
      <c r="A576" s="58"/>
      <c r="B576" s="58"/>
      <c r="C576" s="59"/>
      <c r="D576" s="60"/>
      <c r="E576" s="61"/>
      <c r="F576" s="62"/>
      <c r="G576" s="62"/>
      <c r="H576" s="62"/>
      <c r="I576" s="59"/>
      <c r="J576" s="60"/>
      <c r="K576" s="59"/>
      <c r="L576" s="60"/>
      <c r="M576" s="59"/>
      <c r="N576" s="63"/>
      <c r="O576" s="60"/>
      <c r="P576" s="60"/>
      <c r="Q576" s="60"/>
      <c r="R576" s="60"/>
      <c r="S576" s="60"/>
      <c r="T576" s="60"/>
      <c r="U576" s="60"/>
      <c r="V576" s="64"/>
      <c r="W576" s="60"/>
      <c r="X576" s="59"/>
      <c r="Y576" s="60"/>
      <c r="Z576" s="59"/>
      <c r="AA576" s="60"/>
    </row>
    <row r="577">
      <c r="A577" s="58"/>
      <c r="B577" s="58"/>
      <c r="C577" s="59"/>
      <c r="D577" s="60"/>
      <c r="E577" s="61"/>
      <c r="F577" s="62"/>
      <c r="G577" s="62"/>
      <c r="H577" s="62"/>
      <c r="I577" s="59"/>
      <c r="J577" s="60"/>
      <c r="K577" s="59"/>
      <c r="L577" s="60"/>
      <c r="M577" s="59"/>
      <c r="N577" s="63"/>
      <c r="O577" s="60"/>
      <c r="P577" s="60"/>
      <c r="Q577" s="60"/>
      <c r="R577" s="60"/>
      <c r="S577" s="60"/>
      <c r="T577" s="60"/>
      <c r="U577" s="60"/>
      <c r="V577" s="64"/>
      <c r="W577" s="60"/>
      <c r="X577" s="59"/>
      <c r="Y577" s="60"/>
      <c r="Z577" s="59"/>
      <c r="AA577" s="60"/>
    </row>
    <row r="578">
      <c r="A578" s="58"/>
      <c r="B578" s="58"/>
      <c r="C578" s="59"/>
      <c r="D578" s="60"/>
      <c r="E578" s="61"/>
      <c r="F578" s="62"/>
      <c r="G578" s="62"/>
      <c r="H578" s="62"/>
      <c r="I578" s="59"/>
      <c r="J578" s="60"/>
      <c r="K578" s="59"/>
      <c r="L578" s="60"/>
      <c r="M578" s="59"/>
      <c r="N578" s="63"/>
      <c r="O578" s="60"/>
      <c r="P578" s="60"/>
      <c r="Q578" s="60"/>
      <c r="R578" s="60"/>
      <c r="S578" s="60"/>
      <c r="T578" s="60"/>
      <c r="U578" s="60"/>
      <c r="V578" s="64"/>
      <c r="W578" s="60"/>
      <c r="X578" s="59"/>
      <c r="Y578" s="60"/>
      <c r="Z578" s="59"/>
      <c r="AA578" s="60"/>
    </row>
    <row r="579">
      <c r="A579" s="58"/>
      <c r="B579" s="58"/>
      <c r="C579" s="59"/>
      <c r="D579" s="60"/>
      <c r="E579" s="61"/>
      <c r="F579" s="62"/>
      <c r="G579" s="62"/>
      <c r="H579" s="62"/>
      <c r="I579" s="59"/>
      <c r="J579" s="60"/>
      <c r="K579" s="59"/>
      <c r="L579" s="60"/>
      <c r="M579" s="59"/>
      <c r="N579" s="63"/>
      <c r="O579" s="60"/>
      <c r="P579" s="60"/>
      <c r="Q579" s="60"/>
      <c r="R579" s="60"/>
      <c r="S579" s="60"/>
      <c r="T579" s="60"/>
      <c r="U579" s="60"/>
      <c r="V579" s="64"/>
      <c r="W579" s="60"/>
      <c r="X579" s="59"/>
      <c r="Y579" s="60"/>
      <c r="Z579" s="59"/>
      <c r="AA579" s="60"/>
    </row>
    <row r="580">
      <c r="A580" s="58"/>
      <c r="B580" s="58"/>
      <c r="C580" s="59"/>
      <c r="D580" s="60"/>
      <c r="E580" s="61"/>
      <c r="F580" s="62"/>
      <c r="G580" s="62"/>
      <c r="H580" s="62"/>
      <c r="I580" s="59"/>
      <c r="J580" s="60"/>
      <c r="K580" s="59"/>
      <c r="L580" s="60"/>
      <c r="M580" s="59"/>
      <c r="N580" s="63"/>
      <c r="O580" s="60"/>
      <c r="P580" s="60"/>
      <c r="Q580" s="60"/>
      <c r="R580" s="60"/>
      <c r="S580" s="60"/>
      <c r="T580" s="60"/>
      <c r="U580" s="60"/>
      <c r="V580" s="64"/>
      <c r="W580" s="60"/>
      <c r="X580" s="59"/>
      <c r="Y580" s="60"/>
      <c r="Z580" s="59"/>
      <c r="AA580" s="60"/>
    </row>
    <row r="581">
      <c r="A581" s="58"/>
      <c r="B581" s="58"/>
      <c r="C581" s="59"/>
      <c r="D581" s="60"/>
      <c r="E581" s="61"/>
      <c r="F581" s="62"/>
      <c r="G581" s="62"/>
      <c r="H581" s="62"/>
      <c r="I581" s="59"/>
      <c r="J581" s="60"/>
      <c r="K581" s="59"/>
      <c r="L581" s="60"/>
      <c r="M581" s="59"/>
      <c r="N581" s="63"/>
      <c r="O581" s="60"/>
      <c r="P581" s="60"/>
      <c r="Q581" s="60"/>
      <c r="R581" s="60"/>
      <c r="S581" s="60"/>
      <c r="T581" s="60"/>
      <c r="U581" s="60"/>
      <c r="V581" s="64"/>
      <c r="W581" s="60"/>
      <c r="X581" s="59"/>
      <c r="Y581" s="60"/>
      <c r="Z581" s="59"/>
      <c r="AA581" s="60"/>
    </row>
    <row r="582">
      <c r="A582" s="58"/>
      <c r="B582" s="58"/>
      <c r="C582" s="59"/>
      <c r="D582" s="60"/>
      <c r="E582" s="61"/>
      <c r="F582" s="62"/>
      <c r="G582" s="62"/>
      <c r="H582" s="62"/>
      <c r="I582" s="59"/>
      <c r="J582" s="60"/>
      <c r="K582" s="59"/>
      <c r="L582" s="60"/>
      <c r="M582" s="59"/>
      <c r="N582" s="63"/>
      <c r="O582" s="60"/>
      <c r="P582" s="60"/>
      <c r="Q582" s="60"/>
      <c r="R582" s="60"/>
      <c r="S582" s="60"/>
      <c r="T582" s="60"/>
      <c r="U582" s="60"/>
      <c r="V582" s="64"/>
      <c r="W582" s="60"/>
      <c r="X582" s="59"/>
      <c r="Y582" s="60"/>
      <c r="Z582" s="59"/>
      <c r="AA582" s="60"/>
    </row>
    <row r="583">
      <c r="A583" s="58"/>
      <c r="B583" s="58"/>
      <c r="C583" s="59"/>
      <c r="D583" s="60"/>
      <c r="E583" s="61"/>
      <c r="F583" s="62"/>
      <c r="G583" s="62"/>
      <c r="H583" s="62"/>
      <c r="I583" s="59"/>
      <c r="J583" s="60"/>
      <c r="K583" s="59"/>
      <c r="L583" s="60"/>
      <c r="M583" s="59"/>
      <c r="N583" s="63"/>
      <c r="O583" s="60"/>
      <c r="P583" s="60"/>
      <c r="Q583" s="60"/>
      <c r="R583" s="60"/>
      <c r="S583" s="60"/>
      <c r="T583" s="60"/>
      <c r="U583" s="60"/>
      <c r="V583" s="64"/>
      <c r="W583" s="60"/>
      <c r="X583" s="59"/>
      <c r="Y583" s="60"/>
      <c r="Z583" s="59"/>
      <c r="AA583" s="60"/>
    </row>
    <row r="584">
      <c r="A584" s="58"/>
      <c r="B584" s="58"/>
      <c r="C584" s="59"/>
      <c r="D584" s="60"/>
      <c r="E584" s="61"/>
      <c r="F584" s="62"/>
      <c r="G584" s="62"/>
      <c r="H584" s="62"/>
      <c r="I584" s="59"/>
      <c r="J584" s="60"/>
      <c r="K584" s="59"/>
      <c r="L584" s="60"/>
      <c r="M584" s="59"/>
      <c r="N584" s="63"/>
      <c r="O584" s="60"/>
      <c r="P584" s="60"/>
      <c r="Q584" s="60"/>
      <c r="R584" s="60"/>
      <c r="S584" s="60"/>
      <c r="T584" s="60"/>
      <c r="U584" s="60"/>
      <c r="V584" s="64"/>
      <c r="W584" s="60"/>
      <c r="X584" s="59"/>
      <c r="Y584" s="60"/>
      <c r="Z584" s="59"/>
      <c r="AA584" s="60"/>
    </row>
    <row r="585">
      <c r="A585" s="58"/>
      <c r="B585" s="58"/>
      <c r="C585" s="59"/>
      <c r="D585" s="60"/>
      <c r="E585" s="61"/>
      <c r="F585" s="62"/>
      <c r="G585" s="62"/>
      <c r="H585" s="62"/>
      <c r="I585" s="59"/>
      <c r="J585" s="60"/>
      <c r="K585" s="59"/>
      <c r="L585" s="60"/>
      <c r="M585" s="59"/>
      <c r="N585" s="63"/>
      <c r="O585" s="60"/>
      <c r="P585" s="60"/>
      <c r="Q585" s="60"/>
      <c r="R585" s="60"/>
      <c r="S585" s="60"/>
      <c r="T585" s="60"/>
      <c r="U585" s="60"/>
      <c r="V585" s="64"/>
      <c r="W585" s="60"/>
      <c r="X585" s="59"/>
      <c r="Y585" s="60"/>
      <c r="Z585" s="59"/>
      <c r="AA585" s="60"/>
    </row>
    <row r="586">
      <c r="A586" s="58"/>
      <c r="B586" s="58"/>
      <c r="C586" s="59"/>
      <c r="D586" s="60"/>
      <c r="E586" s="61"/>
      <c r="F586" s="62"/>
      <c r="G586" s="62"/>
      <c r="H586" s="62"/>
      <c r="I586" s="59"/>
      <c r="J586" s="60"/>
      <c r="K586" s="59"/>
      <c r="L586" s="60"/>
      <c r="M586" s="59"/>
      <c r="N586" s="63"/>
      <c r="O586" s="60"/>
      <c r="P586" s="60"/>
      <c r="Q586" s="60"/>
      <c r="R586" s="60"/>
      <c r="S586" s="60"/>
      <c r="T586" s="60"/>
      <c r="U586" s="60"/>
      <c r="V586" s="64"/>
      <c r="W586" s="60"/>
      <c r="X586" s="59"/>
      <c r="Y586" s="60"/>
      <c r="Z586" s="59"/>
      <c r="AA586" s="60"/>
    </row>
    <row r="587">
      <c r="A587" s="58"/>
      <c r="B587" s="58"/>
      <c r="C587" s="59"/>
      <c r="D587" s="60"/>
      <c r="E587" s="61"/>
      <c r="F587" s="62"/>
      <c r="G587" s="62"/>
      <c r="H587" s="62"/>
      <c r="I587" s="59"/>
      <c r="J587" s="60"/>
      <c r="K587" s="59"/>
      <c r="L587" s="60"/>
      <c r="M587" s="59"/>
      <c r="N587" s="63"/>
      <c r="O587" s="60"/>
      <c r="P587" s="60"/>
      <c r="Q587" s="60"/>
      <c r="R587" s="60"/>
      <c r="S587" s="60"/>
      <c r="T587" s="60"/>
      <c r="U587" s="60"/>
      <c r="V587" s="64"/>
      <c r="W587" s="60"/>
      <c r="X587" s="59"/>
      <c r="Y587" s="60"/>
      <c r="Z587" s="59"/>
      <c r="AA587" s="60"/>
    </row>
    <row r="588">
      <c r="A588" s="58"/>
      <c r="B588" s="58"/>
      <c r="C588" s="59"/>
      <c r="D588" s="60"/>
      <c r="E588" s="61"/>
      <c r="F588" s="62"/>
      <c r="G588" s="62"/>
      <c r="H588" s="62"/>
      <c r="I588" s="59"/>
      <c r="J588" s="60"/>
      <c r="K588" s="59"/>
      <c r="L588" s="60"/>
      <c r="M588" s="59"/>
      <c r="N588" s="63"/>
      <c r="O588" s="60"/>
      <c r="P588" s="60"/>
      <c r="Q588" s="60"/>
      <c r="R588" s="60"/>
      <c r="S588" s="60"/>
      <c r="T588" s="60"/>
      <c r="U588" s="60"/>
      <c r="V588" s="64"/>
      <c r="W588" s="60"/>
      <c r="X588" s="59"/>
      <c r="Y588" s="60"/>
      <c r="Z588" s="59"/>
      <c r="AA588" s="60"/>
    </row>
    <row r="589">
      <c r="A589" s="58"/>
      <c r="B589" s="58"/>
      <c r="C589" s="59"/>
      <c r="D589" s="60"/>
      <c r="E589" s="61"/>
      <c r="F589" s="62"/>
      <c r="G589" s="62"/>
      <c r="H589" s="62"/>
      <c r="I589" s="59"/>
      <c r="J589" s="60"/>
      <c r="K589" s="59"/>
      <c r="L589" s="60"/>
      <c r="M589" s="59"/>
      <c r="N589" s="63"/>
      <c r="O589" s="60"/>
      <c r="P589" s="60"/>
      <c r="Q589" s="60"/>
      <c r="R589" s="60"/>
      <c r="S589" s="60"/>
      <c r="T589" s="60"/>
      <c r="U589" s="60"/>
      <c r="V589" s="64"/>
      <c r="W589" s="60"/>
      <c r="X589" s="59"/>
      <c r="Y589" s="60"/>
      <c r="Z589" s="59"/>
      <c r="AA589" s="60"/>
    </row>
    <row r="590">
      <c r="A590" s="58"/>
      <c r="B590" s="58"/>
      <c r="C590" s="59"/>
      <c r="D590" s="60"/>
      <c r="E590" s="61"/>
      <c r="F590" s="62"/>
      <c r="G590" s="62"/>
      <c r="H590" s="62"/>
      <c r="I590" s="59"/>
      <c r="J590" s="60"/>
      <c r="K590" s="59"/>
      <c r="L590" s="60"/>
      <c r="M590" s="59"/>
      <c r="N590" s="63"/>
      <c r="O590" s="60"/>
      <c r="P590" s="60"/>
      <c r="Q590" s="60"/>
      <c r="R590" s="60"/>
      <c r="S590" s="60"/>
      <c r="T590" s="60"/>
      <c r="U590" s="60"/>
      <c r="V590" s="64"/>
      <c r="W590" s="60"/>
      <c r="X590" s="59"/>
      <c r="Y590" s="60"/>
      <c r="Z590" s="59"/>
      <c r="AA590" s="60"/>
    </row>
    <row r="591">
      <c r="A591" s="58"/>
      <c r="B591" s="58"/>
      <c r="C591" s="59"/>
      <c r="D591" s="60"/>
      <c r="E591" s="61"/>
      <c r="F591" s="62"/>
      <c r="G591" s="62"/>
      <c r="H591" s="62"/>
      <c r="I591" s="59"/>
      <c r="J591" s="60"/>
      <c r="K591" s="59"/>
      <c r="L591" s="60"/>
      <c r="M591" s="59"/>
      <c r="N591" s="63"/>
      <c r="O591" s="60"/>
      <c r="P591" s="60"/>
      <c r="Q591" s="60"/>
      <c r="R591" s="60"/>
      <c r="S591" s="60"/>
      <c r="T591" s="60"/>
      <c r="U591" s="60"/>
      <c r="V591" s="64"/>
      <c r="W591" s="60"/>
      <c r="X591" s="59"/>
      <c r="Y591" s="60"/>
      <c r="Z591" s="59"/>
      <c r="AA591" s="60"/>
    </row>
    <row r="592">
      <c r="A592" s="58"/>
      <c r="B592" s="58"/>
      <c r="C592" s="59"/>
      <c r="D592" s="60"/>
      <c r="E592" s="61"/>
      <c r="F592" s="62"/>
      <c r="G592" s="62"/>
      <c r="H592" s="62"/>
      <c r="I592" s="59"/>
      <c r="J592" s="60"/>
      <c r="K592" s="59"/>
      <c r="L592" s="60"/>
      <c r="M592" s="59"/>
      <c r="N592" s="63"/>
      <c r="O592" s="60"/>
      <c r="P592" s="60"/>
      <c r="Q592" s="60"/>
      <c r="R592" s="60"/>
      <c r="S592" s="60"/>
      <c r="T592" s="60"/>
      <c r="U592" s="60"/>
      <c r="V592" s="64"/>
      <c r="W592" s="60"/>
      <c r="X592" s="59"/>
      <c r="Y592" s="60"/>
      <c r="Z592" s="59"/>
      <c r="AA592" s="60"/>
    </row>
    <row r="593">
      <c r="A593" s="58"/>
      <c r="B593" s="58"/>
      <c r="C593" s="59"/>
      <c r="D593" s="60"/>
      <c r="E593" s="61"/>
      <c r="F593" s="62"/>
      <c r="G593" s="62"/>
      <c r="H593" s="62"/>
      <c r="I593" s="59"/>
      <c r="J593" s="60"/>
      <c r="K593" s="59"/>
      <c r="L593" s="60"/>
      <c r="M593" s="59"/>
      <c r="N593" s="63"/>
      <c r="O593" s="60"/>
      <c r="P593" s="60"/>
      <c r="Q593" s="60"/>
      <c r="R593" s="60"/>
      <c r="S593" s="60"/>
      <c r="T593" s="60"/>
      <c r="U593" s="60"/>
      <c r="V593" s="64"/>
      <c r="W593" s="60"/>
      <c r="X593" s="59"/>
      <c r="Y593" s="60"/>
      <c r="Z593" s="59"/>
      <c r="AA593" s="60"/>
    </row>
    <row r="594">
      <c r="A594" s="58"/>
      <c r="B594" s="58"/>
      <c r="C594" s="59"/>
      <c r="D594" s="60"/>
      <c r="E594" s="61"/>
      <c r="F594" s="62"/>
      <c r="G594" s="62"/>
      <c r="H594" s="62"/>
      <c r="I594" s="59"/>
      <c r="J594" s="60"/>
      <c r="K594" s="59"/>
      <c r="L594" s="60"/>
      <c r="M594" s="59"/>
      <c r="N594" s="63"/>
      <c r="O594" s="60"/>
      <c r="P594" s="60"/>
      <c r="Q594" s="60"/>
      <c r="R594" s="60"/>
      <c r="S594" s="60"/>
      <c r="T594" s="60"/>
      <c r="U594" s="60"/>
      <c r="V594" s="64"/>
      <c r="W594" s="60"/>
      <c r="X594" s="59"/>
      <c r="Y594" s="60"/>
      <c r="Z594" s="59"/>
      <c r="AA594" s="60"/>
    </row>
    <row r="595">
      <c r="A595" s="58"/>
      <c r="B595" s="58"/>
      <c r="C595" s="59"/>
      <c r="D595" s="60"/>
      <c r="E595" s="61"/>
      <c r="F595" s="62"/>
      <c r="G595" s="62"/>
      <c r="H595" s="62"/>
      <c r="I595" s="59"/>
      <c r="J595" s="60"/>
      <c r="K595" s="59"/>
      <c r="L595" s="60"/>
      <c r="M595" s="59"/>
      <c r="N595" s="63"/>
      <c r="O595" s="60"/>
      <c r="P595" s="60"/>
      <c r="Q595" s="60"/>
      <c r="R595" s="60"/>
      <c r="S595" s="60"/>
      <c r="T595" s="60"/>
      <c r="U595" s="60"/>
      <c r="V595" s="64"/>
      <c r="W595" s="60"/>
      <c r="X595" s="59"/>
      <c r="Y595" s="60"/>
      <c r="Z595" s="59"/>
      <c r="AA595" s="60"/>
    </row>
    <row r="596">
      <c r="A596" s="58"/>
      <c r="B596" s="58"/>
      <c r="C596" s="59"/>
      <c r="D596" s="60"/>
      <c r="E596" s="61"/>
      <c r="F596" s="62"/>
      <c r="G596" s="62"/>
      <c r="H596" s="62"/>
      <c r="I596" s="59"/>
      <c r="J596" s="60"/>
      <c r="K596" s="59"/>
      <c r="L596" s="60"/>
      <c r="M596" s="59"/>
      <c r="N596" s="63"/>
      <c r="O596" s="60"/>
      <c r="P596" s="60"/>
      <c r="Q596" s="60"/>
      <c r="R596" s="60"/>
      <c r="S596" s="60"/>
      <c r="T596" s="60"/>
      <c r="U596" s="60"/>
      <c r="V596" s="64"/>
      <c r="W596" s="60"/>
      <c r="X596" s="59"/>
      <c r="Y596" s="60"/>
      <c r="Z596" s="59"/>
      <c r="AA596" s="60"/>
    </row>
    <row r="597">
      <c r="A597" s="58"/>
      <c r="B597" s="58"/>
      <c r="C597" s="59"/>
      <c r="D597" s="60"/>
      <c r="E597" s="61"/>
      <c r="F597" s="62"/>
      <c r="G597" s="62"/>
      <c r="H597" s="62"/>
      <c r="I597" s="59"/>
      <c r="J597" s="60"/>
      <c r="K597" s="59"/>
      <c r="L597" s="60"/>
      <c r="M597" s="59"/>
      <c r="N597" s="63"/>
      <c r="O597" s="60"/>
      <c r="P597" s="60"/>
      <c r="Q597" s="60"/>
      <c r="R597" s="60"/>
      <c r="S597" s="60"/>
      <c r="T597" s="60"/>
      <c r="U597" s="60"/>
      <c r="V597" s="64"/>
      <c r="W597" s="60"/>
      <c r="X597" s="59"/>
      <c r="Y597" s="60"/>
      <c r="Z597" s="59"/>
      <c r="AA597" s="60"/>
    </row>
    <row r="598">
      <c r="A598" s="58"/>
      <c r="B598" s="58"/>
      <c r="C598" s="59"/>
      <c r="D598" s="60"/>
      <c r="E598" s="61"/>
      <c r="F598" s="62"/>
      <c r="G598" s="62"/>
      <c r="H598" s="62"/>
      <c r="I598" s="59"/>
      <c r="J598" s="60"/>
      <c r="K598" s="59"/>
      <c r="L598" s="60"/>
      <c r="M598" s="59"/>
      <c r="N598" s="63"/>
      <c r="O598" s="60"/>
      <c r="P598" s="60"/>
      <c r="Q598" s="60"/>
      <c r="R598" s="60"/>
      <c r="S598" s="60"/>
      <c r="T598" s="60"/>
      <c r="U598" s="60"/>
      <c r="V598" s="64"/>
      <c r="W598" s="60"/>
      <c r="X598" s="59"/>
      <c r="Y598" s="60"/>
      <c r="Z598" s="59"/>
      <c r="AA598" s="60"/>
    </row>
    <row r="599">
      <c r="A599" s="58"/>
      <c r="B599" s="58"/>
      <c r="C599" s="59"/>
      <c r="D599" s="60"/>
      <c r="E599" s="61"/>
      <c r="F599" s="62"/>
      <c r="G599" s="62"/>
      <c r="H599" s="62"/>
      <c r="I599" s="59"/>
      <c r="J599" s="60"/>
      <c r="K599" s="59"/>
      <c r="L599" s="60"/>
      <c r="M599" s="59"/>
      <c r="N599" s="63"/>
      <c r="O599" s="60"/>
      <c r="P599" s="60"/>
      <c r="Q599" s="60"/>
      <c r="R599" s="60"/>
      <c r="S599" s="60"/>
      <c r="T599" s="60"/>
      <c r="U599" s="60"/>
      <c r="V599" s="64"/>
      <c r="W599" s="60"/>
      <c r="X599" s="59"/>
      <c r="Y599" s="60"/>
      <c r="Z599" s="59"/>
      <c r="AA599" s="60"/>
    </row>
    <row r="600">
      <c r="A600" s="58"/>
      <c r="B600" s="58"/>
      <c r="C600" s="59"/>
      <c r="D600" s="60"/>
      <c r="E600" s="61"/>
      <c r="F600" s="62"/>
      <c r="G600" s="62"/>
      <c r="H600" s="62"/>
      <c r="I600" s="59"/>
      <c r="J600" s="60"/>
      <c r="K600" s="59"/>
      <c r="L600" s="60"/>
      <c r="M600" s="59"/>
      <c r="N600" s="63"/>
      <c r="O600" s="60"/>
      <c r="P600" s="60"/>
      <c r="Q600" s="60"/>
      <c r="R600" s="60"/>
      <c r="S600" s="60"/>
      <c r="T600" s="60"/>
      <c r="U600" s="60"/>
      <c r="V600" s="64"/>
      <c r="W600" s="60"/>
      <c r="X600" s="59"/>
      <c r="Y600" s="60"/>
      <c r="Z600" s="59"/>
      <c r="AA600" s="60"/>
    </row>
    <row r="601">
      <c r="A601" s="58"/>
      <c r="B601" s="58"/>
      <c r="C601" s="59"/>
      <c r="D601" s="60"/>
      <c r="E601" s="61"/>
      <c r="F601" s="62"/>
      <c r="G601" s="62"/>
      <c r="H601" s="62"/>
      <c r="I601" s="59"/>
      <c r="J601" s="60"/>
      <c r="K601" s="59"/>
      <c r="L601" s="60"/>
      <c r="M601" s="59"/>
      <c r="N601" s="63"/>
      <c r="O601" s="60"/>
      <c r="P601" s="60"/>
      <c r="Q601" s="60"/>
      <c r="R601" s="60"/>
      <c r="S601" s="60"/>
      <c r="T601" s="60"/>
      <c r="U601" s="60"/>
      <c r="V601" s="64"/>
      <c r="W601" s="60"/>
      <c r="X601" s="59"/>
      <c r="Y601" s="60"/>
      <c r="Z601" s="59"/>
      <c r="AA601" s="60"/>
    </row>
    <row r="602">
      <c r="A602" s="58"/>
      <c r="B602" s="58"/>
      <c r="C602" s="59"/>
      <c r="D602" s="60"/>
      <c r="E602" s="61"/>
      <c r="F602" s="62"/>
      <c r="G602" s="62"/>
      <c r="H602" s="62"/>
      <c r="I602" s="59"/>
      <c r="J602" s="60"/>
      <c r="K602" s="59"/>
      <c r="L602" s="60"/>
      <c r="M602" s="59"/>
      <c r="N602" s="63"/>
      <c r="O602" s="60"/>
      <c r="P602" s="60"/>
      <c r="Q602" s="60"/>
      <c r="R602" s="60"/>
      <c r="S602" s="60"/>
      <c r="T602" s="60"/>
      <c r="U602" s="60"/>
      <c r="V602" s="64"/>
      <c r="W602" s="60"/>
      <c r="X602" s="59"/>
      <c r="Y602" s="60"/>
      <c r="Z602" s="59"/>
      <c r="AA602" s="60"/>
    </row>
    <row r="603">
      <c r="A603" s="58"/>
      <c r="B603" s="58"/>
      <c r="C603" s="59"/>
      <c r="D603" s="60"/>
      <c r="E603" s="61"/>
      <c r="F603" s="62"/>
      <c r="G603" s="62"/>
      <c r="H603" s="62"/>
      <c r="I603" s="59"/>
      <c r="J603" s="60"/>
      <c r="K603" s="59"/>
      <c r="L603" s="60"/>
      <c r="M603" s="59"/>
      <c r="N603" s="63"/>
      <c r="O603" s="60"/>
      <c r="P603" s="60"/>
      <c r="Q603" s="60"/>
      <c r="R603" s="60"/>
      <c r="S603" s="60"/>
      <c r="T603" s="60"/>
      <c r="U603" s="60"/>
      <c r="V603" s="64"/>
      <c r="W603" s="60"/>
      <c r="X603" s="59"/>
      <c r="Y603" s="60"/>
      <c r="Z603" s="59"/>
      <c r="AA603" s="60"/>
    </row>
    <row r="604">
      <c r="A604" s="58"/>
      <c r="B604" s="58"/>
      <c r="C604" s="59"/>
      <c r="D604" s="60"/>
      <c r="E604" s="61"/>
      <c r="F604" s="62"/>
      <c r="G604" s="62"/>
      <c r="H604" s="62"/>
      <c r="I604" s="59"/>
      <c r="J604" s="60"/>
      <c r="K604" s="59"/>
      <c r="L604" s="60"/>
      <c r="M604" s="59"/>
      <c r="N604" s="63"/>
      <c r="O604" s="60"/>
      <c r="P604" s="60"/>
      <c r="Q604" s="60"/>
      <c r="R604" s="60"/>
      <c r="S604" s="60"/>
      <c r="T604" s="60"/>
      <c r="U604" s="60"/>
      <c r="V604" s="64"/>
      <c r="W604" s="60"/>
      <c r="X604" s="59"/>
      <c r="Y604" s="60"/>
      <c r="Z604" s="59"/>
      <c r="AA604" s="60"/>
    </row>
    <row r="605">
      <c r="A605" s="58"/>
      <c r="B605" s="58"/>
      <c r="C605" s="59"/>
      <c r="D605" s="60"/>
      <c r="E605" s="61"/>
      <c r="F605" s="62"/>
      <c r="G605" s="62"/>
      <c r="H605" s="62"/>
      <c r="I605" s="59"/>
      <c r="J605" s="60"/>
      <c r="K605" s="59"/>
      <c r="L605" s="60"/>
      <c r="M605" s="59"/>
      <c r="N605" s="63"/>
      <c r="O605" s="60"/>
      <c r="P605" s="60"/>
      <c r="Q605" s="60"/>
      <c r="R605" s="60"/>
      <c r="S605" s="60"/>
      <c r="T605" s="60"/>
      <c r="U605" s="60"/>
      <c r="V605" s="64"/>
      <c r="W605" s="60"/>
      <c r="X605" s="59"/>
      <c r="Y605" s="60"/>
      <c r="Z605" s="59"/>
      <c r="AA605" s="60"/>
    </row>
    <row r="606">
      <c r="A606" s="58"/>
      <c r="B606" s="58"/>
      <c r="C606" s="59"/>
      <c r="D606" s="60"/>
      <c r="E606" s="61"/>
      <c r="F606" s="62"/>
      <c r="G606" s="62"/>
      <c r="H606" s="62"/>
      <c r="I606" s="59"/>
      <c r="J606" s="60"/>
      <c r="K606" s="59"/>
      <c r="L606" s="60"/>
      <c r="M606" s="59"/>
      <c r="N606" s="63"/>
      <c r="O606" s="60"/>
      <c r="P606" s="60"/>
      <c r="Q606" s="60"/>
      <c r="R606" s="60"/>
      <c r="S606" s="60"/>
      <c r="T606" s="60"/>
      <c r="U606" s="60"/>
      <c r="V606" s="64"/>
      <c r="W606" s="60"/>
      <c r="X606" s="59"/>
      <c r="Y606" s="60"/>
      <c r="Z606" s="59"/>
      <c r="AA606" s="60"/>
    </row>
    <row r="607">
      <c r="A607" s="58"/>
      <c r="B607" s="58"/>
      <c r="C607" s="59"/>
      <c r="D607" s="60"/>
      <c r="E607" s="61"/>
      <c r="F607" s="62"/>
      <c r="G607" s="62"/>
      <c r="H607" s="62"/>
      <c r="I607" s="59"/>
      <c r="J607" s="60"/>
      <c r="K607" s="59"/>
      <c r="L607" s="60"/>
      <c r="M607" s="59"/>
      <c r="N607" s="63"/>
      <c r="O607" s="60"/>
      <c r="P607" s="60"/>
      <c r="Q607" s="60"/>
      <c r="R607" s="60"/>
      <c r="S607" s="60"/>
      <c r="T607" s="60"/>
      <c r="U607" s="60"/>
      <c r="V607" s="64"/>
      <c r="W607" s="60"/>
      <c r="X607" s="59"/>
      <c r="Y607" s="60"/>
      <c r="Z607" s="59"/>
      <c r="AA607" s="60"/>
    </row>
    <row r="608">
      <c r="A608" s="58"/>
      <c r="B608" s="58"/>
      <c r="C608" s="59"/>
      <c r="D608" s="60"/>
      <c r="E608" s="61"/>
      <c r="F608" s="62"/>
      <c r="G608" s="62"/>
      <c r="H608" s="62"/>
      <c r="I608" s="59"/>
      <c r="J608" s="60"/>
      <c r="K608" s="59"/>
      <c r="L608" s="60"/>
      <c r="M608" s="59"/>
      <c r="N608" s="63"/>
      <c r="O608" s="60"/>
      <c r="P608" s="60"/>
      <c r="Q608" s="60"/>
      <c r="R608" s="60"/>
      <c r="S608" s="60"/>
      <c r="T608" s="60"/>
      <c r="U608" s="60"/>
      <c r="V608" s="64"/>
      <c r="W608" s="60"/>
      <c r="X608" s="59"/>
      <c r="Y608" s="60"/>
      <c r="Z608" s="59"/>
      <c r="AA608" s="60"/>
    </row>
    <row r="609">
      <c r="A609" s="58"/>
      <c r="B609" s="58"/>
      <c r="C609" s="59"/>
      <c r="D609" s="60"/>
      <c r="E609" s="61"/>
      <c r="F609" s="62"/>
      <c r="G609" s="62"/>
      <c r="H609" s="62"/>
      <c r="I609" s="59"/>
      <c r="J609" s="60"/>
      <c r="K609" s="59"/>
      <c r="L609" s="60"/>
      <c r="M609" s="59"/>
      <c r="N609" s="63"/>
      <c r="O609" s="60"/>
      <c r="P609" s="60"/>
      <c r="Q609" s="60"/>
      <c r="R609" s="60"/>
      <c r="S609" s="60"/>
      <c r="T609" s="60"/>
      <c r="U609" s="60"/>
      <c r="V609" s="64"/>
      <c r="W609" s="60"/>
      <c r="X609" s="59"/>
      <c r="Y609" s="60"/>
      <c r="Z609" s="59"/>
      <c r="AA609" s="60"/>
    </row>
    <row r="610">
      <c r="A610" s="58"/>
      <c r="B610" s="58"/>
      <c r="C610" s="59"/>
      <c r="D610" s="60"/>
      <c r="E610" s="61"/>
      <c r="F610" s="62"/>
      <c r="G610" s="62"/>
      <c r="H610" s="62"/>
      <c r="I610" s="59"/>
      <c r="J610" s="60"/>
      <c r="K610" s="59"/>
      <c r="L610" s="60"/>
      <c r="M610" s="59"/>
      <c r="N610" s="63"/>
      <c r="O610" s="60"/>
      <c r="P610" s="60"/>
      <c r="Q610" s="60"/>
      <c r="R610" s="60"/>
      <c r="S610" s="60"/>
      <c r="T610" s="60"/>
      <c r="U610" s="60"/>
      <c r="V610" s="64"/>
      <c r="W610" s="60"/>
      <c r="X610" s="59"/>
      <c r="Y610" s="60"/>
      <c r="Z610" s="59"/>
      <c r="AA610" s="60"/>
    </row>
    <row r="611">
      <c r="A611" s="58"/>
      <c r="B611" s="58"/>
      <c r="C611" s="59"/>
      <c r="D611" s="60"/>
      <c r="E611" s="61"/>
      <c r="F611" s="62"/>
      <c r="G611" s="62"/>
      <c r="H611" s="62"/>
      <c r="I611" s="59"/>
      <c r="J611" s="60"/>
      <c r="K611" s="59"/>
      <c r="L611" s="60"/>
      <c r="M611" s="59"/>
      <c r="N611" s="63"/>
      <c r="O611" s="60"/>
      <c r="P611" s="60"/>
      <c r="Q611" s="60"/>
      <c r="R611" s="60"/>
      <c r="S611" s="60"/>
      <c r="T611" s="60"/>
      <c r="U611" s="60"/>
      <c r="V611" s="64"/>
      <c r="W611" s="60"/>
      <c r="X611" s="59"/>
      <c r="Y611" s="60"/>
      <c r="Z611" s="59"/>
      <c r="AA611" s="60"/>
    </row>
    <row r="612">
      <c r="A612" s="58"/>
      <c r="B612" s="58"/>
      <c r="C612" s="59"/>
      <c r="D612" s="60"/>
      <c r="E612" s="61"/>
      <c r="F612" s="62"/>
      <c r="G612" s="62"/>
      <c r="H612" s="62"/>
      <c r="I612" s="59"/>
      <c r="J612" s="60"/>
      <c r="K612" s="59"/>
      <c r="L612" s="60"/>
      <c r="M612" s="59"/>
      <c r="N612" s="63"/>
      <c r="O612" s="60"/>
      <c r="P612" s="60"/>
      <c r="Q612" s="60"/>
      <c r="R612" s="60"/>
      <c r="S612" s="60"/>
      <c r="T612" s="60"/>
      <c r="U612" s="60"/>
      <c r="V612" s="64"/>
      <c r="W612" s="60"/>
      <c r="X612" s="59"/>
      <c r="Y612" s="60"/>
      <c r="Z612" s="59"/>
      <c r="AA612" s="60"/>
    </row>
    <row r="613">
      <c r="A613" s="58"/>
      <c r="B613" s="58"/>
      <c r="C613" s="59"/>
      <c r="D613" s="60"/>
      <c r="E613" s="61"/>
      <c r="F613" s="62"/>
      <c r="G613" s="62"/>
      <c r="H613" s="62"/>
      <c r="I613" s="59"/>
      <c r="J613" s="60"/>
      <c r="K613" s="59"/>
      <c r="L613" s="60"/>
      <c r="M613" s="59"/>
      <c r="N613" s="63"/>
      <c r="O613" s="60"/>
      <c r="P613" s="60"/>
      <c r="Q613" s="60"/>
      <c r="R613" s="60"/>
      <c r="S613" s="60"/>
      <c r="T613" s="60"/>
      <c r="U613" s="60"/>
      <c r="V613" s="64"/>
      <c r="W613" s="60"/>
      <c r="X613" s="59"/>
      <c r="Y613" s="60"/>
      <c r="Z613" s="59"/>
      <c r="AA613" s="60"/>
    </row>
    <row r="614">
      <c r="A614" s="58"/>
      <c r="B614" s="58"/>
      <c r="C614" s="59"/>
      <c r="D614" s="60"/>
      <c r="E614" s="61"/>
      <c r="F614" s="62"/>
      <c r="G614" s="62"/>
      <c r="H614" s="62"/>
      <c r="I614" s="59"/>
      <c r="J614" s="60"/>
      <c r="K614" s="59"/>
      <c r="L614" s="60"/>
      <c r="M614" s="59"/>
      <c r="N614" s="63"/>
      <c r="O614" s="60"/>
      <c r="P614" s="60"/>
      <c r="Q614" s="60"/>
      <c r="R614" s="60"/>
      <c r="S614" s="60"/>
      <c r="T614" s="60"/>
      <c r="U614" s="60"/>
      <c r="V614" s="64"/>
      <c r="W614" s="60"/>
      <c r="X614" s="59"/>
      <c r="Y614" s="60"/>
      <c r="Z614" s="59"/>
      <c r="AA614" s="60"/>
    </row>
    <row r="615">
      <c r="A615" s="58"/>
      <c r="B615" s="58"/>
      <c r="C615" s="59"/>
      <c r="D615" s="60"/>
      <c r="E615" s="61"/>
      <c r="F615" s="62"/>
      <c r="G615" s="62"/>
      <c r="H615" s="62"/>
      <c r="I615" s="59"/>
      <c r="J615" s="60"/>
      <c r="K615" s="59"/>
      <c r="L615" s="60"/>
      <c r="M615" s="59"/>
      <c r="N615" s="63"/>
      <c r="O615" s="60"/>
      <c r="P615" s="60"/>
      <c r="Q615" s="60"/>
      <c r="R615" s="60"/>
      <c r="S615" s="60"/>
      <c r="T615" s="60"/>
      <c r="U615" s="60"/>
      <c r="V615" s="64"/>
      <c r="W615" s="60"/>
      <c r="X615" s="59"/>
      <c r="Y615" s="60"/>
      <c r="Z615" s="59"/>
      <c r="AA615" s="60"/>
    </row>
    <row r="616">
      <c r="A616" s="58"/>
      <c r="B616" s="58"/>
      <c r="C616" s="59"/>
      <c r="D616" s="60"/>
      <c r="E616" s="61"/>
      <c r="F616" s="62"/>
      <c r="G616" s="62"/>
      <c r="H616" s="62"/>
      <c r="I616" s="59"/>
      <c r="J616" s="60"/>
      <c r="K616" s="59"/>
      <c r="L616" s="60"/>
      <c r="M616" s="59"/>
      <c r="N616" s="63"/>
      <c r="O616" s="60"/>
      <c r="P616" s="60"/>
      <c r="Q616" s="60"/>
      <c r="R616" s="60"/>
      <c r="S616" s="60"/>
      <c r="T616" s="60"/>
      <c r="U616" s="60"/>
      <c r="V616" s="64"/>
      <c r="W616" s="60"/>
      <c r="X616" s="59"/>
      <c r="Y616" s="60"/>
      <c r="Z616" s="59"/>
      <c r="AA616" s="60"/>
    </row>
    <row r="617">
      <c r="A617" s="58"/>
      <c r="B617" s="58"/>
      <c r="C617" s="59"/>
      <c r="D617" s="60"/>
      <c r="E617" s="61"/>
      <c r="F617" s="62"/>
      <c r="G617" s="62"/>
      <c r="H617" s="62"/>
      <c r="I617" s="59"/>
      <c r="J617" s="60"/>
      <c r="K617" s="59"/>
      <c r="L617" s="60"/>
      <c r="M617" s="59"/>
      <c r="N617" s="63"/>
      <c r="O617" s="60"/>
      <c r="P617" s="60"/>
      <c r="Q617" s="60"/>
      <c r="R617" s="60"/>
      <c r="S617" s="60"/>
      <c r="T617" s="60"/>
      <c r="U617" s="60"/>
      <c r="V617" s="64"/>
      <c r="W617" s="60"/>
      <c r="X617" s="59"/>
      <c r="Y617" s="60"/>
      <c r="Z617" s="59"/>
      <c r="AA617" s="60"/>
    </row>
    <row r="618">
      <c r="A618" s="58"/>
      <c r="B618" s="58"/>
      <c r="C618" s="59"/>
      <c r="D618" s="60"/>
      <c r="E618" s="61"/>
      <c r="F618" s="62"/>
      <c r="G618" s="62"/>
      <c r="H618" s="62"/>
      <c r="I618" s="59"/>
      <c r="J618" s="60"/>
      <c r="K618" s="59"/>
      <c r="L618" s="60"/>
      <c r="M618" s="59"/>
      <c r="N618" s="63"/>
      <c r="O618" s="60"/>
      <c r="P618" s="60"/>
      <c r="Q618" s="60"/>
      <c r="R618" s="60"/>
      <c r="S618" s="60"/>
      <c r="T618" s="60"/>
      <c r="U618" s="60"/>
      <c r="V618" s="64"/>
      <c r="W618" s="60"/>
      <c r="X618" s="59"/>
      <c r="Y618" s="60"/>
      <c r="Z618" s="59"/>
      <c r="AA618" s="60"/>
    </row>
    <row r="619">
      <c r="A619" s="58"/>
      <c r="B619" s="58"/>
      <c r="C619" s="59"/>
      <c r="D619" s="60"/>
      <c r="E619" s="61"/>
      <c r="F619" s="62"/>
      <c r="G619" s="62"/>
      <c r="H619" s="62"/>
      <c r="I619" s="59"/>
      <c r="J619" s="60"/>
      <c r="K619" s="59"/>
      <c r="L619" s="60"/>
      <c r="M619" s="59"/>
      <c r="N619" s="63"/>
      <c r="O619" s="60"/>
      <c r="P619" s="60"/>
      <c r="Q619" s="60"/>
      <c r="R619" s="60"/>
      <c r="S619" s="60"/>
      <c r="T619" s="60"/>
      <c r="U619" s="60"/>
      <c r="V619" s="64"/>
      <c r="W619" s="60"/>
      <c r="X619" s="59"/>
      <c r="Y619" s="60"/>
      <c r="Z619" s="59"/>
      <c r="AA619" s="60"/>
    </row>
    <row r="620">
      <c r="A620" s="58"/>
      <c r="B620" s="58"/>
      <c r="C620" s="59"/>
      <c r="D620" s="60"/>
      <c r="E620" s="61"/>
      <c r="F620" s="62"/>
      <c r="G620" s="62"/>
      <c r="H620" s="62"/>
      <c r="I620" s="59"/>
      <c r="J620" s="60"/>
      <c r="K620" s="59"/>
      <c r="L620" s="60"/>
      <c r="M620" s="59"/>
      <c r="N620" s="63"/>
      <c r="O620" s="60"/>
      <c r="P620" s="60"/>
      <c r="Q620" s="60"/>
      <c r="R620" s="60"/>
      <c r="S620" s="60"/>
      <c r="T620" s="60"/>
      <c r="U620" s="60"/>
      <c r="V620" s="64"/>
      <c r="W620" s="60"/>
      <c r="X620" s="59"/>
      <c r="Y620" s="60"/>
      <c r="Z620" s="59"/>
      <c r="AA620" s="60"/>
    </row>
    <row r="621">
      <c r="A621" s="58"/>
      <c r="B621" s="58"/>
      <c r="C621" s="59"/>
      <c r="D621" s="60"/>
      <c r="E621" s="61"/>
      <c r="F621" s="62"/>
      <c r="G621" s="62"/>
      <c r="H621" s="62"/>
      <c r="I621" s="59"/>
      <c r="J621" s="60"/>
      <c r="K621" s="59"/>
      <c r="L621" s="60"/>
      <c r="M621" s="59"/>
      <c r="N621" s="63"/>
      <c r="O621" s="60"/>
      <c r="P621" s="60"/>
      <c r="Q621" s="60"/>
      <c r="R621" s="60"/>
      <c r="S621" s="60"/>
      <c r="T621" s="60"/>
      <c r="U621" s="60"/>
      <c r="V621" s="64"/>
      <c r="W621" s="60"/>
      <c r="X621" s="59"/>
      <c r="Y621" s="60"/>
      <c r="Z621" s="59"/>
      <c r="AA621" s="60"/>
    </row>
    <row r="622">
      <c r="A622" s="58"/>
      <c r="B622" s="58"/>
      <c r="C622" s="59"/>
      <c r="D622" s="60"/>
      <c r="E622" s="61"/>
      <c r="F622" s="62"/>
      <c r="G622" s="62"/>
      <c r="H622" s="62"/>
      <c r="I622" s="59"/>
      <c r="J622" s="60"/>
      <c r="K622" s="59"/>
      <c r="L622" s="60"/>
      <c r="M622" s="59"/>
      <c r="N622" s="63"/>
      <c r="O622" s="60"/>
      <c r="P622" s="60"/>
      <c r="Q622" s="60"/>
      <c r="R622" s="60"/>
      <c r="S622" s="60"/>
      <c r="T622" s="60"/>
      <c r="U622" s="60"/>
      <c r="V622" s="64"/>
      <c r="W622" s="60"/>
      <c r="X622" s="59"/>
      <c r="Y622" s="60"/>
      <c r="Z622" s="59"/>
      <c r="AA622" s="60"/>
    </row>
    <row r="623">
      <c r="A623" s="58"/>
      <c r="B623" s="58"/>
      <c r="C623" s="59"/>
      <c r="D623" s="60"/>
      <c r="E623" s="61"/>
      <c r="F623" s="62"/>
      <c r="G623" s="62"/>
      <c r="H623" s="62"/>
      <c r="I623" s="59"/>
      <c r="J623" s="60"/>
      <c r="K623" s="59"/>
      <c r="L623" s="60"/>
      <c r="M623" s="59"/>
      <c r="N623" s="63"/>
      <c r="O623" s="60"/>
      <c r="P623" s="60"/>
      <c r="Q623" s="60"/>
      <c r="R623" s="60"/>
      <c r="S623" s="60"/>
      <c r="T623" s="60"/>
      <c r="U623" s="60"/>
      <c r="V623" s="64"/>
      <c r="W623" s="60"/>
      <c r="X623" s="59"/>
      <c r="Y623" s="60"/>
      <c r="Z623" s="59"/>
      <c r="AA623" s="60"/>
    </row>
    <row r="624">
      <c r="A624" s="58"/>
      <c r="B624" s="58"/>
      <c r="C624" s="59"/>
      <c r="D624" s="60"/>
      <c r="E624" s="61"/>
      <c r="F624" s="62"/>
      <c r="G624" s="62"/>
      <c r="H624" s="62"/>
      <c r="I624" s="59"/>
      <c r="J624" s="60"/>
      <c r="K624" s="59"/>
      <c r="L624" s="60"/>
      <c r="M624" s="59"/>
      <c r="N624" s="63"/>
      <c r="O624" s="60"/>
      <c r="P624" s="60"/>
      <c r="Q624" s="60"/>
      <c r="R624" s="60"/>
      <c r="S624" s="60"/>
      <c r="T624" s="60"/>
      <c r="U624" s="60"/>
      <c r="V624" s="64"/>
      <c r="W624" s="60"/>
      <c r="X624" s="59"/>
      <c r="Y624" s="60"/>
      <c r="Z624" s="59"/>
      <c r="AA624" s="60"/>
    </row>
    <row r="625">
      <c r="A625" s="58"/>
      <c r="B625" s="58"/>
      <c r="C625" s="59"/>
      <c r="D625" s="60"/>
      <c r="E625" s="61"/>
      <c r="F625" s="62"/>
      <c r="G625" s="62"/>
      <c r="H625" s="62"/>
      <c r="I625" s="59"/>
      <c r="J625" s="60"/>
      <c r="K625" s="59"/>
      <c r="L625" s="60"/>
      <c r="M625" s="59"/>
      <c r="N625" s="63"/>
      <c r="O625" s="60"/>
      <c r="P625" s="60"/>
      <c r="Q625" s="60"/>
      <c r="R625" s="60"/>
      <c r="S625" s="60"/>
      <c r="T625" s="60"/>
      <c r="U625" s="60"/>
      <c r="V625" s="64"/>
      <c r="W625" s="60"/>
      <c r="X625" s="59"/>
      <c r="Y625" s="60"/>
      <c r="Z625" s="59"/>
      <c r="AA625" s="60"/>
    </row>
    <row r="626">
      <c r="A626" s="58"/>
      <c r="B626" s="58"/>
      <c r="C626" s="59"/>
      <c r="D626" s="60"/>
      <c r="E626" s="61"/>
      <c r="F626" s="62"/>
      <c r="G626" s="62"/>
      <c r="H626" s="62"/>
      <c r="I626" s="59"/>
      <c r="J626" s="60"/>
      <c r="K626" s="59"/>
      <c r="L626" s="60"/>
      <c r="M626" s="59"/>
      <c r="N626" s="63"/>
      <c r="O626" s="60"/>
      <c r="P626" s="60"/>
      <c r="Q626" s="60"/>
      <c r="R626" s="60"/>
      <c r="S626" s="60"/>
      <c r="T626" s="60"/>
      <c r="U626" s="60"/>
      <c r="V626" s="64"/>
      <c r="W626" s="60"/>
      <c r="X626" s="59"/>
      <c r="Y626" s="60"/>
      <c r="Z626" s="59"/>
      <c r="AA626" s="60"/>
    </row>
    <row r="627">
      <c r="A627" s="58"/>
      <c r="B627" s="58"/>
      <c r="C627" s="59"/>
      <c r="D627" s="60"/>
      <c r="E627" s="61"/>
      <c r="F627" s="62"/>
      <c r="G627" s="62"/>
      <c r="H627" s="62"/>
      <c r="I627" s="59"/>
      <c r="J627" s="60"/>
      <c r="K627" s="59"/>
      <c r="L627" s="60"/>
      <c r="M627" s="59"/>
      <c r="N627" s="63"/>
      <c r="O627" s="60"/>
      <c r="P627" s="60"/>
      <c r="Q627" s="60"/>
      <c r="R627" s="60"/>
      <c r="S627" s="60"/>
      <c r="T627" s="60"/>
      <c r="U627" s="60"/>
      <c r="V627" s="64"/>
      <c r="W627" s="60"/>
      <c r="X627" s="59"/>
      <c r="Y627" s="60"/>
      <c r="Z627" s="59"/>
      <c r="AA627" s="60"/>
    </row>
    <row r="628">
      <c r="A628" s="58"/>
      <c r="B628" s="58"/>
      <c r="C628" s="59"/>
      <c r="D628" s="60"/>
      <c r="E628" s="61"/>
      <c r="F628" s="62"/>
      <c r="G628" s="62"/>
      <c r="H628" s="62"/>
      <c r="I628" s="59"/>
      <c r="J628" s="60"/>
      <c r="K628" s="59"/>
      <c r="L628" s="60"/>
      <c r="M628" s="59"/>
      <c r="N628" s="63"/>
      <c r="O628" s="60"/>
      <c r="P628" s="60"/>
      <c r="Q628" s="60"/>
      <c r="R628" s="60"/>
      <c r="S628" s="60"/>
      <c r="T628" s="60"/>
      <c r="U628" s="60"/>
      <c r="V628" s="64"/>
      <c r="W628" s="60"/>
      <c r="X628" s="59"/>
      <c r="Y628" s="60"/>
      <c r="Z628" s="59"/>
      <c r="AA628" s="60"/>
    </row>
    <row r="629">
      <c r="A629" s="58"/>
      <c r="B629" s="58"/>
      <c r="C629" s="59"/>
      <c r="D629" s="60"/>
      <c r="E629" s="61"/>
      <c r="F629" s="62"/>
      <c r="G629" s="62"/>
      <c r="H629" s="62"/>
      <c r="I629" s="59"/>
      <c r="J629" s="60"/>
      <c r="K629" s="59"/>
      <c r="L629" s="60"/>
      <c r="M629" s="59"/>
      <c r="N629" s="63"/>
      <c r="O629" s="60"/>
      <c r="P629" s="60"/>
      <c r="Q629" s="60"/>
      <c r="R629" s="60"/>
      <c r="S629" s="60"/>
      <c r="T629" s="60"/>
      <c r="U629" s="60"/>
      <c r="V629" s="64"/>
      <c r="W629" s="60"/>
      <c r="X629" s="59"/>
      <c r="Y629" s="60"/>
      <c r="Z629" s="59"/>
      <c r="AA629" s="60"/>
    </row>
    <row r="630">
      <c r="A630" s="58"/>
      <c r="B630" s="58"/>
      <c r="C630" s="59"/>
      <c r="D630" s="60"/>
      <c r="E630" s="61"/>
      <c r="F630" s="62"/>
      <c r="G630" s="62"/>
      <c r="H630" s="62"/>
      <c r="I630" s="59"/>
      <c r="J630" s="60"/>
      <c r="K630" s="59"/>
      <c r="L630" s="60"/>
      <c r="M630" s="59"/>
      <c r="N630" s="63"/>
      <c r="O630" s="60"/>
      <c r="P630" s="60"/>
      <c r="Q630" s="60"/>
      <c r="R630" s="60"/>
      <c r="S630" s="60"/>
      <c r="T630" s="60"/>
      <c r="U630" s="60"/>
      <c r="V630" s="64"/>
      <c r="W630" s="60"/>
      <c r="X630" s="59"/>
      <c r="Y630" s="60"/>
      <c r="Z630" s="59"/>
      <c r="AA630" s="60"/>
    </row>
    <row r="631">
      <c r="A631" s="58"/>
      <c r="B631" s="58"/>
      <c r="C631" s="59"/>
      <c r="D631" s="60"/>
      <c r="E631" s="61"/>
      <c r="F631" s="62"/>
      <c r="G631" s="62"/>
      <c r="H631" s="62"/>
      <c r="I631" s="59"/>
      <c r="J631" s="60"/>
      <c r="K631" s="59"/>
      <c r="L631" s="60"/>
      <c r="M631" s="59"/>
      <c r="N631" s="63"/>
      <c r="O631" s="60"/>
      <c r="P631" s="60"/>
      <c r="Q631" s="60"/>
      <c r="R631" s="60"/>
      <c r="S631" s="60"/>
      <c r="T631" s="60"/>
      <c r="U631" s="60"/>
      <c r="V631" s="64"/>
      <c r="W631" s="60"/>
      <c r="X631" s="59"/>
      <c r="Y631" s="60"/>
      <c r="Z631" s="59"/>
      <c r="AA631" s="60"/>
    </row>
    <row r="632">
      <c r="A632" s="58"/>
      <c r="B632" s="58"/>
      <c r="C632" s="59"/>
      <c r="D632" s="60"/>
      <c r="E632" s="61"/>
      <c r="F632" s="62"/>
      <c r="G632" s="62"/>
      <c r="H632" s="62"/>
      <c r="I632" s="59"/>
      <c r="J632" s="60"/>
      <c r="K632" s="59"/>
      <c r="L632" s="60"/>
      <c r="M632" s="59"/>
      <c r="N632" s="63"/>
      <c r="O632" s="60"/>
      <c r="P632" s="60"/>
      <c r="Q632" s="60"/>
      <c r="R632" s="60"/>
      <c r="S632" s="60"/>
      <c r="T632" s="60"/>
      <c r="U632" s="60"/>
      <c r="V632" s="64"/>
      <c r="W632" s="60"/>
      <c r="X632" s="59"/>
      <c r="Y632" s="60"/>
      <c r="Z632" s="59"/>
      <c r="AA632" s="60"/>
    </row>
    <row r="633">
      <c r="A633" s="58"/>
      <c r="B633" s="58"/>
      <c r="C633" s="59"/>
      <c r="D633" s="60"/>
      <c r="E633" s="61"/>
      <c r="F633" s="62"/>
      <c r="G633" s="62"/>
      <c r="H633" s="62"/>
      <c r="I633" s="59"/>
      <c r="J633" s="60"/>
      <c r="K633" s="59"/>
      <c r="L633" s="60"/>
      <c r="M633" s="59"/>
      <c r="N633" s="63"/>
      <c r="O633" s="60"/>
      <c r="P633" s="60"/>
      <c r="Q633" s="60"/>
      <c r="R633" s="60"/>
      <c r="S633" s="60"/>
      <c r="T633" s="60"/>
      <c r="U633" s="60"/>
      <c r="V633" s="64"/>
      <c r="W633" s="60"/>
      <c r="X633" s="59"/>
      <c r="Y633" s="60"/>
      <c r="Z633" s="59"/>
      <c r="AA633" s="60"/>
    </row>
    <row r="634">
      <c r="A634" s="58"/>
      <c r="B634" s="58"/>
      <c r="C634" s="59"/>
      <c r="D634" s="60"/>
      <c r="E634" s="61"/>
      <c r="F634" s="62"/>
      <c r="G634" s="62"/>
      <c r="H634" s="62"/>
      <c r="I634" s="59"/>
      <c r="J634" s="60"/>
      <c r="K634" s="59"/>
      <c r="L634" s="60"/>
      <c r="M634" s="59"/>
      <c r="N634" s="63"/>
      <c r="O634" s="60"/>
      <c r="P634" s="60"/>
      <c r="Q634" s="60"/>
      <c r="R634" s="60"/>
      <c r="S634" s="60"/>
      <c r="T634" s="60"/>
      <c r="U634" s="60"/>
      <c r="V634" s="64"/>
      <c r="W634" s="60"/>
      <c r="X634" s="59"/>
      <c r="Y634" s="60"/>
      <c r="Z634" s="59"/>
      <c r="AA634" s="60"/>
    </row>
    <row r="635">
      <c r="A635" s="58"/>
      <c r="B635" s="58"/>
      <c r="C635" s="59"/>
      <c r="D635" s="60"/>
      <c r="E635" s="61"/>
      <c r="F635" s="62"/>
      <c r="G635" s="62"/>
      <c r="H635" s="62"/>
      <c r="I635" s="59"/>
      <c r="J635" s="60"/>
      <c r="K635" s="59"/>
      <c r="L635" s="60"/>
      <c r="M635" s="59"/>
      <c r="N635" s="63"/>
      <c r="O635" s="60"/>
      <c r="P635" s="60"/>
      <c r="Q635" s="60"/>
      <c r="R635" s="60"/>
      <c r="S635" s="60"/>
      <c r="T635" s="60"/>
      <c r="U635" s="60"/>
      <c r="V635" s="64"/>
      <c r="W635" s="60"/>
      <c r="X635" s="59"/>
      <c r="Y635" s="60"/>
      <c r="Z635" s="59"/>
      <c r="AA635" s="60"/>
    </row>
    <row r="636">
      <c r="A636" s="58"/>
      <c r="B636" s="58"/>
      <c r="C636" s="59"/>
      <c r="D636" s="60"/>
      <c r="E636" s="61"/>
      <c r="F636" s="62"/>
      <c r="G636" s="62"/>
      <c r="H636" s="62"/>
      <c r="I636" s="59"/>
      <c r="J636" s="60"/>
      <c r="K636" s="59"/>
      <c r="L636" s="60"/>
      <c r="M636" s="59"/>
      <c r="N636" s="63"/>
      <c r="O636" s="60"/>
      <c r="P636" s="60"/>
      <c r="Q636" s="60"/>
      <c r="R636" s="60"/>
      <c r="S636" s="60"/>
      <c r="T636" s="60"/>
      <c r="U636" s="60"/>
      <c r="V636" s="64"/>
      <c r="W636" s="60"/>
      <c r="X636" s="59"/>
      <c r="Y636" s="60"/>
      <c r="Z636" s="59"/>
      <c r="AA636" s="60"/>
    </row>
    <row r="637">
      <c r="A637" s="58"/>
      <c r="B637" s="58"/>
      <c r="C637" s="59"/>
      <c r="D637" s="60"/>
      <c r="E637" s="61"/>
      <c r="F637" s="62"/>
      <c r="G637" s="62"/>
      <c r="H637" s="62"/>
      <c r="I637" s="59"/>
      <c r="J637" s="60"/>
      <c r="K637" s="59"/>
      <c r="L637" s="60"/>
      <c r="M637" s="59"/>
      <c r="N637" s="63"/>
      <c r="O637" s="60"/>
      <c r="P637" s="60"/>
      <c r="Q637" s="60"/>
      <c r="R637" s="60"/>
      <c r="S637" s="60"/>
      <c r="T637" s="60"/>
      <c r="U637" s="60"/>
      <c r="V637" s="64"/>
      <c r="W637" s="60"/>
      <c r="X637" s="59"/>
      <c r="Y637" s="60"/>
      <c r="Z637" s="59"/>
      <c r="AA637" s="60"/>
    </row>
    <row r="638">
      <c r="A638" s="58"/>
      <c r="B638" s="58"/>
      <c r="C638" s="59"/>
      <c r="D638" s="60"/>
      <c r="E638" s="61"/>
      <c r="F638" s="62"/>
      <c r="G638" s="62"/>
      <c r="H638" s="62"/>
      <c r="I638" s="59"/>
      <c r="J638" s="60"/>
      <c r="K638" s="59"/>
      <c r="L638" s="60"/>
      <c r="M638" s="59"/>
      <c r="N638" s="63"/>
      <c r="O638" s="60"/>
      <c r="P638" s="60"/>
      <c r="Q638" s="60"/>
      <c r="R638" s="60"/>
      <c r="S638" s="60"/>
      <c r="T638" s="60"/>
      <c r="U638" s="60"/>
      <c r="V638" s="64"/>
      <c r="W638" s="60"/>
      <c r="X638" s="59"/>
      <c r="Y638" s="60"/>
      <c r="Z638" s="59"/>
      <c r="AA638" s="60"/>
    </row>
    <row r="639">
      <c r="A639" s="58"/>
      <c r="B639" s="58"/>
      <c r="C639" s="59"/>
      <c r="D639" s="60"/>
      <c r="E639" s="61"/>
      <c r="F639" s="62"/>
      <c r="G639" s="62"/>
      <c r="H639" s="62"/>
      <c r="I639" s="59"/>
      <c r="J639" s="60"/>
      <c r="K639" s="59"/>
      <c r="L639" s="60"/>
      <c r="M639" s="59"/>
      <c r="N639" s="63"/>
      <c r="O639" s="60"/>
      <c r="P639" s="60"/>
      <c r="Q639" s="60"/>
      <c r="R639" s="60"/>
      <c r="S639" s="60"/>
      <c r="T639" s="60"/>
      <c r="U639" s="60"/>
      <c r="V639" s="64"/>
      <c r="W639" s="60"/>
      <c r="X639" s="59"/>
      <c r="Y639" s="60"/>
      <c r="Z639" s="59"/>
      <c r="AA639" s="60"/>
    </row>
    <row r="640">
      <c r="A640" s="58"/>
      <c r="B640" s="58"/>
      <c r="C640" s="59"/>
      <c r="D640" s="60"/>
      <c r="E640" s="61"/>
      <c r="F640" s="62"/>
      <c r="G640" s="62"/>
      <c r="H640" s="62"/>
      <c r="I640" s="59"/>
      <c r="J640" s="60"/>
      <c r="K640" s="59"/>
      <c r="L640" s="60"/>
      <c r="M640" s="59"/>
      <c r="N640" s="63"/>
      <c r="O640" s="60"/>
      <c r="P640" s="60"/>
      <c r="Q640" s="60"/>
      <c r="R640" s="60"/>
      <c r="S640" s="60"/>
      <c r="T640" s="60"/>
      <c r="U640" s="60"/>
      <c r="V640" s="64"/>
      <c r="W640" s="60"/>
      <c r="X640" s="59"/>
      <c r="Y640" s="60"/>
      <c r="Z640" s="59"/>
      <c r="AA640" s="60"/>
    </row>
    <row r="641">
      <c r="A641" s="58"/>
      <c r="B641" s="58"/>
      <c r="C641" s="59"/>
      <c r="D641" s="60"/>
      <c r="E641" s="61"/>
      <c r="F641" s="62"/>
      <c r="G641" s="62"/>
      <c r="H641" s="62"/>
      <c r="I641" s="59"/>
      <c r="J641" s="60"/>
      <c r="K641" s="59"/>
      <c r="L641" s="60"/>
      <c r="M641" s="59"/>
      <c r="N641" s="63"/>
      <c r="O641" s="60"/>
      <c r="P641" s="60"/>
      <c r="Q641" s="60"/>
      <c r="R641" s="60"/>
      <c r="S641" s="60"/>
      <c r="T641" s="60"/>
      <c r="U641" s="60"/>
      <c r="V641" s="64"/>
      <c r="W641" s="60"/>
      <c r="X641" s="59"/>
      <c r="Y641" s="60"/>
      <c r="Z641" s="59"/>
      <c r="AA641" s="60"/>
    </row>
    <row r="642">
      <c r="A642" s="58"/>
      <c r="B642" s="58"/>
      <c r="C642" s="59"/>
      <c r="D642" s="60"/>
      <c r="E642" s="61"/>
      <c r="F642" s="62"/>
      <c r="G642" s="62"/>
      <c r="H642" s="62"/>
      <c r="I642" s="59"/>
      <c r="J642" s="60"/>
      <c r="K642" s="59"/>
      <c r="L642" s="60"/>
      <c r="M642" s="59"/>
      <c r="N642" s="63"/>
      <c r="O642" s="60"/>
      <c r="P642" s="60"/>
      <c r="Q642" s="60"/>
      <c r="R642" s="60"/>
      <c r="S642" s="60"/>
      <c r="T642" s="60"/>
      <c r="U642" s="60"/>
      <c r="V642" s="64"/>
      <c r="W642" s="60"/>
      <c r="X642" s="59"/>
      <c r="Y642" s="60"/>
      <c r="Z642" s="59"/>
      <c r="AA642" s="60"/>
    </row>
    <row r="643">
      <c r="A643" s="58"/>
      <c r="B643" s="58"/>
      <c r="C643" s="59"/>
      <c r="D643" s="60"/>
      <c r="E643" s="61"/>
      <c r="F643" s="62"/>
      <c r="G643" s="62"/>
      <c r="H643" s="62"/>
      <c r="I643" s="59"/>
      <c r="J643" s="60"/>
      <c r="K643" s="59"/>
      <c r="L643" s="60"/>
      <c r="M643" s="59"/>
      <c r="N643" s="63"/>
      <c r="O643" s="60"/>
      <c r="P643" s="60"/>
      <c r="Q643" s="60"/>
      <c r="R643" s="60"/>
      <c r="S643" s="60"/>
      <c r="T643" s="60"/>
      <c r="U643" s="60"/>
      <c r="V643" s="64"/>
      <c r="W643" s="60"/>
      <c r="X643" s="59"/>
      <c r="Y643" s="60"/>
      <c r="Z643" s="59"/>
      <c r="AA643" s="60"/>
    </row>
    <row r="644">
      <c r="A644" s="58"/>
      <c r="B644" s="58"/>
      <c r="C644" s="59"/>
      <c r="D644" s="60"/>
      <c r="E644" s="61"/>
      <c r="F644" s="62"/>
      <c r="G644" s="62"/>
      <c r="H644" s="62"/>
      <c r="I644" s="59"/>
      <c r="J644" s="60"/>
      <c r="K644" s="59"/>
      <c r="L644" s="60"/>
      <c r="M644" s="59"/>
      <c r="N644" s="63"/>
      <c r="O644" s="60"/>
      <c r="P644" s="60"/>
      <c r="Q644" s="60"/>
      <c r="R644" s="60"/>
      <c r="S644" s="60"/>
      <c r="T644" s="60"/>
      <c r="U644" s="60"/>
      <c r="V644" s="64"/>
      <c r="W644" s="60"/>
      <c r="X644" s="59"/>
      <c r="Y644" s="60"/>
      <c r="Z644" s="59"/>
      <c r="AA644" s="60"/>
    </row>
    <row r="645">
      <c r="A645" s="58"/>
      <c r="B645" s="58"/>
      <c r="C645" s="59"/>
      <c r="D645" s="60"/>
      <c r="E645" s="61"/>
      <c r="F645" s="62"/>
      <c r="G645" s="62"/>
      <c r="H645" s="62"/>
      <c r="I645" s="59"/>
      <c r="J645" s="60"/>
      <c r="K645" s="59"/>
      <c r="L645" s="60"/>
      <c r="M645" s="59"/>
      <c r="N645" s="63"/>
      <c r="O645" s="60"/>
      <c r="P645" s="60"/>
      <c r="Q645" s="60"/>
      <c r="R645" s="60"/>
      <c r="S645" s="60"/>
      <c r="T645" s="60"/>
      <c r="U645" s="60"/>
      <c r="V645" s="64"/>
      <c r="W645" s="60"/>
      <c r="X645" s="59"/>
      <c r="Y645" s="60"/>
      <c r="Z645" s="59"/>
      <c r="AA645" s="60"/>
    </row>
    <row r="646">
      <c r="A646" s="58"/>
      <c r="B646" s="58"/>
      <c r="C646" s="59"/>
      <c r="D646" s="60"/>
      <c r="E646" s="61"/>
      <c r="F646" s="62"/>
      <c r="G646" s="62"/>
      <c r="H646" s="62"/>
      <c r="I646" s="59"/>
      <c r="J646" s="60"/>
      <c r="K646" s="59"/>
      <c r="L646" s="60"/>
      <c r="M646" s="59"/>
      <c r="N646" s="63"/>
      <c r="O646" s="60"/>
      <c r="P646" s="60"/>
      <c r="Q646" s="60"/>
      <c r="R646" s="60"/>
      <c r="S646" s="60"/>
      <c r="T646" s="60"/>
      <c r="U646" s="60"/>
      <c r="V646" s="64"/>
      <c r="W646" s="60"/>
      <c r="X646" s="59"/>
      <c r="Y646" s="60"/>
      <c r="Z646" s="59"/>
      <c r="AA646" s="60"/>
    </row>
    <row r="647">
      <c r="A647" s="58"/>
      <c r="B647" s="58"/>
      <c r="C647" s="59"/>
      <c r="D647" s="60"/>
      <c r="E647" s="61"/>
      <c r="F647" s="62"/>
      <c r="G647" s="62"/>
      <c r="H647" s="62"/>
      <c r="I647" s="59"/>
      <c r="J647" s="60"/>
      <c r="K647" s="59"/>
      <c r="L647" s="60"/>
      <c r="M647" s="59"/>
      <c r="N647" s="63"/>
      <c r="O647" s="60"/>
      <c r="P647" s="60"/>
      <c r="Q647" s="60"/>
      <c r="R647" s="60"/>
      <c r="S647" s="60"/>
      <c r="T647" s="60"/>
      <c r="U647" s="60"/>
      <c r="V647" s="64"/>
      <c r="W647" s="60"/>
      <c r="X647" s="59"/>
      <c r="Y647" s="60"/>
      <c r="Z647" s="59"/>
      <c r="AA647" s="60"/>
    </row>
    <row r="648">
      <c r="A648" s="58"/>
      <c r="B648" s="58"/>
      <c r="C648" s="59"/>
      <c r="D648" s="60"/>
      <c r="E648" s="61"/>
      <c r="F648" s="62"/>
      <c r="G648" s="62"/>
      <c r="H648" s="62"/>
      <c r="I648" s="59"/>
      <c r="J648" s="60"/>
      <c r="K648" s="59"/>
      <c r="L648" s="60"/>
      <c r="M648" s="59"/>
      <c r="N648" s="63"/>
      <c r="O648" s="60"/>
      <c r="P648" s="60"/>
      <c r="Q648" s="60"/>
      <c r="R648" s="60"/>
      <c r="S648" s="60"/>
      <c r="T648" s="60"/>
      <c r="U648" s="60"/>
      <c r="V648" s="64"/>
      <c r="W648" s="60"/>
      <c r="X648" s="59"/>
      <c r="Y648" s="60"/>
      <c r="Z648" s="59"/>
      <c r="AA648" s="60"/>
    </row>
    <row r="649">
      <c r="A649" s="58"/>
      <c r="B649" s="58"/>
      <c r="C649" s="59"/>
      <c r="D649" s="60"/>
      <c r="E649" s="61"/>
      <c r="F649" s="62"/>
      <c r="G649" s="62"/>
      <c r="H649" s="62"/>
      <c r="I649" s="59"/>
      <c r="J649" s="60"/>
      <c r="K649" s="59"/>
      <c r="L649" s="60"/>
      <c r="M649" s="59"/>
      <c r="N649" s="63"/>
      <c r="O649" s="60"/>
      <c r="P649" s="60"/>
      <c r="Q649" s="60"/>
      <c r="R649" s="60"/>
      <c r="S649" s="60"/>
      <c r="T649" s="60"/>
      <c r="U649" s="60"/>
      <c r="V649" s="64"/>
      <c r="W649" s="60"/>
      <c r="X649" s="59"/>
      <c r="Y649" s="60"/>
      <c r="Z649" s="59"/>
      <c r="AA649" s="60"/>
    </row>
    <row r="650">
      <c r="A650" s="58"/>
      <c r="B650" s="58"/>
      <c r="C650" s="59"/>
      <c r="D650" s="60"/>
      <c r="E650" s="61"/>
      <c r="F650" s="62"/>
      <c r="G650" s="62"/>
      <c r="H650" s="62"/>
      <c r="I650" s="59"/>
      <c r="J650" s="60"/>
      <c r="K650" s="59"/>
      <c r="L650" s="60"/>
      <c r="M650" s="59"/>
      <c r="N650" s="63"/>
      <c r="O650" s="60"/>
      <c r="P650" s="60"/>
      <c r="Q650" s="60"/>
      <c r="R650" s="60"/>
      <c r="S650" s="60"/>
      <c r="T650" s="60"/>
      <c r="U650" s="60"/>
      <c r="V650" s="64"/>
      <c r="W650" s="60"/>
      <c r="X650" s="59"/>
      <c r="Y650" s="60"/>
      <c r="Z650" s="59"/>
      <c r="AA650" s="60"/>
    </row>
    <row r="651">
      <c r="A651" s="58"/>
      <c r="B651" s="58"/>
      <c r="C651" s="59"/>
      <c r="D651" s="60"/>
      <c r="E651" s="61"/>
      <c r="F651" s="62"/>
      <c r="G651" s="62"/>
      <c r="H651" s="62"/>
      <c r="I651" s="59"/>
      <c r="J651" s="60"/>
      <c r="K651" s="59"/>
      <c r="L651" s="60"/>
      <c r="M651" s="59"/>
      <c r="N651" s="63"/>
      <c r="O651" s="60"/>
      <c r="P651" s="60"/>
      <c r="Q651" s="60"/>
      <c r="R651" s="60"/>
      <c r="S651" s="60"/>
      <c r="T651" s="60"/>
      <c r="U651" s="60"/>
      <c r="V651" s="64"/>
      <c r="W651" s="60"/>
      <c r="X651" s="59"/>
      <c r="Y651" s="60"/>
      <c r="Z651" s="59"/>
      <c r="AA651" s="60"/>
    </row>
    <row r="652">
      <c r="A652" s="58"/>
      <c r="B652" s="58"/>
      <c r="C652" s="59"/>
      <c r="D652" s="60"/>
      <c r="E652" s="61"/>
      <c r="F652" s="62"/>
      <c r="G652" s="62"/>
      <c r="H652" s="62"/>
      <c r="I652" s="59"/>
      <c r="J652" s="60"/>
      <c r="K652" s="59"/>
      <c r="L652" s="60"/>
      <c r="M652" s="59"/>
      <c r="N652" s="63"/>
      <c r="O652" s="60"/>
      <c r="P652" s="60"/>
      <c r="Q652" s="60"/>
      <c r="R652" s="60"/>
      <c r="S652" s="60"/>
      <c r="T652" s="60"/>
      <c r="U652" s="60"/>
      <c r="V652" s="64"/>
      <c r="W652" s="60"/>
      <c r="X652" s="59"/>
      <c r="Y652" s="60"/>
      <c r="Z652" s="59"/>
      <c r="AA652" s="60"/>
    </row>
    <row r="653">
      <c r="A653" s="58"/>
      <c r="B653" s="58"/>
      <c r="C653" s="59"/>
      <c r="D653" s="60"/>
      <c r="E653" s="61"/>
      <c r="F653" s="62"/>
      <c r="G653" s="62"/>
      <c r="H653" s="62"/>
      <c r="I653" s="59"/>
      <c r="J653" s="60"/>
      <c r="K653" s="59"/>
      <c r="L653" s="60"/>
      <c r="M653" s="59"/>
      <c r="N653" s="63"/>
      <c r="O653" s="60"/>
      <c r="P653" s="60"/>
      <c r="Q653" s="60"/>
      <c r="R653" s="60"/>
      <c r="S653" s="60"/>
      <c r="T653" s="60"/>
      <c r="U653" s="60"/>
      <c r="V653" s="64"/>
      <c r="W653" s="60"/>
      <c r="X653" s="59"/>
      <c r="Y653" s="60"/>
      <c r="Z653" s="59"/>
      <c r="AA653" s="60"/>
    </row>
    <row r="654">
      <c r="A654" s="58"/>
      <c r="B654" s="58"/>
      <c r="C654" s="59"/>
      <c r="D654" s="60"/>
      <c r="E654" s="61"/>
      <c r="F654" s="62"/>
      <c r="G654" s="62"/>
      <c r="H654" s="62"/>
      <c r="I654" s="59"/>
      <c r="J654" s="60"/>
      <c r="K654" s="59"/>
      <c r="L654" s="60"/>
      <c r="M654" s="59"/>
      <c r="N654" s="63"/>
      <c r="O654" s="60"/>
      <c r="P654" s="60"/>
      <c r="Q654" s="60"/>
      <c r="R654" s="60"/>
      <c r="S654" s="60"/>
      <c r="T654" s="60"/>
      <c r="U654" s="60"/>
      <c r="V654" s="64"/>
      <c r="W654" s="60"/>
      <c r="X654" s="59"/>
      <c r="Y654" s="60"/>
      <c r="Z654" s="59"/>
      <c r="AA654" s="60"/>
    </row>
    <row r="655">
      <c r="A655" s="58"/>
      <c r="B655" s="58"/>
      <c r="C655" s="59"/>
      <c r="D655" s="60"/>
      <c r="E655" s="61"/>
      <c r="F655" s="62"/>
      <c r="G655" s="62"/>
      <c r="H655" s="62"/>
      <c r="I655" s="59"/>
      <c r="J655" s="60"/>
      <c r="K655" s="59"/>
      <c r="L655" s="60"/>
      <c r="M655" s="59"/>
      <c r="N655" s="63"/>
      <c r="O655" s="60"/>
      <c r="P655" s="60"/>
      <c r="Q655" s="60"/>
      <c r="R655" s="60"/>
      <c r="S655" s="60"/>
      <c r="T655" s="60"/>
      <c r="U655" s="60"/>
      <c r="V655" s="64"/>
      <c r="W655" s="60"/>
      <c r="X655" s="59"/>
      <c r="Y655" s="60"/>
      <c r="Z655" s="59"/>
      <c r="AA655" s="60"/>
    </row>
    <row r="656">
      <c r="A656" s="58"/>
      <c r="B656" s="58"/>
      <c r="C656" s="59"/>
      <c r="D656" s="60"/>
      <c r="E656" s="61"/>
      <c r="F656" s="62"/>
      <c r="G656" s="62"/>
      <c r="H656" s="62"/>
      <c r="I656" s="59"/>
      <c r="J656" s="60"/>
      <c r="K656" s="59"/>
      <c r="L656" s="60"/>
      <c r="M656" s="59"/>
      <c r="N656" s="63"/>
      <c r="O656" s="60"/>
      <c r="P656" s="60"/>
      <c r="Q656" s="60"/>
      <c r="R656" s="60"/>
      <c r="S656" s="60"/>
      <c r="T656" s="60"/>
      <c r="U656" s="60"/>
      <c r="V656" s="64"/>
      <c r="W656" s="60"/>
      <c r="X656" s="59"/>
      <c r="Y656" s="60"/>
      <c r="Z656" s="59"/>
      <c r="AA656" s="60"/>
    </row>
    <row r="657">
      <c r="A657" s="58"/>
      <c r="B657" s="58"/>
      <c r="C657" s="59"/>
      <c r="D657" s="60"/>
      <c r="E657" s="61"/>
      <c r="F657" s="62"/>
      <c r="G657" s="62"/>
      <c r="H657" s="62"/>
      <c r="I657" s="59"/>
      <c r="J657" s="60"/>
      <c r="K657" s="59"/>
      <c r="L657" s="60"/>
      <c r="M657" s="59"/>
      <c r="N657" s="63"/>
      <c r="O657" s="60"/>
      <c r="P657" s="60"/>
      <c r="Q657" s="60"/>
      <c r="R657" s="60"/>
      <c r="S657" s="60"/>
      <c r="T657" s="60"/>
      <c r="U657" s="60"/>
      <c r="V657" s="64"/>
      <c r="W657" s="60"/>
      <c r="X657" s="59"/>
      <c r="Y657" s="60"/>
      <c r="Z657" s="59"/>
      <c r="AA657" s="60"/>
    </row>
    <row r="658">
      <c r="A658" s="58"/>
      <c r="B658" s="58"/>
      <c r="C658" s="59"/>
      <c r="D658" s="60"/>
      <c r="E658" s="61"/>
      <c r="F658" s="62"/>
      <c r="G658" s="62"/>
      <c r="H658" s="62"/>
      <c r="I658" s="59"/>
      <c r="J658" s="60"/>
      <c r="K658" s="59"/>
      <c r="L658" s="60"/>
      <c r="M658" s="59"/>
      <c r="N658" s="63"/>
      <c r="O658" s="60"/>
      <c r="P658" s="60"/>
      <c r="Q658" s="60"/>
      <c r="R658" s="60"/>
      <c r="S658" s="60"/>
      <c r="T658" s="60"/>
      <c r="U658" s="60"/>
      <c r="V658" s="64"/>
      <c r="W658" s="60"/>
      <c r="X658" s="59"/>
      <c r="Y658" s="60"/>
      <c r="Z658" s="59"/>
      <c r="AA658" s="60"/>
    </row>
    <row r="659">
      <c r="A659" s="58"/>
      <c r="B659" s="58"/>
      <c r="C659" s="59"/>
      <c r="D659" s="60"/>
      <c r="E659" s="61"/>
      <c r="F659" s="62"/>
      <c r="G659" s="62"/>
      <c r="H659" s="62"/>
      <c r="I659" s="59"/>
      <c r="J659" s="60"/>
      <c r="K659" s="59"/>
      <c r="L659" s="60"/>
      <c r="M659" s="59"/>
      <c r="N659" s="63"/>
      <c r="O659" s="60"/>
      <c r="P659" s="60"/>
      <c r="Q659" s="60"/>
      <c r="R659" s="60"/>
      <c r="S659" s="60"/>
      <c r="T659" s="60"/>
      <c r="U659" s="60"/>
      <c r="V659" s="64"/>
      <c r="W659" s="60"/>
      <c r="X659" s="59"/>
      <c r="Y659" s="60"/>
      <c r="Z659" s="59"/>
      <c r="AA659" s="60"/>
    </row>
    <row r="660">
      <c r="A660" s="58"/>
      <c r="B660" s="58"/>
      <c r="C660" s="59"/>
      <c r="D660" s="60"/>
      <c r="E660" s="61"/>
      <c r="F660" s="62"/>
      <c r="G660" s="62"/>
      <c r="H660" s="62"/>
      <c r="I660" s="59"/>
      <c r="J660" s="60"/>
      <c r="K660" s="59"/>
      <c r="L660" s="60"/>
      <c r="M660" s="59"/>
      <c r="N660" s="63"/>
      <c r="O660" s="60"/>
      <c r="P660" s="60"/>
      <c r="Q660" s="60"/>
      <c r="R660" s="60"/>
      <c r="S660" s="60"/>
      <c r="T660" s="60"/>
      <c r="U660" s="60"/>
      <c r="V660" s="64"/>
      <c r="W660" s="60"/>
      <c r="X660" s="59"/>
      <c r="Y660" s="60"/>
      <c r="Z660" s="59"/>
      <c r="AA660" s="60"/>
    </row>
    <row r="661">
      <c r="A661" s="58"/>
      <c r="B661" s="58"/>
      <c r="C661" s="59"/>
      <c r="D661" s="60"/>
      <c r="E661" s="61"/>
      <c r="F661" s="62"/>
      <c r="G661" s="62"/>
      <c r="H661" s="62"/>
      <c r="I661" s="59"/>
      <c r="J661" s="60"/>
      <c r="K661" s="59"/>
      <c r="L661" s="60"/>
      <c r="M661" s="59"/>
      <c r="N661" s="63"/>
      <c r="O661" s="60"/>
      <c r="P661" s="60"/>
      <c r="Q661" s="60"/>
      <c r="R661" s="60"/>
      <c r="S661" s="60"/>
      <c r="T661" s="60"/>
      <c r="U661" s="60"/>
      <c r="V661" s="64"/>
      <c r="W661" s="60"/>
      <c r="X661" s="59"/>
      <c r="Y661" s="60"/>
      <c r="Z661" s="59"/>
      <c r="AA661" s="60"/>
    </row>
    <row r="662">
      <c r="A662" s="58"/>
      <c r="B662" s="58"/>
      <c r="C662" s="59"/>
      <c r="D662" s="60"/>
      <c r="E662" s="61"/>
      <c r="F662" s="62"/>
      <c r="G662" s="62"/>
      <c r="H662" s="62"/>
      <c r="I662" s="59"/>
      <c r="J662" s="60"/>
      <c r="K662" s="59"/>
      <c r="L662" s="60"/>
      <c r="M662" s="59"/>
      <c r="N662" s="63"/>
      <c r="O662" s="60"/>
      <c r="P662" s="60"/>
      <c r="Q662" s="60"/>
      <c r="R662" s="60"/>
      <c r="S662" s="60"/>
      <c r="T662" s="60"/>
      <c r="U662" s="60"/>
      <c r="V662" s="64"/>
      <c r="W662" s="60"/>
      <c r="X662" s="59"/>
      <c r="Y662" s="60"/>
      <c r="Z662" s="59"/>
      <c r="AA662" s="60"/>
    </row>
    <row r="663">
      <c r="A663" s="58"/>
      <c r="B663" s="58"/>
      <c r="C663" s="59"/>
      <c r="D663" s="60"/>
      <c r="E663" s="61"/>
      <c r="F663" s="62"/>
      <c r="G663" s="62"/>
      <c r="H663" s="62"/>
      <c r="I663" s="59"/>
      <c r="J663" s="60"/>
      <c r="K663" s="59"/>
      <c r="L663" s="60"/>
      <c r="M663" s="59"/>
      <c r="N663" s="63"/>
      <c r="O663" s="60"/>
      <c r="P663" s="60"/>
      <c r="Q663" s="60"/>
      <c r="R663" s="60"/>
      <c r="S663" s="60"/>
      <c r="T663" s="60"/>
      <c r="U663" s="60"/>
      <c r="V663" s="64"/>
      <c r="W663" s="60"/>
      <c r="X663" s="59"/>
      <c r="Y663" s="60"/>
      <c r="Z663" s="59"/>
      <c r="AA663" s="60"/>
    </row>
    <row r="664">
      <c r="A664" s="58"/>
      <c r="B664" s="58"/>
      <c r="C664" s="59"/>
      <c r="D664" s="60"/>
      <c r="E664" s="61"/>
      <c r="F664" s="62"/>
      <c r="G664" s="62"/>
      <c r="H664" s="62"/>
      <c r="I664" s="59"/>
      <c r="J664" s="60"/>
      <c r="K664" s="59"/>
      <c r="L664" s="60"/>
      <c r="M664" s="59"/>
      <c r="N664" s="63"/>
      <c r="O664" s="60"/>
      <c r="P664" s="60"/>
      <c r="Q664" s="60"/>
      <c r="R664" s="60"/>
      <c r="S664" s="60"/>
      <c r="T664" s="60"/>
      <c r="U664" s="60"/>
      <c r="V664" s="64"/>
      <c r="W664" s="60"/>
      <c r="X664" s="59"/>
      <c r="Y664" s="60"/>
      <c r="Z664" s="59"/>
      <c r="AA664" s="60"/>
    </row>
    <row r="665">
      <c r="A665" s="58"/>
      <c r="B665" s="58"/>
      <c r="C665" s="59"/>
      <c r="D665" s="60"/>
      <c r="E665" s="61"/>
      <c r="F665" s="62"/>
      <c r="G665" s="62"/>
      <c r="H665" s="62"/>
      <c r="I665" s="59"/>
      <c r="J665" s="60"/>
      <c r="K665" s="59"/>
      <c r="L665" s="60"/>
      <c r="M665" s="59"/>
      <c r="N665" s="63"/>
      <c r="O665" s="60"/>
      <c r="P665" s="60"/>
      <c r="Q665" s="60"/>
      <c r="R665" s="60"/>
      <c r="S665" s="60"/>
      <c r="T665" s="60"/>
      <c r="U665" s="60"/>
      <c r="V665" s="64"/>
      <c r="W665" s="60"/>
      <c r="X665" s="59"/>
      <c r="Y665" s="60"/>
      <c r="Z665" s="59"/>
      <c r="AA665" s="60"/>
    </row>
    <row r="666">
      <c r="A666" s="58"/>
      <c r="B666" s="58"/>
      <c r="C666" s="59"/>
      <c r="D666" s="60"/>
      <c r="E666" s="61"/>
      <c r="F666" s="62"/>
      <c r="G666" s="62"/>
      <c r="H666" s="62"/>
      <c r="I666" s="59"/>
      <c r="J666" s="60"/>
      <c r="K666" s="59"/>
      <c r="L666" s="60"/>
      <c r="M666" s="59"/>
      <c r="N666" s="63"/>
      <c r="O666" s="60"/>
      <c r="P666" s="60"/>
      <c r="Q666" s="60"/>
      <c r="R666" s="60"/>
      <c r="S666" s="60"/>
      <c r="T666" s="60"/>
      <c r="U666" s="60"/>
      <c r="V666" s="64"/>
      <c r="W666" s="60"/>
      <c r="X666" s="59"/>
      <c r="Y666" s="60"/>
      <c r="Z666" s="59"/>
      <c r="AA666" s="60"/>
    </row>
    <row r="667">
      <c r="A667" s="58"/>
      <c r="B667" s="58"/>
      <c r="C667" s="59"/>
      <c r="D667" s="60"/>
      <c r="E667" s="61"/>
      <c r="F667" s="62"/>
      <c r="G667" s="62"/>
      <c r="H667" s="62"/>
      <c r="I667" s="59"/>
      <c r="J667" s="60"/>
      <c r="K667" s="59"/>
      <c r="L667" s="60"/>
      <c r="M667" s="59"/>
      <c r="N667" s="63"/>
      <c r="O667" s="60"/>
      <c r="P667" s="60"/>
      <c r="Q667" s="60"/>
      <c r="R667" s="60"/>
      <c r="S667" s="60"/>
      <c r="T667" s="60"/>
      <c r="U667" s="60"/>
      <c r="V667" s="64"/>
      <c r="W667" s="60"/>
      <c r="X667" s="59"/>
      <c r="Y667" s="60"/>
      <c r="Z667" s="59"/>
      <c r="AA667" s="60"/>
    </row>
    <row r="668">
      <c r="A668" s="58"/>
      <c r="B668" s="58"/>
      <c r="C668" s="59"/>
      <c r="D668" s="60"/>
      <c r="E668" s="61"/>
      <c r="F668" s="62"/>
      <c r="G668" s="62"/>
      <c r="H668" s="62"/>
      <c r="I668" s="59"/>
      <c r="J668" s="60"/>
      <c r="K668" s="59"/>
      <c r="L668" s="60"/>
      <c r="M668" s="59"/>
      <c r="N668" s="63"/>
      <c r="O668" s="60"/>
      <c r="P668" s="60"/>
      <c r="Q668" s="60"/>
      <c r="R668" s="60"/>
      <c r="S668" s="60"/>
      <c r="T668" s="60"/>
      <c r="U668" s="60"/>
      <c r="V668" s="64"/>
      <c r="W668" s="60"/>
      <c r="X668" s="59"/>
      <c r="Y668" s="60"/>
      <c r="Z668" s="59"/>
      <c r="AA668" s="60"/>
    </row>
    <row r="669">
      <c r="A669" s="58"/>
      <c r="B669" s="58"/>
      <c r="C669" s="59"/>
      <c r="D669" s="60"/>
      <c r="E669" s="61"/>
      <c r="F669" s="62"/>
      <c r="G669" s="62"/>
      <c r="H669" s="62"/>
      <c r="I669" s="59"/>
      <c r="J669" s="60"/>
      <c r="K669" s="59"/>
      <c r="L669" s="60"/>
      <c r="M669" s="59"/>
      <c r="N669" s="63"/>
      <c r="O669" s="60"/>
      <c r="P669" s="60"/>
      <c r="Q669" s="60"/>
      <c r="R669" s="60"/>
      <c r="S669" s="60"/>
      <c r="T669" s="60"/>
      <c r="U669" s="60"/>
      <c r="V669" s="64"/>
      <c r="W669" s="60"/>
      <c r="X669" s="59"/>
      <c r="Y669" s="60"/>
      <c r="Z669" s="59"/>
      <c r="AA669" s="60"/>
    </row>
    <row r="670">
      <c r="A670" s="58"/>
      <c r="B670" s="58"/>
      <c r="C670" s="59"/>
      <c r="D670" s="60"/>
      <c r="E670" s="61"/>
      <c r="F670" s="62"/>
      <c r="G670" s="62"/>
      <c r="H670" s="62"/>
      <c r="I670" s="59"/>
      <c r="J670" s="60"/>
      <c r="K670" s="59"/>
      <c r="L670" s="60"/>
      <c r="M670" s="59"/>
      <c r="N670" s="63"/>
      <c r="O670" s="60"/>
      <c r="P670" s="60"/>
      <c r="Q670" s="60"/>
      <c r="R670" s="60"/>
      <c r="S670" s="60"/>
      <c r="T670" s="60"/>
      <c r="U670" s="60"/>
      <c r="V670" s="64"/>
      <c r="W670" s="60"/>
      <c r="X670" s="59"/>
      <c r="Y670" s="60"/>
      <c r="Z670" s="59"/>
      <c r="AA670" s="60"/>
    </row>
    <row r="671">
      <c r="A671" s="58"/>
      <c r="B671" s="58"/>
      <c r="C671" s="59"/>
      <c r="D671" s="60"/>
      <c r="E671" s="61"/>
      <c r="F671" s="62"/>
      <c r="G671" s="62"/>
      <c r="H671" s="62"/>
      <c r="I671" s="59"/>
      <c r="J671" s="60"/>
      <c r="K671" s="59"/>
      <c r="L671" s="60"/>
      <c r="M671" s="59"/>
      <c r="N671" s="63"/>
      <c r="O671" s="60"/>
      <c r="P671" s="60"/>
      <c r="Q671" s="60"/>
      <c r="R671" s="60"/>
      <c r="S671" s="60"/>
      <c r="T671" s="60"/>
      <c r="U671" s="60"/>
      <c r="V671" s="64"/>
      <c r="W671" s="60"/>
      <c r="X671" s="59"/>
      <c r="Y671" s="60"/>
      <c r="Z671" s="59"/>
      <c r="AA671" s="60"/>
    </row>
    <row r="672">
      <c r="A672" s="58"/>
      <c r="B672" s="58"/>
      <c r="C672" s="59"/>
      <c r="D672" s="60"/>
      <c r="E672" s="61"/>
      <c r="F672" s="62"/>
      <c r="G672" s="62"/>
      <c r="H672" s="62"/>
      <c r="I672" s="59"/>
      <c r="J672" s="60"/>
      <c r="K672" s="59"/>
      <c r="L672" s="60"/>
      <c r="M672" s="59"/>
      <c r="N672" s="63"/>
      <c r="O672" s="60"/>
      <c r="P672" s="60"/>
      <c r="Q672" s="60"/>
      <c r="R672" s="60"/>
      <c r="S672" s="60"/>
      <c r="T672" s="60"/>
      <c r="U672" s="60"/>
      <c r="V672" s="64"/>
      <c r="W672" s="60"/>
      <c r="X672" s="59"/>
      <c r="Y672" s="60"/>
      <c r="Z672" s="59"/>
      <c r="AA672" s="60"/>
    </row>
    <row r="673">
      <c r="A673" s="58"/>
      <c r="B673" s="58"/>
      <c r="C673" s="59"/>
      <c r="D673" s="60"/>
      <c r="E673" s="61"/>
      <c r="F673" s="62"/>
      <c r="G673" s="62"/>
      <c r="H673" s="62"/>
      <c r="I673" s="59"/>
      <c r="J673" s="60"/>
      <c r="K673" s="59"/>
      <c r="L673" s="60"/>
      <c r="M673" s="59"/>
      <c r="N673" s="63"/>
      <c r="O673" s="60"/>
      <c r="P673" s="60"/>
      <c r="Q673" s="60"/>
      <c r="R673" s="60"/>
      <c r="S673" s="60"/>
      <c r="T673" s="60"/>
      <c r="U673" s="60"/>
      <c r="V673" s="64"/>
      <c r="W673" s="60"/>
      <c r="X673" s="59"/>
      <c r="Y673" s="60"/>
      <c r="Z673" s="59"/>
      <c r="AA673" s="60"/>
    </row>
    <row r="674">
      <c r="A674" s="58"/>
      <c r="B674" s="58"/>
      <c r="C674" s="59"/>
      <c r="D674" s="60"/>
      <c r="E674" s="61"/>
      <c r="F674" s="62"/>
      <c r="G674" s="62"/>
      <c r="H674" s="62"/>
      <c r="I674" s="59"/>
      <c r="J674" s="60"/>
      <c r="K674" s="59"/>
      <c r="L674" s="60"/>
      <c r="M674" s="59"/>
      <c r="N674" s="63"/>
      <c r="O674" s="60"/>
      <c r="P674" s="60"/>
      <c r="Q674" s="60"/>
      <c r="R674" s="60"/>
      <c r="S674" s="60"/>
      <c r="T674" s="60"/>
      <c r="U674" s="60"/>
      <c r="V674" s="64"/>
      <c r="W674" s="60"/>
      <c r="X674" s="59"/>
      <c r="Y674" s="60"/>
      <c r="Z674" s="59"/>
      <c r="AA674" s="60"/>
    </row>
    <row r="675">
      <c r="A675" s="58"/>
      <c r="B675" s="58"/>
      <c r="C675" s="59"/>
      <c r="D675" s="60"/>
      <c r="E675" s="61"/>
      <c r="F675" s="62"/>
      <c r="G675" s="62"/>
      <c r="H675" s="62"/>
      <c r="I675" s="59"/>
      <c r="J675" s="60"/>
      <c r="K675" s="59"/>
      <c r="L675" s="60"/>
      <c r="M675" s="59"/>
      <c r="N675" s="63"/>
      <c r="O675" s="60"/>
      <c r="P675" s="60"/>
      <c r="Q675" s="60"/>
      <c r="R675" s="60"/>
      <c r="S675" s="60"/>
      <c r="T675" s="60"/>
      <c r="U675" s="60"/>
      <c r="V675" s="64"/>
      <c r="W675" s="60"/>
      <c r="X675" s="59"/>
      <c r="Y675" s="60"/>
      <c r="Z675" s="59"/>
      <c r="AA675" s="60"/>
    </row>
    <row r="676">
      <c r="A676" s="58"/>
      <c r="B676" s="58"/>
      <c r="C676" s="59"/>
      <c r="D676" s="60"/>
      <c r="E676" s="61"/>
      <c r="F676" s="62"/>
      <c r="G676" s="62"/>
      <c r="H676" s="62"/>
      <c r="I676" s="59"/>
      <c r="J676" s="60"/>
      <c r="K676" s="59"/>
      <c r="L676" s="60"/>
      <c r="M676" s="59"/>
      <c r="N676" s="63"/>
      <c r="O676" s="60"/>
      <c r="P676" s="60"/>
      <c r="Q676" s="60"/>
      <c r="R676" s="60"/>
      <c r="S676" s="60"/>
      <c r="T676" s="60"/>
      <c r="U676" s="60"/>
      <c r="V676" s="64"/>
      <c r="W676" s="60"/>
      <c r="X676" s="59"/>
      <c r="Y676" s="60"/>
      <c r="Z676" s="59"/>
      <c r="AA676" s="60"/>
    </row>
    <row r="677">
      <c r="A677" s="58"/>
      <c r="B677" s="58"/>
      <c r="C677" s="59"/>
      <c r="D677" s="60"/>
      <c r="E677" s="61"/>
      <c r="F677" s="62"/>
      <c r="G677" s="62"/>
      <c r="H677" s="62"/>
      <c r="I677" s="59"/>
      <c r="J677" s="60"/>
      <c r="K677" s="59"/>
      <c r="L677" s="60"/>
      <c r="M677" s="59"/>
      <c r="N677" s="63"/>
      <c r="O677" s="60"/>
      <c r="P677" s="60"/>
      <c r="Q677" s="60"/>
      <c r="R677" s="60"/>
      <c r="S677" s="60"/>
      <c r="T677" s="60"/>
      <c r="U677" s="60"/>
      <c r="V677" s="64"/>
      <c r="W677" s="60"/>
      <c r="X677" s="59"/>
      <c r="Y677" s="60"/>
      <c r="Z677" s="59"/>
      <c r="AA677" s="60"/>
    </row>
    <row r="678">
      <c r="A678" s="58"/>
      <c r="B678" s="58"/>
      <c r="C678" s="59"/>
      <c r="D678" s="60"/>
      <c r="E678" s="61"/>
      <c r="F678" s="62"/>
      <c r="G678" s="62"/>
      <c r="H678" s="62"/>
      <c r="I678" s="59"/>
      <c r="J678" s="60"/>
      <c r="K678" s="59"/>
      <c r="L678" s="60"/>
      <c r="M678" s="59"/>
      <c r="N678" s="63"/>
      <c r="O678" s="60"/>
      <c r="P678" s="60"/>
      <c r="Q678" s="60"/>
      <c r="R678" s="60"/>
      <c r="S678" s="60"/>
      <c r="T678" s="60"/>
      <c r="U678" s="60"/>
      <c r="V678" s="64"/>
      <c r="W678" s="60"/>
      <c r="X678" s="59"/>
      <c r="Y678" s="60"/>
      <c r="Z678" s="59"/>
      <c r="AA678" s="60"/>
    </row>
    <row r="679">
      <c r="A679" s="58"/>
      <c r="B679" s="58"/>
      <c r="C679" s="59"/>
      <c r="D679" s="60"/>
      <c r="E679" s="61"/>
      <c r="F679" s="62"/>
      <c r="G679" s="62"/>
      <c r="H679" s="62"/>
      <c r="I679" s="59"/>
      <c r="J679" s="60"/>
      <c r="K679" s="59"/>
      <c r="L679" s="60"/>
      <c r="M679" s="59"/>
      <c r="N679" s="63"/>
      <c r="O679" s="60"/>
      <c r="P679" s="60"/>
      <c r="Q679" s="60"/>
      <c r="R679" s="60"/>
      <c r="S679" s="60"/>
      <c r="T679" s="60"/>
      <c r="U679" s="60"/>
      <c r="V679" s="64"/>
      <c r="W679" s="60"/>
      <c r="X679" s="59"/>
      <c r="Y679" s="60"/>
      <c r="Z679" s="59"/>
      <c r="AA679" s="60"/>
    </row>
    <row r="680">
      <c r="A680" s="58"/>
      <c r="B680" s="58"/>
      <c r="C680" s="59"/>
      <c r="D680" s="60"/>
      <c r="E680" s="61"/>
      <c r="F680" s="62"/>
      <c r="G680" s="62"/>
      <c r="H680" s="62"/>
      <c r="I680" s="59"/>
      <c r="J680" s="60"/>
      <c r="K680" s="59"/>
      <c r="L680" s="60"/>
      <c r="M680" s="59"/>
      <c r="N680" s="63"/>
      <c r="O680" s="60"/>
      <c r="P680" s="60"/>
      <c r="Q680" s="60"/>
      <c r="R680" s="60"/>
      <c r="S680" s="60"/>
      <c r="T680" s="60"/>
      <c r="U680" s="60"/>
      <c r="V680" s="64"/>
      <c r="W680" s="60"/>
      <c r="X680" s="59"/>
      <c r="Y680" s="60"/>
      <c r="Z680" s="59"/>
      <c r="AA680" s="60"/>
    </row>
    <row r="681">
      <c r="A681" s="58"/>
      <c r="B681" s="58"/>
      <c r="C681" s="59"/>
      <c r="D681" s="60"/>
      <c r="E681" s="61"/>
      <c r="F681" s="62"/>
      <c r="G681" s="62"/>
      <c r="H681" s="62"/>
      <c r="I681" s="59"/>
      <c r="J681" s="60"/>
      <c r="K681" s="59"/>
      <c r="L681" s="60"/>
      <c r="M681" s="59"/>
      <c r="N681" s="63"/>
      <c r="O681" s="60"/>
      <c r="P681" s="60"/>
      <c r="Q681" s="60"/>
      <c r="R681" s="60"/>
      <c r="S681" s="60"/>
      <c r="T681" s="60"/>
      <c r="U681" s="60"/>
      <c r="V681" s="64"/>
      <c r="W681" s="60"/>
      <c r="X681" s="59"/>
      <c r="Y681" s="60"/>
      <c r="Z681" s="59"/>
      <c r="AA681" s="60"/>
    </row>
    <row r="682">
      <c r="A682" s="58"/>
      <c r="B682" s="58"/>
      <c r="C682" s="59"/>
      <c r="D682" s="60"/>
      <c r="E682" s="61"/>
      <c r="F682" s="62"/>
      <c r="G682" s="62"/>
      <c r="H682" s="62"/>
      <c r="I682" s="59"/>
      <c r="J682" s="60"/>
      <c r="K682" s="59"/>
      <c r="L682" s="60"/>
      <c r="M682" s="59"/>
      <c r="N682" s="63"/>
      <c r="O682" s="60"/>
      <c r="P682" s="60"/>
      <c r="Q682" s="60"/>
      <c r="R682" s="60"/>
      <c r="S682" s="60"/>
      <c r="T682" s="60"/>
      <c r="U682" s="60"/>
      <c r="V682" s="64"/>
      <c r="W682" s="60"/>
      <c r="X682" s="59"/>
      <c r="Y682" s="60"/>
      <c r="Z682" s="59"/>
      <c r="AA682" s="60"/>
    </row>
    <row r="683">
      <c r="A683" s="58"/>
      <c r="B683" s="58"/>
      <c r="C683" s="59"/>
      <c r="D683" s="60"/>
      <c r="E683" s="61"/>
      <c r="F683" s="62"/>
      <c r="G683" s="62"/>
      <c r="H683" s="62"/>
      <c r="I683" s="59"/>
      <c r="J683" s="60"/>
      <c r="K683" s="59"/>
      <c r="L683" s="60"/>
      <c r="M683" s="59"/>
      <c r="N683" s="63"/>
      <c r="O683" s="60"/>
      <c r="P683" s="60"/>
      <c r="Q683" s="60"/>
      <c r="R683" s="60"/>
      <c r="S683" s="60"/>
      <c r="T683" s="60"/>
      <c r="U683" s="60"/>
      <c r="V683" s="64"/>
      <c r="W683" s="60"/>
      <c r="X683" s="59"/>
      <c r="Y683" s="60"/>
      <c r="Z683" s="59"/>
      <c r="AA683" s="60"/>
    </row>
    <row r="684">
      <c r="A684" s="58"/>
      <c r="B684" s="58"/>
      <c r="C684" s="59"/>
      <c r="D684" s="60"/>
      <c r="E684" s="61"/>
      <c r="F684" s="62"/>
      <c r="G684" s="62"/>
      <c r="H684" s="62"/>
      <c r="I684" s="59"/>
      <c r="J684" s="60"/>
      <c r="K684" s="59"/>
      <c r="L684" s="60"/>
      <c r="M684" s="59"/>
      <c r="N684" s="63"/>
      <c r="O684" s="60"/>
      <c r="P684" s="60"/>
      <c r="Q684" s="60"/>
      <c r="R684" s="60"/>
      <c r="S684" s="60"/>
      <c r="T684" s="60"/>
      <c r="U684" s="60"/>
      <c r="V684" s="64"/>
      <c r="W684" s="60"/>
      <c r="X684" s="59"/>
      <c r="Y684" s="60"/>
      <c r="Z684" s="59"/>
      <c r="AA684" s="60"/>
    </row>
    <row r="685">
      <c r="A685" s="58"/>
      <c r="B685" s="58"/>
      <c r="C685" s="59"/>
      <c r="D685" s="60"/>
      <c r="E685" s="61"/>
      <c r="F685" s="62"/>
      <c r="G685" s="62"/>
      <c r="H685" s="62"/>
      <c r="I685" s="59"/>
      <c r="J685" s="60"/>
      <c r="K685" s="59"/>
      <c r="L685" s="60"/>
      <c r="M685" s="59"/>
      <c r="N685" s="63"/>
      <c r="O685" s="60"/>
      <c r="P685" s="60"/>
      <c r="Q685" s="60"/>
      <c r="R685" s="60"/>
      <c r="S685" s="60"/>
      <c r="T685" s="60"/>
      <c r="U685" s="60"/>
      <c r="V685" s="64"/>
      <c r="W685" s="60"/>
      <c r="X685" s="59"/>
      <c r="Y685" s="60"/>
      <c r="Z685" s="59"/>
      <c r="AA685" s="60"/>
    </row>
    <row r="686">
      <c r="A686" s="58"/>
      <c r="B686" s="58"/>
      <c r="C686" s="59"/>
      <c r="D686" s="60"/>
      <c r="E686" s="61"/>
      <c r="F686" s="62"/>
      <c r="G686" s="62"/>
      <c r="H686" s="62"/>
      <c r="I686" s="59"/>
      <c r="J686" s="60"/>
      <c r="K686" s="59"/>
      <c r="L686" s="60"/>
      <c r="M686" s="59"/>
      <c r="N686" s="63"/>
      <c r="O686" s="60"/>
      <c r="P686" s="60"/>
      <c r="Q686" s="60"/>
      <c r="R686" s="60"/>
      <c r="S686" s="60"/>
      <c r="T686" s="60"/>
      <c r="U686" s="60"/>
      <c r="V686" s="64"/>
      <c r="W686" s="60"/>
      <c r="X686" s="59"/>
      <c r="Y686" s="60"/>
      <c r="Z686" s="59"/>
      <c r="AA686" s="60"/>
    </row>
    <row r="687">
      <c r="A687" s="58"/>
      <c r="B687" s="58"/>
      <c r="C687" s="59"/>
      <c r="D687" s="60"/>
      <c r="E687" s="61"/>
      <c r="F687" s="62"/>
      <c r="G687" s="62"/>
      <c r="H687" s="62"/>
      <c r="I687" s="59"/>
      <c r="J687" s="60"/>
      <c r="K687" s="59"/>
      <c r="L687" s="60"/>
      <c r="M687" s="59"/>
      <c r="N687" s="63"/>
      <c r="O687" s="60"/>
      <c r="P687" s="60"/>
      <c r="Q687" s="60"/>
      <c r="R687" s="60"/>
      <c r="S687" s="60"/>
      <c r="T687" s="60"/>
      <c r="U687" s="60"/>
      <c r="V687" s="64"/>
      <c r="W687" s="60"/>
      <c r="X687" s="59"/>
      <c r="Y687" s="60"/>
      <c r="Z687" s="59"/>
      <c r="AA687" s="60"/>
    </row>
    <row r="688">
      <c r="A688" s="58"/>
      <c r="B688" s="58"/>
      <c r="C688" s="59"/>
      <c r="D688" s="60"/>
      <c r="E688" s="61"/>
      <c r="F688" s="62"/>
      <c r="G688" s="62"/>
      <c r="H688" s="62"/>
      <c r="I688" s="59"/>
      <c r="J688" s="60"/>
      <c r="K688" s="59"/>
      <c r="L688" s="60"/>
      <c r="M688" s="59"/>
      <c r="N688" s="63"/>
      <c r="O688" s="60"/>
      <c r="P688" s="60"/>
      <c r="Q688" s="60"/>
      <c r="R688" s="60"/>
      <c r="S688" s="60"/>
      <c r="T688" s="60"/>
      <c r="U688" s="60"/>
      <c r="V688" s="64"/>
      <c r="W688" s="60"/>
      <c r="X688" s="59"/>
      <c r="Y688" s="60"/>
      <c r="Z688" s="59"/>
      <c r="AA688" s="60"/>
    </row>
    <row r="689">
      <c r="A689" s="58"/>
      <c r="B689" s="58"/>
      <c r="C689" s="59"/>
      <c r="D689" s="60"/>
      <c r="E689" s="61"/>
      <c r="F689" s="62"/>
      <c r="G689" s="62"/>
      <c r="H689" s="62"/>
      <c r="I689" s="59"/>
      <c r="J689" s="60"/>
      <c r="K689" s="59"/>
      <c r="L689" s="60"/>
      <c r="M689" s="59"/>
      <c r="N689" s="63"/>
      <c r="O689" s="60"/>
      <c r="P689" s="60"/>
      <c r="Q689" s="60"/>
      <c r="R689" s="60"/>
      <c r="S689" s="60"/>
      <c r="T689" s="60"/>
      <c r="U689" s="60"/>
      <c r="V689" s="64"/>
      <c r="W689" s="60"/>
      <c r="X689" s="59"/>
      <c r="Y689" s="60"/>
      <c r="Z689" s="59"/>
      <c r="AA689" s="60"/>
    </row>
    <row r="690">
      <c r="A690" s="58"/>
      <c r="B690" s="58"/>
      <c r="C690" s="59"/>
      <c r="D690" s="60"/>
      <c r="E690" s="61"/>
      <c r="F690" s="62"/>
      <c r="G690" s="62"/>
      <c r="H690" s="62"/>
      <c r="I690" s="59"/>
      <c r="J690" s="60"/>
      <c r="K690" s="59"/>
      <c r="L690" s="60"/>
      <c r="M690" s="59"/>
      <c r="N690" s="63"/>
      <c r="O690" s="60"/>
      <c r="P690" s="60"/>
      <c r="Q690" s="60"/>
      <c r="R690" s="60"/>
      <c r="S690" s="60"/>
      <c r="T690" s="60"/>
      <c r="U690" s="60"/>
      <c r="V690" s="64"/>
      <c r="W690" s="60"/>
      <c r="X690" s="59"/>
      <c r="Y690" s="60"/>
      <c r="Z690" s="59"/>
      <c r="AA690" s="60"/>
    </row>
    <row r="691">
      <c r="A691" s="58"/>
      <c r="B691" s="58"/>
      <c r="C691" s="59"/>
      <c r="D691" s="60"/>
      <c r="E691" s="61"/>
      <c r="F691" s="62"/>
      <c r="G691" s="62"/>
      <c r="H691" s="62"/>
      <c r="I691" s="59"/>
      <c r="J691" s="60"/>
      <c r="K691" s="59"/>
      <c r="L691" s="60"/>
      <c r="M691" s="59"/>
      <c r="N691" s="63"/>
      <c r="O691" s="60"/>
      <c r="P691" s="60"/>
      <c r="Q691" s="60"/>
      <c r="R691" s="60"/>
      <c r="S691" s="60"/>
      <c r="T691" s="60"/>
      <c r="U691" s="60"/>
      <c r="V691" s="64"/>
      <c r="W691" s="60"/>
      <c r="X691" s="59"/>
      <c r="Y691" s="60"/>
      <c r="Z691" s="59"/>
      <c r="AA691" s="60"/>
    </row>
    <row r="692">
      <c r="A692" s="58"/>
      <c r="B692" s="58"/>
      <c r="C692" s="59"/>
      <c r="D692" s="60"/>
      <c r="E692" s="61"/>
      <c r="F692" s="62"/>
      <c r="G692" s="62"/>
      <c r="H692" s="62"/>
      <c r="I692" s="59"/>
      <c r="J692" s="60"/>
      <c r="K692" s="59"/>
      <c r="L692" s="60"/>
      <c r="M692" s="59"/>
      <c r="N692" s="63"/>
      <c r="O692" s="60"/>
      <c r="P692" s="60"/>
      <c r="Q692" s="60"/>
      <c r="R692" s="60"/>
      <c r="S692" s="60"/>
      <c r="T692" s="60"/>
      <c r="U692" s="60"/>
      <c r="V692" s="64"/>
      <c r="W692" s="60"/>
      <c r="X692" s="59"/>
      <c r="Y692" s="60"/>
      <c r="Z692" s="59"/>
      <c r="AA692" s="60"/>
    </row>
    <row r="693">
      <c r="A693" s="58"/>
      <c r="B693" s="58"/>
      <c r="C693" s="59"/>
      <c r="D693" s="60"/>
      <c r="E693" s="61"/>
      <c r="F693" s="62"/>
      <c r="G693" s="62"/>
      <c r="H693" s="62"/>
      <c r="I693" s="59"/>
      <c r="J693" s="60"/>
      <c r="K693" s="59"/>
      <c r="L693" s="60"/>
      <c r="M693" s="59"/>
      <c r="N693" s="63"/>
      <c r="O693" s="60"/>
      <c r="P693" s="60"/>
      <c r="Q693" s="60"/>
      <c r="R693" s="60"/>
      <c r="S693" s="60"/>
      <c r="T693" s="60"/>
      <c r="U693" s="60"/>
      <c r="V693" s="64"/>
      <c r="W693" s="60"/>
      <c r="X693" s="59"/>
      <c r="Y693" s="60"/>
      <c r="Z693" s="59"/>
      <c r="AA693" s="60"/>
    </row>
    <row r="694">
      <c r="A694" s="58"/>
      <c r="B694" s="58"/>
      <c r="C694" s="59"/>
      <c r="D694" s="60"/>
      <c r="E694" s="61"/>
      <c r="F694" s="62"/>
      <c r="G694" s="62"/>
      <c r="H694" s="62"/>
      <c r="I694" s="59"/>
      <c r="J694" s="60"/>
      <c r="K694" s="59"/>
      <c r="L694" s="60"/>
      <c r="M694" s="59"/>
      <c r="N694" s="63"/>
      <c r="O694" s="60"/>
      <c r="P694" s="60"/>
      <c r="Q694" s="60"/>
      <c r="R694" s="60"/>
      <c r="S694" s="60"/>
      <c r="T694" s="60"/>
      <c r="U694" s="60"/>
      <c r="V694" s="64"/>
      <c r="W694" s="60"/>
      <c r="X694" s="59"/>
      <c r="Y694" s="60"/>
      <c r="Z694" s="59"/>
      <c r="AA694" s="60"/>
    </row>
    <row r="695">
      <c r="A695" s="58"/>
      <c r="B695" s="58"/>
      <c r="C695" s="59"/>
      <c r="D695" s="60"/>
      <c r="E695" s="61"/>
      <c r="F695" s="62"/>
      <c r="G695" s="62"/>
      <c r="H695" s="62"/>
      <c r="I695" s="59"/>
      <c r="J695" s="60"/>
      <c r="K695" s="59"/>
      <c r="L695" s="60"/>
      <c r="M695" s="59"/>
      <c r="N695" s="63"/>
      <c r="O695" s="60"/>
      <c r="P695" s="60"/>
      <c r="Q695" s="60"/>
      <c r="R695" s="60"/>
      <c r="S695" s="60"/>
      <c r="T695" s="60"/>
      <c r="U695" s="60"/>
      <c r="V695" s="64"/>
      <c r="W695" s="60"/>
      <c r="X695" s="59"/>
      <c r="Y695" s="60"/>
      <c r="Z695" s="59"/>
      <c r="AA695" s="60"/>
    </row>
    <row r="696">
      <c r="A696" s="58"/>
      <c r="B696" s="58"/>
      <c r="C696" s="59"/>
      <c r="D696" s="60"/>
      <c r="E696" s="61"/>
      <c r="F696" s="62"/>
      <c r="G696" s="62"/>
      <c r="H696" s="62"/>
      <c r="I696" s="59"/>
      <c r="J696" s="60"/>
      <c r="K696" s="59"/>
      <c r="L696" s="60"/>
      <c r="M696" s="59"/>
      <c r="N696" s="63"/>
      <c r="O696" s="60"/>
      <c r="P696" s="60"/>
      <c r="Q696" s="60"/>
      <c r="R696" s="60"/>
      <c r="S696" s="60"/>
      <c r="T696" s="60"/>
      <c r="U696" s="60"/>
      <c r="V696" s="64"/>
      <c r="W696" s="60"/>
      <c r="X696" s="59"/>
      <c r="Y696" s="60"/>
      <c r="Z696" s="59"/>
      <c r="AA696" s="60"/>
    </row>
    <row r="697">
      <c r="A697" s="58"/>
      <c r="B697" s="58"/>
      <c r="C697" s="59"/>
      <c r="D697" s="60"/>
      <c r="E697" s="61"/>
      <c r="F697" s="62"/>
      <c r="G697" s="62"/>
      <c r="H697" s="62"/>
      <c r="I697" s="59"/>
      <c r="J697" s="60"/>
      <c r="K697" s="59"/>
      <c r="L697" s="60"/>
      <c r="M697" s="59"/>
      <c r="N697" s="63"/>
      <c r="O697" s="60"/>
      <c r="P697" s="60"/>
      <c r="Q697" s="60"/>
      <c r="R697" s="60"/>
      <c r="S697" s="60"/>
      <c r="T697" s="60"/>
      <c r="U697" s="60"/>
      <c r="V697" s="64"/>
      <c r="W697" s="60"/>
      <c r="X697" s="59"/>
      <c r="Y697" s="60"/>
      <c r="Z697" s="59"/>
      <c r="AA697" s="60"/>
    </row>
    <row r="698">
      <c r="A698" s="58"/>
      <c r="B698" s="58"/>
      <c r="C698" s="59"/>
      <c r="D698" s="60"/>
      <c r="E698" s="61"/>
      <c r="F698" s="62"/>
      <c r="G698" s="62"/>
      <c r="H698" s="62"/>
      <c r="I698" s="59"/>
      <c r="J698" s="60"/>
      <c r="K698" s="59"/>
      <c r="L698" s="60"/>
      <c r="M698" s="59"/>
      <c r="N698" s="63"/>
      <c r="O698" s="60"/>
      <c r="P698" s="60"/>
      <c r="Q698" s="60"/>
      <c r="R698" s="60"/>
      <c r="S698" s="60"/>
      <c r="T698" s="60"/>
      <c r="U698" s="60"/>
      <c r="V698" s="64"/>
      <c r="W698" s="60"/>
      <c r="X698" s="59"/>
      <c r="Y698" s="60"/>
      <c r="Z698" s="59"/>
      <c r="AA698" s="60"/>
    </row>
    <row r="699">
      <c r="A699" s="58"/>
      <c r="B699" s="58"/>
      <c r="C699" s="59"/>
      <c r="D699" s="60"/>
      <c r="E699" s="61"/>
      <c r="F699" s="62"/>
      <c r="G699" s="62"/>
      <c r="H699" s="62"/>
      <c r="I699" s="59"/>
      <c r="J699" s="60"/>
      <c r="K699" s="59"/>
      <c r="L699" s="60"/>
      <c r="M699" s="59"/>
      <c r="N699" s="63"/>
      <c r="O699" s="60"/>
      <c r="P699" s="60"/>
      <c r="Q699" s="60"/>
      <c r="R699" s="60"/>
      <c r="S699" s="60"/>
      <c r="T699" s="60"/>
      <c r="U699" s="60"/>
      <c r="V699" s="64"/>
      <c r="W699" s="60"/>
      <c r="X699" s="59"/>
      <c r="Y699" s="60"/>
      <c r="Z699" s="59"/>
      <c r="AA699" s="60"/>
    </row>
    <row r="700">
      <c r="A700" s="58"/>
      <c r="B700" s="58"/>
      <c r="C700" s="59"/>
      <c r="D700" s="60"/>
      <c r="E700" s="61"/>
      <c r="F700" s="62"/>
      <c r="G700" s="62"/>
      <c r="H700" s="62"/>
      <c r="I700" s="59"/>
      <c r="J700" s="60"/>
      <c r="K700" s="59"/>
      <c r="L700" s="60"/>
      <c r="M700" s="59"/>
      <c r="N700" s="63"/>
      <c r="O700" s="60"/>
      <c r="P700" s="60"/>
      <c r="Q700" s="60"/>
      <c r="R700" s="60"/>
      <c r="S700" s="60"/>
      <c r="T700" s="60"/>
      <c r="U700" s="60"/>
      <c r="V700" s="64"/>
      <c r="W700" s="60"/>
      <c r="X700" s="59"/>
      <c r="Y700" s="60"/>
      <c r="Z700" s="59"/>
      <c r="AA700" s="60"/>
    </row>
    <row r="701">
      <c r="A701" s="58"/>
      <c r="B701" s="58"/>
      <c r="C701" s="59"/>
      <c r="D701" s="60"/>
      <c r="E701" s="61"/>
      <c r="F701" s="62"/>
      <c r="G701" s="62"/>
      <c r="H701" s="62"/>
      <c r="I701" s="59"/>
      <c r="J701" s="60"/>
      <c r="K701" s="59"/>
      <c r="L701" s="60"/>
      <c r="M701" s="59"/>
      <c r="N701" s="63"/>
      <c r="O701" s="60"/>
      <c r="P701" s="60"/>
      <c r="Q701" s="60"/>
      <c r="R701" s="60"/>
      <c r="S701" s="60"/>
      <c r="T701" s="60"/>
      <c r="U701" s="60"/>
      <c r="V701" s="64"/>
      <c r="W701" s="60"/>
      <c r="X701" s="59"/>
      <c r="Y701" s="60"/>
      <c r="Z701" s="59"/>
      <c r="AA701" s="60"/>
    </row>
    <row r="702">
      <c r="A702" s="58"/>
      <c r="B702" s="58"/>
      <c r="C702" s="59"/>
      <c r="D702" s="60"/>
      <c r="E702" s="61"/>
      <c r="F702" s="62"/>
      <c r="G702" s="62"/>
      <c r="H702" s="62"/>
      <c r="I702" s="59"/>
      <c r="J702" s="60"/>
      <c r="K702" s="59"/>
      <c r="L702" s="60"/>
      <c r="M702" s="59"/>
      <c r="N702" s="63"/>
      <c r="O702" s="60"/>
      <c r="P702" s="60"/>
      <c r="Q702" s="60"/>
      <c r="R702" s="60"/>
      <c r="S702" s="60"/>
      <c r="T702" s="60"/>
      <c r="U702" s="60"/>
      <c r="V702" s="64"/>
      <c r="W702" s="60"/>
      <c r="X702" s="59"/>
      <c r="Y702" s="60"/>
      <c r="Z702" s="59"/>
      <c r="AA702" s="60"/>
    </row>
    <row r="703">
      <c r="A703" s="58"/>
      <c r="B703" s="58"/>
      <c r="C703" s="59"/>
      <c r="D703" s="60"/>
      <c r="E703" s="61"/>
      <c r="F703" s="62"/>
      <c r="G703" s="62"/>
      <c r="H703" s="62"/>
      <c r="I703" s="59"/>
      <c r="J703" s="60"/>
      <c r="K703" s="59"/>
      <c r="L703" s="60"/>
      <c r="M703" s="59"/>
      <c r="N703" s="63"/>
      <c r="O703" s="60"/>
      <c r="P703" s="60"/>
      <c r="Q703" s="60"/>
      <c r="R703" s="60"/>
      <c r="S703" s="60"/>
      <c r="T703" s="60"/>
      <c r="U703" s="60"/>
      <c r="V703" s="64"/>
      <c r="W703" s="60"/>
      <c r="X703" s="59"/>
      <c r="Y703" s="60"/>
      <c r="Z703" s="59"/>
      <c r="AA703" s="60"/>
    </row>
    <row r="704">
      <c r="A704" s="58"/>
      <c r="B704" s="58"/>
      <c r="C704" s="59"/>
      <c r="D704" s="60"/>
      <c r="E704" s="61"/>
      <c r="F704" s="62"/>
      <c r="G704" s="62"/>
      <c r="H704" s="62"/>
      <c r="I704" s="59"/>
      <c r="J704" s="60"/>
      <c r="K704" s="59"/>
      <c r="L704" s="60"/>
      <c r="M704" s="59"/>
      <c r="N704" s="63"/>
      <c r="O704" s="60"/>
      <c r="P704" s="60"/>
      <c r="Q704" s="60"/>
      <c r="R704" s="60"/>
      <c r="S704" s="60"/>
      <c r="T704" s="60"/>
      <c r="U704" s="60"/>
      <c r="V704" s="64"/>
      <c r="W704" s="60"/>
      <c r="X704" s="59"/>
      <c r="Y704" s="60"/>
      <c r="Z704" s="59"/>
      <c r="AA704" s="60"/>
    </row>
    <row r="705">
      <c r="A705" s="58"/>
      <c r="B705" s="58"/>
      <c r="C705" s="59"/>
      <c r="D705" s="60"/>
      <c r="E705" s="61"/>
      <c r="F705" s="62"/>
      <c r="G705" s="62"/>
      <c r="H705" s="62"/>
      <c r="I705" s="59"/>
      <c r="J705" s="60"/>
      <c r="K705" s="59"/>
      <c r="L705" s="60"/>
      <c r="M705" s="59"/>
      <c r="N705" s="63"/>
      <c r="O705" s="60"/>
      <c r="P705" s="60"/>
      <c r="Q705" s="60"/>
      <c r="R705" s="60"/>
      <c r="S705" s="60"/>
      <c r="T705" s="60"/>
      <c r="U705" s="60"/>
      <c r="V705" s="64"/>
      <c r="W705" s="60"/>
      <c r="X705" s="59"/>
      <c r="Y705" s="60"/>
      <c r="Z705" s="59"/>
      <c r="AA705" s="60"/>
    </row>
    <row r="706">
      <c r="A706" s="58"/>
      <c r="B706" s="58"/>
      <c r="C706" s="59"/>
      <c r="D706" s="60"/>
      <c r="E706" s="61"/>
      <c r="F706" s="62"/>
      <c r="G706" s="62"/>
      <c r="H706" s="62"/>
      <c r="I706" s="59"/>
      <c r="J706" s="60"/>
      <c r="K706" s="59"/>
      <c r="L706" s="60"/>
      <c r="M706" s="59"/>
      <c r="N706" s="63"/>
      <c r="O706" s="60"/>
      <c r="P706" s="60"/>
      <c r="Q706" s="60"/>
      <c r="R706" s="60"/>
      <c r="S706" s="60"/>
      <c r="T706" s="60"/>
      <c r="U706" s="60"/>
      <c r="V706" s="64"/>
      <c r="W706" s="60"/>
      <c r="X706" s="59"/>
      <c r="Y706" s="60"/>
      <c r="Z706" s="59"/>
      <c r="AA706" s="60"/>
    </row>
    <row r="707">
      <c r="A707" s="58"/>
      <c r="B707" s="58"/>
      <c r="C707" s="59"/>
      <c r="D707" s="60"/>
      <c r="E707" s="61"/>
      <c r="F707" s="62"/>
      <c r="G707" s="62"/>
      <c r="H707" s="62"/>
      <c r="I707" s="59"/>
      <c r="J707" s="60"/>
      <c r="K707" s="59"/>
      <c r="L707" s="60"/>
      <c r="M707" s="59"/>
      <c r="N707" s="63"/>
      <c r="O707" s="60"/>
      <c r="P707" s="60"/>
      <c r="Q707" s="60"/>
      <c r="R707" s="60"/>
      <c r="S707" s="60"/>
      <c r="T707" s="60"/>
      <c r="U707" s="60"/>
      <c r="V707" s="64"/>
      <c r="W707" s="60"/>
      <c r="X707" s="59"/>
      <c r="Y707" s="60"/>
      <c r="Z707" s="59"/>
      <c r="AA707" s="60"/>
    </row>
    <row r="708">
      <c r="A708" s="58"/>
      <c r="B708" s="58"/>
      <c r="C708" s="59"/>
      <c r="D708" s="60"/>
      <c r="E708" s="61"/>
      <c r="F708" s="62"/>
      <c r="G708" s="62"/>
      <c r="H708" s="62"/>
      <c r="I708" s="59"/>
      <c r="J708" s="60"/>
      <c r="K708" s="59"/>
      <c r="L708" s="60"/>
      <c r="M708" s="59"/>
      <c r="N708" s="63"/>
      <c r="O708" s="60"/>
      <c r="P708" s="60"/>
      <c r="Q708" s="60"/>
      <c r="R708" s="60"/>
      <c r="S708" s="60"/>
      <c r="T708" s="60"/>
      <c r="U708" s="60"/>
      <c r="V708" s="64"/>
      <c r="W708" s="60"/>
      <c r="X708" s="59"/>
      <c r="Y708" s="60"/>
      <c r="Z708" s="59"/>
      <c r="AA708" s="60"/>
    </row>
    <row r="709">
      <c r="A709" s="58"/>
      <c r="B709" s="58"/>
      <c r="C709" s="59"/>
      <c r="D709" s="60"/>
      <c r="E709" s="61"/>
      <c r="F709" s="62"/>
      <c r="G709" s="62"/>
      <c r="H709" s="62"/>
      <c r="I709" s="59"/>
      <c r="J709" s="60"/>
      <c r="K709" s="59"/>
      <c r="L709" s="60"/>
      <c r="M709" s="59"/>
      <c r="N709" s="63"/>
      <c r="O709" s="60"/>
      <c r="P709" s="60"/>
      <c r="Q709" s="60"/>
      <c r="R709" s="60"/>
      <c r="S709" s="60"/>
      <c r="T709" s="60"/>
      <c r="U709" s="60"/>
      <c r="V709" s="64"/>
      <c r="W709" s="60"/>
      <c r="X709" s="59"/>
      <c r="Y709" s="60"/>
      <c r="Z709" s="59"/>
      <c r="AA709" s="60"/>
    </row>
    <row r="710">
      <c r="A710" s="58"/>
      <c r="B710" s="58"/>
      <c r="C710" s="59"/>
      <c r="D710" s="60"/>
      <c r="E710" s="61"/>
      <c r="F710" s="62"/>
      <c r="G710" s="62"/>
      <c r="H710" s="62"/>
      <c r="I710" s="59"/>
      <c r="J710" s="60"/>
      <c r="K710" s="59"/>
      <c r="L710" s="60"/>
      <c r="M710" s="59"/>
      <c r="N710" s="63"/>
      <c r="O710" s="60"/>
      <c r="P710" s="60"/>
      <c r="Q710" s="60"/>
      <c r="R710" s="60"/>
      <c r="S710" s="60"/>
      <c r="T710" s="60"/>
      <c r="U710" s="60"/>
      <c r="V710" s="64"/>
      <c r="W710" s="60"/>
      <c r="X710" s="59"/>
      <c r="Y710" s="60"/>
      <c r="Z710" s="59"/>
      <c r="AA710" s="60"/>
    </row>
    <row r="711">
      <c r="A711" s="58"/>
      <c r="B711" s="58"/>
      <c r="C711" s="59"/>
      <c r="D711" s="60"/>
      <c r="E711" s="61"/>
      <c r="F711" s="62"/>
      <c r="G711" s="62"/>
      <c r="H711" s="62"/>
      <c r="I711" s="59"/>
      <c r="J711" s="60"/>
      <c r="K711" s="59"/>
      <c r="L711" s="60"/>
      <c r="M711" s="59"/>
      <c r="N711" s="63"/>
      <c r="O711" s="60"/>
      <c r="P711" s="60"/>
      <c r="Q711" s="60"/>
      <c r="R711" s="60"/>
      <c r="S711" s="60"/>
      <c r="T711" s="60"/>
      <c r="U711" s="60"/>
      <c r="V711" s="64"/>
      <c r="W711" s="60"/>
      <c r="X711" s="59"/>
      <c r="Y711" s="60"/>
      <c r="Z711" s="59"/>
      <c r="AA711" s="60"/>
    </row>
    <row r="712">
      <c r="A712" s="58"/>
      <c r="B712" s="58"/>
      <c r="C712" s="59"/>
      <c r="D712" s="60"/>
      <c r="E712" s="61"/>
      <c r="F712" s="62"/>
      <c r="G712" s="62"/>
      <c r="H712" s="62"/>
      <c r="I712" s="59"/>
      <c r="J712" s="60"/>
      <c r="K712" s="59"/>
      <c r="L712" s="60"/>
      <c r="M712" s="59"/>
      <c r="N712" s="63"/>
      <c r="O712" s="60"/>
      <c r="P712" s="60"/>
      <c r="Q712" s="60"/>
      <c r="R712" s="60"/>
      <c r="S712" s="60"/>
      <c r="T712" s="60"/>
      <c r="U712" s="60"/>
      <c r="V712" s="64"/>
      <c r="W712" s="60"/>
      <c r="X712" s="59"/>
      <c r="Y712" s="60"/>
      <c r="Z712" s="59"/>
      <c r="AA712" s="60"/>
    </row>
    <row r="713">
      <c r="A713" s="58"/>
      <c r="B713" s="58"/>
      <c r="C713" s="59"/>
      <c r="D713" s="60"/>
      <c r="E713" s="61"/>
      <c r="F713" s="62"/>
      <c r="G713" s="62"/>
      <c r="H713" s="62"/>
      <c r="I713" s="59"/>
      <c r="J713" s="60"/>
      <c r="K713" s="59"/>
      <c r="L713" s="60"/>
      <c r="M713" s="59"/>
      <c r="N713" s="63"/>
      <c r="O713" s="60"/>
      <c r="P713" s="60"/>
      <c r="Q713" s="60"/>
      <c r="R713" s="60"/>
      <c r="S713" s="60"/>
      <c r="T713" s="60"/>
      <c r="U713" s="60"/>
      <c r="V713" s="64"/>
      <c r="W713" s="60"/>
      <c r="X713" s="59"/>
      <c r="Y713" s="60"/>
      <c r="Z713" s="59"/>
      <c r="AA713" s="60"/>
    </row>
    <row r="714">
      <c r="A714" s="58"/>
      <c r="B714" s="58"/>
      <c r="C714" s="59"/>
      <c r="D714" s="60"/>
      <c r="E714" s="61"/>
      <c r="F714" s="62"/>
      <c r="G714" s="62"/>
      <c r="H714" s="62"/>
      <c r="I714" s="59"/>
      <c r="J714" s="60"/>
      <c r="K714" s="59"/>
      <c r="L714" s="60"/>
      <c r="M714" s="59"/>
      <c r="N714" s="63"/>
      <c r="O714" s="60"/>
      <c r="P714" s="60"/>
      <c r="Q714" s="60"/>
      <c r="R714" s="60"/>
      <c r="S714" s="60"/>
      <c r="T714" s="60"/>
      <c r="U714" s="60"/>
      <c r="V714" s="64"/>
      <c r="W714" s="60"/>
      <c r="X714" s="59"/>
      <c r="Y714" s="60"/>
      <c r="Z714" s="59"/>
      <c r="AA714" s="60"/>
    </row>
    <row r="715">
      <c r="A715" s="58"/>
      <c r="B715" s="58"/>
      <c r="C715" s="59"/>
      <c r="D715" s="60"/>
      <c r="E715" s="61"/>
      <c r="F715" s="62"/>
      <c r="G715" s="62"/>
      <c r="H715" s="62"/>
      <c r="I715" s="59"/>
      <c r="J715" s="60"/>
      <c r="K715" s="59"/>
      <c r="L715" s="60"/>
      <c r="M715" s="59"/>
      <c r="N715" s="63"/>
      <c r="O715" s="60"/>
      <c r="P715" s="60"/>
      <c r="Q715" s="60"/>
      <c r="R715" s="60"/>
      <c r="S715" s="60"/>
      <c r="T715" s="60"/>
      <c r="U715" s="60"/>
      <c r="V715" s="64"/>
      <c r="W715" s="60"/>
      <c r="X715" s="59"/>
      <c r="Y715" s="60"/>
      <c r="Z715" s="59"/>
      <c r="AA715" s="60"/>
    </row>
    <row r="716">
      <c r="A716" s="58"/>
      <c r="B716" s="58"/>
      <c r="C716" s="59"/>
      <c r="D716" s="60"/>
      <c r="E716" s="61"/>
      <c r="F716" s="62"/>
      <c r="G716" s="62"/>
      <c r="H716" s="62"/>
      <c r="I716" s="59"/>
      <c r="J716" s="60"/>
      <c r="K716" s="59"/>
      <c r="L716" s="60"/>
      <c r="M716" s="59"/>
      <c r="N716" s="63"/>
      <c r="O716" s="60"/>
      <c r="P716" s="60"/>
      <c r="Q716" s="60"/>
      <c r="R716" s="60"/>
      <c r="S716" s="60"/>
      <c r="T716" s="60"/>
      <c r="U716" s="60"/>
      <c r="V716" s="64"/>
      <c r="W716" s="60"/>
      <c r="X716" s="59"/>
      <c r="Y716" s="60"/>
      <c r="Z716" s="59"/>
      <c r="AA716" s="60"/>
    </row>
    <row r="717">
      <c r="A717" s="58"/>
      <c r="B717" s="58"/>
      <c r="C717" s="59"/>
      <c r="D717" s="60"/>
      <c r="E717" s="61"/>
      <c r="F717" s="62"/>
      <c r="G717" s="62"/>
      <c r="H717" s="62"/>
      <c r="I717" s="59"/>
      <c r="J717" s="60"/>
      <c r="K717" s="59"/>
      <c r="L717" s="60"/>
      <c r="M717" s="59"/>
      <c r="N717" s="63"/>
      <c r="O717" s="60"/>
      <c r="P717" s="60"/>
      <c r="Q717" s="60"/>
      <c r="R717" s="60"/>
      <c r="S717" s="60"/>
      <c r="T717" s="60"/>
      <c r="U717" s="60"/>
      <c r="V717" s="64"/>
      <c r="W717" s="60"/>
      <c r="X717" s="59"/>
      <c r="Y717" s="60"/>
      <c r="Z717" s="59"/>
      <c r="AA717" s="60"/>
    </row>
    <row r="718">
      <c r="A718" s="58"/>
      <c r="B718" s="58"/>
      <c r="C718" s="59"/>
      <c r="D718" s="60"/>
      <c r="E718" s="61"/>
      <c r="F718" s="62"/>
      <c r="G718" s="62"/>
      <c r="H718" s="62"/>
      <c r="I718" s="59"/>
      <c r="J718" s="60"/>
      <c r="K718" s="59"/>
      <c r="L718" s="60"/>
      <c r="M718" s="59"/>
      <c r="N718" s="63"/>
      <c r="O718" s="60"/>
      <c r="P718" s="60"/>
      <c r="Q718" s="60"/>
      <c r="R718" s="60"/>
      <c r="S718" s="60"/>
      <c r="T718" s="60"/>
      <c r="U718" s="60"/>
      <c r="V718" s="64"/>
      <c r="W718" s="60"/>
      <c r="X718" s="59"/>
      <c r="Y718" s="60"/>
      <c r="Z718" s="59"/>
      <c r="AA718" s="60"/>
    </row>
    <row r="719">
      <c r="A719" s="58"/>
      <c r="B719" s="58"/>
      <c r="C719" s="59"/>
      <c r="D719" s="60"/>
      <c r="E719" s="61"/>
      <c r="F719" s="62"/>
      <c r="G719" s="62"/>
      <c r="H719" s="62"/>
      <c r="I719" s="59"/>
      <c r="J719" s="60"/>
      <c r="K719" s="59"/>
      <c r="L719" s="60"/>
      <c r="M719" s="59"/>
      <c r="N719" s="63"/>
      <c r="O719" s="60"/>
      <c r="P719" s="60"/>
      <c r="Q719" s="60"/>
      <c r="R719" s="60"/>
      <c r="S719" s="60"/>
      <c r="T719" s="60"/>
      <c r="U719" s="60"/>
      <c r="V719" s="64"/>
      <c r="W719" s="60"/>
      <c r="X719" s="59"/>
      <c r="Y719" s="60"/>
      <c r="Z719" s="59"/>
      <c r="AA719" s="60"/>
    </row>
    <row r="720">
      <c r="A720" s="58"/>
      <c r="B720" s="58"/>
      <c r="C720" s="59"/>
      <c r="D720" s="60"/>
      <c r="E720" s="61"/>
      <c r="F720" s="62"/>
      <c r="G720" s="62"/>
      <c r="H720" s="62"/>
      <c r="I720" s="59"/>
      <c r="J720" s="60"/>
      <c r="K720" s="59"/>
      <c r="L720" s="60"/>
      <c r="M720" s="59"/>
      <c r="N720" s="63"/>
      <c r="O720" s="60"/>
      <c r="P720" s="60"/>
      <c r="Q720" s="60"/>
      <c r="R720" s="60"/>
      <c r="S720" s="60"/>
      <c r="T720" s="60"/>
      <c r="U720" s="60"/>
      <c r="V720" s="64"/>
      <c r="W720" s="60"/>
      <c r="X720" s="59"/>
      <c r="Y720" s="60"/>
      <c r="Z720" s="59"/>
      <c r="AA720" s="60"/>
    </row>
    <row r="721">
      <c r="A721" s="58"/>
      <c r="B721" s="58"/>
      <c r="C721" s="59"/>
      <c r="D721" s="60"/>
      <c r="E721" s="61"/>
      <c r="F721" s="62"/>
      <c r="G721" s="62"/>
      <c r="H721" s="62"/>
      <c r="I721" s="59"/>
      <c r="J721" s="60"/>
      <c r="K721" s="59"/>
      <c r="L721" s="60"/>
      <c r="M721" s="59"/>
      <c r="N721" s="63"/>
      <c r="O721" s="60"/>
      <c r="P721" s="60"/>
      <c r="Q721" s="60"/>
      <c r="R721" s="60"/>
      <c r="S721" s="60"/>
      <c r="T721" s="60"/>
      <c r="U721" s="60"/>
      <c r="V721" s="64"/>
      <c r="W721" s="60"/>
      <c r="X721" s="59"/>
      <c r="Y721" s="60"/>
      <c r="Z721" s="59"/>
      <c r="AA721" s="60"/>
    </row>
    <row r="722">
      <c r="A722" s="58"/>
      <c r="B722" s="58"/>
      <c r="C722" s="59"/>
      <c r="D722" s="60"/>
      <c r="E722" s="61"/>
      <c r="F722" s="62"/>
      <c r="G722" s="62"/>
      <c r="H722" s="62"/>
      <c r="I722" s="59"/>
      <c r="J722" s="60"/>
      <c r="K722" s="59"/>
      <c r="L722" s="60"/>
      <c r="M722" s="59"/>
      <c r="N722" s="63"/>
      <c r="O722" s="60"/>
      <c r="P722" s="60"/>
      <c r="Q722" s="60"/>
      <c r="R722" s="60"/>
      <c r="S722" s="60"/>
      <c r="T722" s="60"/>
      <c r="U722" s="60"/>
      <c r="V722" s="64"/>
      <c r="W722" s="60"/>
      <c r="X722" s="59"/>
      <c r="Y722" s="60"/>
      <c r="Z722" s="59"/>
      <c r="AA722" s="60"/>
    </row>
    <row r="723">
      <c r="A723" s="58"/>
      <c r="B723" s="58"/>
      <c r="C723" s="59"/>
      <c r="D723" s="60"/>
      <c r="E723" s="61"/>
      <c r="F723" s="62"/>
      <c r="G723" s="62"/>
      <c r="H723" s="62"/>
      <c r="I723" s="59"/>
      <c r="J723" s="60"/>
      <c r="K723" s="59"/>
      <c r="L723" s="60"/>
      <c r="M723" s="59"/>
      <c r="N723" s="63"/>
      <c r="O723" s="60"/>
      <c r="P723" s="60"/>
      <c r="Q723" s="60"/>
      <c r="R723" s="60"/>
      <c r="S723" s="60"/>
      <c r="T723" s="60"/>
      <c r="U723" s="60"/>
      <c r="V723" s="64"/>
      <c r="W723" s="60"/>
      <c r="X723" s="59"/>
      <c r="Y723" s="60"/>
      <c r="Z723" s="59"/>
      <c r="AA723" s="60"/>
    </row>
    <row r="724">
      <c r="A724" s="58"/>
      <c r="B724" s="58"/>
      <c r="C724" s="59"/>
      <c r="D724" s="60"/>
      <c r="E724" s="61"/>
      <c r="F724" s="62"/>
      <c r="G724" s="62"/>
      <c r="H724" s="62"/>
      <c r="I724" s="59"/>
      <c r="J724" s="60"/>
      <c r="K724" s="59"/>
      <c r="L724" s="60"/>
      <c r="M724" s="59"/>
      <c r="N724" s="63"/>
      <c r="O724" s="60"/>
      <c r="P724" s="60"/>
      <c r="Q724" s="60"/>
      <c r="R724" s="60"/>
      <c r="S724" s="60"/>
      <c r="T724" s="60"/>
      <c r="U724" s="60"/>
      <c r="V724" s="64"/>
      <c r="W724" s="60"/>
      <c r="X724" s="59"/>
      <c r="Y724" s="60"/>
      <c r="Z724" s="59"/>
      <c r="AA724" s="60"/>
    </row>
    <row r="725">
      <c r="A725" s="58"/>
      <c r="B725" s="58"/>
      <c r="C725" s="59"/>
      <c r="D725" s="60"/>
      <c r="E725" s="61"/>
      <c r="F725" s="62"/>
      <c r="G725" s="62"/>
      <c r="H725" s="62"/>
      <c r="I725" s="59"/>
      <c r="J725" s="60"/>
      <c r="K725" s="59"/>
      <c r="L725" s="60"/>
      <c r="M725" s="59"/>
      <c r="N725" s="63"/>
      <c r="O725" s="60"/>
      <c r="P725" s="60"/>
      <c r="Q725" s="60"/>
      <c r="R725" s="60"/>
      <c r="S725" s="60"/>
      <c r="T725" s="60"/>
      <c r="U725" s="60"/>
      <c r="V725" s="64"/>
      <c r="W725" s="60"/>
      <c r="X725" s="59"/>
      <c r="Y725" s="60"/>
      <c r="Z725" s="59"/>
      <c r="AA725" s="60"/>
    </row>
    <row r="726">
      <c r="A726" s="58"/>
      <c r="B726" s="58"/>
      <c r="C726" s="59"/>
      <c r="D726" s="60"/>
      <c r="E726" s="61"/>
      <c r="F726" s="62"/>
      <c r="G726" s="62"/>
      <c r="H726" s="62"/>
      <c r="I726" s="59"/>
      <c r="J726" s="60"/>
      <c r="K726" s="59"/>
      <c r="L726" s="60"/>
      <c r="M726" s="59"/>
      <c r="N726" s="63"/>
      <c r="O726" s="60"/>
      <c r="P726" s="60"/>
      <c r="Q726" s="60"/>
      <c r="R726" s="60"/>
      <c r="S726" s="60"/>
      <c r="T726" s="60"/>
      <c r="U726" s="60"/>
      <c r="V726" s="64"/>
      <c r="W726" s="60"/>
      <c r="X726" s="59"/>
      <c r="Y726" s="60"/>
      <c r="Z726" s="59"/>
      <c r="AA726" s="60"/>
    </row>
    <row r="727">
      <c r="A727" s="58"/>
      <c r="B727" s="58"/>
      <c r="C727" s="59"/>
      <c r="D727" s="60"/>
      <c r="E727" s="61"/>
      <c r="F727" s="62"/>
      <c r="G727" s="62"/>
      <c r="H727" s="62"/>
      <c r="I727" s="59"/>
      <c r="J727" s="60"/>
      <c r="K727" s="59"/>
      <c r="L727" s="60"/>
      <c r="M727" s="59"/>
      <c r="N727" s="63"/>
      <c r="O727" s="60"/>
      <c r="P727" s="60"/>
      <c r="Q727" s="60"/>
      <c r="R727" s="60"/>
      <c r="S727" s="60"/>
      <c r="T727" s="60"/>
      <c r="U727" s="60"/>
      <c r="V727" s="64"/>
      <c r="W727" s="60"/>
      <c r="X727" s="59"/>
      <c r="Y727" s="60"/>
      <c r="Z727" s="59"/>
      <c r="AA727" s="60"/>
    </row>
    <row r="728">
      <c r="A728" s="58"/>
      <c r="B728" s="58"/>
      <c r="C728" s="59"/>
      <c r="D728" s="60"/>
      <c r="E728" s="61"/>
      <c r="F728" s="62"/>
      <c r="G728" s="62"/>
      <c r="H728" s="62"/>
      <c r="I728" s="59"/>
      <c r="J728" s="60"/>
      <c r="K728" s="59"/>
      <c r="L728" s="60"/>
      <c r="M728" s="59"/>
      <c r="N728" s="63"/>
      <c r="O728" s="60"/>
      <c r="P728" s="60"/>
      <c r="Q728" s="60"/>
      <c r="R728" s="60"/>
      <c r="S728" s="60"/>
      <c r="T728" s="60"/>
      <c r="U728" s="60"/>
      <c r="V728" s="64"/>
      <c r="W728" s="60"/>
      <c r="X728" s="59"/>
      <c r="Y728" s="60"/>
      <c r="Z728" s="59"/>
      <c r="AA728" s="60"/>
    </row>
    <row r="729">
      <c r="A729" s="58"/>
      <c r="B729" s="58"/>
      <c r="C729" s="59"/>
      <c r="D729" s="60"/>
      <c r="E729" s="61"/>
      <c r="F729" s="62"/>
      <c r="G729" s="62"/>
      <c r="H729" s="62"/>
      <c r="I729" s="59"/>
      <c r="J729" s="60"/>
      <c r="K729" s="59"/>
      <c r="L729" s="60"/>
      <c r="M729" s="59"/>
      <c r="N729" s="63"/>
      <c r="O729" s="60"/>
      <c r="P729" s="60"/>
      <c r="Q729" s="60"/>
      <c r="R729" s="60"/>
      <c r="S729" s="60"/>
      <c r="T729" s="60"/>
      <c r="U729" s="60"/>
      <c r="V729" s="64"/>
      <c r="W729" s="60"/>
      <c r="X729" s="59"/>
      <c r="Y729" s="60"/>
      <c r="Z729" s="59"/>
      <c r="AA729" s="60"/>
    </row>
    <row r="730">
      <c r="A730" s="58"/>
      <c r="B730" s="58"/>
      <c r="C730" s="59"/>
      <c r="D730" s="60"/>
      <c r="E730" s="61"/>
      <c r="F730" s="62"/>
      <c r="G730" s="62"/>
      <c r="H730" s="62"/>
      <c r="I730" s="59"/>
      <c r="J730" s="60"/>
      <c r="K730" s="59"/>
      <c r="L730" s="60"/>
      <c r="M730" s="59"/>
      <c r="N730" s="63"/>
      <c r="O730" s="60"/>
      <c r="P730" s="60"/>
      <c r="Q730" s="60"/>
      <c r="R730" s="60"/>
      <c r="S730" s="60"/>
      <c r="T730" s="60"/>
      <c r="U730" s="60"/>
      <c r="V730" s="64"/>
      <c r="W730" s="60"/>
      <c r="X730" s="59"/>
      <c r="Y730" s="60"/>
      <c r="Z730" s="59"/>
      <c r="AA730" s="60"/>
    </row>
    <row r="731">
      <c r="A731" s="58"/>
      <c r="B731" s="58"/>
      <c r="C731" s="59"/>
      <c r="D731" s="60"/>
      <c r="E731" s="61"/>
      <c r="F731" s="62"/>
      <c r="G731" s="62"/>
      <c r="H731" s="62"/>
      <c r="I731" s="59"/>
      <c r="J731" s="60"/>
      <c r="K731" s="59"/>
      <c r="L731" s="60"/>
      <c r="M731" s="59"/>
      <c r="N731" s="63"/>
      <c r="O731" s="60"/>
      <c r="P731" s="60"/>
      <c r="Q731" s="60"/>
      <c r="R731" s="60"/>
      <c r="S731" s="60"/>
      <c r="T731" s="60"/>
      <c r="U731" s="60"/>
      <c r="V731" s="64"/>
      <c r="W731" s="60"/>
      <c r="X731" s="59"/>
      <c r="Y731" s="60"/>
      <c r="Z731" s="59"/>
      <c r="AA731" s="60"/>
    </row>
    <row r="732">
      <c r="A732" s="58"/>
      <c r="B732" s="58"/>
      <c r="C732" s="59"/>
      <c r="D732" s="60"/>
      <c r="E732" s="61"/>
      <c r="F732" s="62"/>
      <c r="G732" s="62"/>
      <c r="H732" s="62"/>
      <c r="I732" s="59"/>
      <c r="J732" s="60"/>
      <c r="K732" s="59"/>
      <c r="L732" s="60"/>
      <c r="M732" s="59"/>
      <c r="N732" s="63"/>
      <c r="O732" s="60"/>
      <c r="P732" s="60"/>
      <c r="Q732" s="60"/>
      <c r="R732" s="60"/>
      <c r="S732" s="60"/>
      <c r="T732" s="60"/>
      <c r="U732" s="60"/>
      <c r="V732" s="64"/>
      <c r="W732" s="60"/>
      <c r="X732" s="59"/>
      <c r="Y732" s="60"/>
      <c r="Z732" s="59"/>
      <c r="AA732" s="60"/>
    </row>
    <row r="733">
      <c r="A733" s="58"/>
      <c r="B733" s="58"/>
      <c r="C733" s="59"/>
      <c r="D733" s="60"/>
      <c r="E733" s="61"/>
      <c r="F733" s="62"/>
      <c r="G733" s="62"/>
      <c r="H733" s="62"/>
      <c r="I733" s="59"/>
      <c r="J733" s="60"/>
      <c r="K733" s="59"/>
      <c r="L733" s="60"/>
      <c r="M733" s="59"/>
      <c r="N733" s="63"/>
      <c r="O733" s="60"/>
      <c r="P733" s="60"/>
      <c r="Q733" s="60"/>
      <c r="R733" s="60"/>
      <c r="S733" s="60"/>
      <c r="T733" s="60"/>
      <c r="U733" s="60"/>
      <c r="V733" s="64"/>
      <c r="W733" s="60"/>
      <c r="X733" s="59"/>
      <c r="Y733" s="60"/>
      <c r="Z733" s="59"/>
      <c r="AA733" s="60"/>
    </row>
    <row r="734">
      <c r="A734" s="58"/>
      <c r="B734" s="58"/>
      <c r="C734" s="59"/>
      <c r="D734" s="60"/>
      <c r="E734" s="61"/>
      <c r="F734" s="62"/>
      <c r="G734" s="62"/>
      <c r="H734" s="62"/>
      <c r="I734" s="59"/>
      <c r="J734" s="60"/>
      <c r="K734" s="59"/>
      <c r="L734" s="60"/>
      <c r="M734" s="59"/>
      <c r="N734" s="63"/>
      <c r="O734" s="60"/>
      <c r="P734" s="60"/>
      <c r="Q734" s="60"/>
      <c r="R734" s="60"/>
      <c r="S734" s="60"/>
      <c r="T734" s="60"/>
      <c r="U734" s="60"/>
      <c r="V734" s="64"/>
      <c r="W734" s="60"/>
      <c r="X734" s="59"/>
      <c r="Y734" s="60"/>
      <c r="Z734" s="59"/>
      <c r="AA734" s="60"/>
    </row>
    <row r="735">
      <c r="A735" s="58"/>
      <c r="B735" s="58"/>
      <c r="C735" s="59"/>
      <c r="D735" s="60"/>
      <c r="E735" s="61"/>
      <c r="F735" s="62"/>
      <c r="G735" s="62"/>
      <c r="H735" s="62"/>
      <c r="I735" s="59"/>
      <c r="J735" s="60"/>
      <c r="K735" s="59"/>
      <c r="L735" s="60"/>
      <c r="M735" s="59"/>
      <c r="N735" s="63"/>
      <c r="O735" s="60"/>
      <c r="P735" s="60"/>
      <c r="Q735" s="60"/>
      <c r="R735" s="60"/>
      <c r="S735" s="60"/>
      <c r="T735" s="60"/>
      <c r="U735" s="60"/>
      <c r="V735" s="64"/>
      <c r="W735" s="60"/>
      <c r="X735" s="59"/>
      <c r="Y735" s="60"/>
      <c r="Z735" s="59"/>
      <c r="AA735" s="60"/>
    </row>
    <row r="736">
      <c r="A736" s="58"/>
      <c r="B736" s="58"/>
      <c r="C736" s="59"/>
      <c r="D736" s="60"/>
      <c r="E736" s="61"/>
      <c r="F736" s="62"/>
      <c r="G736" s="62"/>
      <c r="H736" s="62"/>
      <c r="I736" s="59"/>
      <c r="J736" s="60"/>
      <c r="K736" s="59"/>
      <c r="L736" s="60"/>
      <c r="M736" s="59"/>
      <c r="N736" s="63"/>
      <c r="O736" s="60"/>
      <c r="P736" s="60"/>
      <c r="Q736" s="60"/>
      <c r="R736" s="60"/>
      <c r="S736" s="60"/>
      <c r="T736" s="60"/>
      <c r="U736" s="60"/>
      <c r="V736" s="64"/>
      <c r="W736" s="60"/>
      <c r="X736" s="59"/>
      <c r="Y736" s="60"/>
      <c r="Z736" s="59"/>
      <c r="AA736" s="60"/>
    </row>
    <row r="737">
      <c r="A737" s="58"/>
      <c r="B737" s="58"/>
      <c r="C737" s="59"/>
      <c r="D737" s="60"/>
      <c r="E737" s="61"/>
      <c r="F737" s="62"/>
      <c r="G737" s="62"/>
      <c r="H737" s="62"/>
      <c r="I737" s="59"/>
      <c r="J737" s="60"/>
      <c r="K737" s="59"/>
      <c r="L737" s="60"/>
      <c r="M737" s="59"/>
      <c r="N737" s="63"/>
      <c r="O737" s="60"/>
      <c r="P737" s="60"/>
      <c r="Q737" s="60"/>
      <c r="R737" s="60"/>
      <c r="S737" s="60"/>
      <c r="T737" s="60"/>
      <c r="U737" s="60"/>
      <c r="V737" s="64"/>
      <c r="W737" s="60"/>
      <c r="X737" s="59"/>
      <c r="Y737" s="60"/>
      <c r="Z737" s="59"/>
      <c r="AA737" s="60"/>
    </row>
    <row r="738">
      <c r="A738" s="58"/>
      <c r="B738" s="58"/>
      <c r="C738" s="59"/>
      <c r="D738" s="60"/>
      <c r="E738" s="61"/>
      <c r="F738" s="62"/>
      <c r="G738" s="62"/>
      <c r="H738" s="62"/>
      <c r="I738" s="59"/>
      <c r="J738" s="60"/>
      <c r="K738" s="59"/>
      <c r="L738" s="60"/>
      <c r="M738" s="59"/>
      <c r="N738" s="63"/>
      <c r="O738" s="60"/>
      <c r="P738" s="60"/>
      <c r="Q738" s="60"/>
      <c r="R738" s="60"/>
      <c r="S738" s="60"/>
      <c r="T738" s="60"/>
      <c r="U738" s="60"/>
      <c r="V738" s="64"/>
      <c r="W738" s="60"/>
      <c r="X738" s="59"/>
      <c r="Y738" s="60"/>
      <c r="Z738" s="59"/>
      <c r="AA738" s="60"/>
    </row>
    <row r="739">
      <c r="A739" s="58"/>
      <c r="B739" s="58"/>
      <c r="C739" s="59"/>
      <c r="D739" s="60"/>
      <c r="E739" s="61"/>
      <c r="F739" s="62"/>
      <c r="G739" s="62"/>
      <c r="H739" s="62"/>
      <c r="I739" s="59"/>
      <c r="J739" s="60"/>
      <c r="K739" s="59"/>
      <c r="L739" s="60"/>
      <c r="M739" s="59"/>
      <c r="N739" s="63"/>
      <c r="O739" s="60"/>
      <c r="P739" s="60"/>
      <c r="Q739" s="60"/>
      <c r="R739" s="60"/>
      <c r="S739" s="60"/>
      <c r="T739" s="60"/>
      <c r="U739" s="60"/>
      <c r="V739" s="64"/>
      <c r="W739" s="60"/>
      <c r="X739" s="59"/>
      <c r="Y739" s="60"/>
      <c r="Z739" s="59"/>
      <c r="AA739" s="60"/>
    </row>
    <row r="740">
      <c r="A740" s="58"/>
      <c r="B740" s="58"/>
      <c r="C740" s="59"/>
      <c r="D740" s="60"/>
      <c r="E740" s="61"/>
      <c r="F740" s="62"/>
      <c r="G740" s="62"/>
      <c r="H740" s="62"/>
      <c r="I740" s="59"/>
      <c r="J740" s="60"/>
      <c r="K740" s="59"/>
      <c r="L740" s="60"/>
      <c r="M740" s="59"/>
      <c r="N740" s="63"/>
      <c r="O740" s="60"/>
      <c r="P740" s="60"/>
      <c r="Q740" s="60"/>
      <c r="R740" s="60"/>
      <c r="S740" s="60"/>
      <c r="T740" s="60"/>
      <c r="U740" s="60"/>
      <c r="V740" s="64"/>
      <c r="W740" s="60"/>
      <c r="X740" s="59"/>
      <c r="Y740" s="60"/>
      <c r="Z740" s="59"/>
      <c r="AA740" s="60"/>
    </row>
    <row r="741">
      <c r="A741" s="58"/>
      <c r="B741" s="58"/>
      <c r="C741" s="59"/>
      <c r="D741" s="60"/>
      <c r="E741" s="61"/>
      <c r="F741" s="62"/>
      <c r="G741" s="62"/>
      <c r="H741" s="62"/>
      <c r="I741" s="59"/>
      <c r="J741" s="60"/>
      <c r="K741" s="59"/>
      <c r="L741" s="60"/>
      <c r="M741" s="59"/>
      <c r="N741" s="63"/>
      <c r="O741" s="60"/>
      <c r="P741" s="60"/>
      <c r="Q741" s="60"/>
      <c r="R741" s="60"/>
      <c r="S741" s="60"/>
      <c r="T741" s="60"/>
      <c r="U741" s="60"/>
      <c r="V741" s="64"/>
      <c r="W741" s="60"/>
      <c r="X741" s="59"/>
      <c r="Y741" s="60"/>
      <c r="Z741" s="59"/>
      <c r="AA741" s="60"/>
    </row>
    <row r="742">
      <c r="A742" s="58"/>
      <c r="B742" s="58"/>
      <c r="C742" s="59"/>
      <c r="D742" s="60"/>
      <c r="E742" s="61"/>
      <c r="F742" s="62"/>
      <c r="G742" s="62"/>
      <c r="H742" s="62"/>
      <c r="I742" s="59"/>
      <c r="J742" s="60"/>
      <c r="K742" s="59"/>
      <c r="L742" s="60"/>
      <c r="M742" s="59"/>
      <c r="N742" s="63"/>
      <c r="O742" s="60"/>
      <c r="P742" s="60"/>
      <c r="Q742" s="60"/>
      <c r="R742" s="60"/>
      <c r="S742" s="60"/>
      <c r="T742" s="60"/>
      <c r="U742" s="60"/>
      <c r="V742" s="64"/>
      <c r="W742" s="60"/>
      <c r="X742" s="59"/>
      <c r="Y742" s="60"/>
      <c r="Z742" s="59"/>
      <c r="AA742" s="60"/>
    </row>
    <row r="743">
      <c r="A743" s="58"/>
      <c r="B743" s="58"/>
      <c r="C743" s="59"/>
      <c r="D743" s="60"/>
      <c r="E743" s="61"/>
      <c r="F743" s="62"/>
      <c r="G743" s="62"/>
      <c r="H743" s="62"/>
      <c r="I743" s="59"/>
      <c r="J743" s="60"/>
      <c r="K743" s="59"/>
      <c r="L743" s="60"/>
      <c r="M743" s="59"/>
      <c r="N743" s="63"/>
      <c r="O743" s="60"/>
      <c r="P743" s="60"/>
      <c r="Q743" s="60"/>
      <c r="R743" s="60"/>
      <c r="S743" s="60"/>
      <c r="T743" s="60"/>
      <c r="U743" s="60"/>
      <c r="V743" s="64"/>
      <c r="W743" s="60"/>
      <c r="X743" s="59"/>
      <c r="Y743" s="60"/>
      <c r="Z743" s="59"/>
      <c r="AA743" s="60"/>
    </row>
    <row r="744">
      <c r="A744" s="58"/>
      <c r="B744" s="58"/>
      <c r="C744" s="59"/>
      <c r="D744" s="60"/>
      <c r="E744" s="61"/>
      <c r="F744" s="62"/>
      <c r="G744" s="62"/>
      <c r="H744" s="62"/>
      <c r="I744" s="59"/>
      <c r="J744" s="60"/>
      <c r="K744" s="59"/>
      <c r="L744" s="60"/>
      <c r="M744" s="59"/>
      <c r="N744" s="63"/>
      <c r="O744" s="60"/>
      <c r="P744" s="60"/>
      <c r="Q744" s="60"/>
      <c r="R744" s="60"/>
      <c r="S744" s="60"/>
      <c r="T744" s="60"/>
      <c r="U744" s="60"/>
      <c r="V744" s="64"/>
      <c r="W744" s="60"/>
      <c r="X744" s="59"/>
      <c r="Y744" s="60"/>
      <c r="Z744" s="59"/>
      <c r="AA744" s="60"/>
    </row>
    <row r="745">
      <c r="A745" s="58"/>
      <c r="B745" s="58"/>
      <c r="C745" s="59"/>
      <c r="D745" s="60"/>
      <c r="E745" s="61"/>
      <c r="F745" s="62"/>
      <c r="G745" s="62"/>
      <c r="H745" s="62"/>
      <c r="I745" s="59"/>
      <c r="J745" s="60"/>
      <c r="K745" s="59"/>
      <c r="L745" s="60"/>
      <c r="M745" s="59"/>
      <c r="N745" s="63"/>
      <c r="O745" s="60"/>
      <c r="P745" s="60"/>
      <c r="Q745" s="60"/>
      <c r="R745" s="60"/>
      <c r="S745" s="60"/>
      <c r="T745" s="60"/>
      <c r="U745" s="60"/>
      <c r="V745" s="64"/>
      <c r="W745" s="60"/>
      <c r="X745" s="59"/>
      <c r="Y745" s="60"/>
      <c r="Z745" s="59"/>
      <c r="AA745" s="60"/>
    </row>
    <row r="746">
      <c r="A746" s="58"/>
      <c r="B746" s="58"/>
      <c r="C746" s="59"/>
      <c r="D746" s="60"/>
      <c r="E746" s="61"/>
      <c r="F746" s="62"/>
      <c r="G746" s="62"/>
      <c r="H746" s="62"/>
      <c r="I746" s="59"/>
      <c r="J746" s="60"/>
      <c r="K746" s="59"/>
      <c r="L746" s="60"/>
      <c r="M746" s="59"/>
      <c r="N746" s="63"/>
      <c r="O746" s="60"/>
      <c r="P746" s="60"/>
      <c r="Q746" s="60"/>
      <c r="R746" s="60"/>
      <c r="S746" s="60"/>
      <c r="T746" s="60"/>
      <c r="U746" s="60"/>
      <c r="V746" s="64"/>
      <c r="W746" s="60"/>
      <c r="X746" s="59"/>
      <c r="Y746" s="60"/>
      <c r="Z746" s="59"/>
      <c r="AA746" s="60"/>
    </row>
    <row r="747">
      <c r="A747" s="58"/>
      <c r="B747" s="58"/>
      <c r="C747" s="59"/>
      <c r="D747" s="60"/>
      <c r="E747" s="61"/>
      <c r="F747" s="62"/>
      <c r="G747" s="62"/>
      <c r="H747" s="62"/>
      <c r="I747" s="59"/>
      <c r="J747" s="60"/>
      <c r="K747" s="59"/>
      <c r="L747" s="60"/>
      <c r="M747" s="59"/>
      <c r="N747" s="63"/>
      <c r="O747" s="60"/>
      <c r="P747" s="60"/>
      <c r="Q747" s="60"/>
      <c r="R747" s="60"/>
      <c r="S747" s="60"/>
      <c r="T747" s="60"/>
      <c r="U747" s="60"/>
      <c r="V747" s="64"/>
      <c r="W747" s="60"/>
      <c r="X747" s="59"/>
      <c r="Y747" s="60"/>
      <c r="Z747" s="59"/>
      <c r="AA747" s="60"/>
    </row>
    <row r="748">
      <c r="A748" s="58"/>
      <c r="B748" s="58"/>
      <c r="C748" s="59"/>
      <c r="D748" s="60"/>
      <c r="E748" s="61"/>
      <c r="F748" s="62"/>
      <c r="G748" s="62"/>
      <c r="H748" s="62"/>
      <c r="I748" s="59"/>
      <c r="J748" s="60"/>
      <c r="K748" s="59"/>
      <c r="L748" s="60"/>
      <c r="M748" s="59"/>
      <c r="N748" s="63"/>
      <c r="O748" s="60"/>
      <c r="P748" s="60"/>
      <c r="Q748" s="60"/>
      <c r="R748" s="60"/>
      <c r="S748" s="60"/>
      <c r="T748" s="60"/>
      <c r="U748" s="60"/>
      <c r="V748" s="64"/>
      <c r="W748" s="60"/>
      <c r="X748" s="59"/>
      <c r="Y748" s="60"/>
      <c r="Z748" s="59"/>
      <c r="AA748" s="60"/>
    </row>
    <row r="749">
      <c r="A749" s="58"/>
      <c r="B749" s="58"/>
      <c r="C749" s="59"/>
      <c r="D749" s="60"/>
      <c r="E749" s="61"/>
      <c r="F749" s="62"/>
      <c r="G749" s="62"/>
      <c r="H749" s="62"/>
      <c r="I749" s="59"/>
      <c r="J749" s="60"/>
      <c r="K749" s="59"/>
      <c r="L749" s="60"/>
      <c r="M749" s="59"/>
      <c r="N749" s="63"/>
      <c r="O749" s="60"/>
      <c r="P749" s="60"/>
      <c r="Q749" s="60"/>
      <c r="R749" s="60"/>
      <c r="S749" s="60"/>
      <c r="T749" s="60"/>
      <c r="U749" s="60"/>
      <c r="V749" s="64"/>
      <c r="W749" s="60"/>
      <c r="X749" s="59"/>
      <c r="Y749" s="60"/>
      <c r="Z749" s="59"/>
      <c r="AA749" s="60"/>
    </row>
    <row r="750">
      <c r="A750" s="58"/>
      <c r="B750" s="58"/>
      <c r="C750" s="59"/>
      <c r="D750" s="60"/>
      <c r="E750" s="61"/>
      <c r="F750" s="62"/>
      <c r="G750" s="62"/>
      <c r="H750" s="62"/>
      <c r="I750" s="59"/>
      <c r="J750" s="60"/>
      <c r="K750" s="59"/>
      <c r="L750" s="60"/>
      <c r="M750" s="59"/>
      <c r="N750" s="63"/>
      <c r="O750" s="60"/>
      <c r="P750" s="60"/>
      <c r="Q750" s="60"/>
      <c r="R750" s="60"/>
      <c r="S750" s="60"/>
      <c r="T750" s="60"/>
      <c r="U750" s="60"/>
      <c r="V750" s="64"/>
      <c r="W750" s="60"/>
      <c r="X750" s="59"/>
      <c r="Y750" s="60"/>
      <c r="Z750" s="59"/>
      <c r="AA750" s="60"/>
    </row>
    <row r="751">
      <c r="A751" s="58"/>
      <c r="B751" s="58"/>
      <c r="C751" s="59"/>
      <c r="D751" s="60"/>
      <c r="E751" s="61"/>
      <c r="F751" s="62"/>
      <c r="G751" s="62"/>
      <c r="H751" s="62"/>
      <c r="I751" s="59"/>
      <c r="J751" s="60"/>
      <c r="K751" s="59"/>
      <c r="L751" s="60"/>
      <c r="M751" s="59"/>
      <c r="N751" s="63"/>
      <c r="O751" s="60"/>
      <c r="P751" s="60"/>
      <c r="Q751" s="60"/>
      <c r="R751" s="60"/>
      <c r="S751" s="60"/>
      <c r="T751" s="60"/>
      <c r="U751" s="60"/>
      <c r="V751" s="64"/>
      <c r="W751" s="60"/>
      <c r="X751" s="59"/>
      <c r="Y751" s="60"/>
      <c r="Z751" s="59"/>
      <c r="AA751" s="60"/>
    </row>
    <row r="752">
      <c r="A752" s="58"/>
      <c r="B752" s="58"/>
      <c r="C752" s="59"/>
      <c r="D752" s="60"/>
      <c r="E752" s="61"/>
      <c r="F752" s="62"/>
      <c r="G752" s="62"/>
      <c r="H752" s="62"/>
      <c r="I752" s="59"/>
      <c r="J752" s="60"/>
      <c r="K752" s="59"/>
      <c r="L752" s="60"/>
      <c r="M752" s="59"/>
      <c r="N752" s="63"/>
      <c r="O752" s="60"/>
      <c r="P752" s="60"/>
      <c r="Q752" s="60"/>
      <c r="R752" s="60"/>
      <c r="S752" s="60"/>
      <c r="T752" s="60"/>
      <c r="U752" s="60"/>
      <c r="V752" s="64"/>
      <c r="W752" s="60"/>
      <c r="X752" s="59"/>
      <c r="Y752" s="60"/>
      <c r="Z752" s="59"/>
      <c r="AA752" s="60"/>
    </row>
    <row r="753">
      <c r="A753" s="58"/>
      <c r="B753" s="58"/>
      <c r="C753" s="59"/>
      <c r="D753" s="60"/>
      <c r="E753" s="61"/>
      <c r="F753" s="62"/>
      <c r="G753" s="62"/>
      <c r="H753" s="62"/>
      <c r="I753" s="59"/>
      <c r="J753" s="60"/>
      <c r="K753" s="59"/>
      <c r="L753" s="60"/>
      <c r="M753" s="59"/>
      <c r="N753" s="63"/>
      <c r="O753" s="60"/>
      <c r="P753" s="60"/>
      <c r="Q753" s="60"/>
      <c r="R753" s="60"/>
      <c r="S753" s="60"/>
      <c r="T753" s="60"/>
      <c r="U753" s="60"/>
      <c r="V753" s="64"/>
      <c r="W753" s="60"/>
      <c r="X753" s="59"/>
      <c r="Y753" s="60"/>
      <c r="Z753" s="59"/>
      <c r="AA753" s="60"/>
    </row>
    <row r="754">
      <c r="A754" s="58"/>
      <c r="B754" s="58"/>
      <c r="C754" s="59"/>
      <c r="D754" s="60"/>
      <c r="E754" s="61"/>
      <c r="F754" s="62"/>
      <c r="G754" s="62"/>
      <c r="H754" s="62"/>
      <c r="I754" s="59"/>
      <c r="J754" s="60"/>
      <c r="K754" s="59"/>
      <c r="L754" s="60"/>
      <c r="M754" s="59"/>
      <c r="N754" s="63"/>
      <c r="O754" s="60"/>
      <c r="P754" s="60"/>
      <c r="Q754" s="60"/>
      <c r="R754" s="60"/>
      <c r="S754" s="60"/>
      <c r="T754" s="60"/>
      <c r="U754" s="60"/>
      <c r="V754" s="64"/>
      <c r="W754" s="60"/>
      <c r="X754" s="59"/>
      <c r="Y754" s="60"/>
      <c r="Z754" s="59"/>
      <c r="AA754" s="60"/>
    </row>
    <row r="755">
      <c r="A755" s="58"/>
      <c r="B755" s="58"/>
      <c r="C755" s="59"/>
      <c r="D755" s="60"/>
      <c r="E755" s="61"/>
      <c r="F755" s="62"/>
      <c r="G755" s="62"/>
      <c r="H755" s="62"/>
      <c r="I755" s="59"/>
      <c r="J755" s="60"/>
      <c r="K755" s="59"/>
      <c r="L755" s="60"/>
      <c r="M755" s="59"/>
      <c r="N755" s="63"/>
      <c r="O755" s="60"/>
      <c r="P755" s="60"/>
      <c r="Q755" s="60"/>
      <c r="R755" s="60"/>
      <c r="S755" s="60"/>
      <c r="T755" s="60"/>
      <c r="U755" s="60"/>
      <c r="V755" s="64"/>
      <c r="W755" s="60"/>
      <c r="X755" s="59"/>
      <c r="Y755" s="60"/>
      <c r="Z755" s="59"/>
      <c r="AA755" s="60"/>
    </row>
    <row r="756">
      <c r="A756" s="58"/>
      <c r="B756" s="58"/>
      <c r="C756" s="59"/>
      <c r="D756" s="60"/>
      <c r="E756" s="61"/>
      <c r="F756" s="62"/>
      <c r="G756" s="62"/>
      <c r="H756" s="62"/>
      <c r="I756" s="59"/>
      <c r="J756" s="60"/>
      <c r="K756" s="59"/>
      <c r="L756" s="60"/>
      <c r="M756" s="59"/>
      <c r="N756" s="63"/>
      <c r="O756" s="60"/>
      <c r="P756" s="60"/>
      <c r="Q756" s="60"/>
      <c r="R756" s="60"/>
      <c r="S756" s="60"/>
      <c r="T756" s="60"/>
      <c r="U756" s="60"/>
      <c r="V756" s="64"/>
      <c r="W756" s="60"/>
      <c r="X756" s="59"/>
      <c r="Y756" s="60"/>
      <c r="Z756" s="59"/>
      <c r="AA756" s="60"/>
    </row>
    <row r="757">
      <c r="A757" s="58"/>
      <c r="B757" s="58"/>
      <c r="C757" s="59"/>
      <c r="D757" s="60"/>
      <c r="E757" s="61"/>
      <c r="F757" s="62"/>
      <c r="G757" s="62"/>
      <c r="H757" s="62"/>
      <c r="I757" s="59"/>
      <c r="J757" s="60"/>
      <c r="K757" s="59"/>
      <c r="L757" s="60"/>
      <c r="M757" s="59"/>
      <c r="N757" s="63"/>
      <c r="O757" s="60"/>
      <c r="P757" s="60"/>
      <c r="Q757" s="60"/>
      <c r="R757" s="60"/>
      <c r="S757" s="60"/>
      <c r="T757" s="60"/>
      <c r="U757" s="60"/>
      <c r="V757" s="64"/>
      <c r="W757" s="60"/>
      <c r="X757" s="59"/>
      <c r="Y757" s="60"/>
      <c r="Z757" s="59"/>
      <c r="AA757" s="60"/>
    </row>
    <row r="758">
      <c r="A758" s="58"/>
      <c r="B758" s="58"/>
      <c r="C758" s="59"/>
      <c r="D758" s="60"/>
      <c r="E758" s="61"/>
      <c r="F758" s="62"/>
      <c r="G758" s="62"/>
      <c r="H758" s="62"/>
      <c r="I758" s="59"/>
      <c r="J758" s="60"/>
      <c r="K758" s="59"/>
      <c r="L758" s="60"/>
      <c r="M758" s="59"/>
      <c r="N758" s="63"/>
      <c r="O758" s="60"/>
      <c r="P758" s="60"/>
      <c r="Q758" s="60"/>
      <c r="R758" s="60"/>
      <c r="S758" s="60"/>
      <c r="T758" s="60"/>
      <c r="U758" s="60"/>
      <c r="V758" s="64"/>
      <c r="W758" s="60"/>
      <c r="X758" s="59"/>
      <c r="Y758" s="60"/>
      <c r="Z758" s="59"/>
      <c r="AA758" s="60"/>
    </row>
    <row r="759">
      <c r="A759" s="58"/>
      <c r="B759" s="58"/>
      <c r="C759" s="59"/>
      <c r="D759" s="60"/>
      <c r="E759" s="61"/>
      <c r="F759" s="62"/>
      <c r="G759" s="62"/>
      <c r="H759" s="62"/>
      <c r="I759" s="59"/>
      <c r="J759" s="60"/>
      <c r="K759" s="59"/>
      <c r="L759" s="60"/>
      <c r="M759" s="59"/>
      <c r="N759" s="63"/>
      <c r="O759" s="60"/>
      <c r="P759" s="60"/>
      <c r="Q759" s="60"/>
      <c r="R759" s="60"/>
      <c r="S759" s="60"/>
      <c r="T759" s="60"/>
      <c r="U759" s="60"/>
      <c r="V759" s="64"/>
      <c r="W759" s="60"/>
      <c r="X759" s="59"/>
      <c r="Y759" s="60"/>
      <c r="Z759" s="59"/>
      <c r="AA759" s="60"/>
    </row>
    <row r="760">
      <c r="A760" s="58"/>
      <c r="B760" s="58"/>
      <c r="C760" s="59"/>
      <c r="D760" s="60"/>
      <c r="E760" s="61"/>
      <c r="F760" s="62"/>
      <c r="G760" s="62"/>
      <c r="H760" s="62"/>
      <c r="I760" s="59"/>
      <c r="J760" s="60"/>
      <c r="K760" s="59"/>
      <c r="L760" s="60"/>
      <c r="M760" s="59"/>
      <c r="N760" s="63"/>
      <c r="O760" s="60"/>
      <c r="P760" s="60"/>
      <c r="Q760" s="60"/>
      <c r="R760" s="60"/>
      <c r="S760" s="60"/>
      <c r="T760" s="60"/>
      <c r="U760" s="60"/>
      <c r="V760" s="64"/>
      <c r="W760" s="60"/>
      <c r="X760" s="59"/>
      <c r="Y760" s="60"/>
      <c r="Z760" s="59"/>
      <c r="AA760" s="60"/>
    </row>
    <row r="761">
      <c r="A761" s="58"/>
      <c r="B761" s="58"/>
      <c r="C761" s="59"/>
      <c r="D761" s="60"/>
      <c r="E761" s="61"/>
      <c r="F761" s="62"/>
      <c r="G761" s="62"/>
      <c r="H761" s="62"/>
      <c r="I761" s="59"/>
      <c r="J761" s="60"/>
      <c r="K761" s="59"/>
      <c r="L761" s="60"/>
      <c r="M761" s="59"/>
      <c r="N761" s="63"/>
      <c r="O761" s="60"/>
      <c r="P761" s="60"/>
      <c r="Q761" s="60"/>
      <c r="R761" s="60"/>
      <c r="S761" s="60"/>
      <c r="T761" s="60"/>
      <c r="U761" s="60"/>
      <c r="V761" s="64"/>
      <c r="W761" s="60"/>
      <c r="X761" s="59"/>
      <c r="Y761" s="60"/>
      <c r="Z761" s="59"/>
      <c r="AA761" s="60"/>
    </row>
    <row r="762">
      <c r="A762" s="58"/>
      <c r="B762" s="58"/>
      <c r="C762" s="59"/>
      <c r="D762" s="60"/>
      <c r="E762" s="61"/>
      <c r="F762" s="62"/>
      <c r="G762" s="62"/>
      <c r="H762" s="62"/>
      <c r="I762" s="59"/>
      <c r="J762" s="60"/>
      <c r="K762" s="59"/>
      <c r="L762" s="60"/>
      <c r="M762" s="59"/>
      <c r="N762" s="63"/>
      <c r="O762" s="60"/>
      <c r="P762" s="60"/>
      <c r="Q762" s="60"/>
      <c r="R762" s="60"/>
      <c r="S762" s="60"/>
      <c r="T762" s="60"/>
      <c r="U762" s="60"/>
      <c r="V762" s="64"/>
      <c r="W762" s="60"/>
      <c r="X762" s="59"/>
      <c r="Y762" s="60"/>
      <c r="Z762" s="59"/>
      <c r="AA762" s="60"/>
    </row>
    <row r="763">
      <c r="A763" s="58"/>
      <c r="B763" s="58"/>
      <c r="C763" s="59"/>
      <c r="D763" s="60"/>
      <c r="E763" s="61"/>
      <c r="F763" s="62"/>
      <c r="G763" s="62"/>
      <c r="H763" s="62"/>
      <c r="I763" s="59"/>
      <c r="J763" s="60"/>
      <c r="K763" s="59"/>
      <c r="L763" s="60"/>
      <c r="M763" s="59"/>
      <c r="N763" s="63"/>
      <c r="O763" s="60"/>
      <c r="P763" s="60"/>
      <c r="Q763" s="60"/>
      <c r="R763" s="60"/>
      <c r="S763" s="60"/>
      <c r="T763" s="60"/>
      <c r="U763" s="60"/>
      <c r="V763" s="64"/>
      <c r="W763" s="60"/>
      <c r="X763" s="59"/>
      <c r="Y763" s="60"/>
      <c r="Z763" s="59"/>
      <c r="AA763" s="60"/>
    </row>
    <row r="764">
      <c r="A764" s="58"/>
      <c r="B764" s="58"/>
      <c r="C764" s="59"/>
      <c r="D764" s="60"/>
      <c r="E764" s="61"/>
      <c r="F764" s="62"/>
      <c r="G764" s="62"/>
      <c r="H764" s="62"/>
      <c r="I764" s="59"/>
      <c r="J764" s="60"/>
      <c r="K764" s="59"/>
      <c r="L764" s="60"/>
      <c r="M764" s="59"/>
      <c r="N764" s="63"/>
      <c r="O764" s="60"/>
      <c r="P764" s="60"/>
      <c r="Q764" s="60"/>
      <c r="R764" s="60"/>
      <c r="S764" s="60"/>
      <c r="T764" s="60"/>
      <c r="U764" s="60"/>
      <c r="V764" s="64"/>
      <c r="W764" s="60"/>
      <c r="X764" s="59"/>
      <c r="Y764" s="60"/>
      <c r="Z764" s="59"/>
      <c r="AA764" s="60"/>
    </row>
    <row r="765">
      <c r="A765" s="58"/>
      <c r="B765" s="58"/>
      <c r="C765" s="59"/>
      <c r="D765" s="60"/>
      <c r="E765" s="61"/>
      <c r="F765" s="62"/>
      <c r="G765" s="62"/>
      <c r="H765" s="62"/>
      <c r="I765" s="59"/>
      <c r="J765" s="60"/>
      <c r="K765" s="59"/>
      <c r="L765" s="60"/>
      <c r="M765" s="59"/>
      <c r="N765" s="63"/>
      <c r="O765" s="60"/>
      <c r="P765" s="60"/>
      <c r="Q765" s="60"/>
      <c r="R765" s="60"/>
      <c r="S765" s="60"/>
      <c r="T765" s="60"/>
      <c r="U765" s="60"/>
      <c r="V765" s="64"/>
      <c r="W765" s="60"/>
      <c r="X765" s="59"/>
      <c r="Y765" s="60"/>
      <c r="Z765" s="59"/>
      <c r="AA765" s="60"/>
    </row>
    <row r="766">
      <c r="A766" s="58"/>
      <c r="B766" s="58"/>
      <c r="C766" s="59"/>
      <c r="D766" s="60"/>
      <c r="E766" s="61"/>
      <c r="F766" s="62"/>
      <c r="G766" s="62"/>
      <c r="H766" s="62"/>
      <c r="I766" s="59"/>
      <c r="J766" s="60"/>
      <c r="K766" s="59"/>
      <c r="L766" s="60"/>
      <c r="M766" s="59"/>
      <c r="N766" s="63"/>
      <c r="O766" s="60"/>
      <c r="P766" s="60"/>
      <c r="Q766" s="60"/>
      <c r="R766" s="60"/>
      <c r="S766" s="60"/>
      <c r="T766" s="60"/>
      <c r="U766" s="60"/>
      <c r="V766" s="64"/>
      <c r="W766" s="60"/>
      <c r="X766" s="59"/>
      <c r="Y766" s="60"/>
      <c r="Z766" s="59"/>
      <c r="AA766" s="60"/>
    </row>
    <row r="767">
      <c r="A767" s="58"/>
      <c r="B767" s="58"/>
      <c r="C767" s="59"/>
      <c r="D767" s="60"/>
      <c r="E767" s="61"/>
      <c r="F767" s="62"/>
      <c r="G767" s="62"/>
      <c r="H767" s="62"/>
      <c r="I767" s="59"/>
      <c r="J767" s="60"/>
      <c r="K767" s="59"/>
      <c r="L767" s="60"/>
      <c r="M767" s="59"/>
      <c r="N767" s="63"/>
      <c r="O767" s="60"/>
      <c r="P767" s="60"/>
      <c r="Q767" s="60"/>
      <c r="R767" s="60"/>
      <c r="S767" s="60"/>
      <c r="T767" s="60"/>
      <c r="U767" s="60"/>
      <c r="V767" s="64"/>
      <c r="W767" s="60"/>
      <c r="X767" s="59"/>
      <c r="Y767" s="60"/>
      <c r="Z767" s="59"/>
      <c r="AA767" s="60"/>
    </row>
    <row r="768">
      <c r="A768" s="58"/>
      <c r="B768" s="58"/>
      <c r="C768" s="59"/>
      <c r="D768" s="60"/>
      <c r="E768" s="61"/>
      <c r="F768" s="62"/>
      <c r="G768" s="62"/>
      <c r="H768" s="62"/>
      <c r="I768" s="59"/>
      <c r="J768" s="60"/>
      <c r="K768" s="59"/>
      <c r="L768" s="60"/>
      <c r="M768" s="59"/>
      <c r="N768" s="63"/>
      <c r="O768" s="60"/>
      <c r="P768" s="60"/>
      <c r="Q768" s="60"/>
      <c r="R768" s="60"/>
      <c r="S768" s="60"/>
      <c r="T768" s="60"/>
      <c r="U768" s="60"/>
      <c r="V768" s="64"/>
      <c r="W768" s="60"/>
      <c r="X768" s="59"/>
      <c r="Y768" s="60"/>
      <c r="Z768" s="59"/>
      <c r="AA768" s="60"/>
    </row>
    <row r="769">
      <c r="A769" s="58"/>
      <c r="B769" s="58"/>
      <c r="C769" s="59"/>
      <c r="D769" s="60"/>
      <c r="E769" s="61"/>
      <c r="F769" s="62"/>
      <c r="G769" s="62"/>
      <c r="H769" s="62"/>
      <c r="I769" s="59"/>
      <c r="J769" s="60"/>
      <c r="K769" s="59"/>
      <c r="L769" s="60"/>
      <c r="M769" s="59"/>
      <c r="N769" s="63"/>
      <c r="O769" s="60"/>
      <c r="P769" s="60"/>
      <c r="Q769" s="60"/>
      <c r="R769" s="60"/>
      <c r="S769" s="60"/>
      <c r="T769" s="60"/>
      <c r="U769" s="60"/>
      <c r="V769" s="64"/>
      <c r="W769" s="60"/>
      <c r="X769" s="59"/>
      <c r="Y769" s="60"/>
      <c r="Z769" s="59"/>
      <c r="AA769" s="60"/>
    </row>
    <row r="770">
      <c r="A770" s="58"/>
      <c r="B770" s="58"/>
      <c r="C770" s="59"/>
      <c r="D770" s="60"/>
      <c r="E770" s="61"/>
      <c r="F770" s="62"/>
      <c r="G770" s="62"/>
      <c r="H770" s="62"/>
      <c r="I770" s="59"/>
      <c r="J770" s="60"/>
      <c r="K770" s="59"/>
      <c r="L770" s="60"/>
      <c r="M770" s="59"/>
      <c r="N770" s="63"/>
      <c r="O770" s="60"/>
      <c r="P770" s="60"/>
      <c r="Q770" s="60"/>
      <c r="R770" s="60"/>
      <c r="S770" s="60"/>
      <c r="T770" s="60"/>
      <c r="U770" s="60"/>
      <c r="V770" s="64"/>
      <c r="W770" s="60"/>
      <c r="X770" s="59"/>
      <c r="Y770" s="60"/>
      <c r="Z770" s="59"/>
      <c r="AA770" s="60"/>
    </row>
    <row r="771">
      <c r="A771" s="58"/>
      <c r="B771" s="58"/>
      <c r="C771" s="59"/>
      <c r="D771" s="60"/>
      <c r="E771" s="61"/>
      <c r="F771" s="62"/>
      <c r="G771" s="62"/>
      <c r="H771" s="62"/>
      <c r="I771" s="59"/>
      <c r="J771" s="60"/>
      <c r="K771" s="59"/>
      <c r="L771" s="60"/>
      <c r="M771" s="59"/>
      <c r="N771" s="63"/>
      <c r="O771" s="60"/>
      <c r="P771" s="60"/>
      <c r="Q771" s="60"/>
      <c r="R771" s="60"/>
      <c r="S771" s="60"/>
      <c r="T771" s="60"/>
      <c r="U771" s="60"/>
      <c r="V771" s="64"/>
      <c r="W771" s="60"/>
      <c r="X771" s="59"/>
      <c r="Y771" s="60"/>
      <c r="Z771" s="59"/>
      <c r="AA771" s="60"/>
    </row>
    <row r="772">
      <c r="A772" s="58"/>
      <c r="B772" s="58"/>
      <c r="C772" s="59"/>
      <c r="D772" s="60"/>
      <c r="E772" s="61"/>
      <c r="F772" s="62"/>
      <c r="G772" s="62"/>
      <c r="H772" s="62"/>
      <c r="I772" s="59"/>
      <c r="J772" s="60"/>
      <c r="K772" s="59"/>
      <c r="L772" s="60"/>
      <c r="M772" s="59"/>
      <c r="N772" s="63"/>
      <c r="O772" s="60"/>
      <c r="P772" s="60"/>
      <c r="Q772" s="60"/>
      <c r="R772" s="60"/>
      <c r="S772" s="60"/>
      <c r="T772" s="60"/>
      <c r="U772" s="60"/>
      <c r="V772" s="64"/>
      <c r="W772" s="60"/>
      <c r="X772" s="59"/>
      <c r="Y772" s="60"/>
      <c r="Z772" s="59"/>
      <c r="AA772" s="60"/>
    </row>
    <row r="773">
      <c r="A773" s="58"/>
      <c r="B773" s="58"/>
      <c r="C773" s="59"/>
      <c r="D773" s="60"/>
      <c r="E773" s="61"/>
      <c r="F773" s="62"/>
      <c r="G773" s="62"/>
      <c r="H773" s="62"/>
      <c r="I773" s="59"/>
      <c r="J773" s="60"/>
      <c r="K773" s="59"/>
      <c r="L773" s="60"/>
      <c r="M773" s="59"/>
      <c r="N773" s="63"/>
      <c r="O773" s="60"/>
      <c r="P773" s="60"/>
      <c r="Q773" s="60"/>
      <c r="R773" s="60"/>
      <c r="S773" s="60"/>
      <c r="T773" s="60"/>
      <c r="U773" s="60"/>
      <c r="V773" s="64"/>
      <c r="W773" s="60"/>
      <c r="X773" s="59"/>
      <c r="Y773" s="60"/>
      <c r="Z773" s="59"/>
      <c r="AA773" s="60"/>
    </row>
    <row r="774">
      <c r="A774" s="58"/>
      <c r="B774" s="58"/>
      <c r="C774" s="59"/>
      <c r="D774" s="60"/>
      <c r="E774" s="61"/>
      <c r="F774" s="62"/>
      <c r="G774" s="62"/>
      <c r="H774" s="62"/>
      <c r="I774" s="59"/>
      <c r="J774" s="60"/>
      <c r="K774" s="59"/>
      <c r="L774" s="60"/>
      <c r="M774" s="59"/>
      <c r="N774" s="63"/>
      <c r="O774" s="60"/>
      <c r="P774" s="60"/>
      <c r="Q774" s="60"/>
      <c r="R774" s="60"/>
      <c r="S774" s="60"/>
      <c r="T774" s="60"/>
      <c r="U774" s="60"/>
      <c r="V774" s="64"/>
      <c r="W774" s="60"/>
      <c r="X774" s="59"/>
      <c r="Y774" s="60"/>
      <c r="Z774" s="59"/>
      <c r="AA774" s="60"/>
    </row>
    <row r="775">
      <c r="A775" s="58"/>
      <c r="B775" s="58"/>
      <c r="C775" s="59"/>
      <c r="D775" s="60"/>
      <c r="E775" s="61"/>
      <c r="F775" s="62"/>
      <c r="G775" s="62"/>
      <c r="H775" s="62"/>
      <c r="I775" s="59"/>
      <c r="J775" s="60"/>
      <c r="K775" s="59"/>
      <c r="L775" s="60"/>
      <c r="M775" s="59"/>
      <c r="N775" s="63"/>
      <c r="O775" s="60"/>
      <c r="P775" s="60"/>
      <c r="Q775" s="60"/>
      <c r="R775" s="60"/>
      <c r="S775" s="60"/>
      <c r="T775" s="60"/>
      <c r="U775" s="60"/>
      <c r="V775" s="64"/>
      <c r="W775" s="60"/>
      <c r="X775" s="59"/>
      <c r="Y775" s="60"/>
      <c r="Z775" s="59"/>
      <c r="AA775" s="60"/>
    </row>
    <row r="776">
      <c r="A776" s="58"/>
      <c r="B776" s="58"/>
      <c r="C776" s="59"/>
      <c r="D776" s="60"/>
      <c r="E776" s="61"/>
      <c r="F776" s="62"/>
      <c r="G776" s="62"/>
      <c r="H776" s="62"/>
      <c r="I776" s="59"/>
      <c r="J776" s="60"/>
      <c r="K776" s="59"/>
      <c r="L776" s="60"/>
      <c r="M776" s="59"/>
      <c r="N776" s="63"/>
      <c r="O776" s="60"/>
      <c r="P776" s="60"/>
      <c r="Q776" s="60"/>
      <c r="R776" s="60"/>
      <c r="S776" s="60"/>
      <c r="T776" s="60"/>
      <c r="U776" s="60"/>
      <c r="V776" s="64"/>
      <c r="W776" s="60"/>
      <c r="X776" s="59"/>
      <c r="Y776" s="60"/>
      <c r="Z776" s="59"/>
      <c r="AA776" s="60"/>
    </row>
    <row r="777">
      <c r="A777" s="58"/>
      <c r="B777" s="58"/>
      <c r="C777" s="59"/>
      <c r="D777" s="60"/>
      <c r="E777" s="61"/>
      <c r="F777" s="62"/>
      <c r="G777" s="62"/>
      <c r="H777" s="62"/>
      <c r="I777" s="59"/>
      <c r="J777" s="60"/>
      <c r="K777" s="59"/>
      <c r="L777" s="60"/>
      <c r="M777" s="59"/>
      <c r="N777" s="63"/>
      <c r="O777" s="60"/>
      <c r="P777" s="60"/>
      <c r="Q777" s="60"/>
      <c r="R777" s="60"/>
      <c r="S777" s="60"/>
      <c r="T777" s="60"/>
      <c r="U777" s="60"/>
      <c r="V777" s="64"/>
      <c r="W777" s="60"/>
      <c r="X777" s="59"/>
      <c r="Y777" s="60"/>
      <c r="Z777" s="59"/>
      <c r="AA777" s="60"/>
    </row>
    <row r="778">
      <c r="A778" s="58"/>
      <c r="B778" s="58"/>
      <c r="C778" s="59"/>
      <c r="D778" s="60"/>
      <c r="E778" s="61"/>
      <c r="F778" s="62"/>
      <c r="G778" s="62"/>
      <c r="H778" s="62"/>
      <c r="I778" s="59"/>
      <c r="J778" s="60"/>
      <c r="K778" s="59"/>
      <c r="L778" s="60"/>
      <c r="M778" s="59"/>
      <c r="N778" s="63"/>
      <c r="O778" s="60"/>
      <c r="P778" s="60"/>
      <c r="Q778" s="60"/>
      <c r="R778" s="60"/>
      <c r="S778" s="60"/>
      <c r="T778" s="60"/>
      <c r="U778" s="60"/>
      <c r="V778" s="64"/>
      <c r="W778" s="60"/>
      <c r="X778" s="59"/>
      <c r="Y778" s="60"/>
      <c r="Z778" s="59"/>
      <c r="AA778" s="60"/>
    </row>
    <row r="779">
      <c r="A779" s="58"/>
      <c r="B779" s="58"/>
      <c r="C779" s="59"/>
      <c r="D779" s="60"/>
      <c r="E779" s="61"/>
      <c r="F779" s="62"/>
      <c r="G779" s="62"/>
      <c r="H779" s="62"/>
      <c r="I779" s="59"/>
      <c r="J779" s="60"/>
      <c r="K779" s="59"/>
      <c r="L779" s="60"/>
      <c r="M779" s="59"/>
      <c r="N779" s="63"/>
      <c r="O779" s="60"/>
      <c r="P779" s="60"/>
      <c r="Q779" s="60"/>
      <c r="R779" s="60"/>
      <c r="S779" s="60"/>
      <c r="T779" s="60"/>
      <c r="U779" s="60"/>
      <c r="V779" s="64"/>
      <c r="W779" s="60"/>
      <c r="X779" s="59"/>
      <c r="Y779" s="60"/>
      <c r="Z779" s="59"/>
      <c r="AA779" s="60"/>
    </row>
    <row r="780">
      <c r="A780" s="58"/>
      <c r="B780" s="58"/>
      <c r="C780" s="59"/>
      <c r="D780" s="60"/>
      <c r="E780" s="61"/>
      <c r="F780" s="62"/>
      <c r="G780" s="62"/>
      <c r="H780" s="62"/>
      <c r="I780" s="59"/>
      <c r="J780" s="60"/>
      <c r="K780" s="59"/>
      <c r="L780" s="60"/>
      <c r="M780" s="59"/>
      <c r="N780" s="63"/>
      <c r="O780" s="60"/>
      <c r="P780" s="60"/>
      <c r="Q780" s="60"/>
      <c r="R780" s="60"/>
      <c r="S780" s="60"/>
      <c r="T780" s="60"/>
      <c r="U780" s="60"/>
      <c r="V780" s="64"/>
      <c r="W780" s="60"/>
      <c r="X780" s="59"/>
      <c r="Y780" s="60"/>
      <c r="Z780" s="59"/>
      <c r="AA780" s="60"/>
    </row>
    <row r="781">
      <c r="A781" s="58"/>
      <c r="B781" s="58"/>
      <c r="C781" s="59"/>
      <c r="D781" s="60"/>
      <c r="E781" s="61"/>
      <c r="F781" s="62"/>
      <c r="G781" s="62"/>
      <c r="H781" s="62"/>
      <c r="I781" s="59"/>
      <c r="J781" s="60"/>
      <c r="K781" s="59"/>
      <c r="L781" s="60"/>
      <c r="M781" s="59"/>
      <c r="N781" s="63"/>
      <c r="O781" s="60"/>
      <c r="P781" s="60"/>
      <c r="Q781" s="60"/>
      <c r="R781" s="60"/>
      <c r="S781" s="60"/>
      <c r="T781" s="60"/>
      <c r="U781" s="60"/>
      <c r="V781" s="64"/>
      <c r="W781" s="60"/>
      <c r="X781" s="59"/>
      <c r="Y781" s="60"/>
      <c r="Z781" s="59"/>
      <c r="AA781" s="60"/>
    </row>
    <row r="782">
      <c r="A782" s="58"/>
      <c r="B782" s="58"/>
      <c r="C782" s="59"/>
      <c r="D782" s="60"/>
      <c r="E782" s="61"/>
      <c r="F782" s="62"/>
      <c r="G782" s="62"/>
      <c r="H782" s="62"/>
      <c r="I782" s="59"/>
      <c r="J782" s="60"/>
      <c r="K782" s="59"/>
      <c r="L782" s="60"/>
      <c r="M782" s="59"/>
      <c r="N782" s="63"/>
      <c r="O782" s="60"/>
      <c r="P782" s="60"/>
      <c r="Q782" s="60"/>
      <c r="R782" s="60"/>
      <c r="S782" s="60"/>
      <c r="T782" s="60"/>
      <c r="U782" s="60"/>
      <c r="V782" s="64"/>
      <c r="W782" s="60"/>
      <c r="X782" s="59"/>
      <c r="Y782" s="60"/>
      <c r="Z782" s="59"/>
      <c r="AA782" s="60"/>
    </row>
    <row r="783">
      <c r="A783" s="58"/>
      <c r="B783" s="58"/>
      <c r="C783" s="59"/>
      <c r="D783" s="60"/>
      <c r="E783" s="61"/>
      <c r="F783" s="62"/>
      <c r="G783" s="62"/>
      <c r="H783" s="62"/>
      <c r="I783" s="59"/>
      <c r="J783" s="60"/>
      <c r="K783" s="59"/>
      <c r="L783" s="60"/>
      <c r="M783" s="59"/>
      <c r="N783" s="63"/>
      <c r="O783" s="60"/>
      <c r="P783" s="60"/>
      <c r="Q783" s="60"/>
      <c r="R783" s="60"/>
      <c r="S783" s="60"/>
      <c r="T783" s="60"/>
      <c r="U783" s="60"/>
      <c r="V783" s="64"/>
      <c r="W783" s="60"/>
      <c r="X783" s="59"/>
      <c r="Y783" s="60"/>
      <c r="Z783" s="59"/>
      <c r="AA783" s="60"/>
    </row>
    <row r="784">
      <c r="A784" s="58"/>
      <c r="B784" s="58"/>
      <c r="C784" s="59"/>
      <c r="D784" s="60"/>
      <c r="E784" s="61"/>
      <c r="F784" s="62"/>
      <c r="G784" s="62"/>
      <c r="H784" s="62"/>
      <c r="I784" s="59"/>
      <c r="J784" s="60"/>
      <c r="K784" s="59"/>
      <c r="L784" s="60"/>
      <c r="M784" s="59"/>
      <c r="N784" s="63"/>
      <c r="O784" s="60"/>
      <c r="P784" s="60"/>
      <c r="Q784" s="60"/>
      <c r="R784" s="60"/>
      <c r="S784" s="60"/>
      <c r="T784" s="60"/>
      <c r="U784" s="60"/>
      <c r="V784" s="64"/>
      <c r="W784" s="60"/>
      <c r="X784" s="59"/>
      <c r="Y784" s="60"/>
      <c r="Z784" s="59"/>
      <c r="AA784" s="60"/>
    </row>
    <row r="785">
      <c r="A785" s="58"/>
      <c r="B785" s="58"/>
      <c r="C785" s="59"/>
      <c r="D785" s="60"/>
      <c r="E785" s="61"/>
      <c r="F785" s="62"/>
      <c r="G785" s="62"/>
      <c r="H785" s="62"/>
      <c r="I785" s="59"/>
      <c r="J785" s="60"/>
      <c r="K785" s="59"/>
      <c r="L785" s="60"/>
      <c r="M785" s="59"/>
      <c r="N785" s="63"/>
      <c r="O785" s="60"/>
      <c r="P785" s="60"/>
      <c r="Q785" s="60"/>
      <c r="R785" s="60"/>
      <c r="S785" s="60"/>
      <c r="T785" s="60"/>
      <c r="U785" s="60"/>
      <c r="V785" s="64"/>
      <c r="W785" s="60"/>
      <c r="X785" s="59"/>
      <c r="Y785" s="60"/>
      <c r="Z785" s="59"/>
      <c r="AA785" s="60"/>
    </row>
    <row r="786">
      <c r="A786" s="58"/>
      <c r="B786" s="58"/>
      <c r="C786" s="59"/>
      <c r="D786" s="60"/>
      <c r="E786" s="61"/>
      <c r="F786" s="62"/>
      <c r="G786" s="62"/>
      <c r="H786" s="62"/>
      <c r="I786" s="59"/>
      <c r="J786" s="60"/>
      <c r="K786" s="59"/>
      <c r="L786" s="60"/>
      <c r="M786" s="59"/>
      <c r="N786" s="63"/>
      <c r="O786" s="60"/>
      <c r="P786" s="60"/>
      <c r="Q786" s="60"/>
      <c r="R786" s="60"/>
      <c r="S786" s="60"/>
      <c r="T786" s="60"/>
      <c r="U786" s="60"/>
      <c r="V786" s="64"/>
      <c r="W786" s="60"/>
      <c r="X786" s="59"/>
      <c r="Y786" s="60"/>
      <c r="Z786" s="59"/>
      <c r="AA786" s="60"/>
    </row>
    <row r="787">
      <c r="A787" s="58"/>
      <c r="B787" s="58"/>
      <c r="C787" s="59"/>
      <c r="D787" s="60"/>
      <c r="E787" s="61"/>
      <c r="F787" s="62"/>
      <c r="G787" s="62"/>
      <c r="H787" s="62"/>
      <c r="I787" s="59"/>
      <c r="J787" s="60"/>
      <c r="K787" s="59"/>
      <c r="L787" s="60"/>
      <c r="M787" s="59"/>
      <c r="N787" s="63"/>
      <c r="O787" s="60"/>
      <c r="P787" s="60"/>
      <c r="Q787" s="60"/>
      <c r="R787" s="60"/>
      <c r="S787" s="60"/>
      <c r="T787" s="60"/>
      <c r="U787" s="60"/>
      <c r="V787" s="64"/>
      <c r="W787" s="60"/>
      <c r="X787" s="59"/>
      <c r="Y787" s="60"/>
      <c r="Z787" s="59"/>
      <c r="AA787" s="60"/>
    </row>
    <row r="788">
      <c r="A788" s="58"/>
      <c r="B788" s="58"/>
      <c r="C788" s="59"/>
      <c r="D788" s="60"/>
      <c r="E788" s="61"/>
      <c r="F788" s="62"/>
      <c r="G788" s="62"/>
      <c r="H788" s="62"/>
      <c r="I788" s="59"/>
      <c r="J788" s="60"/>
      <c r="K788" s="59"/>
      <c r="L788" s="60"/>
      <c r="M788" s="59"/>
      <c r="N788" s="63"/>
      <c r="O788" s="60"/>
      <c r="P788" s="60"/>
      <c r="Q788" s="60"/>
      <c r="R788" s="60"/>
      <c r="S788" s="60"/>
      <c r="T788" s="60"/>
      <c r="U788" s="60"/>
      <c r="V788" s="64"/>
      <c r="W788" s="60"/>
      <c r="X788" s="59"/>
      <c r="Y788" s="60"/>
      <c r="Z788" s="59"/>
      <c r="AA788" s="60"/>
    </row>
    <row r="789">
      <c r="A789" s="58"/>
      <c r="B789" s="58"/>
      <c r="C789" s="59"/>
      <c r="D789" s="60"/>
      <c r="E789" s="61"/>
      <c r="F789" s="62"/>
      <c r="G789" s="62"/>
      <c r="H789" s="62"/>
      <c r="I789" s="59"/>
      <c r="J789" s="60"/>
      <c r="K789" s="59"/>
      <c r="L789" s="60"/>
      <c r="M789" s="59"/>
      <c r="N789" s="63"/>
      <c r="O789" s="60"/>
      <c r="P789" s="60"/>
      <c r="Q789" s="60"/>
      <c r="R789" s="60"/>
      <c r="S789" s="60"/>
      <c r="T789" s="60"/>
      <c r="U789" s="60"/>
      <c r="V789" s="64"/>
      <c r="W789" s="60"/>
      <c r="X789" s="59"/>
      <c r="Y789" s="60"/>
      <c r="Z789" s="59"/>
      <c r="AA789" s="60"/>
    </row>
    <row r="790">
      <c r="A790" s="58"/>
      <c r="B790" s="58"/>
      <c r="C790" s="59"/>
      <c r="D790" s="60"/>
      <c r="E790" s="61"/>
      <c r="F790" s="62"/>
      <c r="G790" s="62"/>
      <c r="H790" s="62"/>
      <c r="I790" s="59"/>
      <c r="J790" s="60"/>
      <c r="K790" s="59"/>
      <c r="L790" s="60"/>
      <c r="M790" s="59"/>
      <c r="N790" s="63"/>
      <c r="O790" s="60"/>
      <c r="P790" s="60"/>
      <c r="Q790" s="60"/>
      <c r="R790" s="60"/>
      <c r="S790" s="60"/>
      <c r="T790" s="60"/>
      <c r="U790" s="60"/>
      <c r="V790" s="64"/>
      <c r="W790" s="60"/>
      <c r="X790" s="59"/>
      <c r="Y790" s="60"/>
      <c r="Z790" s="59"/>
      <c r="AA790" s="60"/>
    </row>
    <row r="791">
      <c r="A791" s="58"/>
      <c r="B791" s="58"/>
      <c r="C791" s="59"/>
      <c r="D791" s="60"/>
      <c r="E791" s="61"/>
      <c r="F791" s="62"/>
      <c r="G791" s="62"/>
      <c r="H791" s="62"/>
      <c r="I791" s="59"/>
      <c r="J791" s="60"/>
      <c r="K791" s="59"/>
      <c r="L791" s="60"/>
      <c r="M791" s="59"/>
      <c r="N791" s="63"/>
      <c r="O791" s="60"/>
      <c r="P791" s="60"/>
      <c r="Q791" s="60"/>
      <c r="R791" s="60"/>
      <c r="S791" s="60"/>
      <c r="T791" s="60"/>
      <c r="U791" s="60"/>
      <c r="V791" s="64"/>
      <c r="W791" s="60"/>
      <c r="X791" s="59"/>
      <c r="Y791" s="60"/>
      <c r="Z791" s="59"/>
      <c r="AA791" s="60"/>
    </row>
    <row r="792">
      <c r="A792" s="58"/>
      <c r="B792" s="58"/>
      <c r="C792" s="59"/>
      <c r="D792" s="60"/>
      <c r="E792" s="61"/>
      <c r="F792" s="62"/>
      <c r="G792" s="62"/>
      <c r="H792" s="62"/>
      <c r="I792" s="59"/>
      <c r="J792" s="60"/>
      <c r="K792" s="59"/>
      <c r="L792" s="60"/>
      <c r="M792" s="59"/>
      <c r="N792" s="63"/>
      <c r="O792" s="60"/>
      <c r="P792" s="60"/>
      <c r="Q792" s="60"/>
      <c r="R792" s="60"/>
      <c r="S792" s="60"/>
      <c r="T792" s="60"/>
      <c r="U792" s="60"/>
      <c r="V792" s="64"/>
      <c r="W792" s="60"/>
      <c r="X792" s="59"/>
      <c r="Y792" s="60"/>
      <c r="Z792" s="59"/>
      <c r="AA792" s="60"/>
    </row>
    <row r="793">
      <c r="A793" s="58"/>
      <c r="B793" s="58"/>
      <c r="C793" s="59"/>
      <c r="D793" s="60"/>
      <c r="E793" s="61"/>
      <c r="F793" s="62"/>
      <c r="G793" s="62"/>
      <c r="H793" s="62"/>
      <c r="I793" s="59"/>
      <c r="J793" s="60"/>
      <c r="K793" s="59"/>
      <c r="L793" s="60"/>
      <c r="M793" s="59"/>
      <c r="N793" s="63"/>
      <c r="O793" s="60"/>
      <c r="P793" s="60"/>
      <c r="Q793" s="60"/>
      <c r="R793" s="60"/>
      <c r="S793" s="60"/>
      <c r="T793" s="60"/>
      <c r="U793" s="60"/>
      <c r="V793" s="64"/>
      <c r="W793" s="60"/>
      <c r="X793" s="59"/>
      <c r="Y793" s="60"/>
      <c r="Z793" s="59"/>
      <c r="AA793" s="60"/>
    </row>
    <row r="794">
      <c r="A794" s="58"/>
      <c r="B794" s="58"/>
      <c r="C794" s="59"/>
      <c r="D794" s="60"/>
      <c r="E794" s="61"/>
      <c r="F794" s="62"/>
      <c r="G794" s="62"/>
      <c r="H794" s="62"/>
      <c r="I794" s="59"/>
      <c r="J794" s="60"/>
      <c r="K794" s="59"/>
      <c r="L794" s="60"/>
      <c r="M794" s="59"/>
      <c r="N794" s="63"/>
      <c r="O794" s="60"/>
      <c r="P794" s="60"/>
      <c r="Q794" s="60"/>
      <c r="R794" s="60"/>
      <c r="S794" s="60"/>
      <c r="T794" s="60"/>
      <c r="U794" s="60"/>
      <c r="V794" s="64"/>
      <c r="W794" s="60"/>
      <c r="X794" s="59"/>
      <c r="Y794" s="60"/>
      <c r="Z794" s="59"/>
      <c r="AA794" s="60"/>
    </row>
    <row r="795">
      <c r="A795" s="58"/>
      <c r="B795" s="58"/>
      <c r="C795" s="59"/>
      <c r="D795" s="60"/>
      <c r="E795" s="61"/>
      <c r="F795" s="62"/>
      <c r="G795" s="62"/>
      <c r="H795" s="62"/>
      <c r="I795" s="59"/>
      <c r="J795" s="60"/>
      <c r="K795" s="59"/>
      <c r="L795" s="60"/>
      <c r="M795" s="59"/>
      <c r="N795" s="63"/>
      <c r="O795" s="60"/>
      <c r="P795" s="60"/>
      <c r="Q795" s="60"/>
      <c r="R795" s="60"/>
      <c r="S795" s="60"/>
      <c r="T795" s="60"/>
      <c r="U795" s="60"/>
      <c r="V795" s="64"/>
      <c r="W795" s="60"/>
      <c r="X795" s="59"/>
      <c r="Y795" s="60"/>
      <c r="Z795" s="59"/>
      <c r="AA795" s="60"/>
    </row>
    <row r="796">
      <c r="A796" s="58"/>
      <c r="B796" s="58"/>
      <c r="C796" s="59"/>
      <c r="D796" s="60"/>
      <c r="E796" s="61"/>
      <c r="F796" s="62"/>
      <c r="G796" s="62"/>
      <c r="H796" s="62"/>
      <c r="I796" s="59"/>
      <c r="J796" s="60"/>
      <c r="K796" s="59"/>
      <c r="L796" s="60"/>
      <c r="M796" s="59"/>
      <c r="N796" s="63"/>
      <c r="O796" s="60"/>
      <c r="P796" s="60"/>
      <c r="Q796" s="60"/>
      <c r="R796" s="60"/>
      <c r="S796" s="60"/>
      <c r="T796" s="60"/>
      <c r="U796" s="60"/>
      <c r="V796" s="64"/>
      <c r="W796" s="60"/>
      <c r="X796" s="59"/>
      <c r="Y796" s="60"/>
      <c r="Z796" s="59"/>
      <c r="AA796" s="60"/>
    </row>
    <row r="797">
      <c r="A797" s="58"/>
      <c r="B797" s="58"/>
      <c r="C797" s="59"/>
      <c r="D797" s="60"/>
      <c r="E797" s="61"/>
      <c r="F797" s="62"/>
      <c r="G797" s="62"/>
      <c r="H797" s="62"/>
      <c r="I797" s="59"/>
      <c r="J797" s="60"/>
      <c r="K797" s="59"/>
      <c r="L797" s="60"/>
      <c r="M797" s="59"/>
      <c r="N797" s="63"/>
      <c r="O797" s="60"/>
      <c r="P797" s="60"/>
      <c r="Q797" s="60"/>
      <c r="R797" s="60"/>
      <c r="S797" s="60"/>
      <c r="T797" s="60"/>
      <c r="U797" s="60"/>
      <c r="V797" s="64"/>
      <c r="W797" s="60"/>
      <c r="X797" s="59"/>
      <c r="Y797" s="60"/>
      <c r="Z797" s="59"/>
      <c r="AA797" s="60"/>
    </row>
    <row r="798">
      <c r="A798" s="58"/>
      <c r="B798" s="58"/>
      <c r="C798" s="59"/>
      <c r="D798" s="60"/>
      <c r="E798" s="61"/>
      <c r="F798" s="62"/>
      <c r="G798" s="62"/>
      <c r="H798" s="62"/>
      <c r="I798" s="59"/>
      <c r="J798" s="60"/>
      <c r="K798" s="59"/>
      <c r="L798" s="60"/>
      <c r="M798" s="59"/>
      <c r="N798" s="63"/>
      <c r="O798" s="60"/>
      <c r="P798" s="60"/>
      <c r="Q798" s="60"/>
      <c r="R798" s="60"/>
      <c r="S798" s="60"/>
      <c r="T798" s="60"/>
      <c r="U798" s="60"/>
      <c r="V798" s="64"/>
      <c r="W798" s="60"/>
      <c r="X798" s="59"/>
      <c r="Y798" s="60"/>
      <c r="Z798" s="59"/>
      <c r="AA798" s="60"/>
    </row>
    <row r="799">
      <c r="A799" s="58"/>
      <c r="B799" s="58"/>
      <c r="C799" s="59"/>
      <c r="D799" s="60"/>
      <c r="E799" s="61"/>
      <c r="F799" s="62"/>
      <c r="G799" s="62"/>
      <c r="H799" s="62"/>
      <c r="I799" s="59"/>
      <c r="J799" s="60"/>
      <c r="K799" s="59"/>
      <c r="L799" s="60"/>
      <c r="M799" s="59"/>
      <c r="N799" s="63"/>
      <c r="O799" s="60"/>
      <c r="P799" s="60"/>
      <c r="Q799" s="60"/>
      <c r="R799" s="60"/>
      <c r="S799" s="60"/>
      <c r="T799" s="60"/>
      <c r="U799" s="60"/>
      <c r="V799" s="64"/>
      <c r="W799" s="60"/>
      <c r="X799" s="59"/>
      <c r="Y799" s="60"/>
      <c r="Z799" s="59"/>
      <c r="AA799" s="60"/>
    </row>
    <row r="800">
      <c r="A800" s="58"/>
      <c r="B800" s="58"/>
      <c r="C800" s="59"/>
      <c r="D800" s="60"/>
      <c r="E800" s="61"/>
      <c r="F800" s="62"/>
      <c r="G800" s="62"/>
      <c r="H800" s="62"/>
      <c r="I800" s="59"/>
      <c r="J800" s="60"/>
      <c r="K800" s="59"/>
      <c r="L800" s="60"/>
      <c r="M800" s="59"/>
      <c r="N800" s="63"/>
      <c r="O800" s="60"/>
      <c r="P800" s="60"/>
      <c r="Q800" s="60"/>
      <c r="R800" s="60"/>
      <c r="S800" s="60"/>
      <c r="T800" s="60"/>
      <c r="U800" s="60"/>
      <c r="V800" s="64"/>
      <c r="W800" s="60"/>
      <c r="X800" s="59"/>
      <c r="Y800" s="60"/>
      <c r="Z800" s="59"/>
      <c r="AA800" s="60"/>
    </row>
    <row r="801">
      <c r="A801" s="58"/>
      <c r="B801" s="58"/>
      <c r="C801" s="59"/>
      <c r="D801" s="60"/>
      <c r="E801" s="61"/>
      <c r="F801" s="62"/>
      <c r="G801" s="62"/>
      <c r="H801" s="62"/>
      <c r="I801" s="59"/>
      <c r="J801" s="60"/>
      <c r="K801" s="59"/>
      <c r="L801" s="60"/>
      <c r="M801" s="59"/>
      <c r="N801" s="63"/>
      <c r="O801" s="60"/>
      <c r="P801" s="60"/>
      <c r="Q801" s="60"/>
      <c r="R801" s="60"/>
      <c r="S801" s="60"/>
      <c r="T801" s="60"/>
      <c r="U801" s="60"/>
      <c r="V801" s="64"/>
      <c r="W801" s="60"/>
      <c r="X801" s="59"/>
      <c r="Y801" s="60"/>
      <c r="Z801" s="59"/>
      <c r="AA801" s="60"/>
    </row>
    <row r="802">
      <c r="A802" s="58"/>
      <c r="B802" s="58"/>
      <c r="C802" s="59"/>
      <c r="D802" s="60"/>
      <c r="E802" s="61"/>
      <c r="F802" s="62"/>
      <c r="G802" s="62"/>
      <c r="H802" s="62"/>
      <c r="I802" s="59"/>
      <c r="J802" s="60"/>
      <c r="K802" s="59"/>
      <c r="L802" s="60"/>
      <c r="M802" s="59"/>
      <c r="N802" s="63"/>
      <c r="O802" s="60"/>
      <c r="P802" s="60"/>
      <c r="Q802" s="60"/>
      <c r="R802" s="60"/>
      <c r="S802" s="60"/>
      <c r="T802" s="60"/>
      <c r="U802" s="60"/>
      <c r="V802" s="64"/>
      <c r="W802" s="60"/>
      <c r="X802" s="59"/>
      <c r="Y802" s="60"/>
      <c r="Z802" s="59"/>
      <c r="AA802" s="60"/>
    </row>
    <row r="803">
      <c r="A803" s="58"/>
      <c r="B803" s="58"/>
      <c r="C803" s="59"/>
      <c r="D803" s="60"/>
      <c r="E803" s="61"/>
      <c r="F803" s="62"/>
      <c r="G803" s="62"/>
      <c r="H803" s="62"/>
      <c r="I803" s="59"/>
      <c r="J803" s="60"/>
      <c r="K803" s="59"/>
      <c r="L803" s="60"/>
      <c r="M803" s="59"/>
      <c r="N803" s="63"/>
      <c r="O803" s="60"/>
      <c r="P803" s="60"/>
      <c r="Q803" s="60"/>
      <c r="R803" s="60"/>
      <c r="S803" s="60"/>
      <c r="T803" s="60"/>
      <c r="U803" s="60"/>
      <c r="V803" s="64"/>
      <c r="W803" s="60"/>
      <c r="X803" s="59"/>
      <c r="Y803" s="60"/>
      <c r="Z803" s="59"/>
      <c r="AA803" s="60"/>
    </row>
    <row r="804">
      <c r="A804" s="58"/>
      <c r="B804" s="58"/>
      <c r="C804" s="59"/>
      <c r="D804" s="60"/>
      <c r="E804" s="61"/>
      <c r="F804" s="62"/>
      <c r="G804" s="62"/>
      <c r="H804" s="62"/>
      <c r="I804" s="59"/>
      <c r="J804" s="60"/>
      <c r="K804" s="59"/>
      <c r="L804" s="60"/>
      <c r="M804" s="59"/>
      <c r="N804" s="63"/>
      <c r="O804" s="60"/>
      <c r="P804" s="60"/>
      <c r="Q804" s="60"/>
      <c r="R804" s="60"/>
      <c r="S804" s="60"/>
      <c r="T804" s="60"/>
      <c r="U804" s="60"/>
      <c r="V804" s="64"/>
      <c r="W804" s="60"/>
      <c r="X804" s="59"/>
      <c r="Y804" s="60"/>
      <c r="Z804" s="59"/>
      <c r="AA804" s="60"/>
    </row>
    <row r="805">
      <c r="A805" s="58"/>
      <c r="B805" s="58"/>
      <c r="C805" s="59"/>
      <c r="D805" s="60"/>
      <c r="E805" s="61"/>
      <c r="F805" s="62"/>
      <c r="G805" s="62"/>
      <c r="H805" s="62"/>
      <c r="I805" s="59"/>
      <c r="J805" s="60"/>
      <c r="K805" s="59"/>
      <c r="L805" s="60"/>
      <c r="M805" s="59"/>
      <c r="N805" s="63"/>
      <c r="O805" s="60"/>
      <c r="P805" s="60"/>
      <c r="Q805" s="60"/>
      <c r="R805" s="60"/>
      <c r="S805" s="60"/>
      <c r="T805" s="60"/>
      <c r="U805" s="60"/>
      <c r="V805" s="64"/>
      <c r="W805" s="60"/>
      <c r="X805" s="59"/>
      <c r="Y805" s="60"/>
      <c r="Z805" s="59"/>
      <c r="AA805" s="60"/>
    </row>
    <row r="806">
      <c r="A806" s="58"/>
      <c r="B806" s="58"/>
      <c r="C806" s="59"/>
      <c r="D806" s="60"/>
      <c r="E806" s="61"/>
      <c r="F806" s="62"/>
      <c r="G806" s="62"/>
      <c r="H806" s="62"/>
      <c r="I806" s="59"/>
      <c r="J806" s="60"/>
      <c r="K806" s="59"/>
      <c r="L806" s="60"/>
      <c r="M806" s="59"/>
      <c r="N806" s="63"/>
      <c r="O806" s="60"/>
      <c r="P806" s="60"/>
      <c r="Q806" s="60"/>
      <c r="R806" s="60"/>
      <c r="S806" s="60"/>
      <c r="T806" s="60"/>
      <c r="U806" s="60"/>
      <c r="V806" s="64"/>
      <c r="W806" s="60"/>
      <c r="X806" s="59"/>
      <c r="Y806" s="60"/>
      <c r="Z806" s="59"/>
      <c r="AA806" s="60"/>
    </row>
    <row r="807">
      <c r="A807" s="58"/>
      <c r="B807" s="58"/>
      <c r="C807" s="59"/>
      <c r="D807" s="60"/>
      <c r="E807" s="61"/>
      <c r="F807" s="62"/>
      <c r="G807" s="62"/>
      <c r="H807" s="62"/>
      <c r="I807" s="59"/>
      <c r="J807" s="60"/>
      <c r="K807" s="59"/>
      <c r="L807" s="60"/>
      <c r="M807" s="59"/>
      <c r="N807" s="63"/>
      <c r="O807" s="60"/>
      <c r="P807" s="60"/>
      <c r="Q807" s="60"/>
      <c r="R807" s="60"/>
      <c r="S807" s="60"/>
      <c r="T807" s="60"/>
      <c r="U807" s="60"/>
      <c r="V807" s="64"/>
      <c r="W807" s="60"/>
      <c r="X807" s="59"/>
      <c r="Y807" s="60"/>
      <c r="Z807" s="59"/>
      <c r="AA807" s="60"/>
    </row>
    <row r="808">
      <c r="A808" s="58"/>
      <c r="B808" s="58"/>
      <c r="C808" s="59"/>
      <c r="D808" s="60"/>
      <c r="E808" s="61"/>
      <c r="F808" s="62"/>
      <c r="G808" s="62"/>
      <c r="H808" s="62"/>
      <c r="I808" s="59"/>
      <c r="J808" s="60"/>
      <c r="K808" s="59"/>
      <c r="L808" s="60"/>
      <c r="M808" s="59"/>
      <c r="N808" s="63"/>
      <c r="O808" s="60"/>
      <c r="P808" s="60"/>
      <c r="Q808" s="60"/>
      <c r="R808" s="60"/>
      <c r="S808" s="60"/>
      <c r="T808" s="60"/>
      <c r="U808" s="60"/>
      <c r="V808" s="64"/>
      <c r="W808" s="60"/>
      <c r="X808" s="59"/>
      <c r="Y808" s="60"/>
      <c r="Z808" s="59"/>
      <c r="AA808" s="60"/>
    </row>
    <row r="809">
      <c r="A809" s="58"/>
      <c r="B809" s="58"/>
      <c r="C809" s="59"/>
      <c r="D809" s="60"/>
      <c r="E809" s="61"/>
      <c r="F809" s="62"/>
      <c r="G809" s="62"/>
      <c r="H809" s="62"/>
      <c r="I809" s="59"/>
      <c r="J809" s="60"/>
      <c r="K809" s="59"/>
      <c r="L809" s="60"/>
      <c r="M809" s="59"/>
      <c r="N809" s="63"/>
      <c r="O809" s="60"/>
      <c r="P809" s="60"/>
      <c r="Q809" s="60"/>
      <c r="R809" s="60"/>
      <c r="S809" s="60"/>
      <c r="T809" s="60"/>
      <c r="U809" s="60"/>
      <c r="V809" s="64"/>
      <c r="W809" s="60"/>
      <c r="X809" s="59"/>
      <c r="Y809" s="60"/>
      <c r="Z809" s="59"/>
      <c r="AA809" s="60"/>
    </row>
    <row r="810">
      <c r="A810" s="58"/>
      <c r="B810" s="58"/>
      <c r="C810" s="59"/>
      <c r="D810" s="60"/>
      <c r="E810" s="61"/>
      <c r="F810" s="62"/>
      <c r="G810" s="62"/>
      <c r="H810" s="62"/>
      <c r="I810" s="59"/>
      <c r="J810" s="60"/>
      <c r="K810" s="59"/>
      <c r="L810" s="60"/>
      <c r="M810" s="59"/>
      <c r="N810" s="63"/>
      <c r="O810" s="60"/>
      <c r="P810" s="60"/>
      <c r="Q810" s="60"/>
      <c r="R810" s="60"/>
      <c r="S810" s="60"/>
      <c r="T810" s="60"/>
      <c r="U810" s="60"/>
      <c r="V810" s="64"/>
      <c r="W810" s="60"/>
      <c r="X810" s="59"/>
      <c r="Y810" s="60"/>
      <c r="Z810" s="59"/>
      <c r="AA810" s="60"/>
    </row>
    <row r="811">
      <c r="A811" s="58"/>
      <c r="B811" s="58"/>
      <c r="C811" s="59"/>
      <c r="D811" s="60"/>
      <c r="E811" s="61"/>
      <c r="F811" s="62"/>
      <c r="G811" s="62"/>
      <c r="H811" s="62"/>
      <c r="I811" s="59"/>
      <c r="J811" s="60"/>
      <c r="K811" s="59"/>
      <c r="L811" s="60"/>
      <c r="M811" s="59"/>
      <c r="N811" s="63"/>
      <c r="O811" s="60"/>
      <c r="P811" s="60"/>
      <c r="Q811" s="60"/>
      <c r="R811" s="60"/>
      <c r="S811" s="60"/>
      <c r="T811" s="60"/>
      <c r="U811" s="60"/>
      <c r="V811" s="64"/>
      <c r="W811" s="60"/>
      <c r="X811" s="59"/>
      <c r="Y811" s="60"/>
      <c r="Z811" s="59"/>
      <c r="AA811" s="60"/>
    </row>
    <row r="812">
      <c r="A812" s="58"/>
      <c r="B812" s="58"/>
      <c r="C812" s="59"/>
      <c r="D812" s="60"/>
      <c r="E812" s="61"/>
      <c r="F812" s="62"/>
      <c r="G812" s="62"/>
      <c r="H812" s="62"/>
      <c r="I812" s="59"/>
      <c r="J812" s="60"/>
      <c r="K812" s="59"/>
      <c r="L812" s="60"/>
      <c r="M812" s="59"/>
      <c r="N812" s="63"/>
      <c r="O812" s="60"/>
      <c r="P812" s="60"/>
      <c r="Q812" s="60"/>
      <c r="R812" s="60"/>
      <c r="S812" s="60"/>
      <c r="T812" s="60"/>
      <c r="U812" s="60"/>
      <c r="V812" s="64"/>
      <c r="W812" s="60"/>
      <c r="X812" s="59"/>
      <c r="Y812" s="60"/>
      <c r="Z812" s="59"/>
      <c r="AA812" s="60"/>
    </row>
    <row r="813">
      <c r="A813" s="58"/>
      <c r="B813" s="58"/>
      <c r="C813" s="59"/>
      <c r="D813" s="60"/>
      <c r="E813" s="61"/>
      <c r="F813" s="62"/>
      <c r="G813" s="62"/>
      <c r="H813" s="62"/>
      <c r="I813" s="59"/>
      <c r="J813" s="60"/>
      <c r="K813" s="59"/>
      <c r="L813" s="60"/>
      <c r="M813" s="59"/>
      <c r="N813" s="63"/>
      <c r="O813" s="60"/>
      <c r="P813" s="60"/>
      <c r="Q813" s="60"/>
      <c r="R813" s="60"/>
      <c r="S813" s="60"/>
      <c r="T813" s="60"/>
      <c r="U813" s="60"/>
      <c r="V813" s="64"/>
      <c r="W813" s="60"/>
      <c r="X813" s="59"/>
      <c r="Y813" s="60"/>
      <c r="Z813" s="59"/>
      <c r="AA813" s="60"/>
    </row>
    <row r="814">
      <c r="A814" s="58"/>
      <c r="B814" s="58"/>
      <c r="C814" s="59"/>
      <c r="D814" s="60"/>
      <c r="E814" s="61"/>
      <c r="F814" s="62"/>
      <c r="G814" s="62"/>
      <c r="H814" s="62"/>
      <c r="I814" s="59"/>
      <c r="J814" s="60"/>
      <c r="K814" s="59"/>
      <c r="L814" s="60"/>
      <c r="M814" s="59"/>
      <c r="N814" s="63"/>
      <c r="O814" s="60"/>
      <c r="P814" s="60"/>
      <c r="Q814" s="60"/>
      <c r="R814" s="60"/>
      <c r="S814" s="60"/>
      <c r="T814" s="60"/>
      <c r="U814" s="60"/>
      <c r="V814" s="64"/>
      <c r="W814" s="60"/>
      <c r="X814" s="59"/>
      <c r="Y814" s="60"/>
      <c r="Z814" s="59"/>
      <c r="AA814" s="60"/>
    </row>
    <row r="815">
      <c r="A815" s="58"/>
      <c r="B815" s="58"/>
      <c r="C815" s="59"/>
      <c r="D815" s="60"/>
      <c r="E815" s="61"/>
      <c r="F815" s="62"/>
      <c r="G815" s="62"/>
      <c r="H815" s="62"/>
      <c r="I815" s="59"/>
      <c r="J815" s="60"/>
      <c r="K815" s="59"/>
      <c r="L815" s="60"/>
      <c r="M815" s="59"/>
      <c r="N815" s="63"/>
      <c r="O815" s="60"/>
      <c r="P815" s="60"/>
      <c r="Q815" s="60"/>
      <c r="R815" s="60"/>
      <c r="S815" s="60"/>
      <c r="T815" s="60"/>
      <c r="U815" s="60"/>
      <c r="V815" s="64"/>
      <c r="W815" s="60"/>
      <c r="X815" s="59"/>
      <c r="Y815" s="60"/>
      <c r="Z815" s="59"/>
      <c r="AA815" s="60"/>
    </row>
    <row r="816">
      <c r="A816" s="58"/>
      <c r="B816" s="58"/>
      <c r="C816" s="59"/>
      <c r="D816" s="60"/>
      <c r="E816" s="61"/>
      <c r="F816" s="62"/>
      <c r="G816" s="62"/>
      <c r="H816" s="62"/>
      <c r="I816" s="59"/>
      <c r="J816" s="60"/>
      <c r="K816" s="59"/>
      <c r="L816" s="60"/>
      <c r="M816" s="59"/>
      <c r="N816" s="63"/>
      <c r="O816" s="60"/>
      <c r="P816" s="60"/>
      <c r="Q816" s="60"/>
      <c r="R816" s="60"/>
      <c r="S816" s="60"/>
      <c r="T816" s="60"/>
      <c r="U816" s="60"/>
      <c r="V816" s="64"/>
      <c r="W816" s="60"/>
      <c r="X816" s="59"/>
      <c r="Y816" s="60"/>
      <c r="Z816" s="59"/>
      <c r="AA816" s="60"/>
    </row>
    <row r="817">
      <c r="A817" s="58"/>
      <c r="B817" s="58"/>
      <c r="C817" s="59"/>
      <c r="D817" s="60"/>
      <c r="E817" s="61"/>
      <c r="F817" s="62"/>
      <c r="G817" s="62"/>
      <c r="H817" s="62"/>
      <c r="I817" s="59"/>
      <c r="J817" s="60"/>
      <c r="K817" s="59"/>
      <c r="L817" s="60"/>
      <c r="M817" s="59"/>
      <c r="N817" s="63"/>
      <c r="O817" s="60"/>
      <c r="P817" s="60"/>
      <c r="Q817" s="60"/>
      <c r="R817" s="60"/>
      <c r="S817" s="60"/>
      <c r="T817" s="60"/>
      <c r="U817" s="60"/>
      <c r="V817" s="64"/>
      <c r="W817" s="60"/>
      <c r="X817" s="59"/>
      <c r="Y817" s="60"/>
      <c r="Z817" s="59"/>
      <c r="AA817" s="60"/>
    </row>
    <row r="818">
      <c r="A818" s="58"/>
      <c r="B818" s="58"/>
      <c r="C818" s="59"/>
      <c r="D818" s="60"/>
      <c r="E818" s="61"/>
      <c r="F818" s="62"/>
      <c r="G818" s="62"/>
      <c r="H818" s="62"/>
      <c r="I818" s="59"/>
      <c r="J818" s="60"/>
      <c r="K818" s="59"/>
      <c r="L818" s="60"/>
      <c r="M818" s="59"/>
      <c r="N818" s="63"/>
      <c r="O818" s="60"/>
      <c r="P818" s="60"/>
      <c r="Q818" s="60"/>
      <c r="R818" s="60"/>
      <c r="S818" s="60"/>
      <c r="T818" s="60"/>
      <c r="U818" s="60"/>
      <c r="V818" s="64"/>
      <c r="W818" s="60"/>
      <c r="X818" s="59"/>
      <c r="Y818" s="60"/>
      <c r="Z818" s="59"/>
      <c r="AA818" s="60"/>
    </row>
    <row r="819">
      <c r="A819" s="58"/>
      <c r="B819" s="58"/>
      <c r="C819" s="59"/>
      <c r="D819" s="60"/>
      <c r="E819" s="61"/>
      <c r="F819" s="62"/>
      <c r="G819" s="62"/>
      <c r="H819" s="62"/>
      <c r="I819" s="59"/>
      <c r="J819" s="60"/>
      <c r="K819" s="59"/>
      <c r="L819" s="60"/>
      <c r="M819" s="59"/>
      <c r="N819" s="63"/>
      <c r="O819" s="60"/>
      <c r="P819" s="60"/>
      <c r="Q819" s="60"/>
      <c r="R819" s="60"/>
      <c r="S819" s="60"/>
      <c r="T819" s="60"/>
      <c r="U819" s="60"/>
      <c r="V819" s="64"/>
      <c r="W819" s="60"/>
      <c r="X819" s="59"/>
      <c r="Y819" s="60"/>
      <c r="Z819" s="59"/>
      <c r="AA819" s="60"/>
    </row>
    <row r="820">
      <c r="A820" s="58"/>
      <c r="B820" s="58"/>
      <c r="C820" s="59"/>
      <c r="D820" s="60"/>
      <c r="E820" s="61"/>
      <c r="F820" s="62"/>
      <c r="G820" s="62"/>
      <c r="H820" s="62"/>
      <c r="I820" s="59"/>
      <c r="J820" s="60"/>
      <c r="K820" s="59"/>
      <c r="L820" s="60"/>
      <c r="M820" s="59"/>
      <c r="N820" s="63"/>
      <c r="O820" s="60"/>
      <c r="P820" s="60"/>
      <c r="Q820" s="60"/>
      <c r="R820" s="60"/>
      <c r="S820" s="60"/>
      <c r="T820" s="60"/>
      <c r="U820" s="60"/>
      <c r="V820" s="64"/>
      <c r="W820" s="60"/>
      <c r="X820" s="59"/>
      <c r="Y820" s="60"/>
      <c r="Z820" s="59"/>
      <c r="AA820" s="60"/>
    </row>
    <row r="821">
      <c r="A821" s="58"/>
      <c r="B821" s="58"/>
      <c r="C821" s="59"/>
      <c r="D821" s="60"/>
      <c r="E821" s="61"/>
      <c r="F821" s="62"/>
      <c r="G821" s="62"/>
      <c r="H821" s="62"/>
      <c r="I821" s="59"/>
      <c r="J821" s="60"/>
      <c r="K821" s="59"/>
      <c r="L821" s="60"/>
      <c r="M821" s="59"/>
      <c r="N821" s="63"/>
      <c r="O821" s="60"/>
      <c r="P821" s="60"/>
      <c r="Q821" s="60"/>
      <c r="R821" s="60"/>
      <c r="S821" s="60"/>
      <c r="T821" s="60"/>
      <c r="U821" s="60"/>
      <c r="V821" s="64"/>
      <c r="W821" s="60"/>
      <c r="X821" s="59"/>
      <c r="Y821" s="60"/>
      <c r="Z821" s="59"/>
      <c r="AA821" s="60"/>
    </row>
    <row r="822">
      <c r="A822" s="58"/>
      <c r="B822" s="58"/>
      <c r="C822" s="59"/>
      <c r="D822" s="60"/>
      <c r="E822" s="61"/>
      <c r="F822" s="62"/>
      <c r="G822" s="62"/>
      <c r="H822" s="62"/>
      <c r="I822" s="59"/>
      <c r="J822" s="60"/>
      <c r="K822" s="59"/>
      <c r="L822" s="60"/>
      <c r="M822" s="59"/>
      <c r="N822" s="63"/>
      <c r="O822" s="60"/>
      <c r="P822" s="60"/>
      <c r="Q822" s="60"/>
      <c r="R822" s="60"/>
      <c r="S822" s="60"/>
      <c r="T822" s="60"/>
      <c r="U822" s="60"/>
      <c r="V822" s="64"/>
      <c r="W822" s="60"/>
      <c r="X822" s="59"/>
      <c r="Y822" s="60"/>
      <c r="Z822" s="59"/>
      <c r="AA822" s="60"/>
    </row>
    <row r="823">
      <c r="A823" s="58"/>
      <c r="B823" s="58"/>
      <c r="C823" s="59"/>
      <c r="D823" s="60"/>
      <c r="E823" s="61"/>
      <c r="F823" s="62"/>
      <c r="G823" s="62"/>
      <c r="H823" s="62"/>
      <c r="I823" s="59"/>
      <c r="J823" s="60"/>
      <c r="K823" s="59"/>
      <c r="L823" s="60"/>
      <c r="M823" s="59"/>
      <c r="N823" s="63"/>
      <c r="O823" s="60"/>
      <c r="P823" s="60"/>
      <c r="Q823" s="60"/>
      <c r="R823" s="60"/>
      <c r="S823" s="60"/>
      <c r="T823" s="60"/>
      <c r="U823" s="60"/>
      <c r="V823" s="64"/>
      <c r="W823" s="60"/>
      <c r="X823" s="59"/>
      <c r="Y823" s="60"/>
      <c r="Z823" s="59"/>
      <c r="AA823" s="60"/>
    </row>
    <row r="824">
      <c r="A824" s="58"/>
      <c r="B824" s="58"/>
      <c r="C824" s="59"/>
      <c r="D824" s="60"/>
      <c r="E824" s="61"/>
      <c r="F824" s="62"/>
      <c r="G824" s="62"/>
      <c r="H824" s="62"/>
      <c r="I824" s="59"/>
      <c r="J824" s="60"/>
      <c r="K824" s="59"/>
      <c r="L824" s="60"/>
      <c r="M824" s="59"/>
      <c r="N824" s="63"/>
      <c r="O824" s="60"/>
      <c r="P824" s="60"/>
      <c r="Q824" s="60"/>
      <c r="R824" s="60"/>
      <c r="S824" s="60"/>
      <c r="T824" s="60"/>
      <c r="U824" s="60"/>
      <c r="V824" s="64"/>
      <c r="W824" s="60"/>
      <c r="X824" s="59"/>
      <c r="Y824" s="60"/>
      <c r="Z824" s="59"/>
      <c r="AA824" s="60"/>
    </row>
    <row r="825">
      <c r="A825" s="58"/>
      <c r="B825" s="58"/>
      <c r="C825" s="59"/>
      <c r="D825" s="60"/>
      <c r="E825" s="61"/>
      <c r="F825" s="62"/>
      <c r="G825" s="62"/>
      <c r="H825" s="62"/>
      <c r="I825" s="59"/>
      <c r="J825" s="60"/>
      <c r="K825" s="59"/>
      <c r="L825" s="60"/>
      <c r="M825" s="59"/>
      <c r="N825" s="63"/>
      <c r="O825" s="60"/>
      <c r="P825" s="60"/>
      <c r="Q825" s="60"/>
      <c r="R825" s="60"/>
      <c r="S825" s="60"/>
      <c r="T825" s="60"/>
      <c r="U825" s="60"/>
      <c r="V825" s="64"/>
      <c r="W825" s="60"/>
      <c r="X825" s="59"/>
      <c r="Y825" s="60"/>
      <c r="Z825" s="59"/>
      <c r="AA825" s="60"/>
    </row>
    <row r="826">
      <c r="A826" s="58"/>
      <c r="B826" s="58"/>
      <c r="C826" s="59"/>
      <c r="D826" s="60"/>
      <c r="E826" s="61"/>
      <c r="F826" s="62"/>
      <c r="G826" s="62"/>
      <c r="H826" s="62"/>
      <c r="I826" s="59"/>
      <c r="J826" s="60"/>
      <c r="K826" s="59"/>
      <c r="L826" s="60"/>
      <c r="M826" s="59"/>
      <c r="N826" s="63"/>
      <c r="O826" s="60"/>
      <c r="P826" s="60"/>
      <c r="Q826" s="60"/>
      <c r="R826" s="60"/>
      <c r="S826" s="60"/>
      <c r="T826" s="60"/>
      <c r="U826" s="60"/>
      <c r="V826" s="64"/>
      <c r="W826" s="60"/>
      <c r="X826" s="59"/>
      <c r="Y826" s="60"/>
      <c r="Z826" s="59"/>
      <c r="AA826" s="60"/>
    </row>
    <row r="827">
      <c r="A827" s="58"/>
      <c r="B827" s="58"/>
      <c r="C827" s="59"/>
      <c r="D827" s="60"/>
      <c r="E827" s="61"/>
      <c r="F827" s="62"/>
      <c r="G827" s="62"/>
      <c r="H827" s="62"/>
      <c r="I827" s="59"/>
      <c r="J827" s="60"/>
      <c r="K827" s="59"/>
      <c r="L827" s="60"/>
      <c r="M827" s="59"/>
      <c r="N827" s="63"/>
      <c r="O827" s="60"/>
      <c r="P827" s="60"/>
      <c r="Q827" s="60"/>
      <c r="R827" s="60"/>
      <c r="S827" s="60"/>
      <c r="T827" s="60"/>
      <c r="U827" s="60"/>
      <c r="V827" s="64"/>
      <c r="W827" s="60"/>
      <c r="X827" s="59"/>
      <c r="Y827" s="60"/>
      <c r="Z827" s="59"/>
      <c r="AA827" s="60"/>
    </row>
    <row r="828">
      <c r="A828" s="58"/>
      <c r="B828" s="58"/>
      <c r="C828" s="59"/>
      <c r="D828" s="60"/>
      <c r="E828" s="61"/>
      <c r="F828" s="62"/>
      <c r="G828" s="62"/>
      <c r="H828" s="62"/>
      <c r="I828" s="59"/>
      <c r="J828" s="60"/>
      <c r="K828" s="59"/>
      <c r="L828" s="60"/>
      <c r="M828" s="59"/>
      <c r="N828" s="63"/>
      <c r="O828" s="60"/>
      <c r="P828" s="60"/>
      <c r="Q828" s="60"/>
      <c r="R828" s="60"/>
      <c r="S828" s="60"/>
      <c r="T828" s="60"/>
      <c r="U828" s="60"/>
      <c r="V828" s="64"/>
      <c r="W828" s="60"/>
      <c r="X828" s="59"/>
      <c r="Y828" s="60"/>
      <c r="Z828" s="59"/>
      <c r="AA828" s="60"/>
    </row>
    <row r="829">
      <c r="A829" s="58"/>
      <c r="B829" s="58"/>
      <c r="C829" s="59"/>
      <c r="D829" s="60"/>
      <c r="E829" s="61"/>
      <c r="F829" s="62"/>
      <c r="G829" s="62"/>
      <c r="H829" s="62"/>
      <c r="I829" s="59"/>
      <c r="J829" s="60"/>
      <c r="K829" s="59"/>
      <c r="L829" s="60"/>
      <c r="M829" s="59"/>
      <c r="N829" s="63"/>
      <c r="O829" s="60"/>
      <c r="P829" s="60"/>
      <c r="Q829" s="60"/>
      <c r="R829" s="60"/>
      <c r="S829" s="60"/>
      <c r="T829" s="60"/>
      <c r="U829" s="60"/>
      <c r="V829" s="64"/>
      <c r="W829" s="60"/>
      <c r="X829" s="59"/>
      <c r="Y829" s="60"/>
      <c r="Z829" s="59"/>
      <c r="AA829" s="60"/>
    </row>
    <row r="830">
      <c r="A830" s="58"/>
      <c r="B830" s="58"/>
      <c r="C830" s="59"/>
      <c r="D830" s="60"/>
      <c r="E830" s="61"/>
      <c r="F830" s="62"/>
      <c r="G830" s="62"/>
      <c r="H830" s="62"/>
      <c r="I830" s="59"/>
      <c r="J830" s="60"/>
      <c r="K830" s="59"/>
      <c r="L830" s="60"/>
      <c r="M830" s="59"/>
      <c r="N830" s="63"/>
      <c r="O830" s="60"/>
      <c r="P830" s="60"/>
      <c r="Q830" s="60"/>
      <c r="R830" s="60"/>
      <c r="S830" s="60"/>
      <c r="T830" s="60"/>
      <c r="U830" s="60"/>
      <c r="V830" s="64"/>
      <c r="W830" s="60"/>
      <c r="X830" s="59"/>
      <c r="Y830" s="60"/>
      <c r="Z830" s="59"/>
      <c r="AA830" s="60"/>
    </row>
    <row r="831">
      <c r="A831" s="58"/>
      <c r="B831" s="58"/>
      <c r="C831" s="59"/>
      <c r="D831" s="60"/>
      <c r="E831" s="61"/>
      <c r="F831" s="62"/>
      <c r="G831" s="62"/>
      <c r="H831" s="62"/>
      <c r="I831" s="59"/>
      <c r="J831" s="60"/>
      <c r="K831" s="59"/>
      <c r="L831" s="60"/>
      <c r="M831" s="59"/>
      <c r="N831" s="63"/>
      <c r="O831" s="60"/>
      <c r="P831" s="60"/>
      <c r="Q831" s="60"/>
      <c r="R831" s="60"/>
      <c r="S831" s="60"/>
      <c r="T831" s="60"/>
      <c r="U831" s="60"/>
      <c r="V831" s="64"/>
      <c r="W831" s="60"/>
      <c r="X831" s="59"/>
      <c r="Y831" s="60"/>
      <c r="Z831" s="59"/>
      <c r="AA831" s="60"/>
    </row>
    <row r="832">
      <c r="A832" s="58"/>
      <c r="B832" s="58"/>
      <c r="C832" s="59"/>
      <c r="D832" s="60"/>
      <c r="E832" s="61"/>
      <c r="F832" s="62"/>
      <c r="G832" s="62"/>
      <c r="H832" s="62"/>
      <c r="I832" s="59"/>
      <c r="J832" s="60"/>
      <c r="K832" s="59"/>
      <c r="L832" s="60"/>
      <c r="M832" s="59"/>
      <c r="N832" s="63"/>
      <c r="O832" s="60"/>
      <c r="P832" s="60"/>
      <c r="Q832" s="60"/>
      <c r="R832" s="60"/>
      <c r="S832" s="60"/>
      <c r="T832" s="60"/>
      <c r="U832" s="60"/>
      <c r="V832" s="64"/>
      <c r="W832" s="60"/>
      <c r="X832" s="59"/>
      <c r="Y832" s="60"/>
      <c r="Z832" s="59"/>
      <c r="AA832" s="60"/>
    </row>
    <row r="833">
      <c r="A833" s="58"/>
      <c r="B833" s="58"/>
      <c r="C833" s="59"/>
      <c r="D833" s="60"/>
      <c r="E833" s="61"/>
      <c r="F833" s="62"/>
      <c r="G833" s="62"/>
      <c r="H833" s="62"/>
      <c r="I833" s="59"/>
      <c r="J833" s="60"/>
      <c r="K833" s="59"/>
      <c r="L833" s="60"/>
      <c r="M833" s="59"/>
      <c r="N833" s="63"/>
      <c r="O833" s="60"/>
      <c r="P833" s="60"/>
      <c r="Q833" s="60"/>
      <c r="R833" s="60"/>
      <c r="S833" s="60"/>
      <c r="T833" s="60"/>
      <c r="U833" s="60"/>
      <c r="V833" s="64"/>
      <c r="W833" s="60"/>
      <c r="X833" s="59"/>
      <c r="Y833" s="60"/>
      <c r="Z833" s="59"/>
      <c r="AA833" s="60"/>
    </row>
    <row r="834">
      <c r="A834" s="58"/>
      <c r="B834" s="58"/>
      <c r="C834" s="59"/>
      <c r="D834" s="60"/>
      <c r="E834" s="61"/>
      <c r="F834" s="62"/>
      <c r="G834" s="62"/>
      <c r="H834" s="62"/>
      <c r="I834" s="59"/>
      <c r="J834" s="60"/>
      <c r="K834" s="59"/>
      <c r="L834" s="60"/>
      <c r="M834" s="59"/>
      <c r="N834" s="63"/>
      <c r="O834" s="60"/>
      <c r="P834" s="60"/>
      <c r="Q834" s="60"/>
      <c r="R834" s="60"/>
      <c r="S834" s="60"/>
      <c r="T834" s="60"/>
      <c r="U834" s="60"/>
      <c r="V834" s="64"/>
      <c r="W834" s="60"/>
      <c r="X834" s="59"/>
      <c r="Y834" s="60"/>
      <c r="Z834" s="59"/>
      <c r="AA834" s="60"/>
    </row>
    <row r="835">
      <c r="A835" s="58"/>
      <c r="B835" s="58"/>
      <c r="C835" s="59"/>
      <c r="D835" s="60"/>
      <c r="E835" s="61"/>
      <c r="F835" s="62"/>
      <c r="G835" s="62"/>
      <c r="H835" s="62"/>
      <c r="I835" s="59"/>
      <c r="J835" s="60"/>
      <c r="K835" s="59"/>
      <c r="L835" s="60"/>
      <c r="M835" s="59"/>
      <c r="N835" s="63"/>
      <c r="O835" s="60"/>
      <c r="P835" s="60"/>
      <c r="Q835" s="60"/>
      <c r="R835" s="60"/>
      <c r="S835" s="60"/>
      <c r="T835" s="60"/>
      <c r="U835" s="60"/>
      <c r="V835" s="64"/>
      <c r="W835" s="60"/>
      <c r="X835" s="59"/>
      <c r="Y835" s="60"/>
      <c r="Z835" s="59"/>
      <c r="AA835" s="60"/>
    </row>
    <row r="836">
      <c r="A836" s="58"/>
      <c r="B836" s="58"/>
      <c r="C836" s="59"/>
      <c r="D836" s="60"/>
      <c r="E836" s="61"/>
      <c r="F836" s="62"/>
      <c r="G836" s="62"/>
      <c r="H836" s="62"/>
      <c r="I836" s="59"/>
      <c r="J836" s="60"/>
      <c r="K836" s="59"/>
      <c r="L836" s="60"/>
      <c r="M836" s="59"/>
      <c r="N836" s="63"/>
      <c r="O836" s="60"/>
      <c r="P836" s="60"/>
      <c r="Q836" s="60"/>
      <c r="R836" s="60"/>
      <c r="S836" s="60"/>
      <c r="T836" s="60"/>
      <c r="U836" s="60"/>
      <c r="V836" s="64"/>
      <c r="W836" s="60"/>
      <c r="X836" s="59"/>
      <c r="Y836" s="60"/>
      <c r="Z836" s="59"/>
      <c r="AA836" s="60"/>
    </row>
    <row r="837">
      <c r="A837" s="58"/>
      <c r="B837" s="58"/>
      <c r="C837" s="59"/>
      <c r="D837" s="60"/>
      <c r="E837" s="61"/>
      <c r="F837" s="62"/>
      <c r="G837" s="62"/>
      <c r="H837" s="62"/>
      <c r="I837" s="59"/>
      <c r="J837" s="60"/>
      <c r="K837" s="59"/>
      <c r="L837" s="60"/>
      <c r="M837" s="59"/>
      <c r="N837" s="63"/>
      <c r="O837" s="60"/>
      <c r="P837" s="60"/>
      <c r="Q837" s="60"/>
      <c r="R837" s="60"/>
      <c r="S837" s="60"/>
      <c r="T837" s="60"/>
      <c r="U837" s="60"/>
      <c r="V837" s="64"/>
      <c r="W837" s="60"/>
      <c r="X837" s="59"/>
      <c r="Y837" s="60"/>
      <c r="Z837" s="59"/>
      <c r="AA837" s="60"/>
    </row>
    <row r="838">
      <c r="A838" s="58"/>
      <c r="B838" s="58"/>
      <c r="C838" s="59"/>
      <c r="D838" s="60"/>
      <c r="E838" s="61"/>
      <c r="F838" s="62"/>
      <c r="G838" s="62"/>
      <c r="H838" s="62"/>
      <c r="I838" s="59"/>
      <c r="J838" s="60"/>
      <c r="K838" s="59"/>
      <c r="L838" s="60"/>
      <c r="M838" s="59"/>
      <c r="N838" s="63"/>
      <c r="O838" s="60"/>
      <c r="P838" s="60"/>
      <c r="Q838" s="60"/>
      <c r="R838" s="60"/>
      <c r="S838" s="60"/>
      <c r="T838" s="60"/>
      <c r="U838" s="60"/>
      <c r="V838" s="64"/>
      <c r="W838" s="60"/>
      <c r="X838" s="59"/>
      <c r="Y838" s="60"/>
      <c r="Z838" s="59"/>
      <c r="AA838" s="60"/>
    </row>
    <row r="839">
      <c r="A839" s="58"/>
      <c r="B839" s="58"/>
      <c r="C839" s="59"/>
      <c r="D839" s="60"/>
      <c r="E839" s="61"/>
      <c r="F839" s="62"/>
      <c r="G839" s="62"/>
      <c r="H839" s="62"/>
      <c r="I839" s="59"/>
      <c r="J839" s="60"/>
      <c r="K839" s="59"/>
      <c r="L839" s="60"/>
      <c r="M839" s="59"/>
      <c r="N839" s="63"/>
      <c r="O839" s="60"/>
      <c r="P839" s="60"/>
      <c r="Q839" s="60"/>
      <c r="R839" s="60"/>
      <c r="S839" s="60"/>
      <c r="T839" s="60"/>
      <c r="U839" s="60"/>
      <c r="V839" s="64"/>
      <c r="W839" s="60"/>
      <c r="X839" s="59"/>
      <c r="Y839" s="60"/>
      <c r="Z839" s="59"/>
      <c r="AA839" s="60"/>
    </row>
    <row r="840">
      <c r="A840" s="58"/>
      <c r="B840" s="58"/>
      <c r="C840" s="59"/>
      <c r="D840" s="60"/>
      <c r="E840" s="61"/>
      <c r="F840" s="62"/>
      <c r="G840" s="62"/>
      <c r="H840" s="62"/>
      <c r="I840" s="59"/>
      <c r="J840" s="60"/>
      <c r="K840" s="59"/>
      <c r="L840" s="60"/>
      <c r="M840" s="59"/>
      <c r="N840" s="63"/>
      <c r="O840" s="60"/>
      <c r="P840" s="60"/>
      <c r="Q840" s="60"/>
      <c r="R840" s="60"/>
      <c r="S840" s="60"/>
      <c r="T840" s="60"/>
      <c r="U840" s="60"/>
      <c r="V840" s="64"/>
      <c r="W840" s="60"/>
      <c r="X840" s="59"/>
      <c r="Y840" s="60"/>
      <c r="Z840" s="59"/>
      <c r="AA840" s="60"/>
    </row>
    <row r="841">
      <c r="A841" s="58"/>
      <c r="B841" s="58"/>
      <c r="C841" s="59"/>
      <c r="D841" s="60"/>
      <c r="E841" s="61"/>
      <c r="F841" s="62"/>
      <c r="G841" s="62"/>
      <c r="H841" s="62"/>
      <c r="I841" s="59"/>
      <c r="J841" s="60"/>
      <c r="K841" s="59"/>
      <c r="L841" s="60"/>
      <c r="M841" s="59"/>
      <c r="N841" s="63"/>
      <c r="O841" s="60"/>
      <c r="P841" s="60"/>
      <c r="Q841" s="60"/>
      <c r="R841" s="60"/>
      <c r="S841" s="60"/>
      <c r="T841" s="60"/>
      <c r="U841" s="60"/>
      <c r="V841" s="64"/>
      <c r="W841" s="60"/>
      <c r="X841" s="59"/>
      <c r="Y841" s="60"/>
      <c r="Z841" s="59"/>
      <c r="AA841" s="60"/>
    </row>
    <row r="842">
      <c r="A842" s="58"/>
      <c r="B842" s="58"/>
      <c r="C842" s="59"/>
      <c r="D842" s="60"/>
      <c r="E842" s="61"/>
      <c r="F842" s="62"/>
      <c r="G842" s="62"/>
      <c r="H842" s="62"/>
      <c r="I842" s="59"/>
      <c r="J842" s="60"/>
      <c r="K842" s="59"/>
      <c r="L842" s="60"/>
      <c r="M842" s="59"/>
      <c r="N842" s="63"/>
      <c r="O842" s="60"/>
      <c r="P842" s="60"/>
      <c r="Q842" s="60"/>
      <c r="R842" s="60"/>
      <c r="S842" s="60"/>
      <c r="T842" s="60"/>
      <c r="U842" s="60"/>
      <c r="V842" s="64"/>
      <c r="W842" s="60"/>
      <c r="X842" s="59"/>
      <c r="Y842" s="60"/>
      <c r="Z842" s="59"/>
      <c r="AA842" s="60"/>
    </row>
    <row r="843">
      <c r="A843" s="58"/>
      <c r="B843" s="58"/>
      <c r="C843" s="59"/>
      <c r="D843" s="60"/>
      <c r="E843" s="61"/>
      <c r="F843" s="62"/>
      <c r="G843" s="62"/>
      <c r="H843" s="62"/>
      <c r="I843" s="59"/>
      <c r="J843" s="60"/>
      <c r="K843" s="59"/>
      <c r="L843" s="60"/>
      <c r="M843" s="59"/>
      <c r="N843" s="63"/>
      <c r="O843" s="60"/>
      <c r="P843" s="60"/>
      <c r="Q843" s="60"/>
      <c r="R843" s="60"/>
      <c r="S843" s="60"/>
      <c r="T843" s="60"/>
      <c r="U843" s="60"/>
      <c r="V843" s="64"/>
      <c r="W843" s="60"/>
      <c r="X843" s="59"/>
      <c r="Y843" s="60"/>
      <c r="Z843" s="59"/>
      <c r="AA843" s="60"/>
    </row>
    <row r="844">
      <c r="A844" s="58"/>
      <c r="B844" s="58"/>
      <c r="C844" s="59"/>
      <c r="D844" s="60"/>
      <c r="E844" s="61"/>
      <c r="F844" s="62"/>
      <c r="G844" s="62"/>
      <c r="H844" s="62"/>
      <c r="I844" s="59"/>
      <c r="J844" s="60"/>
      <c r="K844" s="59"/>
      <c r="L844" s="60"/>
      <c r="M844" s="59"/>
      <c r="N844" s="63"/>
      <c r="O844" s="60"/>
      <c r="P844" s="60"/>
      <c r="Q844" s="60"/>
      <c r="R844" s="60"/>
      <c r="S844" s="60"/>
      <c r="T844" s="60"/>
      <c r="U844" s="60"/>
      <c r="V844" s="64"/>
      <c r="W844" s="60"/>
      <c r="X844" s="59"/>
      <c r="Y844" s="60"/>
      <c r="Z844" s="59"/>
      <c r="AA844" s="60"/>
    </row>
    <row r="845">
      <c r="A845" s="58"/>
      <c r="B845" s="58"/>
      <c r="C845" s="59"/>
      <c r="D845" s="60"/>
      <c r="E845" s="61"/>
      <c r="F845" s="62"/>
      <c r="G845" s="62"/>
      <c r="H845" s="62"/>
      <c r="I845" s="59"/>
      <c r="J845" s="60"/>
      <c r="K845" s="59"/>
      <c r="L845" s="60"/>
      <c r="M845" s="59"/>
      <c r="N845" s="63"/>
      <c r="O845" s="60"/>
      <c r="P845" s="60"/>
      <c r="Q845" s="60"/>
      <c r="R845" s="60"/>
      <c r="S845" s="60"/>
      <c r="T845" s="60"/>
      <c r="U845" s="60"/>
      <c r="V845" s="64"/>
      <c r="W845" s="60"/>
      <c r="X845" s="59"/>
      <c r="Y845" s="60"/>
      <c r="Z845" s="59"/>
      <c r="AA845" s="60"/>
    </row>
    <row r="846">
      <c r="A846" s="58"/>
      <c r="B846" s="58"/>
      <c r="C846" s="59"/>
      <c r="D846" s="60"/>
      <c r="E846" s="61"/>
      <c r="F846" s="62"/>
      <c r="G846" s="62"/>
      <c r="H846" s="62"/>
      <c r="I846" s="59"/>
      <c r="J846" s="60"/>
      <c r="K846" s="59"/>
      <c r="L846" s="60"/>
      <c r="M846" s="59"/>
      <c r="N846" s="63"/>
      <c r="O846" s="60"/>
      <c r="P846" s="60"/>
      <c r="Q846" s="60"/>
      <c r="R846" s="60"/>
      <c r="S846" s="60"/>
      <c r="T846" s="60"/>
      <c r="U846" s="60"/>
      <c r="V846" s="64"/>
      <c r="W846" s="60"/>
      <c r="X846" s="59"/>
      <c r="Y846" s="60"/>
      <c r="Z846" s="59"/>
      <c r="AA846" s="60"/>
    </row>
    <row r="847">
      <c r="A847" s="58"/>
      <c r="B847" s="58"/>
      <c r="C847" s="59"/>
      <c r="D847" s="60"/>
      <c r="E847" s="61"/>
      <c r="F847" s="62"/>
      <c r="G847" s="62"/>
      <c r="H847" s="62"/>
      <c r="I847" s="59"/>
      <c r="J847" s="60"/>
      <c r="K847" s="59"/>
      <c r="L847" s="60"/>
      <c r="M847" s="59"/>
      <c r="N847" s="63"/>
      <c r="O847" s="60"/>
      <c r="P847" s="60"/>
      <c r="Q847" s="60"/>
      <c r="R847" s="60"/>
      <c r="S847" s="60"/>
      <c r="T847" s="60"/>
      <c r="U847" s="60"/>
      <c r="V847" s="64"/>
      <c r="W847" s="60"/>
      <c r="X847" s="59"/>
      <c r="Y847" s="60"/>
      <c r="Z847" s="59"/>
      <c r="AA847" s="60"/>
    </row>
    <row r="848">
      <c r="A848" s="58"/>
      <c r="B848" s="58"/>
      <c r="C848" s="59"/>
      <c r="D848" s="60"/>
      <c r="E848" s="61"/>
      <c r="F848" s="62"/>
      <c r="G848" s="62"/>
      <c r="H848" s="62"/>
      <c r="I848" s="59"/>
      <c r="J848" s="60"/>
      <c r="K848" s="59"/>
      <c r="L848" s="60"/>
      <c r="M848" s="59"/>
      <c r="N848" s="63"/>
      <c r="O848" s="60"/>
      <c r="P848" s="60"/>
      <c r="Q848" s="60"/>
      <c r="R848" s="60"/>
      <c r="S848" s="60"/>
      <c r="T848" s="60"/>
      <c r="U848" s="60"/>
      <c r="V848" s="64"/>
      <c r="W848" s="60"/>
      <c r="X848" s="59"/>
      <c r="Y848" s="60"/>
      <c r="Z848" s="59"/>
      <c r="AA848" s="60"/>
    </row>
    <row r="849">
      <c r="A849" s="58"/>
      <c r="B849" s="58"/>
      <c r="C849" s="59"/>
      <c r="D849" s="60"/>
      <c r="E849" s="61"/>
      <c r="F849" s="62"/>
      <c r="G849" s="62"/>
      <c r="H849" s="62"/>
      <c r="I849" s="59"/>
      <c r="J849" s="60"/>
      <c r="K849" s="59"/>
      <c r="L849" s="60"/>
      <c r="M849" s="59"/>
      <c r="N849" s="63"/>
      <c r="O849" s="60"/>
      <c r="P849" s="60"/>
      <c r="Q849" s="60"/>
      <c r="R849" s="60"/>
      <c r="S849" s="60"/>
      <c r="T849" s="60"/>
      <c r="U849" s="60"/>
      <c r="V849" s="64"/>
      <c r="W849" s="60"/>
      <c r="X849" s="59"/>
      <c r="Y849" s="60"/>
      <c r="Z849" s="59"/>
      <c r="AA849" s="60"/>
    </row>
    <row r="850">
      <c r="A850" s="58"/>
      <c r="B850" s="58"/>
      <c r="C850" s="59"/>
      <c r="D850" s="60"/>
      <c r="E850" s="61"/>
      <c r="F850" s="62"/>
      <c r="G850" s="62"/>
      <c r="H850" s="62"/>
      <c r="I850" s="59"/>
      <c r="J850" s="60"/>
      <c r="K850" s="59"/>
      <c r="L850" s="60"/>
      <c r="M850" s="59"/>
      <c r="N850" s="63"/>
      <c r="O850" s="60"/>
      <c r="P850" s="60"/>
      <c r="Q850" s="60"/>
      <c r="R850" s="60"/>
      <c r="S850" s="60"/>
      <c r="T850" s="60"/>
      <c r="U850" s="60"/>
      <c r="V850" s="64"/>
      <c r="W850" s="60"/>
      <c r="X850" s="59"/>
      <c r="Y850" s="60"/>
      <c r="Z850" s="59"/>
      <c r="AA850" s="60"/>
    </row>
    <row r="851">
      <c r="A851" s="58"/>
      <c r="B851" s="58"/>
      <c r="C851" s="59"/>
      <c r="D851" s="60"/>
      <c r="E851" s="61"/>
      <c r="F851" s="62"/>
      <c r="G851" s="62"/>
      <c r="H851" s="62"/>
      <c r="I851" s="59"/>
      <c r="J851" s="60"/>
      <c r="K851" s="59"/>
      <c r="L851" s="60"/>
      <c r="M851" s="59"/>
      <c r="N851" s="63"/>
      <c r="O851" s="60"/>
      <c r="P851" s="60"/>
      <c r="Q851" s="60"/>
      <c r="R851" s="60"/>
      <c r="S851" s="60"/>
      <c r="T851" s="60"/>
      <c r="U851" s="60"/>
      <c r="V851" s="64"/>
      <c r="W851" s="60"/>
      <c r="X851" s="59"/>
      <c r="Y851" s="60"/>
      <c r="Z851" s="59"/>
      <c r="AA851" s="60"/>
    </row>
    <row r="852">
      <c r="A852" s="58"/>
      <c r="B852" s="58"/>
      <c r="C852" s="59"/>
      <c r="D852" s="60"/>
      <c r="E852" s="61"/>
      <c r="F852" s="62"/>
      <c r="G852" s="62"/>
      <c r="H852" s="62"/>
      <c r="I852" s="59"/>
      <c r="J852" s="60"/>
      <c r="K852" s="59"/>
      <c r="L852" s="60"/>
      <c r="M852" s="59"/>
      <c r="N852" s="63"/>
      <c r="O852" s="60"/>
      <c r="P852" s="60"/>
      <c r="Q852" s="60"/>
      <c r="R852" s="60"/>
      <c r="S852" s="60"/>
      <c r="T852" s="60"/>
      <c r="U852" s="60"/>
      <c r="V852" s="64"/>
      <c r="W852" s="60"/>
      <c r="X852" s="59"/>
      <c r="Y852" s="60"/>
      <c r="Z852" s="59"/>
      <c r="AA852" s="60"/>
    </row>
    <row r="853">
      <c r="A853" s="58"/>
      <c r="B853" s="58"/>
      <c r="C853" s="59"/>
      <c r="D853" s="60"/>
      <c r="E853" s="61"/>
      <c r="F853" s="62"/>
      <c r="G853" s="62"/>
      <c r="H853" s="62"/>
      <c r="I853" s="59"/>
      <c r="J853" s="60"/>
      <c r="K853" s="59"/>
      <c r="L853" s="60"/>
      <c r="M853" s="59"/>
      <c r="N853" s="63"/>
      <c r="O853" s="60"/>
      <c r="P853" s="60"/>
      <c r="Q853" s="60"/>
      <c r="R853" s="60"/>
      <c r="S853" s="60"/>
      <c r="T853" s="60"/>
      <c r="U853" s="60"/>
      <c r="V853" s="64"/>
      <c r="W853" s="60"/>
      <c r="X853" s="59"/>
      <c r="Y853" s="60"/>
      <c r="Z853" s="59"/>
      <c r="AA853" s="60"/>
    </row>
    <row r="854">
      <c r="A854" s="58"/>
      <c r="B854" s="58"/>
      <c r="C854" s="59"/>
      <c r="D854" s="60"/>
      <c r="E854" s="61"/>
      <c r="F854" s="62"/>
      <c r="G854" s="62"/>
      <c r="H854" s="62"/>
      <c r="I854" s="59"/>
      <c r="J854" s="60"/>
      <c r="K854" s="59"/>
      <c r="L854" s="60"/>
      <c r="M854" s="59"/>
      <c r="N854" s="63"/>
      <c r="O854" s="60"/>
      <c r="P854" s="60"/>
      <c r="Q854" s="60"/>
      <c r="R854" s="60"/>
      <c r="S854" s="60"/>
      <c r="T854" s="60"/>
      <c r="U854" s="60"/>
      <c r="V854" s="64"/>
      <c r="W854" s="60"/>
      <c r="X854" s="59"/>
      <c r="Y854" s="60"/>
      <c r="Z854" s="59"/>
      <c r="AA854" s="60"/>
    </row>
    <row r="855">
      <c r="A855" s="58"/>
      <c r="B855" s="58"/>
      <c r="C855" s="59"/>
      <c r="D855" s="60"/>
      <c r="E855" s="61"/>
      <c r="F855" s="62"/>
      <c r="G855" s="62"/>
      <c r="H855" s="62"/>
      <c r="I855" s="59"/>
      <c r="J855" s="60"/>
      <c r="K855" s="59"/>
      <c r="L855" s="60"/>
      <c r="M855" s="59"/>
      <c r="N855" s="63"/>
      <c r="O855" s="60"/>
      <c r="P855" s="60"/>
      <c r="Q855" s="60"/>
      <c r="R855" s="60"/>
      <c r="S855" s="60"/>
      <c r="T855" s="60"/>
      <c r="U855" s="60"/>
      <c r="V855" s="64"/>
      <c r="W855" s="60"/>
      <c r="X855" s="59"/>
      <c r="Y855" s="60"/>
      <c r="Z855" s="59"/>
      <c r="AA855" s="60"/>
    </row>
    <row r="856">
      <c r="A856" s="58"/>
      <c r="B856" s="58"/>
      <c r="C856" s="59"/>
      <c r="D856" s="60"/>
      <c r="E856" s="61"/>
      <c r="F856" s="62"/>
      <c r="G856" s="62"/>
      <c r="H856" s="62"/>
      <c r="I856" s="59"/>
      <c r="J856" s="60"/>
      <c r="K856" s="59"/>
      <c r="L856" s="60"/>
      <c r="M856" s="59"/>
      <c r="N856" s="63"/>
      <c r="O856" s="60"/>
      <c r="P856" s="60"/>
      <c r="Q856" s="60"/>
      <c r="R856" s="60"/>
      <c r="S856" s="60"/>
      <c r="T856" s="60"/>
      <c r="U856" s="60"/>
      <c r="V856" s="64"/>
      <c r="W856" s="60"/>
      <c r="X856" s="59"/>
      <c r="Y856" s="60"/>
      <c r="Z856" s="59"/>
      <c r="AA856" s="60"/>
    </row>
    <row r="857">
      <c r="A857" s="58"/>
      <c r="B857" s="58"/>
      <c r="C857" s="59"/>
      <c r="D857" s="60"/>
      <c r="E857" s="61"/>
      <c r="F857" s="62"/>
      <c r="G857" s="62"/>
      <c r="H857" s="62"/>
      <c r="I857" s="59"/>
      <c r="J857" s="60"/>
      <c r="K857" s="59"/>
      <c r="L857" s="60"/>
      <c r="M857" s="59"/>
      <c r="N857" s="63"/>
      <c r="O857" s="60"/>
      <c r="P857" s="60"/>
      <c r="Q857" s="60"/>
      <c r="R857" s="60"/>
      <c r="S857" s="60"/>
      <c r="T857" s="60"/>
      <c r="U857" s="60"/>
      <c r="V857" s="64"/>
      <c r="W857" s="60"/>
      <c r="X857" s="59"/>
      <c r="Y857" s="60"/>
      <c r="Z857" s="59"/>
      <c r="AA857" s="60"/>
    </row>
    <row r="858">
      <c r="A858" s="58"/>
      <c r="B858" s="58"/>
      <c r="C858" s="59"/>
      <c r="D858" s="60"/>
      <c r="E858" s="61"/>
      <c r="F858" s="62"/>
      <c r="G858" s="62"/>
      <c r="H858" s="62"/>
      <c r="I858" s="59"/>
      <c r="J858" s="60"/>
      <c r="K858" s="59"/>
      <c r="L858" s="60"/>
      <c r="M858" s="59"/>
      <c r="N858" s="63"/>
      <c r="O858" s="60"/>
      <c r="P858" s="60"/>
      <c r="Q858" s="60"/>
      <c r="R858" s="60"/>
      <c r="S858" s="60"/>
      <c r="T858" s="60"/>
      <c r="U858" s="60"/>
      <c r="V858" s="64"/>
      <c r="W858" s="60"/>
      <c r="X858" s="59"/>
      <c r="Y858" s="60"/>
      <c r="Z858" s="59"/>
      <c r="AA858" s="60"/>
    </row>
    <row r="859">
      <c r="A859" s="58"/>
      <c r="B859" s="58"/>
      <c r="C859" s="59"/>
      <c r="D859" s="60"/>
      <c r="E859" s="61"/>
      <c r="F859" s="62"/>
      <c r="G859" s="62"/>
      <c r="H859" s="62"/>
      <c r="I859" s="59"/>
      <c r="J859" s="60"/>
      <c r="K859" s="59"/>
      <c r="L859" s="60"/>
      <c r="M859" s="59"/>
      <c r="N859" s="63"/>
      <c r="O859" s="60"/>
      <c r="P859" s="60"/>
      <c r="Q859" s="60"/>
      <c r="R859" s="60"/>
      <c r="S859" s="60"/>
      <c r="T859" s="60"/>
      <c r="U859" s="60"/>
      <c r="V859" s="64"/>
      <c r="W859" s="60"/>
      <c r="X859" s="59"/>
      <c r="Y859" s="60"/>
      <c r="Z859" s="59"/>
      <c r="AA859" s="60"/>
    </row>
    <row r="860">
      <c r="A860" s="58"/>
      <c r="B860" s="58"/>
      <c r="C860" s="59"/>
      <c r="D860" s="60"/>
      <c r="E860" s="61"/>
      <c r="F860" s="62"/>
      <c r="G860" s="62"/>
      <c r="H860" s="62"/>
      <c r="I860" s="59"/>
      <c r="J860" s="60"/>
      <c r="K860" s="59"/>
      <c r="L860" s="60"/>
      <c r="M860" s="59"/>
      <c r="N860" s="63"/>
      <c r="O860" s="60"/>
      <c r="P860" s="60"/>
      <c r="Q860" s="60"/>
      <c r="R860" s="60"/>
      <c r="S860" s="60"/>
      <c r="T860" s="60"/>
      <c r="U860" s="60"/>
      <c r="V860" s="64"/>
      <c r="W860" s="60"/>
      <c r="X860" s="59"/>
      <c r="Y860" s="60"/>
      <c r="Z860" s="59"/>
      <c r="AA860" s="60"/>
    </row>
    <row r="861">
      <c r="A861" s="58"/>
      <c r="B861" s="58"/>
      <c r="C861" s="59"/>
      <c r="D861" s="60"/>
      <c r="E861" s="61"/>
      <c r="F861" s="62"/>
      <c r="G861" s="62"/>
      <c r="H861" s="62"/>
      <c r="I861" s="59"/>
      <c r="J861" s="60"/>
      <c r="K861" s="59"/>
      <c r="L861" s="60"/>
      <c r="M861" s="59"/>
      <c r="N861" s="63"/>
      <c r="O861" s="60"/>
      <c r="P861" s="60"/>
      <c r="Q861" s="60"/>
      <c r="R861" s="60"/>
      <c r="S861" s="60"/>
      <c r="T861" s="60"/>
      <c r="U861" s="60"/>
      <c r="V861" s="64"/>
      <c r="W861" s="60"/>
      <c r="X861" s="59"/>
      <c r="Y861" s="60"/>
      <c r="Z861" s="59"/>
      <c r="AA861" s="60"/>
    </row>
    <row r="862">
      <c r="A862" s="58"/>
      <c r="B862" s="58"/>
      <c r="C862" s="59"/>
      <c r="D862" s="60"/>
      <c r="E862" s="61"/>
      <c r="F862" s="62"/>
      <c r="G862" s="62"/>
      <c r="H862" s="62"/>
      <c r="I862" s="59"/>
      <c r="J862" s="60"/>
      <c r="K862" s="59"/>
      <c r="L862" s="60"/>
      <c r="M862" s="59"/>
      <c r="N862" s="63"/>
      <c r="O862" s="60"/>
      <c r="P862" s="60"/>
      <c r="Q862" s="60"/>
      <c r="R862" s="60"/>
      <c r="S862" s="60"/>
      <c r="T862" s="60"/>
      <c r="U862" s="60"/>
      <c r="V862" s="64"/>
      <c r="W862" s="60"/>
      <c r="X862" s="59"/>
      <c r="Y862" s="60"/>
      <c r="Z862" s="59"/>
      <c r="AA862" s="60"/>
    </row>
    <row r="863">
      <c r="A863" s="58"/>
      <c r="B863" s="58"/>
      <c r="C863" s="59"/>
      <c r="D863" s="60"/>
      <c r="E863" s="61"/>
      <c r="F863" s="62"/>
      <c r="G863" s="62"/>
      <c r="H863" s="62"/>
      <c r="I863" s="59"/>
      <c r="J863" s="60"/>
      <c r="K863" s="59"/>
      <c r="L863" s="60"/>
      <c r="M863" s="59"/>
      <c r="N863" s="63"/>
      <c r="O863" s="60"/>
      <c r="P863" s="60"/>
      <c r="Q863" s="60"/>
      <c r="R863" s="60"/>
      <c r="S863" s="60"/>
      <c r="T863" s="60"/>
      <c r="U863" s="60"/>
      <c r="V863" s="64"/>
      <c r="W863" s="60"/>
      <c r="X863" s="59"/>
      <c r="Y863" s="60"/>
      <c r="Z863" s="59"/>
      <c r="AA863" s="60"/>
    </row>
    <row r="864">
      <c r="A864" s="58"/>
      <c r="B864" s="58"/>
      <c r="C864" s="59"/>
      <c r="D864" s="60"/>
      <c r="E864" s="61"/>
      <c r="F864" s="62"/>
      <c r="G864" s="62"/>
      <c r="H864" s="62"/>
      <c r="I864" s="59"/>
      <c r="J864" s="60"/>
      <c r="K864" s="59"/>
      <c r="L864" s="60"/>
      <c r="M864" s="59"/>
      <c r="N864" s="63"/>
      <c r="O864" s="60"/>
      <c r="P864" s="60"/>
      <c r="Q864" s="60"/>
      <c r="R864" s="60"/>
      <c r="S864" s="60"/>
      <c r="T864" s="60"/>
      <c r="U864" s="60"/>
      <c r="V864" s="64"/>
      <c r="W864" s="60"/>
      <c r="X864" s="59"/>
      <c r="Y864" s="60"/>
      <c r="Z864" s="59"/>
      <c r="AA864" s="60"/>
    </row>
    <row r="865">
      <c r="A865" s="58"/>
      <c r="B865" s="58"/>
      <c r="C865" s="59"/>
      <c r="D865" s="60"/>
      <c r="E865" s="61"/>
      <c r="F865" s="62"/>
      <c r="G865" s="62"/>
      <c r="H865" s="62"/>
      <c r="I865" s="59"/>
      <c r="J865" s="60"/>
      <c r="K865" s="59"/>
      <c r="L865" s="60"/>
      <c r="M865" s="59"/>
      <c r="N865" s="63"/>
      <c r="O865" s="60"/>
      <c r="P865" s="60"/>
      <c r="Q865" s="60"/>
      <c r="R865" s="60"/>
      <c r="S865" s="60"/>
      <c r="T865" s="60"/>
      <c r="U865" s="60"/>
      <c r="V865" s="64"/>
      <c r="W865" s="60"/>
      <c r="X865" s="59"/>
      <c r="Y865" s="60"/>
      <c r="Z865" s="59"/>
      <c r="AA865" s="60"/>
    </row>
    <row r="866">
      <c r="A866" s="58"/>
      <c r="B866" s="58"/>
      <c r="C866" s="59"/>
      <c r="D866" s="60"/>
      <c r="E866" s="61"/>
      <c r="F866" s="62"/>
      <c r="G866" s="62"/>
      <c r="H866" s="62"/>
      <c r="I866" s="59"/>
      <c r="J866" s="60"/>
      <c r="K866" s="59"/>
      <c r="L866" s="60"/>
      <c r="M866" s="59"/>
      <c r="N866" s="63"/>
      <c r="O866" s="60"/>
      <c r="P866" s="60"/>
      <c r="Q866" s="60"/>
      <c r="R866" s="60"/>
      <c r="S866" s="60"/>
      <c r="T866" s="60"/>
      <c r="U866" s="60"/>
      <c r="V866" s="64"/>
      <c r="W866" s="60"/>
      <c r="X866" s="59"/>
      <c r="Y866" s="60"/>
      <c r="Z866" s="59"/>
      <c r="AA866" s="60"/>
    </row>
    <row r="867">
      <c r="A867" s="58"/>
      <c r="B867" s="58"/>
      <c r="C867" s="59"/>
      <c r="D867" s="60"/>
      <c r="E867" s="61"/>
      <c r="F867" s="62"/>
      <c r="G867" s="62"/>
      <c r="H867" s="62"/>
      <c r="I867" s="59"/>
      <c r="J867" s="60"/>
      <c r="K867" s="59"/>
      <c r="L867" s="60"/>
      <c r="M867" s="59"/>
      <c r="N867" s="63"/>
      <c r="O867" s="60"/>
      <c r="P867" s="60"/>
      <c r="Q867" s="60"/>
      <c r="R867" s="60"/>
      <c r="S867" s="60"/>
      <c r="T867" s="60"/>
      <c r="U867" s="60"/>
      <c r="V867" s="64"/>
      <c r="W867" s="60"/>
      <c r="X867" s="59"/>
      <c r="Y867" s="60"/>
      <c r="Z867" s="59"/>
      <c r="AA867" s="60"/>
    </row>
    <row r="868">
      <c r="A868" s="58"/>
      <c r="B868" s="58"/>
      <c r="C868" s="59"/>
      <c r="D868" s="60"/>
      <c r="E868" s="61"/>
      <c r="F868" s="62"/>
      <c r="G868" s="62"/>
      <c r="H868" s="62"/>
      <c r="I868" s="59"/>
      <c r="J868" s="60"/>
      <c r="K868" s="59"/>
      <c r="L868" s="60"/>
      <c r="M868" s="59"/>
      <c r="N868" s="63"/>
      <c r="O868" s="60"/>
      <c r="P868" s="60"/>
      <c r="Q868" s="60"/>
      <c r="R868" s="60"/>
      <c r="S868" s="60"/>
      <c r="T868" s="60"/>
      <c r="U868" s="60"/>
      <c r="V868" s="64"/>
      <c r="W868" s="60"/>
      <c r="X868" s="59"/>
      <c r="Y868" s="60"/>
      <c r="Z868" s="59"/>
      <c r="AA868" s="60"/>
    </row>
    <row r="869">
      <c r="A869" s="58"/>
      <c r="B869" s="58"/>
      <c r="C869" s="59"/>
      <c r="D869" s="60"/>
      <c r="E869" s="61"/>
      <c r="F869" s="62"/>
      <c r="G869" s="62"/>
      <c r="H869" s="62"/>
      <c r="I869" s="59"/>
      <c r="J869" s="60"/>
      <c r="K869" s="59"/>
      <c r="L869" s="60"/>
      <c r="M869" s="59"/>
      <c r="N869" s="63"/>
      <c r="O869" s="60"/>
      <c r="P869" s="60"/>
      <c r="Q869" s="60"/>
      <c r="R869" s="60"/>
      <c r="S869" s="60"/>
      <c r="T869" s="60"/>
      <c r="U869" s="60"/>
      <c r="V869" s="64"/>
      <c r="W869" s="60"/>
      <c r="X869" s="59"/>
      <c r="Y869" s="60"/>
      <c r="Z869" s="59"/>
      <c r="AA869" s="60"/>
    </row>
    <row r="870">
      <c r="A870" s="58"/>
      <c r="B870" s="58"/>
      <c r="C870" s="59"/>
      <c r="D870" s="60"/>
      <c r="E870" s="61"/>
      <c r="F870" s="62"/>
      <c r="G870" s="62"/>
      <c r="H870" s="62"/>
      <c r="I870" s="59"/>
      <c r="J870" s="60"/>
      <c r="K870" s="59"/>
      <c r="L870" s="60"/>
      <c r="M870" s="59"/>
      <c r="N870" s="63"/>
      <c r="O870" s="60"/>
      <c r="P870" s="60"/>
      <c r="Q870" s="60"/>
      <c r="R870" s="60"/>
      <c r="S870" s="60"/>
      <c r="T870" s="60"/>
      <c r="U870" s="60"/>
      <c r="V870" s="64"/>
      <c r="W870" s="60"/>
      <c r="X870" s="59"/>
      <c r="Y870" s="60"/>
      <c r="Z870" s="59"/>
      <c r="AA870" s="60"/>
    </row>
    <row r="871">
      <c r="A871" s="58"/>
      <c r="B871" s="58"/>
      <c r="C871" s="59"/>
      <c r="D871" s="60"/>
      <c r="E871" s="61"/>
      <c r="F871" s="62"/>
      <c r="G871" s="62"/>
      <c r="H871" s="62"/>
      <c r="I871" s="59"/>
      <c r="J871" s="60"/>
      <c r="K871" s="59"/>
      <c r="L871" s="60"/>
      <c r="M871" s="59"/>
      <c r="N871" s="63"/>
      <c r="O871" s="60"/>
      <c r="P871" s="60"/>
      <c r="Q871" s="60"/>
      <c r="R871" s="60"/>
      <c r="S871" s="60"/>
      <c r="T871" s="60"/>
      <c r="U871" s="60"/>
      <c r="V871" s="64"/>
      <c r="W871" s="60"/>
      <c r="X871" s="59"/>
      <c r="Y871" s="60"/>
      <c r="Z871" s="59"/>
      <c r="AA871" s="60"/>
    </row>
    <row r="872">
      <c r="A872" s="58"/>
      <c r="B872" s="58"/>
      <c r="C872" s="59"/>
      <c r="D872" s="60"/>
      <c r="E872" s="61"/>
      <c r="F872" s="62"/>
      <c r="G872" s="62"/>
      <c r="H872" s="62"/>
      <c r="I872" s="59"/>
      <c r="J872" s="60"/>
      <c r="K872" s="59"/>
      <c r="L872" s="60"/>
      <c r="M872" s="59"/>
      <c r="N872" s="63"/>
      <c r="O872" s="60"/>
      <c r="P872" s="60"/>
      <c r="Q872" s="60"/>
      <c r="R872" s="60"/>
      <c r="S872" s="60"/>
      <c r="T872" s="60"/>
      <c r="U872" s="60"/>
      <c r="V872" s="64"/>
      <c r="W872" s="60"/>
      <c r="X872" s="59"/>
      <c r="Y872" s="60"/>
      <c r="Z872" s="59"/>
      <c r="AA872" s="60"/>
    </row>
    <row r="873">
      <c r="A873" s="58"/>
      <c r="B873" s="58"/>
      <c r="C873" s="59"/>
      <c r="D873" s="60"/>
      <c r="E873" s="61"/>
      <c r="F873" s="62"/>
      <c r="G873" s="62"/>
      <c r="H873" s="62"/>
      <c r="I873" s="59"/>
      <c r="J873" s="60"/>
      <c r="K873" s="59"/>
      <c r="L873" s="60"/>
      <c r="M873" s="59"/>
      <c r="N873" s="63"/>
      <c r="O873" s="60"/>
      <c r="P873" s="60"/>
      <c r="Q873" s="60"/>
      <c r="R873" s="60"/>
      <c r="S873" s="60"/>
      <c r="T873" s="60"/>
      <c r="U873" s="60"/>
      <c r="V873" s="64"/>
      <c r="W873" s="60"/>
      <c r="X873" s="59"/>
      <c r="Y873" s="60"/>
      <c r="Z873" s="59"/>
      <c r="AA873" s="60"/>
    </row>
    <row r="874">
      <c r="A874" s="58"/>
      <c r="B874" s="58"/>
      <c r="C874" s="59"/>
      <c r="D874" s="60"/>
      <c r="E874" s="61"/>
      <c r="F874" s="62"/>
      <c r="G874" s="62"/>
      <c r="H874" s="62"/>
      <c r="I874" s="59"/>
      <c r="J874" s="60"/>
      <c r="K874" s="59"/>
      <c r="L874" s="60"/>
      <c r="M874" s="59"/>
      <c r="N874" s="63"/>
      <c r="O874" s="60"/>
      <c r="P874" s="60"/>
      <c r="Q874" s="60"/>
      <c r="R874" s="60"/>
      <c r="S874" s="60"/>
      <c r="T874" s="60"/>
      <c r="U874" s="60"/>
      <c r="V874" s="64"/>
      <c r="W874" s="60"/>
      <c r="X874" s="59"/>
      <c r="Y874" s="60"/>
      <c r="Z874" s="59"/>
      <c r="AA874" s="60"/>
    </row>
    <row r="875">
      <c r="A875" s="58"/>
      <c r="B875" s="58"/>
      <c r="C875" s="59"/>
      <c r="D875" s="60"/>
      <c r="E875" s="61"/>
      <c r="F875" s="62"/>
      <c r="G875" s="62"/>
      <c r="H875" s="62"/>
      <c r="I875" s="59"/>
      <c r="J875" s="60"/>
      <c r="K875" s="59"/>
      <c r="L875" s="60"/>
      <c r="M875" s="59"/>
      <c r="N875" s="63"/>
      <c r="O875" s="60"/>
      <c r="P875" s="60"/>
      <c r="Q875" s="60"/>
      <c r="R875" s="60"/>
      <c r="S875" s="60"/>
      <c r="T875" s="60"/>
      <c r="U875" s="60"/>
      <c r="V875" s="64"/>
      <c r="W875" s="60"/>
      <c r="X875" s="59"/>
      <c r="Y875" s="60"/>
      <c r="Z875" s="59"/>
      <c r="AA875" s="60"/>
    </row>
    <row r="876">
      <c r="A876" s="58"/>
      <c r="B876" s="58"/>
      <c r="C876" s="59"/>
      <c r="D876" s="60"/>
      <c r="E876" s="61"/>
      <c r="F876" s="62"/>
      <c r="G876" s="62"/>
      <c r="H876" s="62"/>
      <c r="I876" s="59"/>
      <c r="J876" s="60"/>
      <c r="K876" s="59"/>
      <c r="L876" s="60"/>
      <c r="M876" s="59"/>
      <c r="N876" s="63"/>
      <c r="O876" s="60"/>
      <c r="P876" s="60"/>
      <c r="Q876" s="60"/>
      <c r="R876" s="60"/>
      <c r="S876" s="60"/>
      <c r="T876" s="60"/>
      <c r="U876" s="60"/>
      <c r="V876" s="64"/>
      <c r="W876" s="60"/>
      <c r="X876" s="59"/>
      <c r="Y876" s="60"/>
      <c r="Z876" s="59"/>
      <c r="AA876" s="60"/>
    </row>
    <row r="877">
      <c r="A877" s="58"/>
      <c r="B877" s="58"/>
      <c r="C877" s="59"/>
      <c r="D877" s="60"/>
      <c r="E877" s="61"/>
      <c r="F877" s="62"/>
      <c r="G877" s="62"/>
      <c r="H877" s="62"/>
      <c r="I877" s="59"/>
      <c r="J877" s="60"/>
      <c r="K877" s="59"/>
      <c r="L877" s="60"/>
      <c r="M877" s="59"/>
      <c r="N877" s="63"/>
      <c r="O877" s="60"/>
      <c r="P877" s="60"/>
      <c r="Q877" s="60"/>
      <c r="R877" s="60"/>
      <c r="S877" s="60"/>
      <c r="T877" s="60"/>
      <c r="U877" s="60"/>
      <c r="V877" s="64"/>
      <c r="W877" s="60"/>
      <c r="X877" s="59"/>
      <c r="Y877" s="60"/>
      <c r="Z877" s="59"/>
      <c r="AA877" s="60"/>
    </row>
    <row r="878">
      <c r="A878" s="58"/>
      <c r="B878" s="58"/>
      <c r="C878" s="59"/>
      <c r="D878" s="60"/>
      <c r="E878" s="61"/>
      <c r="F878" s="62"/>
      <c r="G878" s="62"/>
      <c r="H878" s="62"/>
      <c r="I878" s="59"/>
      <c r="J878" s="60"/>
      <c r="K878" s="59"/>
      <c r="L878" s="60"/>
      <c r="M878" s="59"/>
      <c r="N878" s="63"/>
      <c r="O878" s="60"/>
      <c r="P878" s="60"/>
      <c r="Q878" s="60"/>
      <c r="R878" s="60"/>
      <c r="S878" s="60"/>
      <c r="T878" s="60"/>
      <c r="U878" s="60"/>
      <c r="V878" s="64"/>
      <c r="W878" s="60"/>
      <c r="X878" s="59"/>
      <c r="Y878" s="60"/>
      <c r="Z878" s="59"/>
      <c r="AA878" s="60"/>
    </row>
    <row r="879">
      <c r="A879" s="58"/>
      <c r="B879" s="58"/>
      <c r="C879" s="59"/>
      <c r="D879" s="60"/>
      <c r="E879" s="61"/>
      <c r="F879" s="62"/>
      <c r="G879" s="62"/>
      <c r="H879" s="62"/>
      <c r="I879" s="59"/>
      <c r="J879" s="60"/>
      <c r="K879" s="59"/>
      <c r="L879" s="60"/>
      <c r="M879" s="59"/>
      <c r="N879" s="63"/>
      <c r="O879" s="60"/>
      <c r="P879" s="60"/>
      <c r="Q879" s="60"/>
      <c r="R879" s="60"/>
      <c r="S879" s="60"/>
      <c r="T879" s="60"/>
      <c r="U879" s="60"/>
      <c r="V879" s="64"/>
      <c r="W879" s="60"/>
      <c r="X879" s="59"/>
      <c r="Y879" s="60"/>
      <c r="Z879" s="59"/>
      <c r="AA879" s="60"/>
    </row>
    <row r="880">
      <c r="A880" s="58"/>
      <c r="B880" s="58"/>
      <c r="C880" s="59"/>
      <c r="D880" s="60"/>
      <c r="E880" s="61"/>
      <c r="F880" s="62"/>
      <c r="G880" s="62"/>
      <c r="H880" s="62"/>
      <c r="I880" s="59"/>
      <c r="J880" s="60"/>
      <c r="K880" s="59"/>
      <c r="L880" s="60"/>
      <c r="M880" s="59"/>
      <c r="N880" s="63"/>
      <c r="O880" s="60"/>
      <c r="P880" s="60"/>
      <c r="Q880" s="60"/>
      <c r="R880" s="60"/>
      <c r="S880" s="60"/>
      <c r="T880" s="60"/>
      <c r="U880" s="60"/>
      <c r="V880" s="64"/>
      <c r="W880" s="60"/>
      <c r="X880" s="59"/>
      <c r="Y880" s="60"/>
      <c r="Z880" s="59"/>
      <c r="AA880" s="60"/>
    </row>
    <row r="881">
      <c r="A881" s="58"/>
      <c r="B881" s="58"/>
      <c r="C881" s="59"/>
      <c r="D881" s="60"/>
      <c r="E881" s="61"/>
      <c r="F881" s="62"/>
      <c r="G881" s="62"/>
      <c r="H881" s="62"/>
      <c r="I881" s="59"/>
      <c r="J881" s="60"/>
      <c r="K881" s="59"/>
      <c r="L881" s="60"/>
      <c r="M881" s="59"/>
      <c r="N881" s="63"/>
      <c r="O881" s="60"/>
      <c r="P881" s="60"/>
      <c r="Q881" s="60"/>
      <c r="R881" s="60"/>
      <c r="S881" s="60"/>
      <c r="T881" s="60"/>
      <c r="U881" s="60"/>
      <c r="V881" s="64"/>
      <c r="W881" s="60"/>
      <c r="X881" s="59"/>
      <c r="Y881" s="60"/>
      <c r="Z881" s="59"/>
      <c r="AA881" s="60"/>
    </row>
    <row r="882">
      <c r="A882" s="58"/>
      <c r="B882" s="58"/>
      <c r="C882" s="59"/>
      <c r="D882" s="60"/>
      <c r="E882" s="61"/>
      <c r="F882" s="62"/>
      <c r="G882" s="62"/>
      <c r="H882" s="62"/>
      <c r="I882" s="59"/>
      <c r="J882" s="60"/>
      <c r="K882" s="59"/>
      <c r="L882" s="60"/>
      <c r="M882" s="59"/>
      <c r="N882" s="63"/>
      <c r="O882" s="60"/>
      <c r="P882" s="60"/>
      <c r="Q882" s="60"/>
      <c r="R882" s="60"/>
      <c r="S882" s="60"/>
      <c r="T882" s="60"/>
      <c r="U882" s="60"/>
      <c r="V882" s="64"/>
      <c r="W882" s="60"/>
      <c r="X882" s="59"/>
      <c r="Y882" s="60"/>
      <c r="Z882" s="59"/>
      <c r="AA882" s="60"/>
    </row>
    <row r="883">
      <c r="A883" s="58"/>
      <c r="B883" s="58"/>
      <c r="C883" s="59"/>
      <c r="D883" s="60"/>
      <c r="E883" s="61"/>
      <c r="F883" s="62"/>
      <c r="G883" s="62"/>
      <c r="H883" s="62"/>
      <c r="I883" s="59"/>
      <c r="J883" s="60"/>
      <c r="K883" s="59"/>
      <c r="L883" s="60"/>
      <c r="M883" s="59"/>
      <c r="N883" s="63"/>
      <c r="O883" s="60"/>
      <c r="P883" s="60"/>
      <c r="Q883" s="60"/>
      <c r="R883" s="60"/>
      <c r="S883" s="60"/>
      <c r="T883" s="60"/>
      <c r="U883" s="60"/>
      <c r="V883" s="64"/>
      <c r="W883" s="60"/>
      <c r="X883" s="59"/>
      <c r="Y883" s="60"/>
      <c r="Z883" s="59"/>
      <c r="AA883" s="60"/>
    </row>
    <row r="884">
      <c r="A884" s="58"/>
      <c r="B884" s="58"/>
      <c r="C884" s="59"/>
      <c r="D884" s="60"/>
      <c r="E884" s="61"/>
      <c r="F884" s="62"/>
      <c r="G884" s="62"/>
      <c r="H884" s="62"/>
      <c r="I884" s="59"/>
      <c r="J884" s="60"/>
      <c r="K884" s="59"/>
      <c r="L884" s="60"/>
      <c r="M884" s="59"/>
      <c r="N884" s="63"/>
      <c r="O884" s="60"/>
      <c r="P884" s="60"/>
      <c r="Q884" s="60"/>
      <c r="R884" s="60"/>
      <c r="S884" s="60"/>
      <c r="T884" s="60"/>
      <c r="U884" s="60"/>
      <c r="V884" s="64"/>
      <c r="W884" s="60"/>
      <c r="X884" s="59"/>
      <c r="Y884" s="60"/>
      <c r="Z884" s="59"/>
      <c r="AA884" s="60"/>
    </row>
    <row r="885">
      <c r="A885" s="58"/>
      <c r="B885" s="58"/>
      <c r="C885" s="59"/>
      <c r="D885" s="60"/>
      <c r="E885" s="61"/>
      <c r="F885" s="62"/>
      <c r="G885" s="62"/>
      <c r="H885" s="62"/>
      <c r="I885" s="59"/>
      <c r="J885" s="60"/>
      <c r="K885" s="59"/>
      <c r="L885" s="60"/>
      <c r="M885" s="59"/>
      <c r="N885" s="63"/>
      <c r="O885" s="60"/>
      <c r="P885" s="60"/>
      <c r="Q885" s="60"/>
      <c r="R885" s="60"/>
      <c r="S885" s="60"/>
      <c r="T885" s="60"/>
      <c r="U885" s="60"/>
      <c r="V885" s="64"/>
      <c r="W885" s="60"/>
      <c r="X885" s="59"/>
      <c r="Y885" s="60"/>
      <c r="Z885" s="59"/>
      <c r="AA885" s="60"/>
    </row>
    <row r="886">
      <c r="A886" s="58"/>
      <c r="B886" s="58"/>
      <c r="C886" s="59"/>
      <c r="D886" s="60"/>
      <c r="E886" s="61"/>
      <c r="F886" s="62"/>
      <c r="G886" s="62"/>
      <c r="H886" s="62"/>
      <c r="I886" s="59"/>
      <c r="J886" s="60"/>
      <c r="K886" s="59"/>
      <c r="L886" s="60"/>
      <c r="M886" s="59"/>
      <c r="N886" s="63"/>
      <c r="O886" s="60"/>
      <c r="P886" s="60"/>
      <c r="Q886" s="60"/>
      <c r="R886" s="60"/>
      <c r="S886" s="60"/>
      <c r="T886" s="60"/>
      <c r="U886" s="60"/>
      <c r="V886" s="64"/>
      <c r="W886" s="60"/>
      <c r="X886" s="59"/>
      <c r="Y886" s="60"/>
      <c r="Z886" s="59"/>
      <c r="AA886" s="60"/>
    </row>
    <row r="887">
      <c r="A887" s="58"/>
      <c r="B887" s="58"/>
      <c r="C887" s="59"/>
      <c r="D887" s="60"/>
      <c r="E887" s="61"/>
      <c r="F887" s="62"/>
      <c r="G887" s="62"/>
      <c r="H887" s="62"/>
      <c r="I887" s="59"/>
      <c r="J887" s="60"/>
      <c r="K887" s="59"/>
      <c r="L887" s="60"/>
      <c r="M887" s="59"/>
      <c r="N887" s="63"/>
      <c r="O887" s="60"/>
      <c r="P887" s="60"/>
      <c r="Q887" s="60"/>
      <c r="R887" s="60"/>
      <c r="S887" s="60"/>
      <c r="T887" s="60"/>
      <c r="U887" s="60"/>
      <c r="V887" s="64"/>
      <c r="W887" s="60"/>
      <c r="X887" s="59"/>
      <c r="Y887" s="60"/>
      <c r="Z887" s="59"/>
      <c r="AA887" s="60"/>
    </row>
    <row r="888">
      <c r="A888" s="58"/>
      <c r="B888" s="58"/>
      <c r="C888" s="59"/>
      <c r="D888" s="60"/>
      <c r="E888" s="61"/>
      <c r="F888" s="62"/>
      <c r="G888" s="62"/>
      <c r="H888" s="62"/>
      <c r="I888" s="59"/>
      <c r="J888" s="60"/>
      <c r="K888" s="59"/>
      <c r="L888" s="60"/>
      <c r="M888" s="59"/>
      <c r="N888" s="63"/>
      <c r="O888" s="60"/>
      <c r="P888" s="60"/>
      <c r="Q888" s="60"/>
      <c r="R888" s="60"/>
      <c r="S888" s="60"/>
      <c r="T888" s="60"/>
      <c r="U888" s="60"/>
      <c r="V888" s="64"/>
      <c r="W888" s="60"/>
      <c r="X888" s="59"/>
      <c r="Y888" s="60"/>
      <c r="Z888" s="59"/>
      <c r="AA888" s="60"/>
    </row>
    <row r="889">
      <c r="A889" s="58"/>
      <c r="B889" s="58"/>
      <c r="C889" s="59"/>
      <c r="D889" s="60"/>
      <c r="E889" s="61"/>
      <c r="F889" s="62"/>
      <c r="G889" s="62"/>
      <c r="H889" s="62"/>
      <c r="I889" s="59"/>
      <c r="J889" s="60"/>
      <c r="K889" s="59"/>
      <c r="L889" s="60"/>
      <c r="M889" s="59"/>
      <c r="N889" s="63"/>
      <c r="O889" s="60"/>
      <c r="P889" s="60"/>
      <c r="Q889" s="60"/>
      <c r="R889" s="60"/>
      <c r="S889" s="60"/>
      <c r="T889" s="60"/>
      <c r="U889" s="60"/>
      <c r="V889" s="64"/>
      <c r="W889" s="60"/>
      <c r="X889" s="59"/>
      <c r="Y889" s="60"/>
      <c r="Z889" s="59"/>
      <c r="AA889" s="60"/>
    </row>
    <row r="890">
      <c r="A890" s="58"/>
      <c r="B890" s="58"/>
      <c r="C890" s="59"/>
      <c r="D890" s="60"/>
      <c r="E890" s="61"/>
      <c r="F890" s="62"/>
      <c r="G890" s="62"/>
      <c r="H890" s="62"/>
      <c r="I890" s="59"/>
      <c r="J890" s="60"/>
      <c r="K890" s="59"/>
      <c r="L890" s="60"/>
      <c r="M890" s="59"/>
      <c r="N890" s="63"/>
      <c r="O890" s="60"/>
      <c r="P890" s="60"/>
      <c r="Q890" s="60"/>
      <c r="R890" s="60"/>
      <c r="S890" s="60"/>
      <c r="T890" s="60"/>
      <c r="U890" s="60"/>
      <c r="V890" s="64"/>
      <c r="W890" s="60"/>
      <c r="X890" s="59"/>
      <c r="Y890" s="60"/>
      <c r="Z890" s="59"/>
      <c r="AA890" s="60"/>
    </row>
    <row r="891">
      <c r="A891" s="58"/>
      <c r="B891" s="58"/>
      <c r="C891" s="59"/>
      <c r="D891" s="60"/>
      <c r="E891" s="61"/>
      <c r="F891" s="62"/>
      <c r="G891" s="62"/>
      <c r="H891" s="62"/>
      <c r="I891" s="59"/>
      <c r="J891" s="60"/>
      <c r="K891" s="59"/>
      <c r="L891" s="60"/>
      <c r="M891" s="59"/>
      <c r="N891" s="63"/>
      <c r="O891" s="60"/>
      <c r="P891" s="60"/>
      <c r="Q891" s="60"/>
      <c r="R891" s="60"/>
      <c r="S891" s="60"/>
      <c r="T891" s="60"/>
      <c r="U891" s="60"/>
      <c r="V891" s="64"/>
      <c r="W891" s="60"/>
      <c r="X891" s="59"/>
      <c r="Y891" s="60"/>
      <c r="Z891" s="59"/>
      <c r="AA891" s="60"/>
    </row>
    <row r="892">
      <c r="A892" s="58"/>
      <c r="B892" s="58"/>
      <c r="C892" s="59"/>
      <c r="D892" s="60"/>
      <c r="E892" s="61"/>
      <c r="F892" s="62"/>
      <c r="G892" s="62"/>
      <c r="H892" s="62"/>
      <c r="I892" s="59"/>
      <c r="J892" s="60"/>
      <c r="K892" s="59"/>
      <c r="L892" s="60"/>
      <c r="M892" s="59"/>
      <c r="N892" s="63"/>
      <c r="O892" s="60"/>
      <c r="P892" s="60"/>
      <c r="Q892" s="60"/>
      <c r="R892" s="60"/>
      <c r="S892" s="60"/>
      <c r="T892" s="60"/>
      <c r="U892" s="60"/>
      <c r="V892" s="64"/>
      <c r="W892" s="60"/>
      <c r="X892" s="59"/>
      <c r="Y892" s="60"/>
      <c r="Z892" s="59"/>
      <c r="AA892" s="60"/>
    </row>
    <row r="893">
      <c r="A893" s="58"/>
      <c r="B893" s="58"/>
      <c r="C893" s="59"/>
      <c r="D893" s="60"/>
      <c r="E893" s="61"/>
      <c r="F893" s="62"/>
      <c r="G893" s="62"/>
      <c r="H893" s="62"/>
      <c r="I893" s="59"/>
      <c r="J893" s="60"/>
      <c r="K893" s="59"/>
      <c r="L893" s="60"/>
      <c r="M893" s="59"/>
      <c r="N893" s="63"/>
      <c r="O893" s="60"/>
      <c r="P893" s="60"/>
      <c r="Q893" s="60"/>
      <c r="R893" s="60"/>
      <c r="S893" s="60"/>
      <c r="T893" s="60"/>
      <c r="U893" s="60"/>
      <c r="V893" s="64"/>
      <c r="W893" s="60"/>
      <c r="X893" s="59"/>
      <c r="Y893" s="60"/>
      <c r="Z893" s="59"/>
      <c r="AA893" s="60"/>
    </row>
    <row r="894">
      <c r="A894" s="58"/>
      <c r="B894" s="58"/>
      <c r="C894" s="59"/>
      <c r="D894" s="60"/>
      <c r="E894" s="61"/>
      <c r="F894" s="62"/>
      <c r="G894" s="62"/>
      <c r="H894" s="62"/>
      <c r="I894" s="59"/>
      <c r="J894" s="60"/>
      <c r="K894" s="59"/>
      <c r="L894" s="60"/>
      <c r="M894" s="59"/>
      <c r="N894" s="63"/>
      <c r="O894" s="60"/>
      <c r="P894" s="60"/>
      <c r="Q894" s="60"/>
      <c r="R894" s="60"/>
      <c r="S894" s="60"/>
      <c r="T894" s="60"/>
      <c r="U894" s="60"/>
      <c r="V894" s="64"/>
      <c r="W894" s="60"/>
      <c r="X894" s="59"/>
      <c r="Y894" s="60"/>
      <c r="Z894" s="59"/>
      <c r="AA894" s="60"/>
    </row>
    <row r="895">
      <c r="A895" s="58"/>
      <c r="B895" s="58"/>
      <c r="C895" s="59"/>
      <c r="D895" s="60"/>
      <c r="E895" s="61"/>
      <c r="F895" s="62"/>
      <c r="G895" s="62"/>
      <c r="H895" s="62"/>
      <c r="I895" s="59"/>
      <c r="J895" s="60"/>
      <c r="K895" s="59"/>
      <c r="L895" s="60"/>
      <c r="M895" s="59"/>
      <c r="N895" s="63"/>
      <c r="O895" s="60"/>
      <c r="P895" s="60"/>
      <c r="Q895" s="60"/>
      <c r="R895" s="60"/>
      <c r="S895" s="60"/>
      <c r="T895" s="60"/>
      <c r="U895" s="60"/>
      <c r="V895" s="64"/>
      <c r="W895" s="60"/>
      <c r="X895" s="59"/>
      <c r="Y895" s="60"/>
      <c r="Z895" s="59"/>
      <c r="AA895" s="60"/>
    </row>
    <row r="896">
      <c r="A896" s="58"/>
      <c r="B896" s="58"/>
      <c r="C896" s="59"/>
      <c r="D896" s="60"/>
      <c r="E896" s="61"/>
      <c r="F896" s="62"/>
      <c r="G896" s="62"/>
      <c r="H896" s="62"/>
      <c r="I896" s="59"/>
      <c r="J896" s="60"/>
      <c r="K896" s="59"/>
      <c r="L896" s="60"/>
      <c r="M896" s="59"/>
      <c r="N896" s="63"/>
      <c r="O896" s="60"/>
      <c r="P896" s="60"/>
      <c r="Q896" s="60"/>
      <c r="R896" s="60"/>
      <c r="S896" s="60"/>
      <c r="T896" s="60"/>
      <c r="U896" s="60"/>
      <c r="V896" s="64"/>
      <c r="W896" s="60"/>
      <c r="X896" s="59"/>
      <c r="Y896" s="60"/>
      <c r="Z896" s="59"/>
      <c r="AA896" s="60"/>
    </row>
    <row r="897">
      <c r="A897" s="58"/>
      <c r="B897" s="58"/>
      <c r="C897" s="59"/>
      <c r="D897" s="60"/>
      <c r="E897" s="61"/>
      <c r="F897" s="62"/>
      <c r="G897" s="62"/>
      <c r="H897" s="62"/>
      <c r="I897" s="59"/>
      <c r="J897" s="60"/>
      <c r="K897" s="59"/>
      <c r="L897" s="60"/>
      <c r="M897" s="59"/>
      <c r="N897" s="63"/>
      <c r="O897" s="60"/>
      <c r="P897" s="60"/>
      <c r="Q897" s="60"/>
      <c r="R897" s="60"/>
      <c r="S897" s="60"/>
      <c r="T897" s="60"/>
      <c r="U897" s="60"/>
      <c r="V897" s="64"/>
      <c r="W897" s="60"/>
      <c r="X897" s="59"/>
      <c r="Y897" s="60"/>
      <c r="Z897" s="59"/>
      <c r="AA897" s="60"/>
    </row>
    <row r="898">
      <c r="A898" s="58"/>
      <c r="B898" s="58"/>
      <c r="C898" s="59"/>
      <c r="D898" s="60"/>
      <c r="E898" s="61"/>
      <c r="F898" s="62"/>
      <c r="G898" s="62"/>
      <c r="H898" s="62"/>
      <c r="I898" s="59"/>
      <c r="J898" s="60"/>
      <c r="K898" s="59"/>
      <c r="L898" s="60"/>
      <c r="M898" s="59"/>
      <c r="N898" s="63"/>
      <c r="O898" s="60"/>
      <c r="P898" s="60"/>
      <c r="Q898" s="60"/>
      <c r="R898" s="60"/>
      <c r="S898" s="60"/>
      <c r="T898" s="60"/>
      <c r="U898" s="60"/>
      <c r="V898" s="64"/>
      <c r="W898" s="60"/>
      <c r="X898" s="59"/>
      <c r="Y898" s="60"/>
      <c r="Z898" s="59"/>
      <c r="AA898" s="60"/>
    </row>
    <row r="899">
      <c r="A899" s="58"/>
      <c r="B899" s="58"/>
      <c r="C899" s="59"/>
      <c r="D899" s="60"/>
      <c r="E899" s="61"/>
      <c r="F899" s="62"/>
      <c r="G899" s="62"/>
      <c r="H899" s="62"/>
      <c r="I899" s="59"/>
      <c r="J899" s="60"/>
      <c r="K899" s="59"/>
      <c r="L899" s="60"/>
      <c r="M899" s="59"/>
      <c r="N899" s="63"/>
      <c r="O899" s="60"/>
      <c r="P899" s="60"/>
      <c r="Q899" s="60"/>
      <c r="R899" s="60"/>
      <c r="S899" s="60"/>
      <c r="T899" s="60"/>
      <c r="U899" s="60"/>
      <c r="V899" s="64"/>
      <c r="W899" s="60"/>
      <c r="X899" s="59"/>
      <c r="Y899" s="60"/>
      <c r="Z899" s="59"/>
      <c r="AA899" s="60"/>
    </row>
    <row r="900">
      <c r="A900" s="58"/>
      <c r="B900" s="58"/>
      <c r="C900" s="59"/>
      <c r="D900" s="60"/>
      <c r="E900" s="61"/>
      <c r="F900" s="62"/>
      <c r="G900" s="62"/>
      <c r="H900" s="62"/>
      <c r="I900" s="59"/>
      <c r="J900" s="60"/>
      <c r="K900" s="59"/>
      <c r="L900" s="60"/>
      <c r="M900" s="59"/>
      <c r="N900" s="63"/>
      <c r="O900" s="60"/>
      <c r="P900" s="60"/>
      <c r="Q900" s="60"/>
      <c r="R900" s="60"/>
      <c r="S900" s="60"/>
      <c r="T900" s="60"/>
      <c r="U900" s="60"/>
      <c r="V900" s="64"/>
      <c r="W900" s="60"/>
      <c r="X900" s="59"/>
      <c r="Y900" s="60"/>
      <c r="Z900" s="59"/>
      <c r="AA900" s="60"/>
    </row>
    <row r="901">
      <c r="A901" s="58"/>
      <c r="B901" s="58"/>
      <c r="C901" s="59"/>
      <c r="D901" s="60"/>
      <c r="E901" s="61"/>
      <c r="F901" s="62"/>
      <c r="G901" s="62"/>
      <c r="H901" s="62"/>
      <c r="I901" s="59"/>
      <c r="J901" s="60"/>
      <c r="K901" s="59"/>
      <c r="L901" s="60"/>
      <c r="M901" s="59"/>
      <c r="N901" s="63"/>
      <c r="O901" s="60"/>
      <c r="P901" s="60"/>
      <c r="Q901" s="60"/>
      <c r="R901" s="60"/>
      <c r="S901" s="60"/>
      <c r="T901" s="60"/>
      <c r="U901" s="60"/>
      <c r="V901" s="64"/>
      <c r="W901" s="60"/>
      <c r="X901" s="59"/>
      <c r="Y901" s="60"/>
      <c r="Z901" s="59"/>
      <c r="AA901" s="60"/>
    </row>
    <row r="902">
      <c r="A902" s="58"/>
      <c r="B902" s="58"/>
      <c r="C902" s="59"/>
      <c r="D902" s="60"/>
      <c r="E902" s="61"/>
      <c r="F902" s="62"/>
      <c r="G902" s="62"/>
      <c r="H902" s="62"/>
      <c r="I902" s="59"/>
      <c r="J902" s="60"/>
      <c r="K902" s="59"/>
      <c r="L902" s="60"/>
      <c r="M902" s="59"/>
      <c r="N902" s="63"/>
      <c r="O902" s="60"/>
      <c r="P902" s="60"/>
      <c r="Q902" s="60"/>
      <c r="R902" s="60"/>
      <c r="S902" s="60"/>
      <c r="T902" s="60"/>
      <c r="U902" s="60"/>
      <c r="V902" s="64"/>
      <c r="W902" s="60"/>
      <c r="X902" s="59"/>
      <c r="Y902" s="60"/>
      <c r="Z902" s="59"/>
      <c r="AA902" s="60"/>
    </row>
    <row r="903">
      <c r="A903" s="58"/>
      <c r="B903" s="58"/>
      <c r="C903" s="59"/>
      <c r="D903" s="60"/>
      <c r="E903" s="61"/>
      <c r="F903" s="62"/>
      <c r="G903" s="62"/>
      <c r="H903" s="62"/>
      <c r="I903" s="59"/>
      <c r="J903" s="60"/>
      <c r="K903" s="59"/>
      <c r="L903" s="60"/>
      <c r="M903" s="59"/>
      <c r="N903" s="63"/>
      <c r="O903" s="60"/>
      <c r="P903" s="60"/>
      <c r="Q903" s="60"/>
      <c r="R903" s="60"/>
      <c r="S903" s="60"/>
      <c r="T903" s="60"/>
      <c r="U903" s="60"/>
      <c r="V903" s="64"/>
      <c r="W903" s="60"/>
      <c r="X903" s="59"/>
      <c r="Y903" s="60"/>
      <c r="Z903" s="59"/>
      <c r="AA903" s="60"/>
    </row>
    <row r="904">
      <c r="A904" s="58"/>
      <c r="B904" s="58"/>
      <c r="C904" s="59"/>
      <c r="D904" s="60"/>
      <c r="E904" s="61"/>
      <c r="F904" s="62"/>
      <c r="G904" s="62"/>
      <c r="H904" s="62"/>
      <c r="I904" s="59"/>
      <c r="J904" s="60"/>
      <c r="K904" s="59"/>
      <c r="L904" s="60"/>
      <c r="M904" s="59"/>
      <c r="N904" s="63"/>
      <c r="O904" s="60"/>
      <c r="P904" s="60"/>
      <c r="Q904" s="60"/>
      <c r="R904" s="60"/>
      <c r="S904" s="60"/>
      <c r="T904" s="60"/>
      <c r="U904" s="60"/>
      <c r="V904" s="64"/>
      <c r="W904" s="60"/>
      <c r="X904" s="59"/>
      <c r="Y904" s="60"/>
      <c r="Z904" s="59"/>
      <c r="AA904" s="60"/>
    </row>
    <row r="905">
      <c r="A905" s="58"/>
      <c r="B905" s="58"/>
      <c r="C905" s="59"/>
      <c r="D905" s="60"/>
      <c r="E905" s="61"/>
      <c r="F905" s="62"/>
      <c r="G905" s="62"/>
      <c r="H905" s="62"/>
      <c r="I905" s="59"/>
      <c r="J905" s="60"/>
      <c r="K905" s="59"/>
      <c r="L905" s="60"/>
      <c r="M905" s="59"/>
      <c r="N905" s="63"/>
      <c r="O905" s="60"/>
      <c r="P905" s="60"/>
      <c r="Q905" s="60"/>
      <c r="R905" s="60"/>
      <c r="S905" s="60"/>
      <c r="T905" s="60"/>
      <c r="U905" s="60"/>
      <c r="V905" s="64"/>
      <c r="W905" s="60"/>
      <c r="X905" s="59"/>
      <c r="Y905" s="60"/>
      <c r="Z905" s="59"/>
      <c r="AA905" s="60"/>
    </row>
    <row r="906">
      <c r="A906" s="58"/>
      <c r="B906" s="58"/>
      <c r="C906" s="59"/>
      <c r="D906" s="60"/>
      <c r="E906" s="61"/>
      <c r="F906" s="62"/>
      <c r="G906" s="62"/>
      <c r="H906" s="62"/>
      <c r="I906" s="59"/>
      <c r="J906" s="60"/>
      <c r="K906" s="59"/>
      <c r="L906" s="60"/>
      <c r="M906" s="59"/>
      <c r="N906" s="63"/>
      <c r="O906" s="60"/>
      <c r="P906" s="60"/>
      <c r="Q906" s="60"/>
      <c r="R906" s="60"/>
      <c r="S906" s="60"/>
      <c r="T906" s="60"/>
      <c r="U906" s="60"/>
      <c r="V906" s="64"/>
      <c r="W906" s="60"/>
      <c r="X906" s="59"/>
      <c r="Y906" s="60"/>
      <c r="Z906" s="59"/>
      <c r="AA906" s="60"/>
    </row>
    <row r="907">
      <c r="A907" s="58"/>
      <c r="B907" s="58"/>
      <c r="C907" s="59"/>
      <c r="D907" s="60"/>
      <c r="E907" s="61"/>
      <c r="F907" s="62"/>
      <c r="G907" s="62"/>
      <c r="H907" s="62"/>
      <c r="I907" s="59"/>
      <c r="J907" s="60"/>
      <c r="K907" s="59"/>
      <c r="L907" s="60"/>
      <c r="M907" s="59"/>
      <c r="N907" s="63"/>
      <c r="O907" s="60"/>
      <c r="P907" s="60"/>
      <c r="Q907" s="60"/>
      <c r="R907" s="60"/>
      <c r="S907" s="60"/>
      <c r="T907" s="60"/>
      <c r="U907" s="60"/>
      <c r="V907" s="64"/>
      <c r="W907" s="60"/>
      <c r="X907" s="59"/>
      <c r="Y907" s="60"/>
      <c r="Z907" s="59"/>
      <c r="AA907" s="60"/>
    </row>
    <row r="908">
      <c r="A908" s="58"/>
      <c r="B908" s="58"/>
      <c r="C908" s="59"/>
      <c r="D908" s="60"/>
      <c r="E908" s="61"/>
      <c r="F908" s="62"/>
      <c r="G908" s="62"/>
      <c r="H908" s="62"/>
      <c r="I908" s="59"/>
      <c r="J908" s="60"/>
      <c r="K908" s="59"/>
      <c r="L908" s="60"/>
      <c r="M908" s="59"/>
      <c r="N908" s="63"/>
      <c r="O908" s="60"/>
      <c r="P908" s="60"/>
      <c r="Q908" s="60"/>
      <c r="R908" s="60"/>
      <c r="S908" s="60"/>
      <c r="T908" s="60"/>
      <c r="U908" s="60"/>
      <c r="V908" s="64"/>
      <c r="W908" s="60"/>
      <c r="X908" s="59"/>
      <c r="Y908" s="60"/>
      <c r="Z908" s="59"/>
      <c r="AA908" s="60"/>
    </row>
    <row r="909">
      <c r="A909" s="58"/>
      <c r="B909" s="58"/>
      <c r="C909" s="59"/>
      <c r="D909" s="60"/>
      <c r="E909" s="61"/>
      <c r="F909" s="62"/>
      <c r="G909" s="62"/>
      <c r="H909" s="62"/>
      <c r="I909" s="59"/>
      <c r="J909" s="60"/>
      <c r="K909" s="59"/>
      <c r="L909" s="60"/>
      <c r="M909" s="59"/>
      <c r="N909" s="63"/>
      <c r="O909" s="60"/>
      <c r="P909" s="60"/>
      <c r="Q909" s="60"/>
      <c r="R909" s="60"/>
      <c r="S909" s="60"/>
      <c r="T909" s="60"/>
      <c r="U909" s="60"/>
      <c r="V909" s="64"/>
      <c r="W909" s="60"/>
      <c r="X909" s="59"/>
      <c r="Y909" s="60"/>
      <c r="Z909" s="59"/>
      <c r="AA909" s="60"/>
    </row>
    <row r="910">
      <c r="A910" s="58"/>
      <c r="B910" s="58"/>
      <c r="C910" s="59"/>
      <c r="D910" s="60"/>
      <c r="E910" s="61"/>
      <c r="F910" s="62"/>
      <c r="G910" s="62"/>
      <c r="H910" s="62"/>
      <c r="I910" s="59"/>
      <c r="J910" s="60"/>
      <c r="K910" s="59"/>
      <c r="L910" s="60"/>
      <c r="M910" s="59"/>
      <c r="N910" s="63"/>
      <c r="O910" s="60"/>
      <c r="P910" s="60"/>
      <c r="Q910" s="60"/>
      <c r="R910" s="60"/>
      <c r="S910" s="60"/>
      <c r="T910" s="60"/>
      <c r="U910" s="60"/>
      <c r="V910" s="64"/>
      <c r="W910" s="60"/>
      <c r="X910" s="59"/>
      <c r="Y910" s="60"/>
      <c r="Z910" s="59"/>
      <c r="AA910" s="60"/>
    </row>
    <row r="911">
      <c r="A911" s="58"/>
      <c r="B911" s="58"/>
      <c r="C911" s="59"/>
      <c r="D911" s="60"/>
      <c r="E911" s="61"/>
      <c r="F911" s="62"/>
      <c r="G911" s="62"/>
      <c r="H911" s="62"/>
      <c r="I911" s="59"/>
      <c r="J911" s="60"/>
      <c r="K911" s="59"/>
      <c r="L911" s="60"/>
      <c r="M911" s="59"/>
      <c r="N911" s="63"/>
      <c r="O911" s="60"/>
      <c r="P911" s="60"/>
      <c r="Q911" s="60"/>
      <c r="R911" s="60"/>
      <c r="S911" s="60"/>
      <c r="T911" s="60"/>
      <c r="U911" s="60"/>
      <c r="V911" s="64"/>
      <c r="W911" s="60"/>
      <c r="X911" s="59"/>
      <c r="Y911" s="60"/>
      <c r="Z911" s="59"/>
      <c r="AA911" s="60"/>
    </row>
    <row r="912">
      <c r="A912" s="58"/>
      <c r="B912" s="58"/>
      <c r="C912" s="59"/>
      <c r="D912" s="60"/>
      <c r="E912" s="61"/>
      <c r="F912" s="62"/>
      <c r="G912" s="62"/>
      <c r="H912" s="62"/>
      <c r="I912" s="59"/>
      <c r="J912" s="60"/>
      <c r="K912" s="59"/>
      <c r="L912" s="60"/>
      <c r="M912" s="59"/>
      <c r="N912" s="63"/>
      <c r="O912" s="60"/>
      <c r="P912" s="60"/>
      <c r="Q912" s="60"/>
      <c r="R912" s="60"/>
      <c r="S912" s="60"/>
      <c r="T912" s="60"/>
      <c r="U912" s="60"/>
      <c r="V912" s="64"/>
      <c r="W912" s="60"/>
      <c r="X912" s="59"/>
      <c r="Y912" s="60"/>
      <c r="Z912" s="59"/>
      <c r="AA912" s="60"/>
    </row>
    <row r="913">
      <c r="A913" s="58"/>
      <c r="B913" s="58"/>
      <c r="C913" s="59"/>
      <c r="D913" s="60"/>
      <c r="E913" s="61"/>
      <c r="F913" s="62"/>
      <c r="G913" s="62"/>
      <c r="H913" s="62"/>
      <c r="I913" s="59"/>
      <c r="J913" s="60"/>
      <c r="K913" s="59"/>
      <c r="L913" s="60"/>
      <c r="M913" s="59"/>
      <c r="N913" s="63"/>
      <c r="O913" s="60"/>
      <c r="P913" s="60"/>
      <c r="Q913" s="60"/>
      <c r="R913" s="60"/>
      <c r="S913" s="60"/>
      <c r="T913" s="60"/>
      <c r="U913" s="60"/>
      <c r="V913" s="64"/>
      <c r="W913" s="60"/>
      <c r="X913" s="59"/>
      <c r="Y913" s="60"/>
      <c r="Z913" s="59"/>
      <c r="AA913" s="60"/>
    </row>
    <row r="914">
      <c r="A914" s="58"/>
      <c r="B914" s="58"/>
      <c r="C914" s="59"/>
      <c r="D914" s="60"/>
      <c r="E914" s="61"/>
      <c r="F914" s="62"/>
      <c r="G914" s="62"/>
      <c r="H914" s="62"/>
      <c r="I914" s="59"/>
      <c r="J914" s="60"/>
      <c r="K914" s="59"/>
      <c r="L914" s="60"/>
      <c r="M914" s="59"/>
      <c r="N914" s="63"/>
      <c r="O914" s="60"/>
      <c r="P914" s="60"/>
      <c r="Q914" s="60"/>
      <c r="R914" s="60"/>
      <c r="S914" s="60"/>
      <c r="T914" s="60"/>
      <c r="U914" s="60"/>
      <c r="V914" s="64"/>
      <c r="W914" s="60"/>
      <c r="X914" s="59"/>
      <c r="Y914" s="60"/>
      <c r="Z914" s="59"/>
      <c r="AA914" s="60"/>
    </row>
    <row r="915">
      <c r="A915" s="58"/>
      <c r="B915" s="58"/>
      <c r="C915" s="59"/>
      <c r="D915" s="60"/>
      <c r="E915" s="61"/>
      <c r="F915" s="62"/>
      <c r="G915" s="62"/>
      <c r="H915" s="62"/>
      <c r="I915" s="59"/>
      <c r="J915" s="60"/>
      <c r="K915" s="59"/>
      <c r="L915" s="60"/>
      <c r="M915" s="59"/>
      <c r="N915" s="63"/>
      <c r="O915" s="60"/>
      <c r="P915" s="60"/>
      <c r="Q915" s="60"/>
      <c r="R915" s="60"/>
      <c r="S915" s="60"/>
      <c r="T915" s="60"/>
      <c r="U915" s="60"/>
      <c r="V915" s="64"/>
      <c r="W915" s="60"/>
      <c r="X915" s="59"/>
      <c r="Y915" s="60"/>
      <c r="Z915" s="59"/>
      <c r="AA915" s="60"/>
    </row>
    <row r="916">
      <c r="A916" s="58"/>
      <c r="B916" s="58"/>
      <c r="C916" s="59"/>
      <c r="D916" s="60"/>
      <c r="E916" s="61"/>
      <c r="F916" s="62"/>
      <c r="G916" s="62"/>
      <c r="H916" s="62"/>
      <c r="I916" s="59"/>
      <c r="J916" s="60"/>
      <c r="K916" s="59"/>
      <c r="L916" s="60"/>
      <c r="M916" s="59"/>
      <c r="N916" s="63"/>
      <c r="O916" s="60"/>
      <c r="P916" s="60"/>
      <c r="Q916" s="60"/>
      <c r="R916" s="60"/>
      <c r="S916" s="60"/>
      <c r="T916" s="60"/>
      <c r="U916" s="60"/>
      <c r="V916" s="64"/>
      <c r="W916" s="60"/>
      <c r="X916" s="59"/>
      <c r="Y916" s="60"/>
      <c r="Z916" s="59"/>
      <c r="AA916" s="60"/>
    </row>
    <row r="917">
      <c r="A917" s="58"/>
      <c r="B917" s="58"/>
      <c r="C917" s="59"/>
      <c r="D917" s="60"/>
      <c r="E917" s="61"/>
      <c r="F917" s="62"/>
      <c r="G917" s="62"/>
      <c r="H917" s="62"/>
      <c r="I917" s="59"/>
      <c r="J917" s="60"/>
      <c r="K917" s="59"/>
      <c r="L917" s="60"/>
      <c r="M917" s="59"/>
      <c r="N917" s="63"/>
      <c r="O917" s="60"/>
      <c r="P917" s="60"/>
      <c r="Q917" s="60"/>
      <c r="R917" s="60"/>
      <c r="S917" s="60"/>
      <c r="T917" s="60"/>
      <c r="U917" s="60"/>
      <c r="V917" s="64"/>
      <c r="W917" s="60"/>
      <c r="X917" s="59"/>
      <c r="Y917" s="60"/>
      <c r="Z917" s="59"/>
      <c r="AA917" s="60"/>
    </row>
    <row r="918">
      <c r="A918" s="58"/>
      <c r="B918" s="58"/>
      <c r="C918" s="59"/>
      <c r="D918" s="60"/>
      <c r="E918" s="61"/>
      <c r="F918" s="62"/>
      <c r="G918" s="62"/>
      <c r="H918" s="62"/>
      <c r="I918" s="59"/>
      <c r="J918" s="60"/>
      <c r="K918" s="59"/>
      <c r="L918" s="60"/>
      <c r="M918" s="59"/>
      <c r="N918" s="63"/>
      <c r="O918" s="60"/>
      <c r="P918" s="60"/>
      <c r="Q918" s="60"/>
      <c r="R918" s="60"/>
      <c r="S918" s="60"/>
      <c r="T918" s="60"/>
      <c r="U918" s="60"/>
      <c r="V918" s="64"/>
      <c r="W918" s="60"/>
      <c r="X918" s="59"/>
      <c r="Y918" s="60"/>
      <c r="Z918" s="59"/>
      <c r="AA918" s="60"/>
    </row>
    <row r="919">
      <c r="A919" s="58"/>
      <c r="B919" s="58"/>
      <c r="C919" s="59"/>
      <c r="D919" s="60"/>
      <c r="E919" s="61"/>
      <c r="F919" s="62"/>
      <c r="G919" s="62"/>
      <c r="H919" s="62"/>
      <c r="I919" s="59"/>
      <c r="J919" s="60"/>
      <c r="K919" s="59"/>
      <c r="L919" s="60"/>
      <c r="M919" s="59"/>
      <c r="N919" s="63"/>
      <c r="O919" s="60"/>
      <c r="P919" s="60"/>
      <c r="Q919" s="60"/>
      <c r="R919" s="60"/>
      <c r="S919" s="60"/>
      <c r="T919" s="60"/>
      <c r="U919" s="60"/>
      <c r="V919" s="64"/>
      <c r="W919" s="60"/>
      <c r="X919" s="59"/>
      <c r="Y919" s="60"/>
      <c r="Z919" s="59"/>
      <c r="AA919" s="60"/>
    </row>
    <row r="920">
      <c r="A920" s="58"/>
      <c r="B920" s="58"/>
      <c r="C920" s="59"/>
      <c r="D920" s="60"/>
      <c r="E920" s="61"/>
      <c r="F920" s="62"/>
      <c r="G920" s="62"/>
      <c r="H920" s="62"/>
      <c r="I920" s="59"/>
      <c r="J920" s="60"/>
      <c r="K920" s="59"/>
      <c r="L920" s="60"/>
      <c r="M920" s="59"/>
      <c r="N920" s="63"/>
      <c r="O920" s="60"/>
      <c r="P920" s="60"/>
      <c r="Q920" s="60"/>
      <c r="R920" s="60"/>
      <c r="S920" s="60"/>
      <c r="T920" s="60"/>
      <c r="U920" s="60"/>
      <c r="V920" s="64"/>
      <c r="W920" s="60"/>
      <c r="X920" s="59"/>
      <c r="Y920" s="60"/>
      <c r="Z920" s="59"/>
      <c r="AA920" s="60"/>
    </row>
    <row r="921">
      <c r="A921" s="58"/>
      <c r="B921" s="58"/>
      <c r="C921" s="59"/>
      <c r="D921" s="60"/>
      <c r="E921" s="61"/>
      <c r="F921" s="62"/>
      <c r="G921" s="62"/>
      <c r="H921" s="62"/>
      <c r="I921" s="59"/>
      <c r="J921" s="60"/>
      <c r="K921" s="59"/>
      <c r="L921" s="60"/>
      <c r="M921" s="59"/>
      <c r="N921" s="63"/>
      <c r="O921" s="60"/>
      <c r="P921" s="60"/>
      <c r="Q921" s="60"/>
      <c r="R921" s="60"/>
      <c r="S921" s="60"/>
      <c r="T921" s="60"/>
      <c r="U921" s="60"/>
      <c r="V921" s="64"/>
      <c r="W921" s="60"/>
      <c r="X921" s="59"/>
      <c r="Y921" s="60"/>
      <c r="Z921" s="59"/>
      <c r="AA921" s="60"/>
    </row>
    <row r="922">
      <c r="A922" s="58"/>
      <c r="B922" s="58"/>
      <c r="C922" s="59"/>
      <c r="D922" s="60"/>
      <c r="E922" s="61"/>
      <c r="F922" s="62"/>
      <c r="G922" s="62"/>
      <c r="H922" s="62"/>
      <c r="I922" s="59"/>
      <c r="J922" s="60"/>
      <c r="K922" s="59"/>
      <c r="L922" s="60"/>
      <c r="M922" s="59"/>
      <c r="N922" s="63"/>
      <c r="O922" s="60"/>
      <c r="P922" s="60"/>
      <c r="Q922" s="60"/>
      <c r="R922" s="60"/>
      <c r="S922" s="60"/>
      <c r="T922" s="60"/>
      <c r="U922" s="60"/>
      <c r="V922" s="64"/>
      <c r="W922" s="60"/>
      <c r="X922" s="59"/>
      <c r="Y922" s="60"/>
      <c r="Z922" s="59"/>
      <c r="AA922" s="60"/>
    </row>
    <row r="923">
      <c r="A923" s="58"/>
      <c r="B923" s="58"/>
      <c r="C923" s="59"/>
      <c r="D923" s="60"/>
      <c r="E923" s="61"/>
      <c r="F923" s="62"/>
      <c r="G923" s="62"/>
      <c r="H923" s="62"/>
      <c r="I923" s="59"/>
      <c r="J923" s="60"/>
      <c r="K923" s="59"/>
      <c r="L923" s="60"/>
      <c r="M923" s="59"/>
      <c r="N923" s="63"/>
      <c r="O923" s="60"/>
      <c r="P923" s="60"/>
      <c r="Q923" s="60"/>
      <c r="R923" s="60"/>
      <c r="S923" s="60"/>
      <c r="T923" s="60"/>
      <c r="U923" s="60"/>
      <c r="V923" s="64"/>
      <c r="W923" s="60"/>
      <c r="X923" s="59"/>
      <c r="Y923" s="60"/>
      <c r="Z923" s="59"/>
      <c r="AA923" s="60"/>
    </row>
    <row r="924">
      <c r="A924" s="58"/>
      <c r="B924" s="58"/>
      <c r="C924" s="59"/>
      <c r="D924" s="60"/>
      <c r="E924" s="61"/>
      <c r="F924" s="62"/>
      <c r="G924" s="62"/>
      <c r="H924" s="62"/>
      <c r="I924" s="59"/>
      <c r="J924" s="60"/>
      <c r="K924" s="59"/>
      <c r="L924" s="60"/>
      <c r="M924" s="59"/>
      <c r="N924" s="63"/>
      <c r="O924" s="60"/>
      <c r="P924" s="60"/>
      <c r="Q924" s="60"/>
      <c r="R924" s="60"/>
      <c r="S924" s="60"/>
      <c r="T924" s="60"/>
      <c r="U924" s="60"/>
      <c r="V924" s="64"/>
      <c r="W924" s="60"/>
      <c r="X924" s="59"/>
      <c r="Y924" s="60"/>
      <c r="Z924" s="59"/>
      <c r="AA924" s="60"/>
    </row>
    <row r="925">
      <c r="A925" s="58"/>
      <c r="B925" s="58"/>
      <c r="C925" s="59"/>
      <c r="D925" s="60"/>
      <c r="E925" s="61"/>
      <c r="F925" s="62"/>
      <c r="G925" s="62"/>
      <c r="H925" s="62"/>
      <c r="I925" s="59"/>
      <c r="J925" s="60"/>
      <c r="K925" s="59"/>
      <c r="L925" s="60"/>
      <c r="M925" s="59"/>
      <c r="N925" s="63"/>
      <c r="O925" s="60"/>
      <c r="P925" s="60"/>
      <c r="Q925" s="60"/>
      <c r="R925" s="60"/>
      <c r="S925" s="60"/>
      <c r="T925" s="60"/>
      <c r="U925" s="60"/>
      <c r="V925" s="64"/>
      <c r="W925" s="60"/>
      <c r="X925" s="59"/>
      <c r="Y925" s="60"/>
      <c r="Z925" s="59"/>
      <c r="AA925" s="60"/>
    </row>
    <row r="926">
      <c r="A926" s="58"/>
      <c r="B926" s="58"/>
      <c r="C926" s="59"/>
      <c r="D926" s="60"/>
      <c r="E926" s="61"/>
      <c r="F926" s="62"/>
      <c r="G926" s="62"/>
      <c r="H926" s="62"/>
      <c r="I926" s="59"/>
      <c r="J926" s="60"/>
      <c r="K926" s="59"/>
      <c r="L926" s="60"/>
      <c r="M926" s="59"/>
      <c r="N926" s="63"/>
      <c r="O926" s="60"/>
      <c r="P926" s="60"/>
      <c r="Q926" s="60"/>
      <c r="R926" s="60"/>
      <c r="S926" s="60"/>
      <c r="T926" s="60"/>
      <c r="U926" s="60"/>
      <c r="V926" s="64"/>
      <c r="W926" s="60"/>
      <c r="X926" s="59"/>
      <c r="Y926" s="60"/>
      <c r="Z926" s="59"/>
      <c r="AA926" s="60"/>
    </row>
    <row r="927">
      <c r="A927" s="58"/>
      <c r="B927" s="58"/>
      <c r="C927" s="59"/>
      <c r="D927" s="60"/>
      <c r="E927" s="61"/>
      <c r="F927" s="62"/>
      <c r="G927" s="62"/>
      <c r="H927" s="62"/>
      <c r="I927" s="59"/>
      <c r="J927" s="60"/>
      <c r="K927" s="59"/>
      <c r="L927" s="60"/>
      <c r="M927" s="59"/>
      <c r="N927" s="63"/>
      <c r="O927" s="60"/>
      <c r="P927" s="60"/>
      <c r="Q927" s="60"/>
      <c r="R927" s="60"/>
      <c r="S927" s="60"/>
      <c r="T927" s="60"/>
      <c r="U927" s="60"/>
      <c r="V927" s="64"/>
      <c r="W927" s="60"/>
      <c r="X927" s="59"/>
      <c r="Y927" s="60"/>
      <c r="Z927" s="59"/>
      <c r="AA927" s="60"/>
    </row>
    <row r="928">
      <c r="A928" s="58"/>
      <c r="B928" s="58"/>
      <c r="C928" s="59"/>
      <c r="D928" s="60"/>
      <c r="E928" s="61"/>
      <c r="F928" s="62"/>
      <c r="G928" s="62"/>
      <c r="H928" s="62"/>
      <c r="I928" s="59"/>
      <c r="J928" s="60"/>
      <c r="K928" s="59"/>
      <c r="L928" s="60"/>
      <c r="M928" s="59"/>
      <c r="N928" s="63"/>
      <c r="O928" s="60"/>
      <c r="P928" s="60"/>
      <c r="Q928" s="60"/>
      <c r="R928" s="60"/>
      <c r="S928" s="60"/>
      <c r="T928" s="60"/>
      <c r="U928" s="60"/>
      <c r="V928" s="64"/>
      <c r="W928" s="60"/>
      <c r="X928" s="59"/>
      <c r="Y928" s="60"/>
      <c r="Z928" s="59"/>
      <c r="AA928" s="60"/>
    </row>
    <row r="929">
      <c r="A929" s="58"/>
      <c r="B929" s="58"/>
      <c r="C929" s="59"/>
      <c r="D929" s="60"/>
      <c r="E929" s="61"/>
      <c r="F929" s="62"/>
      <c r="G929" s="62"/>
      <c r="H929" s="62"/>
      <c r="I929" s="59"/>
      <c r="J929" s="60"/>
      <c r="K929" s="59"/>
      <c r="L929" s="60"/>
      <c r="M929" s="59"/>
      <c r="N929" s="63"/>
      <c r="O929" s="60"/>
      <c r="P929" s="60"/>
      <c r="Q929" s="60"/>
      <c r="R929" s="60"/>
      <c r="S929" s="60"/>
      <c r="T929" s="60"/>
      <c r="U929" s="60"/>
      <c r="V929" s="64"/>
      <c r="W929" s="60"/>
      <c r="X929" s="59"/>
      <c r="Y929" s="60"/>
      <c r="Z929" s="59"/>
      <c r="AA929" s="60"/>
    </row>
    <row r="930">
      <c r="A930" s="58"/>
      <c r="B930" s="58"/>
      <c r="C930" s="59"/>
      <c r="D930" s="60"/>
      <c r="E930" s="61"/>
      <c r="F930" s="62"/>
      <c r="G930" s="62"/>
      <c r="H930" s="62"/>
      <c r="I930" s="59"/>
      <c r="J930" s="60"/>
      <c r="K930" s="59"/>
      <c r="L930" s="60"/>
      <c r="M930" s="59"/>
      <c r="N930" s="63"/>
      <c r="O930" s="60"/>
      <c r="P930" s="60"/>
      <c r="Q930" s="60"/>
      <c r="R930" s="60"/>
      <c r="S930" s="60"/>
      <c r="T930" s="60"/>
      <c r="U930" s="60"/>
      <c r="V930" s="64"/>
      <c r="W930" s="60"/>
      <c r="X930" s="59"/>
      <c r="Y930" s="60"/>
      <c r="Z930" s="59"/>
      <c r="AA930" s="60"/>
    </row>
    <row r="931">
      <c r="A931" s="58"/>
      <c r="B931" s="58"/>
      <c r="C931" s="59"/>
      <c r="D931" s="60"/>
      <c r="E931" s="61"/>
      <c r="F931" s="62"/>
      <c r="G931" s="62"/>
      <c r="H931" s="62"/>
      <c r="I931" s="59"/>
      <c r="J931" s="60"/>
      <c r="K931" s="59"/>
      <c r="L931" s="60"/>
      <c r="M931" s="59"/>
      <c r="N931" s="63"/>
      <c r="O931" s="60"/>
      <c r="P931" s="60"/>
      <c r="Q931" s="60"/>
      <c r="R931" s="60"/>
      <c r="S931" s="60"/>
      <c r="T931" s="60"/>
      <c r="U931" s="60"/>
      <c r="V931" s="64"/>
      <c r="W931" s="60"/>
      <c r="X931" s="59"/>
      <c r="Y931" s="60"/>
      <c r="Z931" s="59"/>
      <c r="AA931" s="60"/>
    </row>
    <row r="932">
      <c r="A932" s="58"/>
      <c r="B932" s="58"/>
      <c r="C932" s="59"/>
      <c r="D932" s="60"/>
      <c r="E932" s="61"/>
      <c r="F932" s="62"/>
      <c r="G932" s="62"/>
      <c r="H932" s="62"/>
      <c r="I932" s="59"/>
      <c r="J932" s="60"/>
      <c r="K932" s="59"/>
      <c r="L932" s="60"/>
      <c r="M932" s="59"/>
      <c r="N932" s="63"/>
      <c r="O932" s="60"/>
      <c r="P932" s="60"/>
      <c r="Q932" s="60"/>
      <c r="R932" s="60"/>
      <c r="S932" s="60"/>
      <c r="T932" s="60"/>
      <c r="U932" s="60"/>
      <c r="V932" s="64"/>
      <c r="W932" s="60"/>
      <c r="X932" s="59"/>
      <c r="Y932" s="60"/>
      <c r="Z932" s="59"/>
      <c r="AA932" s="60"/>
    </row>
    <row r="933">
      <c r="A933" s="58"/>
      <c r="B933" s="58"/>
      <c r="C933" s="59"/>
      <c r="D933" s="60"/>
      <c r="E933" s="61"/>
      <c r="F933" s="62"/>
      <c r="G933" s="62"/>
      <c r="H933" s="62"/>
      <c r="I933" s="59"/>
      <c r="J933" s="60"/>
      <c r="K933" s="59"/>
      <c r="L933" s="60"/>
      <c r="M933" s="59"/>
      <c r="N933" s="63"/>
      <c r="O933" s="60"/>
      <c r="P933" s="60"/>
      <c r="Q933" s="60"/>
      <c r="R933" s="60"/>
      <c r="S933" s="60"/>
      <c r="T933" s="60"/>
      <c r="U933" s="60"/>
      <c r="V933" s="64"/>
      <c r="W933" s="60"/>
      <c r="X933" s="59"/>
      <c r="Y933" s="60"/>
      <c r="Z933" s="59"/>
      <c r="AA933" s="60"/>
    </row>
    <row r="934">
      <c r="A934" s="58"/>
      <c r="B934" s="58"/>
      <c r="C934" s="59"/>
      <c r="D934" s="60"/>
      <c r="E934" s="61"/>
      <c r="F934" s="62"/>
      <c r="G934" s="62"/>
      <c r="H934" s="62"/>
      <c r="I934" s="59"/>
      <c r="J934" s="60"/>
      <c r="K934" s="59"/>
      <c r="L934" s="60"/>
      <c r="M934" s="59"/>
      <c r="N934" s="63"/>
      <c r="O934" s="60"/>
      <c r="P934" s="60"/>
      <c r="Q934" s="60"/>
      <c r="R934" s="60"/>
      <c r="S934" s="60"/>
      <c r="T934" s="60"/>
      <c r="U934" s="60"/>
      <c r="V934" s="64"/>
      <c r="W934" s="60"/>
      <c r="X934" s="59"/>
      <c r="Y934" s="60"/>
      <c r="Z934" s="59"/>
      <c r="AA934" s="60"/>
    </row>
    <row r="935">
      <c r="A935" s="58"/>
      <c r="B935" s="58"/>
      <c r="C935" s="59"/>
      <c r="D935" s="60"/>
      <c r="E935" s="61"/>
      <c r="F935" s="62"/>
      <c r="G935" s="62"/>
      <c r="H935" s="62"/>
      <c r="I935" s="59"/>
      <c r="J935" s="60"/>
      <c r="K935" s="59"/>
      <c r="L935" s="60"/>
      <c r="M935" s="59"/>
      <c r="N935" s="63"/>
      <c r="O935" s="60"/>
      <c r="P935" s="60"/>
      <c r="Q935" s="60"/>
      <c r="R935" s="60"/>
      <c r="S935" s="60"/>
      <c r="T935" s="60"/>
      <c r="U935" s="60"/>
      <c r="V935" s="64"/>
      <c r="W935" s="60"/>
      <c r="X935" s="59"/>
      <c r="Y935" s="60"/>
      <c r="Z935" s="59"/>
      <c r="AA935" s="60"/>
    </row>
    <row r="936">
      <c r="A936" s="58"/>
      <c r="B936" s="58"/>
      <c r="C936" s="59"/>
      <c r="D936" s="60"/>
      <c r="E936" s="61"/>
      <c r="F936" s="62"/>
      <c r="G936" s="62"/>
      <c r="H936" s="62"/>
      <c r="I936" s="59"/>
      <c r="J936" s="60"/>
      <c r="K936" s="59"/>
      <c r="L936" s="60"/>
      <c r="M936" s="59"/>
      <c r="N936" s="63"/>
      <c r="O936" s="60"/>
      <c r="P936" s="60"/>
      <c r="Q936" s="60"/>
      <c r="R936" s="60"/>
      <c r="S936" s="60"/>
      <c r="T936" s="60"/>
      <c r="U936" s="60"/>
      <c r="V936" s="64"/>
      <c r="W936" s="60"/>
      <c r="X936" s="59"/>
      <c r="Y936" s="60"/>
      <c r="Z936" s="59"/>
      <c r="AA936" s="60"/>
    </row>
    <row r="937">
      <c r="A937" s="58"/>
      <c r="B937" s="58"/>
      <c r="C937" s="59"/>
      <c r="D937" s="60"/>
      <c r="E937" s="61"/>
      <c r="F937" s="62"/>
      <c r="G937" s="62"/>
      <c r="H937" s="62"/>
      <c r="I937" s="59"/>
      <c r="J937" s="60"/>
      <c r="K937" s="59"/>
      <c r="L937" s="60"/>
      <c r="M937" s="59"/>
      <c r="N937" s="63"/>
      <c r="O937" s="60"/>
      <c r="P937" s="60"/>
      <c r="Q937" s="60"/>
      <c r="R937" s="60"/>
      <c r="S937" s="60"/>
      <c r="T937" s="60"/>
      <c r="U937" s="60"/>
      <c r="V937" s="64"/>
      <c r="W937" s="60"/>
      <c r="X937" s="59"/>
      <c r="Y937" s="60"/>
      <c r="Z937" s="59"/>
      <c r="AA937" s="60"/>
    </row>
    <row r="938">
      <c r="A938" s="58"/>
      <c r="B938" s="58"/>
      <c r="C938" s="59"/>
      <c r="D938" s="60"/>
      <c r="E938" s="61"/>
      <c r="F938" s="62"/>
      <c r="G938" s="62"/>
      <c r="H938" s="62"/>
      <c r="I938" s="59"/>
      <c r="J938" s="60"/>
      <c r="K938" s="59"/>
      <c r="L938" s="60"/>
      <c r="M938" s="59"/>
      <c r="N938" s="63"/>
      <c r="O938" s="60"/>
      <c r="P938" s="60"/>
      <c r="Q938" s="60"/>
      <c r="R938" s="60"/>
      <c r="S938" s="60"/>
      <c r="T938" s="60"/>
      <c r="U938" s="60"/>
      <c r="V938" s="64"/>
      <c r="W938" s="60"/>
      <c r="X938" s="59"/>
      <c r="Y938" s="60"/>
      <c r="Z938" s="59"/>
      <c r="AA938" s="60"/>
    </row>
    <row r="939">
      <c r="A939" s="58"/>
      <c r="B939" s="58"/>
      <c r="C939" s="59"/>
      <c r="D939" s="60"/>
      <c r="E939" s="61"/>
      <c r="F939" s="62"/>
      <c r="G939" s="62"/>
      <c r="H939" s="62"/>
      <c r="I939" s="59"/>
      <c r="J939" s="60"/>
      <c r="K939" s="59"/>
      <c r="L939" s="60"/>
      <c r="M939" s="59"/>
      <c r="N939" s="63"/>
      <c r="O939" s="60"/>
      <c r="P939" s="60"/>
      <c r="Q939" s="60"/>
      <c r="R939" s="60"/>
      <c r="S939" s="60"/>
      <c r="T939" s="60"/>
      <c r="U939" s="60"/>
      <c r="V939" s="64"/>
      <c r="W939" s="60"/>
      <c r="X939" s="59"/>
      <c r="Y939" s="60"/>
      <c r="Z939" s="59"/>
      <c r="AA939" s="60"/>
    </row>
    <row r="940">
      <c r="A940" s="58"/>
      <c r="B940" s="58"/>
      <c r="C940" s="59"/>
      <c r="D940" s="60"/>
      <c r="E940" s="61"/>
      <c r="F940" s="62"/>
      <c r="G940" s="62"/>
      <c r="H940" s="62"/>
      <c r="I940" s="59"/>
      <c r="J940" s="60"/>
      <c r="K940" s="59"/>
      <c r="L940" s="60"/>
      <c r="M940" s="59"/>
      <c r="N940" s="63"/>
      <c r="O940" s="60"/>
      <c r="P940" s="60"/>
      <c r="Q940" s="60"/>
      <c r="R940" s="60"/>
      <c r="S940" s="60"/>
      <c r="T940" s="60"/>
      <c r="U940" s="60"/>
      <c r="V940" s="64"/>
      <c r="W940" s="60"/>
      <c r="X940" s="59"/>
      <c r="Y940" s="60"/>
      <c r="Z940" s="59"/>
      <c r="AA940" s="60"/>
    </row>
    <row r="941">
      <c r="A941" s="58"/>
      <c r="B941" s="58"/>
      <c r="C941" s="59"/>
      <c r="D941" s="60"/>
      <c r="E941" s="61"/>
      <c r="F941" s="62"/>
      <c r="G941" s="62"/>
      <c r="H941" s="62"/>
      <c r="I941" s="59"/>
      <c r="J941" s="60"/>
      <c r="K941" s="59"/>
      <c r="L941" s="60"/>
      <c r="M941" s="59"/>
      <c r="N941" s="63"/>
      <c r="O941" s="60"/>
      <c r="P941" s="60"/>
      <c r="Q941" s="60"/>
      <c r="R941" s="60"/>
      <c r="S941" s="60"/>
      <c r="T941" s="60"/>
      <c r="U941" s="60"/>
      <c r="V941" s="64"/>
      <c r="W941" s="60"/>
      <c r="X941" s="59"/>
      <c r="Y941" s="60"/>
      <c r="Z941" s="59"/>
      <c r="AA941" s="60"/>
    </row>
    <row r="942">
      <c r="A942" s="58"/>
      <c r="B942" s="58"/>
      <c r="C942" s="59"/>
      <c r="D942" s="60"/>
      <c r="E942" s="61"/>
      <c r="F942" s="62"/>
      <c r="G942" s="62"/>
      <c r="H942" s="62"/>
      <c r="I942" s="59"/>
      <c r="J942" s="60"/>
      <c r="K942" s="59"/>
      <c r="L942" s="60"/>
      <c r="M942" s="59"/>
      <c r="N942" s="63"/>
      <c r="O942" s="60"/>
      <c r="P942" s="60"/>
      <c r="Q942" s="60"/>
      <c r="R942" s="60"/>
      <c r="S942" s="60"/>
      <c r="T942" s="60"/>
      <c r="U942" s="60"/>
      <c r="V942" s="64"/>
      <c r="W942" s="60"/>
      <c r="X942" s="59"/>
      <c r="Y942" s="60"/>
      <c r="Z942" s="59"/>
      <c r="AA942" s="60"/>
    </row>
    <row r="943">
      <c r="A943" s="58"/>
      <c r="B943" s="58"/>
      <c r="C943" s="59"/>
      <c r="D943" s="60"/>
      <c r="E943" s="61"/>
      <c r="F943" s="62"/>
      <c r="G943" s="62"/>
      <c r="H943" s="62"/>
      <c r="I943" s="59"/>
      <c r="J943" s="60"/>
      <c r="K943" s="59"/>
      <c r="L943" s="60"/>
      <c r="M943" s="59"/>
      <c r="N943" s="63"/>
      <c r="O943" s="60"/>
      <c r="P943" s="60"/>
      <c r="Q943" s="60"/>
      <c r="R943" s="60"/>
      <c r="S943" s="60"/>
      <c r="T943" s="60"/>
      <c r="U943" s="60"/>
      <c r="V943" s="64"/>
      <c r="W943" s="60"/>
      <c r="X943" s="59"/>
      <c r="Y943" s="60"/>
      <c r="Z943" s="59"/>
      <c r="AA943" s="60"/>
    </row>
    <row r="944">
      <c r="A944" s="58"/>
      <c r="B944" s="58"/>
      <c r="C944" s="59"/>
      <c r="D944" s="60"/>
      <c r="E944" s="61"/>
      <c r="F944" s="62"/>
      <c r="G944" s="62"/>
      <c r="H944" s="62"/>
      <c r="I944" s="59"/>
      <c r="J944" s="60"/>
      <c r="K944" s="59"/>
      <c r="L944" s="60"/>
      <c r="M944" s="59"/>
      <c r="N944" s="63"/>
      <c r="O944" s="60"/>
      <c r="P944" s="60"/>
      <c r="Q944" s="60"/>
      <c r="R944" s="60"/>
      <c r="S944" s="60"/>
      <c r="T944" s="60"/>
      <c r="U944" s="60"/>
      <c r="V944" s="64"/>
      <c r="W944" s="60"/>
      <c r="X944" s="59"/>
      <c r="Y944" s="60"/>
      <c r="Z944" s="59"/>
      <c r="AA944" s="60"/>
    </row>
    <row r="945">
      <c r="A945" s="58"/>
      <c r="B945" s="58"/>
      <c r="C945" s="59"/>
      <c r="D945" s="60"/>
      <c r="E945" s="61"/>
      <c r="F945" s="62"/>
      <c r="G945" s="62"/>
      <c r="H945" s="62"/>
      <c r="I945" s="59"/>
      <c r="J945" s="60"/>
      <c r="K945" s="59"/>
      <c r="L945" s="60"/>
      <c r="M945" s="59"/>
      <c r="N945" s="63"/>
      <c r="O945" s="60"/>
      <c r="P945" s="60"/>
      <c r="Q945" s="60"/>
      <c r="R945" s="60"/>
      <c r="S945" s="60"/>
      <c r="T945" s="60"/>
      <c r="U945" s="60"/>
      <c r="V945" s="64"/>
      <c r="W945" s="60"/>
      <c r="X945" s="59"/>
      <c r="Y945" s="60"/>
      <c r="Z945" s="59"/>
      <c r="AA945" s="60"/>
    </row>
    <row r="946">
      <c r="A946" s="58"/>
      <c r="B946" s="58"/>
      <c r="C946" s="59"/>
      <c r="D946" s="60"/>
      <c r="E946" s="61"/>
      <c r="F946" s="62"/>
      <c r="G946" s="62"/>
      <c r="H946" s="62"/>
      <c r="I946" s="59"/>
      <c r="J946" s="60"/>
      <c r="K946" s="59"/>
      <c r="L946" s="60"/>
      <c r="M946" s="59"/>
      <c r="N946" s="63"/>
      <c r="O946" s="60"/>
      <c r="P946" s="60"/>
      <c r="Q946" s="60"/>
      <c r="R946" s="60"/>
      <c r="S946" s="60"/>
      <c r="T946" s="60"/>
      <c r="U946" s="60"/>
      <c r="V946" s="64"/>
      <c r="W946" s="60"/>
      <c r="X946" s="59"/>
      <c r="Y946" s="60"/>
      <c r="Z946" s="59"/>
      <c r="AA946" s="60"/>
    </row>
    <row r="947">
      <c r="A947" s="58"/>
      <c r="B947" s="58"/>
      <c r="C947" s="59"/>
      <c r="D947" s="60"/>
      <c r="E947" s="61"/>
      <c r="F947" s="62"/>
      <c r="G947" s="62"/>
      <c r="H947" s="62"/>
      <c r="I947" s="59"/>
      <c r="J947" s="60"/>
      <c r="K947" s="59"/>
      <c r="L947" s="60"/>
      <c r="M947" s="59"/>
      <c r="N947" s="63"/>
      <c r="O947" s="60"/>
      <c r="P947" s="60"/>
      <c r="Q947" s="60"/>
      <c r="R947" s="60"/>
      <c r="S947" s="60"/>
      <c r="T947" s="60"/>
      <c r="U947" s="60"/>
      <c r="V947" s="64"/>
      <c r="W947" s="60"/>
      <c r="X947" s="59"/>
      <c r="Y947" s="60"/>
      <c r="Z947" s="59"/>
      <c r="AA947" s="60"/>
    </row>
    <row r="948">
      <c r="A948" s="58"/>
      <c r="B948" s="58"/>
      <c r="C948" s="59"/>
      <c r="D948" s="60"/>
      <c r="E948" s="61"/>
      <c r="F948" s="62"/>
      <c r="G948" s="62"/>
      <c r="H948" s="62"/>
      <c r="I948" s="59"/>
      <c r="J948" s="60"/>
      <c r="K948" s="59"/>
      <c r="L948" s="60"/>
      <c r="M948" s="59"/>
      <c r="N948" s="63"/>
      <c r="O948" s="60"/>
      <c r="P948" s="60"/>
      <c r="Q948" s="60"/>
      <c r="R948" s="60"/>
      <c r="S948" s="60"/>
      <c r="T948" s="60"/>
      <c r="U948" s="60"/>
      <c r="V948" s="64"/>
      <c r="W948" s="60"/>
      <c r="X948" s="59"/>
      <c r="Y948" s="60"/>
      <c r="Z948" s="59"/>
      <c r="AA948" s="60"/>
    </row>
    <row r="949">
      <c r="A949" s="58"/>
      <c r="B949" s="58"/>
      <c r="C949" s="59"/>
      <c r="D949" s="60"/>
      <c r="E949" s="61"/>
      <c r="F949" s="62"/>
      <c r="G949" s="62"/>
      <c r="H949" s="62"/>
      <c r="I949" s="59"/>
      <c r="J949" s="60"/>
      <c r="K949" s="59"/>
      <c r="L949" s="60"/>
      <c r="M949" s="59"/>
      <c r="N949" s="63"/>
      <c r="O949" s="60"/>
      <c r="P949" s="60"/>
      <c r="Q949" s="60"/>
      <c r="R949" s="60"/>
      <c r="S949" s="60"/>
      <c r="T949" s="60"/>
      <c r="U949" s="60"/>
      <c r="V949" s="64"/>
      <c r="W949" s="60"/>
      <c r="X949" s="59"/>
      <c r="Y949" s="60"/>
      <c r="Z949" s="59"/>
      <c r="AA949" s="60"/>
    </row>
    <row r="950">
      <c r="A950" s="58"/>
      <c r="B950" s="58"/>
      <c r="C950" s="59"/>
      <c r="D950" s="60"/>
      <c r="E950" s="61"/>
      <c r="F950" s="62"/>
      <c r="G950" s="62"/>
      <c r="H950" s="62"/>
      <c r="I950" s="59"/>
      <c r="J950" s="60"/>
      <c r="K950" s="59"/>
      <c r="L950" s="60"/>
      <c r="M950" s="59"/>
      <c r="N950" s="63"/>
      <c r="O950" s="60"/>
      <c r="P950" s="60"/>
      <c r="Q950" s="60"/>
      <c r="R950" s="60"/>
      <c r="S950" s="60"/>
      <c r="T950" s="60"/>
      <c r="U950" s="60"/>
      <c r="V950" s="64"/>
      <c r="W950" s="60"/>
      <c r="X950" s="59"/>
      <c r="Y950" s="60"/>
      <c r="Z950" s="59"/>
      <c r="AA950" s="60"/>
    </row>
    <row r="951">
      <c r="A951" s="58"/>
      <c r="B951" s="58"/>
      <c r="C951" s="59"/>
      <c r="D951" s="60"/>
      <c r="E951" s="61"/>
      <c r="F951" s="62"/>
      <c r="G951" s="62"/>
      <c r="H951" s="62"/>
      <c r="I951" s="59"/>
      <c r="J951" s="60"/>
      <c r="K951" s="59"/>
      <c r="L951" s="60"/>
      <c r="M951" s="59"/>
      <c r="N951" s="63"/>
      <c r="O951" s="60"/>
      <c r="P951" s="60"/>
      <c r="Q951" s="60"/>
      <c r="R951" s="60"/>
      <c r="S951" s="60"/>
      <c r="T951" s="60"/>
      <c r="U951" s="60"/>
      <c r="V951" s="64"/>
      <c r="W951" s="60"/>
      <c r="X951" s="59"/>
      <c r="Y951" s="60"/>
      <c r="Z951" s="59"/>
      <c r="AA951" s="60"/>
    </row>
    <row r="952">
      <c r="A952" s="58"/>
      <c r="B952" s="58"/>
      <c r="C952" s="59"/>
      <c r="D952" s="60"/>
      <c r="E952" s="61"/>
      <c r="F952" s="62"/>
      <c r="G952" s="62"/>
      <c r="H952" s="62"/>
      <c r="I952" s="59"/>
      <c r="J952" s="60"/>
      <c r="K952" s="59"/>
      <c r="L952" s="60"/>
      <c r="M952" s="59"/>
      <c r="N952" s="63"/>
      <c r="O952" s="60"/>
      <c r="P952" s="60"/>
      <c r="Q952" s="60"/>
      <c r="R952" s="60"/>
      <c r="S952" s="60"/>
      <c r="T952" s="60"/>
      <c r="U952" s="60"/>
      <c r="V952" s="64"/>
      <c r="W952" s="60"/>
      <c r="X952" s="59"/>
      <c r="Y952" s="60"/>
      <c r="Z952" s="59"/>
      <c r="AA952" s="60"/>
    </row>
    <row r="953">
      <c r="A953" s="58"/>
      <c r="B953" s="58"/>
      <c r="C953" s="59"/>
      <c r="D953" s="60"/>
      <c r="E953" s="61"/>
      <c r="F953" s="62"/>
      <c r="G953" s="62"/>
      <c r="H953" s="62"/>
      <c r="I953" s="59"/>
      <c r="J953" s="60"/>
      <c r="K953" s="59"/>
      <c r="L953" s="60"/>
      <c r="M953" s="59"/>
      <c r="N953" s="63"/>
      <c r="O953" s="60"/>
      <c r="P953" s="60"/>
      <c r="Q953" s="60"/>
      <c r="R953" s="60"/>
      <c r="S953" s="60"/>
      <c r="T953" s="60"/>
      <c r="U953" s="60"/>
      <c r="V953" s="64"/>
      <c r="W953" s="60"/>
      <c r="X953" s="59"/>
      <c r="Y953" s="60"/>
      <c r="Z953" s="59"/>
      <c r="AA953" s="60"/>
    </row>
    <row r="954">
      <c r="A954" s="58"/>
      <c r="B954" s="58"/>
      <c r="C954" s="59"/>
      <c r="D954" s="60"/>
      <c r="E954" s="61"/>
      <c r="F954" s="62"/>
      <c r="G954" s="62"/>
      <c r="H954" s="62"/>
      <c r="I954" s="59"/>
      <c r="J954" s="60"/>
      <c r="K954" s="59"/>
      <c r="L954" s="60"/>
      <c r="M954" s="59"/>
      <c r="N954" s="63"/>
      <c r="O954" s="60"/>
      <c r="P954" s="60"/>
      <c r="Q954" s="60"/>
      <c r="R954" s="60"/>
      <c r="S954" s="60"/>
      <c r="T954" s="60"/>
      <c r="U954" s="60"/>
      <c r="V954" s="64"/>
      <c r="W954" s="60"/>
      <c r="X954" s="59"/>
      <c r="Y954" s="60"/>
      <c r="Z954" s="59"/>
      <c r="AA954" s="60"/>
    </row>
    <row r="955">
      <c r="A955" s="58"/>
      <c r="B955" s="58"/>
      <c r="C955" s="59"/>
      <c r="D955" s="60"/>
      <c r="E955" s="61"/>
      <c r="F955" s="62"/>
      <c r="G955" s="62"/>
      <c r="H955" s="62"/>
      <c r="I955" s="59"/>
      <c r="J955" s="60"/>
      <c r="K955" s="59"/>
      <c r="L955" s="60"/>
      <c r="M955" s="59"/>
      <c r="N955" s="63"/>
      <c r="O955" s="60"/>
      <c r="P955" s="60"/>
      <c r="Q955" s="60"/>
      <c r="R955" s="60"/>
      <c r="S955" s="60"/>
      <c r="T955" s="60"/>
      <c r="U955" s="60"/>
      <c r="V955" s="64"/>
      <c r="W955" s="60"/>
      <c r="X955" s="59"/>
      <c r="Y955" s="60"/>
      <c r="Z955" s="59"/>
      <c r="AA955" s="60"/>
    </row>
    <row r="956">
      <c r="A956" s="58"/>
      <c r="B956" s="58"/>
      <c r="C956" s="59"/>
      <c r="D956" s="60"/>
      <c r="E956" s="61"/>
      <c r="F956" s="62"/>
      <c r="G956" s="62"/>
      <c r="H956" s="62"/>
      <c r="I956" s="59"/>
      <c r="J956" s="60"/>
      <c r="K956" s="59"/>
      <c r="L956" s="60"/>
      <c r="M956" s="59"/>
      <c r="N956" s="63"/>
      <c r="O956" s="60"/>
      <c r="P956" s="60"/>
      <c r="Q956" s="60"/>
      <c r="R956" s="60"/>
      <c r="S956" s="60"/>
      <c r="T956" s="60"/>
      <c r="U956" s="60"/>
      <c r="V956" s="64"/>
      <c r="W956" s="60"/>
      <c r="X956" s="59"/>
      <c r="Y956" s="60"/>
      <c r="Z956" s="59"/>
      <c r="AA956" s="60"/>
    </row>
    <row r="957">
      <c r="A957" s="58"/>
      <c r="B957" s="58"/>
      <c r="C957" s="59"/>
      <c r="D957" s="60"/>
      <c r="E957" s="61"/>
      <c r="F957" s="62"/>
      <c r="G957" s="62"/>
      <c r="H957" s="62"/>
      <c r="I957" s="59"/>
      <c r="J957" s="60"/>
      <c r="K957" s="59"/>
      <c r="L957" s="60"/>
      <c r="M957" s="59"/>
      <c r="N957" s="63"/>
      <c r="O957" s="60"/>
      <c r="P957" s="60"/>
      <c r="Q957" s="60"/>
      <c r="R957" s="60"/>
      <c r="S957" s="60"/>
      <c r="T957" s="60"/>
      <c r="U957" s="60"/>
      <c r="V957" s="64"/>
      <c r="W957" s="60"/>
      <c r="X957" s="59"/>
      <c r="Y957" s="60"/>
      <c r="Z957" s="59"/>
      <c r="AA957" s="60"/>
    </row>
    <row r="958">
      <c r="A958" s="58"/>
      <c r="B958" s="58"/>
      <c r="C958" s="59"/>
      <c r="D958" s="60"/>
      <c r="E958" s="61"/>
      <c r="F958" s="62"/>
      <c r="G958" s="62"/>
      <c r="H958" s="62"/>
      <c r="I958" s="59"/>
      <c r="J958" s="60"/>
      <c r="K958" s="59"/>
      <c r="L958" s="60"/>
      <c r="M958" s="59"/>
      <c r="N958" s="63"/>
      <c r="O958" s="60"/>
      <c r="P958" s="60"/>
      <c r="Q958" s="60"/>
      <c r="R958" s="60"/>
      <c r="S958" s="60"/>
      <c r="T958" s="60"/>
      <c r="U958" s="60"/>
      <c r="V958" s="64"/>
      <c r="W958" s="60"/>
      <c r="X958" s="59"/>
      <c r="Y958" s="60"/>
      <c r="Z958" s="59"/>
      <c r="AA958" s="60"/>
    </row>
    <row r="959">
      <c r="A959" s="58"/>
      <c r="B959" s="58"/>
      <c r="C959" s="59"/>
      <c r="D959" s="60"/>
      <c r="E959" s="61"/>
      <c r="F959" s="62"/>
      <c r="G959" s="62"/>
      <c r="H959" s="62"/>
      <c r="I959" s="59"/>
      <c r="J959" s="60"/>
      <c r="K959" s="59"/>
      <c r="L959" s="60"/>
      <c r="M959" s="59"/>
      <c r="N959" s="63"/>
      <c r="O959" s="60"/>
      <c r="P959" s="60"/>
      <c r="Q959" s="60"/>
      <c r="R959" s="60"/>
      <c r="S959" s="60"/>
      <c r="T959" s="60"/>
      <c r="U959" s="60"/>
      <c r="V959" s="64"/>
      <c r="W959" s="60"/>
      <c r="X959" s="59"/>
      <c r="Y959" s="60"/>
      <c r="Z959" s="59"/>
      <c r="AA959" s="60"/>
    </row>
    <row r="960">
      <c r="A960" s="58"/>
      <c r="B960" s="58"/>
      <c r="C960" s="59"/>
      <c r="D960" s="60"/>
      <c r="E960" s="61"/>
      <c r="F960" s="62"/>
      <c r="G960" s="62"/>
      <c r="H960" s="62"/>
      <c r="I960" s="59"/>
      <c r="J960" s="60"/>
      <c r="K960" s="59"/>
      <c r="L960" s="60"/>
      <c r="M960" s="59"/>
      <c r="N960" s="63"/>
      <c r="O960" s="60"/>
      <c r="P960" s="60"/>
      <c r="Q960" s="60"/>
      <c r="R960" s="60"/>
      <c r="S960" s="60"/>
      <c r="T960" s="60"/>
      <c r="U960" s="60"/>
      <c r="V960" s="64"/>
      <c r="W960" s="60"/>
      <c r="X960" s="59"/>
      <c r="Y960" s="60"/>
      <c r="Z960" s="59"/>
      <c r="AA960" s="60"/>
    </row>
    <row r="961">
      <c r="A961" s="58"/>
      <c r="B961" s="58"/>
      <c r="C961" s="59"/>
      <c r="D961" s="60"/>
      <c r="E961" s="61"/>
      <c r="F961" s="62"/>
      <c r="G961" s="62"/>
      <c r="H961" s="62"/>
      <c r="I961" s="59"/>
      <c r="J961" s="60"/>
      <c r="K961" s="59"/>
      <c r="L961" s="60"/>
      <c r="M961" s="59"/>
      <c r="N961" s="63"/>
      <c r="O961" s="60"/>
      <c r="P961" s="60"/>
      <c r="Q961" s="60"/>
      <c r="R961" s="60"/>
      <c r="S961" s="60"/>
      <c r="T961" s="60"/>
      <c r="U961" s="60"/>
      <c r="V961" s="64"/>
      <c r="W961" s="60"/>
      <c r="X961" s="59"/>
      <c r="Y961" s="60"/>
      <c r="Z961" s="59"/>
      <c r="AA961" s="60"/>
    </row>
    <row r="962">
      <c r="A962" s="58"/>
      <c r="B962" s="58"/>
      <c r="C962" s="59"/>
      <c r="D962" s="60"/>
      <c r="E962" s="61"/>
      <c r="F962" s="62"/>
      <c r="G962" s="62"/>
      <c r="H962" s="62"/>
      <c r="I962" s="59"/>
      <c r="J962" s="60"/>
      <c r="K962" s="59"/>
      <c r="L962" s="60"/>
      <c r="M962" s="59"/>
      <c r="N962" s="63"/>
      <c r="O962" s="60"/>
      <c r="P962" s="60"/>
      <c r="Q962" s="60"/>
      <c r="R962" s="60"/>
      <c r="S962" s="60"/>
      <c r="T962" s="60"/>
      <c r="U962" s="60"/>
      <c r="V962" s="64"/>
      <c r="W962" s="60"/>
      <c r="X962" s="59"/>
      <c r="Y962" s="60"/>
      <c r="Z962" s="59"/>
      <c r="AA962" s="60"/>
    </row>
    <row r="963">
      <c r="A963" s="58"/>
      <c r="B963" s="58"/>
      <c r="C963" s="59"/>
      <c r="D963" s="60"/>
      <c r="E963" s="61"/>
      <c r="F963" s="62"/>
      <c r="G963" s="62"/>
      <c r="H963" s="62"/>
      <c r="I963" s="59"/>
      <c r="J963" s="60"/>
      <c r="K963" s="59"/>
      <c r="L963" s="60"/>
      <c r="M963" s="59"/>
      <c r="N963" s="63"/>
      <c r="O963" s="60"/>
      <c r="P963" s="60"/>
      <c r="Q963" s="60"/>
      <c r="R963" s="60"/>
      <c r="S963" s="60"/>
      <c r="T963" s="60"/>
      <c r="U963" s="60"/>
      <c r="V963" s="64"/>
      <c r="W963" s="60"/>
      <c r="X963" s="59"/>
      <c r="Y963" s="60"/>
      <c r="Z963" s="59"/>
      <c r="AA963" s="60"/>
    </row>
    <row r="964">
      <c r="A964" s="58"/>
      <c r="B964" s="58"/>
      <c r="C964" s="59"/>
      <c r="D964" s="60"/>
      <c r="E964" s="61"/>
      <c r="F964" s="62"/>
      <c r="G964" s="62"/>
      <c r="H964" s="62"/>
      <c r="I964" s="59"/>
      <c r="J964" s="60"/>
      <c r="K964" s="59"/>
      <c r="L964" s="60"/>
      <c r="M964" s="59"/>
      <c r="N964" s="63"/>
      <c r="O964" s="60"/>
      <c r="P964" s="60"/>
      <c r="Q964" s="60"/>
      <c r="R964" s="60"/>
      <c r="S964" s="60"/>
      <c r="T964" s="60"/>
      <c r="U964" s="60"/>
      <c r="V964" s="64"/>
      <c r="W964" s="60"/>
      <c r="X964" s="59"/>
      <c r="Y964" s="60"/>
      <c r="Z964" s="59"/>
      <c r="AA964" s="60"/>
    </row>
    <row r="965">
      <c r="A965" s="58"/>
      <c r="B965" s="58"/>
      <c r="C965" s="59"/>
      <c r="D965" s="60"/>
      <c r="E965" s="61"/>
      <c r="F965" s="62"/>
      <c r="G965" s="62"/>
      <c r="H965" s="62"/>
      <c r="I965" s="59"/>
      <c r="J965" s="60"/>
      <c r="K965" s="59"/>
      <c r="L965" s="60"/>
      <c r="M965" s="59"/>
      <c r="N965" s="63"/>
      <c r="O965" s="60"/>
      <c r="P965" s="60"/>
      <c r="Q965" s="60"/>
      <c r="R965" s="60"/>
      <c r="S965" s="60"/>
      <c r="T965" s="60"/>
      <c r="U965" s="60"/>
      <c r="V965" s="64"/>
      <c r="W965" s="60"/>
      <c r="X965" s="59"/>
      <c r="Y965" s="60"/>
      <c r="Z965" s="59"/>
      <c r="AA965" s="60"/>
    </row>
    <row r="966">
      <c r="A966" s="58"/>
      <c r="B966" s="58"/>
      <c r="C966" s="59"/>
      <c r="D966" s="60"/>
      <c r="E966" s="61"/>
      <c r="F966" s="62"/>
      <c r="G966" s="62"/>
      <c r="H966" s="62"/>
      <c r="I966" s="59"/>
      <c r="J966" s="60"/>
      <c r="K966" s="59"/>
      <c r="L966" s="60"/>
      <c r="M966" s="59"/>
      <c r="N966" s="63"/>
      <c r="O966" s="60"/>
      <c r="P966" s="60"/>
      <c r="Q966" s="60"/>
      <c r="R966" s="60"/>
      <c r="S966" s="60"/>
      <c r="T966" s="60"/>
      <c r="U966" s="60"/>
      <c r="V966" s="64"/>
      <c r="W966" s="60"/>
      <c r="X966" s="59"/>
      <c r="Y966" s="60"/>
      <c r="Z966" s="59"/>
      <c r="AA966" s="60"/>
    </row>
    <row r="967">
      <c r="A967" s="58"/>
      <c r="B967" s="58"/>
      <c r="C967" s="59"/>
      <c r="D967" s="60"/>
      <c r="E967" s="61"/>
      <c r="F967" s="62"/>
      <c r="G967" s="62"/>
      <c r="H967" s="62"/>
      <c r="I967" s="59"/>
      <c r="J967" s="60"/>
      <c r="K967" s="59"/>
      <c r="L967" s="60"/>
      <c r="M967" s="59"/>
      <c r="N967" s="63"/>
      <c r="O967" s="60"/>
      <c r="P967" s="60"/>
      <c r="Q967" s="60"/>
      <c r="R967" s="60"/>
      <c r="S967" s="60"/>
      <c r="T967" s="60"/>
      <c r="U967" s="60"/>
      <c r="V967" s="64"/>
      <c r="W967" s="60"/>
      <c r="X967" s="59"/>
      <c r="Y967" s="60"/>
      <c r="Z967" s="59"/>
      <c r="AA967" s="60"/>
    </row>
    <row r="968">
      <c r="A968" s="58"/>
      <c r="B968" s="58"/>
      <c r="C968" s="59"/>
      <c r="D968" s="60"/>
      <c r="E968" s="61"/>
      <c r="F968" s="62"/>
      <c r="G968" s="62"/>
      <c r="H968" s="62"/>
      <c r="I968" s="59"/>
      <c r="J968" s="60"/>
      <c r="K968" s="59"/>
      <c r="L968" s="60"/>
      <c r="M968" s="59"/>
      <c r="N968" s="63"/>
      <c r="O968" s="60"/>
      <c r="P968" s="60"/>
      <c r="Q968" s="60"/>
      <c r="R968" s="60"/>
      <c r="S968" s="60"/>
      <c r="T968" s="60"/>
      <c r="U968" s="60"/>
      <c r="V968" s="64"/>
      <c r="W968" s="60"/>
      <c r="X968" s="59"/>
      <c r="Y968" s="60"/>
      <c r="Z968" s="59"/>
      <c r="AA968" s="60"/>
    </row>
    <row r="969">
      <c r="A969" s="58"/>
      <c r="B969" s="58"/>
      <c r="C969" s="59"/>
      <c r="D969" s="60"/>
      <c r="E969" s="61"/>
      <c r="F969" s="62"/>
      <c r="G969" s="62"/>
      <c r="H969" s="62"/>
      <c r="I969" s="59"/>
      <c r="J969" s="60"/>
      <c r="K969" s="59"/>
      <c r="L969" s="60"/>
      <c r="M969" s="59"/>
      <c r="N969" s="63"/>
      <c r="O969" s="60"/>
      <c r="P969" s="60"/>
      <c r="Q969" s="60"/>
      <c r="R969" s="60"/>
      <c r="S969" s="60"/>
      <c r="T969" s="60"/>
      <c r="U969" s="60"/>
      <c r="V969" s="64"/>
      <c r="W969" s="60"/>
      <c r="X969" s="59"/>
      <c r="Y969" s="60"/>
      <c r="Z969" s="59"/>
      <c r="AA969" s="60"/>
    </row>
    <row r="970">
      <c r="A970" s="58"/>
      <c r="B970" s="58"/>
      <c r="C970" s="59"/>
      <c r="D970" s="60"/>
      <c r="E970" s="61"/>
      <c r="F970" s="62"/>
      <c r="G970" s="62"/>
      <c r="H970" s="62"/>
      <c r="I970" s="59"/>
      <c r="J970" s="60"/>
      <c r="K970" s="59"/>
      <c r="L970" s="60"/>
      <c r="M970" s="59"/>
      <c r="N970" s="63"/>
      <c r="O970" s="60"/>
      <c r="P970" s="60"/>
      <c r="Q970" s="60"/>
      <c r="R970" s="60"/>
      <c r="S970" s="60"/>
      <c r="T970" s="60"/>
      <c r="U970" s="60"/>
      <c r="V970" s="64"/>
      <c r="W970" s="60"/>
      <c r="X970" s="59"/>
      <c r="Y970" s="60"/>
      <c r="Z970" s="59"/>
      <c r="AA970" s="60"/>
    </row>
    <row r="971">
      <c r="A971" s="58"/>
      <c r="B971" s="58"/>
      <c r="C971" s="59"/>
      <c r="D971" s="60"/>
      <c r="E971" s="61"/>
      <c r="F971" s="62"/>
      <c r="G971" s="62"/>
      <c r="H971" s="62"/>
      <c r="I971" s="59"/>
      <c r="J971" s="60"/>
      <c r="K971" s="59"/>
      <c r="L971" s="60"/>
      <c r="M971" s="59"/>
      <c r="N971" s="63"/>
      <c r="O971" s="60"/>
      <c r="P971" s="60"/>
      <c r="Q971" s="60"/>
      <c r="R971" s="60"/>
      <c r="S971" s="60"/>
      <c r="T971" s="60"/>
      <c r="U971" s="60"/>
      <c r="V971" s="64"/>
      <c r="W971" s="60"/>
      <c r="X971" s="59"/>
      <c r="Y971" s="60"/>
      <c r="Z971" s="59"/>
      <c r="AA971" s="60"/>
    </row>
    <row r="972">
      <c r="A972" s="58"/>
      <c r="B972" s="58"/>
      <c r="C972" s="59"/>
      <c r="D972" s="60"/>
      <c r="E972" s="61"/>
      <c r="F972" s="62"/>
      <c r="G972" s="62"/>
      <c r="H972" s="62"/>
      <c r="I972" s="59"/>
      <c r="J972" s="60"/>
      <c r="K972" s="59"/>
      <c r="L972" s="60"/>
      <c r="M972" s="59"/>
      <c r="N972" s="63"/>
      <c r="O972" s="60"/>
      <c r="P972" s="60"/>
      <c r="Q972" s="60"/>
      <c r="R972" s="60"/>
      <c r="S972" s="60"/>
      <c r="T972" s="60"/>
      <c r="U972" s="60"/>
      <c r="V972" s="64"/>
      <c r="W972" s="60"/>
      <c r="X972" s="59"/>
      <c r="Y972" s="60"/>
      <c r="Z972" s="59"/>
      <c r="AA972" s="60"/>
    </row>
    <row r="973">
      <c r="A973" s="58"/>
      <c r="B973" s="58"/>
      <c r="C973" s="59"/>
      <c r="D973" s="60"/>
      <c r="E973" s="61"/>
      <c r="F973" s="62"/>
      <c r="G973" s="62"/>
      <c r="H973" s="62"/>
      <c r="I973" s="59"/>
      <c r="J973" s="60"/>
      <c r="K973" s="59"/>
      <c r="L973" s="60"/>
      <c r="M973" s="59"/>
      <c r="N973" s="63"/>
      <c r="O973" s="60"/>
      <c r="P973" s="60"/>
      <c r="Q973" s="60"/>
      <c r="R973" s="60"/>
      <c r="S973" s="60"/>
      <c r="T973" s="60"/>
      <c r="U973" s="60"/>
      <c r="V973" s="64"/>
      <c r="W973" s="60"/>
      <c r="X973" s="59"/>
      <c r="Y973" s="60"/>
      <c r="Z973" s="59"/>
      <c r="AA973" s="60"/>
    </row>
    <row r="974">
      <c r="A974" s="58"/>
      <c r="B974" s="58"/>
      <c r="C974" s="59"/>
      <c r="D974" s="60"/>
      <c r="E974" s="61"/>
      <c r="F974" s="62"/>
      <c r="G974" s="62"/>
      <c r="H974" s="62"/>
      <c r="I974" s="59"/>
      <c r="J974" s="60"/>
      <c r="K974" s="59"/>
      <c r="L974" s="60"/>
      <c r="M974" s="59"/>
      <c r="N974" s="63"/>
      <c r="O974" s="60"/>
      <c r="P974" s="60"/>
      <c r="Q974" s="60"/>
      <c r="R974" s="60"/>
      <c r="S974" s="60"/>
      <c r="T974" s="60"/>
      <c r="U974" s="60"/>
      <c r="V974" s="64"/>
      <c r="W974" s="60"/>
      <c r="X974" s="59"/>
      <c r="Y974" s="60"/>
      <c r="Z974" s="59"/>
      <c r="AA974" s="60"/>
    </row>
    <row r="975">
      <c r="A975" s="58"/>
      <c r="B975" s="58"/>
      <c r="C975" s="59"/>
      <c r="D975" s="60"/>
      <c r="E975" s="61"/>
      <c r="F975" s="62"/>
      <c r="G975" s="62"/>
      <c r="H975" s="62"/>
      <c r="I975" s="59"/>
      <c r="J975" s="60"/>
      <c r="K975" s="59"/>
      <c r="L975" s="60"/>
      <c r="M975" s="59"/>
      <c r="N975" s="63"/>
      <c r="O975" s="60"/>
      <c r="P975" s="60"/>
      <c r="Q975" s="60"/>
      <c r="R975" s="60"/>
      <c r="S975" s="60"/>
      <c r="T975" s="60"/>
      <c r="U975" s="60"/>
      <c r="V975" s="64"/>
      <c r="W975" s="60"/>
      <c r="X975" s="59"/>
      <c r="Y975" s="60"/>
      <c r="Z975" s="59"/>
      <c r="AA975" s="60"/>
    </row>
    <row r="976">
      <c r="A976" s="58"/>
      <c r="B976" s="58"/>
      <c r="C976" s="59"/>
      <c r="D976" s="60"/>
      <c r="E976" s="61"/>
      <c r="F976" s="62"/>
      <c r="G976" s="62"/>
      <c r="H976" s="62"/>
      <c r="I976" s="59"/>
      <c r="J976" s="60"/>
      <c r="K976" s="59"/>
      <c r="L976" s="60"/>
      <c r="M976" s="59"/>
      <c r="N976" s="63"/>
      <c r="O976" s="60"/>
      <c r="P976" s="60"/>
      <c r="Q976" s="60"/>
      <c r="R976" s="60"/>
      <c r="S976" s="60"/>
      <c r="T976" s="60"/>
      <c r="U976" s="60"/>
      <c r="V976" s="64"/>
      <c r="W976" s="60"/>
      <c r="X976" s="59"/>
      <c r="Y976" s="60"/>
      <c r="Z976" s="59"/>
      <c r="AA976" s="60"/>
    </row>
    <row r="977">
      <c r="A977" s="58"/>
      <c r="B977" s="58"/>
      <c r="C977" s="59"/>
      <c r="D977" s="60"/>
      <c r="E977" s="61"/>
      <c r="F977" s="62"/>
      <c r="G977" s="62"/>
      <c r="H977" s="62"/>
      <c r="I977" s="59"/>
      <c r="J977" s="60"/>
      <c r="K977" s="59"/>
      <c r="L977" s="60"/>
      <c r="M977" s="59"/>
      <c r="N977" s="63"/>
      <c r="O977" s="60"/>
      <c r="P977" s="60"/>
      <c r="Q977" s="60"/>
      <c r="R977" s="60"/>
      <c r="S977" s="60"/>
      <c r="T977" s="60"/>
      <c r="U977" s="60"/>
      <c r="V977" s="64"/>
      <c r="W977" s="60"/>
      <c r="X977" s="59"/>
      <c r="Y977" s="60"/>
      <c r="Z977" s="59"/>
      <c r="AA977" s="60"/>
    </row>
    <row r="978">
      <c r="A978" s="58"/>
      <c r="B978" s="58"/>
      <c r="C978" s="59"/>
      <c r="D978" s="60"/>
      <c r="E978" s="61"/>
      <c r="F978" s="62"/>
      <c r="G978" s="62"/>
      <c r="H978" s="62"/>
      <c r="I978" s="59"/>
      <c r="J978" s="60"/>
      <c r="K978" s="59"/>
      <c r="L978" s="60"/>
      <c r="M978" s="59"/>
      <c r="N978" s="63"/>
      <c r="O978" s="60"/>
      <c r="P978" s="60"/>
      <c r="Q978" s="60"/>
      <c r="R978" s="60"/>
      <c r="S978" s="60"/>
      <c r="T978" s="60"/>
      <c r="U978" s="60"/>
      <c r="V978" s="64"/>
      <c r="W978" s="60"/>
      <c r="X978" s="59"/>
      <c r="Y978" s="60"/>
      <c r="Z978" s="59"/>
      <c r="AA978" s="60"/>
    </row>
    <row r="979">
      <c r="A979" s="58"/>
      <c r="B979" s="58"/>
      <c r="C979" s="59"/>
      <c r="D979" s="60"/>
      <c r="E979" s="61"/>
      <c r="F979" s="62"/>
      <c r="G979" s="62"/>
      <c r="H979" s="62"/>
      <c r="I979" s="59"/>
      <c r="J979" s="60"/>
      <c r="K979" s="59"/>
      <c r="L979" s="60"/>
      <c r="M979" s="59"/>
      <c r="N979" s="63"/>
      <c r="O979" s="60"/>
      <c r="P979" s="60"/>
      <c r="Q979" s="60"/>
      <c r="R979" s="60"/>
      <c r="S979" s="60"/>
      <c r="T979" s="60"/>
      <c r="U979" s="60"/>
      <c r="V979" s="64"/>
      <c r="W979" s="60"/>
      <c r="X979" s="59"/>
      <c r="Y979" s="60"/>
      <c r="Z979" s="59"/>
      <c r="AA979" s="60"/>
    </row>
    <row r="980">
      <c r="A980" s="58"/>
      <c r="B980" s="58"/>
      <c r="C980" s="59"/>
      <c r="D980" s="60"/>
      <c r="E980" s="61"/>
      <c r="F980" s="62"/>
      <c r="G980" s="62"/>
      <c r="H980" s="62"/>
      <c r="I980" s="59"/>
      <c r="J980" s="60"/>
      <c r="K980" s="59"/>
      <c r="L980" s="60"/>
      <c r="M980" s="59"/>
      <c r="N980" s="63"/>
      <c r="O980" s="60"/>
      <c r="P980" s="60"/>
      <c r="Q980" s="60"/>
      <c r="R980" s="60"/>
      <c r="S980" s="60"/>
      <c r="T980" s="60"/>
      <c r="U980" s="60"/>
      <c r="V980" s="64"/>
      <c r="W980" s="60"/>
      <c r="X980" s="59"/>
      <c r="Y980" s="60"/>
      <c r="Z980" s="59"/>
      <c r="AA980" s="60"/>
    </row>
    <row r="981">
      <c r="A981" s="58"/>
      <c r="B981" s="58"/>
      <c r="C981" s="59"/>
      <c r="D981" s="60"/>
      <c r="E981" s="61"/>
      <c r="F981" s="62"/>
      <c r="G981" s="62"/>
      <c r="H981" s="62"/>
      <c r="I981" s="59"/>
      <c r="J981" s="60"/>
      <c r="K981" s="59"/>
      <c r="L981" s="60"/>
      <c r="M981" s="59"/>
      <c r="N981" s="63"/>
      <c r="O981" s="60"/>
      <c r="P981" s="60"/>
      <c r="Q981" s="60"/>
      <c r="R981" s="60"/>
      <c r="S981" s="60"/>
      <c r="T981" s="60"/>
      <c r="U981" s="60"/>
      <c r="V981" s="64"/>
      <c r="W981" s="60"/>
      <c r="X981" s="59"/>
      <c r="Y981" s="60"/>
      <c r="Z981" s="59"/>
      <c r="AA981" s="60"/>
    </row>
    <row r="982">
      <c r="A982" s="58"/>
      <c r="B982" s="58"/>
      <c r="C982" s="59"/>
      <c r="D982" s="60"/>
      <c r="E982" s="61"/>
      <c r="F982" s="62"/>
      <c r="G982" s="62"/>
      <c r="H982" s="62"/>
      <c r="I982" s="59"/>
      <c r="J982" s="60"/>
      <c r="K982" s="59"/>
      <c r="L982" s="60"/>
      <c r="M982" s="59"/>
      <c r="N982" s="63"/>
      <c r="O982" s="60"/>
      <c r="P982" s="60"/>
      <c r="Q982" s="60"/>
      <c r="R982" s="60"/>
      <c r="S982" s="60"/>
      <c r="T982" s="60"/>
      <c r="U982" s="60"/>
      <c r="V982" s="64"/>
      <c r="W982" s="60"/>
      <c r="X982" s="59"/>
      <c r="Y982" s="60"/>
      <c r="Z982" s="59"/>
      <c r="AA982" s="60"/>
    </row>
    <row r="983">
      <c r="A983" s="58"/>
      <c r="B983" s="58"/>
      <c r="C983" s="59"/>
      <c r="D983" s="60"/>
      <c r="E983" s="61"/>
      <c r="F983" s="62"/>
      <c r="G983" s="62"/>
      <c r="H983" s="62"/>
      <c r="I983" s="59"/>
      <c r="J983" s="60"/>
      <c r="K983" s="59"/>
      <c r="L983" s="60"/>
      <c r="M983" s="59"/>
      <c r="N983" s="63"/>
      <c r="O983" s="60"/>
      <c r="P983" s="60"/>
      <c r="Q983" s="60"/>
      <c r="R983" s="60"/>
      <c r="S983" s="60"/>
      <c r="T983" s="60"/>
      <c r="U983" s="60"/>
      <c r="V983" s="64"/>
      <c r="W983" s="60"/>
      <c r="X983" s="59"/>
      <c r="Y983" s="60"/>
      <c r="Z983" s="59"/>
      <c r="AA983" s="60"/>
    </row>
    <row r="984">
      <c r="A984" s="58"/>
      <c r="B984" s="58"/>
      <c r="C984" s="59"/>
      <c r="D984" s="60"/>
      <c r="E984" s="61"/>
      <c r="F984" s="62"/>
      <c r="G984" s="62"/>
      <c r="H984" s="62"/>
      <c r="I984" s="59"/>
      <c r="J984" s="60"/>
      <c r="K984" s="59"/>
      <c r="L984" s="60"/>
      <c r="M984" s="59"/>
      <c r="N984" s="63"/>
      <c r="O984" s="60"/>
      <c r="P984" s="60"/>
      <c r="Q984" s="60"/>
      <c r="R984" s="60"/>
      <c r="S984" s="60"/>
      <c r="T984" s="60"/>
      <c r="U984" s="60"/>
      <c r="V984" s="64"/>
      <c r="W984" s="60"/>
      <c r="X984" s="59"/>
      <c r="Y984" s="60"/>
      <c r="Z984" s="59"/>
      <c r="AA984" s="60"/>
    </row>
    <row r="985">
      <c r="A985" s="58"/>
      <c r="B985" s="58"/>
      <c r="C985" s="59"/>
      <c r="D985" s="60"/>
      <c r="E985" s="61"/>
      <c r="F985" s="62"/>
      <c r="G985" s="62"/>
      <c r="H985" s="62"/>
      <c r="I985" s="59"/>
      <c r="J985" s="60"/>
      <c r="K985" s="59"/>
      <c r="L985" s="60"/>
      <c r="M985" s="59"/>
      <c r="N985" s="63"/>
      <c r="O985" s="60"/>
      <c r="P985" s="60"/>
      <c r="Q985" s="60"/>
      <c r="R985" s="60"/>
      <c r="S985" s="60"/>
      <c r="T985" s="60"/>
      <c r="U985" s="60"/>
      <c r="V985" s="64"/>
      <c r="W985" s="60"/>
      <c r="X985" s="59"/>
      <c r="Y985" s="60"/>
      <c r="Z985" s="59"/>
      <c r="AA985" s="60"/>
    </row>
    <row r="986">
      <c r="A986" s="58"/>
      <c r="B986" s="58"/>
      <c r="C986" s="59"/>
      <c r="D986" s="60"/>
      <c r="E986" s="61"/>
      <c r="F986" s="62"/>
      <c r="G986" s="62"/>
      <c r="H986" s="62"/>
      <c r="I986" s="59"/>
      <c r="J986" s="60"/>
      <c r="K986" s="59"/>
      <c r="L986" s="60"/>
      <c r="M986" s="59"/>
      <c r="N986" s="63"/>
      <c r="O986" s="60"/>
      <c r="P986" s="60"/>
      <c r="Q986" s="60"/>
      <c r="R986" s="60"/>
      <c r="S986" s="60"/>
      <c r="T986" s="60"/>
      <c r="U986" s="60"/>
      <c r="V986" s="64"/>
      <c r="W986" s="60"/>
      <c r="X986" s="59"/>
      <c r="Y986" s="60"/>
      <c r="Z986" s="59"/>
      <c r="AA986" s="60"/>
    </row>
    <row r="987">
      <c r="A987" s="58"/>
      <c r="B987" s="58"/>
      <c r="C987" s="59"/>
      <c r="D987" s="60"/>
      <c r="E987" s="61"/>
      <c r="F987" s="62"/>
      <c r="G987" s="62"/>
      <c r="H987" s="62"/>
      <c r="I987" s="59"/>
      <c r="J987" s="60"/>
      <c r="K987" s="59"/>
      <c r="L987" s="60"/>
      <c r="M987" s="59"/>
      <c r="N987" s="63"/>
      <c r="O987" s="60"/>
      <c r="P987" s="60"/>
      <c r="Q987" s="60"/>
      <c r="R987" s="60"/>
      <c r="S987" s="60"/>
      <c r="T987" s="60"/>
      <c r="U987" s="60"/>
      <c r="V987" s="64"/>
      <c r="W987" s="60"/>
      <c r="X987" s="59"/>
      <c r="Y987" s="60"/>
      <c r="Z987" s="59"/>
      <c r="AA987" s="60"/>
    </row>
    <row r="988">
      <c r="A988" s="58"/>
      <c r="B988" s="58"/>
      <c r="C988" s="59"/>
      <c r="D988" s="60"/>
      <c r="E988" s="61"/>
      <c r="F988" s="62"/>
      <c r="G988" s="62"/>
      <c r="H988" s="62"/>
      <c r="I988" s="59"/>
      <c r="J988" s="60"/>
      <c r="K988" s="59"/>
      <c r="L988" s="60"/>
      <c r="M988" s="59"/>
      <c r="N988" s="63"/>
      <c r="O988" s="60"/>
      <c r="P988" s="60"/>
      <c r="Q988" s="60"/>
      <c r="R988" s="60"/>
      <c r="S988" s="60"/>
      <c r="T988" s="60"/>
      <c r="U988" s="60"/>
      <c r="V988" s="64"/>
      <c r="W988" s="60"/>
      <c r="X988" s="59"/>
      <c r="Y988" s="60"/>
      <c r="Z988" s="59"/>
      <c r="AA988" s="60"/>
    </row>
    <row r="989">
      <c r="A989" s="58"/>
      <c r="B989" s="58"/>
      <c r="C989" s="59"/>
      <c r="D989" s="60"/>
      <c r="E989" s="61"/>
      <c r="F989" s="62"/>
      <c r="G989" s="62"/>
      <c r="H989" s="62"/>
      <c r="I989" s="59"/>
      <c r="J989" s="60"/>
      <c r="K989" s="59"/>
      <c r="L989" s="60"/>
      <c r="M989" s="59"/>
      <c r="N989" s="63"/>
      <c r="O989" s="60"/>
      <c r="P989" s="60"/>
      <c r="Q989" s="60"/>
      <c r="R989" s="60"/>
      <c r="S989" s="60"/>
      <c r="T989" s="60"/>
      <c r="U989" s="60"/>
      <c r="V989" s="64"/>
      <c r="W989" s="60"/>
      <c r="X989" s="59"/>
      <c r="Y989" s="60"/>
      <c r="Z989" s="59"/>
      <c r="AA989" s="60"/>
    </row>
    <row r="990">
      <c r="A990" s="58"/>
      <c r="B990" s="58"/>
      <c r="C990" s="59"/>
      <c r="D990" s="60"/>
      <c r="E990" s="61"/>
      <c r="F990" s="62"/>
      <c r="G990" s="62"/>
      <c r="H990" s="62"/>
      <c r="I990" s="59"/>
      <c r="J990" s="60"/>
      <c r="K990" s="59"/>
      <c r="L990" s="60"/>
      <c r="M990" s="59"/>
      <c r="N990" s="63"/>
      <c r="O990" s="60"/>
      <c r="P990" s="60"/>
      <c r="Q990" s="60"/>
      <c r="R990" s="60"/>
      <c r="S990" s="60"/>
      <c r="T990" s="60"/>
      <c r="U990" s="60"/>
      <c r="V990" s="64"/>
      <c r="W990" s="60"/>
      <c r="X990" s="59"/>
      <c r="Y990" s="60"/>
      <c r="Z990" s="59"/>
      <c r="AA990" s="60"/>
    </row>
    <row r="991">
      <c r="A991" s="58"/>
      <c r="B991" s="58"/>
      <c r="C991" s="59"/>
      <c r="D991" s="60"/>
      <c r="E991" s="61"/>
      <c r="F991" s="62"/>
      <c r="G991" s="62"/>
      <c r="H991" s="62"/>
      <c r="I991" s="59"/>
      <c r="J991" s="60"/>
      <c r="K991" s="59"/>
      <c r="L991" s="60"/>
      <c r="M991" s="59"/>
      <c r="N991" s="63"/>
      <c r="O991" s="60"/>
      <c r="P991" s="60"/>
      <c r="Q991" s="60"/>
      <c r="R991" s="60"/>
      <c r="S991" s="60"/>
      <c r="T991" s="60"/>
      <c r="U991" s="60"/>
      <c r="V991" s="64"/>
      <c r="W991" s="60"/>
      <c r="X991" s="59"/>
      <c r="Y991" s="60"/>
      <c r="Z991" s="59"/>
      <c r="AA991" s="60"/>
    </row>
    <row r="992">
      <c r="A992" s="58"/>
      <c r="B992" s="58"/>
      <c r="C992" s="59"/>
      <c r="D992" s="60"/>
      <c r="E992" s="61"/>
      <c r="F992" s="62"/>
      <c r="G992" s="62"/>
      <c r="H992" s="62"/>
      <c r="I992" s="59"/>
      <c r="J992" s="60"/>
      <c r="K992" s="59"/>
      <c r="L992" s="60"/>
      <c r="M992" s="59"/>
      <c r="N992" s="63"/>
      <c r="O992" s="60"/>
      <c r="P992" s="60"/>
      <c r="Q992" s="60"/>
      <c r="R992" s="60"/>
      <c r="S992" s="60"/>
      <c r="T992" s="60"/>
      <c r="U992" s="60"/>
      <c r="V992" s="64"/>
      <c r="W992" s="60"/>
      <c r="X992" s="59"/>
      <c r="Y992" s="60"/>
      <c r="Z992" s="59"/>
      <c r="AA992" s="60"/>
    </row>
    <row r="993">
      <c r="A993" s="58"/>
      <c r="B993" s="58"/>
      <c r="C993" s="59"/>
      <c r="D993" s="60"/>
      <c r="E993" s="61"/>
      <c r="F993" s="62"/>
      <c r="G993" s="62"/>
      <c r="H993" s="62"/>
      <c r="I993" s="59"/>
      <c r="J993" s="60"/>
      <c r="K993" s="59"/>
      <c r="L993" s="60"/>
      <c r="M993" s="59"/>
      <c r="N993" s="63"/>
      <c r="O993" s="60"/>
      <c r="P993" s="60"/>
      <c r="Q993" s="60"/>
      <c r="R993" s="60"/>
      <c r="S993" s="60"/>
      <c r="T993" s="60"/>
      <c r="U993" s="60"/>
      <c r="V993" s="64"/>
      <c r="W993" s="60"/>
      <c r="X993" s="59"/>
      <c r="Y993" s="60"/>
      <c r="Z993" s="59"/>
      <c r="AA993" s="60"/>
    </row>
    <row r="994">
      <c r="A994" s="58"/>
      <c r="B994" s="58"/>
      <c r="C994" s="59"/>
      <c r="D994" s="60"/>
      <c r="E994" s="61"/>
      <c r="F994" s="62"/>
      <c r="G994" s="62"/>
      <c r="H994" s="62"/>
      <c r="I994" s="59"/>
      <c r="J994" s="60"/>
      <c r="K994" s="59"/>
      <c r="L994" s="60"/>
      <c r="M994" s="59"/>
      <c r="N994" s="63"/>
      <c r="O994" s="60"/>
      <c r="P994" s="60"/>
      <c r="Q994" s="60"/>
      <c r="R994" s="60"/>
      <c r="S994" s="60"/>
      <c r="T994" s="60"/>
      <c r="U994" s="60"/>
      <c r="V994" s="64"/>
      <c r="W994" s="60"/>
      <c r="X994" s="59"/>
      <c r="Y994" s="60"/>
      <c r="Z994" s="59"/>
      <c r="AA994" s="60"/>
    </row>
    <row r="995">
      <c r="A995" s="58"/>
      <c r="B995" s="58"/>
      <c r="C995" s="59"/>
      <c r="D995" s="60"/>
      <c r="E995" s="61"/>
      <c r="F995" s="62"/>
      <c r="G995" s="62"/>
      <c r="H995" s="62"/>
      <c r="I995" s="59"/>
      <c r="J995" s="60"/>
      <c r="K995" s="59"/>
      <c r="L995" s="60"/>
      <c r="M995" s="59"/>
      <c r="N995" s="63"/>
      <c r="O995" s="60"/>
      <c r="P995" s="60"/>
      <c r="Q995" s="60"/>
      <c r="R995" s="60"/>
      <c r="S995" s="60"/>
      <c r="T995" s="60"/>
      <c r="U995" s="60"/>
      <c r="V995" s="64"/>
      <c r="W995" s="60"/>
      <c r="X995" s="59"/>
      <c r="Y995" s="60"/>
      <c r="Z995" s="59"/>
      <c r="AA995" s="60"/>
    </row>
    <row r="996">
      <c r="A996" s="58"/>
      <c r="B996" s="58"/>
      <c r="C996" s="59"/>
      <c r="D996" s="60"/>
      <c r="E996" s="61"/>
      <c r="F996" s="62"/>
      <c r="G996" s="62"/>
      <c r="H996" s="62"/>
      <c r="I996" s="59"/>
      <c r="J996" s="60"/>
      <c r="K996" s="59"/>
      <c r="L996" s="60"/>
      <c r="M996" s="59"/>
      <c r="N996" s="63"/>
      <c r="O996" s="60"/>
      <c r="P996" s="60"/>
      <c r="Q996" s="60"/>
      <c r="R996" s="60"/>
      <c r="S996" s="60"/>
      <c r="T996" s="60"/>
      <c r="U996" s="60"/>
      <c r="V996" s="64"/>
      <c r="W996" s="60"/>
      <c r="X996" s="59"/>
      <c r="Y996" s="60"/>
      <c r="Z996" s="59"/>
      <c r="AA996" s="60"/>
    </row>
    <row r="997">
      <c r="A997" s="58"/>
      <c r="B997" s="58"/>
      <c r="C997" s="59"/>
      <c r="D997" s="60"/>
      <c r="E997" s="61"/>
      <c r="F997" s="62"/>
      <c r="G997" s="62"/>
      <c r="H997" s="62"/>
      <c r="I997" s="59"/>
      <c r="J997" s="60"/>
      <c r="K997" s="59"/>
      <c r="L997" s="60"/>
      <c r="M997" s="59"/>
      <c r="N997" s="63"/>
      <c r="O997" s="60"/>
      <c r="P997" s="60"/>
      <c r="Q997" s="60"/>
      <c r="R997" s="60"/>
      <c r="S997" s="60"/>
      <c r="T997" s="60"/>
      <c r="U997" s="60"/>
      <c r="V997" s="64"/>
      <c r="W997" s="60"/>
      <c r="X997" s="59"/>
      <c r="Y997" s="60"/>
      <c r="Z997" s="59"/>
      <c r="AA997" s="60"/>
    </row>
    <row r="998">
      <c r="A998" s="58"/>
      <c r="B998" s="58"/>
      <c r="C998" s="59"/>
      <c r="D998" s="60"/>
      <c r="E998" s="61"/>
      <c r="F998" s="62"/>
      <c r="G998" s="62"/>
      <c r="H998" s="62"/>
      <c r="I998" s="59"/>
      <c r="J998" s="60"/>
      <c r="K998" s="59"/>
      <c r="L998" s="60"/>
      <c r="M998" s="59"/>
      <c r="N998" s="63"/>
      <c r="O998" s="60"/>
      <c r="P998" s="60"/>
      <c r="Q998" s="60"/>
      <c r="R998" s="60"/>
      <c r="S998" s="60"/>
      <c r="T998" s="60"/>
      <c r="U998" s="60"/>
      <c r="V998" s="64"/>
      <c r="W998" s="60"/>
      <c r="X998" s="59"/>
      <c r="Y998" s="60"/>
      <c r="Z998" s="59"/>
      <c r="AA998" s="60"/>
    </row>
    <row r="999">
      <c r="A999" s="58"/>
      <c r="B999" s="58"/>
      <c r="C999" s="59"/>
      <c r="D999" s="60"/>
      <c r="E999" s="61"/>
      <c r="F999" s="62"/>
      <c r="G999" s="62"/>
      <c r="H999" s="62"/>
      <c r="I999" s="59"/>
      <c r="J999" s="60"/>
      <c r="K999" s="59"/>
      <c r="L999" s="60"/>
      <c r="M999" s="59"/>
      <c r="N999" s="63"/>
      <c r="O999" s="60"/>
      <c r="P999" s="60"/>
      <c r="Q999" s="60"/>
      <c r="R999" s="60"/>
      <c r="S999" s="60"/>
      <c r="T999" s="60"/>
      <c r="U999" s="60"/>
      <c r="V999" s="64"/>
      <c r="W999" s="60"/>
      <c r="X999" s="59"/>
      <c r="Y999" s="60"/>
      <c r="Z999" s="59"/>
      <c r="AA999" s="60"/>
    </row>
    <row r="1000">
      <c r="A1000" s="58"/>
      <c r="B1000" s="58"/>
      <c r="C1000" s="59"/>
      <c r="D1000" s="60"/>
      <c r="E1000" s="61"/>
      <c r="F1000" s="62"/>
      <c r="G1000" s="62"/>
      <c r="H1000" s="62"/>
      <c r="I1000" s="59"/>
      <c r="J1000" s="60"/>
      <c r="K1000" s="59"/>
      <c r="L1000" s="60"/>
      <c r="M1000" s="59"/>
      <c r="N1000" s="63"/>
      <c r="O1000" s="60"/>
      <c r="P1000" s="60"/>
      <c r="Q1000" s="60"/>
      <c r="R1000" s="60"/>
      <c r="S1000" s="60"/>
      <c r="T1000" s="60"/>
      <c r="U1000" s="60"/>
      <c r="V1000" s="64"/>
      <c r="W1000" s="60"/>
      <c r="X1000" s="59"/>
      <c r="Y1000" s="60"/>
      <c r="Z1000" s="59"/>
      <c r="AA1000" s="60"/>
    </row>
    <row r="1001">
      <c r="A1001" s="58"/>
      <c r="B1001" s="58"/>
      <c r="C1001" s="59"/>
      <c r="D1001" s="60"/>
      <c r="E1001" s="61"/>
      <c r="F1001" s="62"/>
      <c r="G1001" s="62"/>
      <c r="H1001" s="62"/>
      <c r="I1001" s="59"/>
      <c r="J1001" s="60"/>
      <c r="K1001" s="59"/>
      <c r="L1001" s="60"/>
      <c r="M1001" s="59"/>
      <c r="N1001" s="63"/>
      <c r="O1001" s="60"/>
      <c r="P1001" s="60"/>
      <c r="Q1001" s="60"/>
      <c r="R1001" s="60"/>
      <c r="S1001" s="60"/>
      <c r="T1001" s="60"/>
      <c r="U1001" s="60"/>
      <c r="V1001" s="64"/>
      <c r="W1001" s="60"/>
      <c r="X1001" s="59"/>
      <c r="Y1001" s="60"/>
      <c r="Z1001" s="59"/>
      <c r="AA1001" s="60"/>
    </row>
    <row r="1002">
      <c r="A1002" s="58"/>
      <c r="B1002" s="58"/>
      <c r="C1002" s="59"/>
      <c r="D1002" s="60"/>
      <c r="E1002" s="61"/>
      <c r="F1002" s="62"/>
      <c r="G1002" s="62"/>
      <c r="H1002" s="62"/>
      <c r="I1002" s="59"/>
      <c r="J1002" s="60"/>
      <c r="K1002" s="59"/>
      <c r="L1002" s="60"/>
      <c r="M1002" s="59"/>
      <c r="N1002" s="63"/>
      <c r="O1002" s="60"/>
      <c r="P1002" s="60"/>
      <c r="Q1002" s="60"/>
      <c r="R1002" s="60"/>
      <c r="S1002" s="60"/>
      <c r="T1002" s="60"/>
      <c r="U1002" s="60"/>
      <c r="V1002" s="64"/>
      <c r="W1002" s="60"/>
      <c r="X1002" s="59"/>
      <c r="Y1002" s="60"/>
      <c r="Z1002" s="59"/>
      <c r="AA1002" s="60"/>
    </row>
    <row r="1003">
      <c r="A1003" s="58"/>
      <c r="B1003" s="58"/>
      <c r="C1003" s="59"/>
      <c r="D1003" s="60"/>
      <c r="E1003" s="61"/>
      <c r="F1003" s="62"/>
      <c r="G1003" s="62"/>
      <c r="H1003" s="62"/>
      <c r="I1003" s="59"/>
      <c r="J1003" s="60"/>
      <c r="K1003" s="59"/>
      <c r="L1003" s="60"/>
      <c r="M1003" s="59"/>
      <c r="N1003" s="63"/>
      <c r="O1003" s="60"/>
      <c r="P1003" s="60"/>
      <c r="Q1003" s="60"/>
      <c r="R1003" s="60"/>
      <c r="S1003" s="60"/>
      <c r="T1003" s="60"/>
      <c r="U1003" s="60"/>
      <c r="V1003" s="64"/>
      <c r="W1003" s="60"/>
      <c r="X1003" s="59"/>
      <c r="Y1003" s="60"/>
      <c r="Z1003" s="59"/>
      <c r="AA1003" s="60"/>
    </row>
    <row r="1004">
      <c r="A1004" s="58"/>
      <c r="B1004" s="58"/>
      <c r="C1004" s="59"/>
      <c r="D1004" s="60"/>
      <c r="E1004" s="61"/>
      <c r="F1004" s="62"/>
      <c r="G1004" s="62"/>
      <c r="H1004" s="62"/>
      <c r="I1004" s="59"/>
      <c r="J1004" s="60"/>
      <c r="K1004" s="59"/>
      <c r="L1004" s="60"/>
      <c r="M1004" s="59"/>
      <c r="N1004" s="63"/>
      <c r="O1004" s="60"/>
      <c r="P1004" s="60"/>
      <c r="Q1004" s="60"/>
      <c r="R1004" s="60"/>
      <c r="S1004" s="60"/>
      <c r="T1004" s="60"/>
      <c r="U1004" s="60"/>
      <c r="V1004" s="64"/>
      <c r="W1004" s="60"/>
      <c r="X1004" s="59"/>
      <c r="Y1004" s="60"/>
      <c r="Z1004" s="59"/>
      <c r="AA1004" s="60"/>
    </row>
    <row r="1005">
      <c r="A1005" s="58"/>
      <c r="B1005" s="58"/>
      <c r="C1005" s="59"/>
      <c r="D1005" s="60"/>
      <c r="E1005" s="61"/>
      <c r="F1005" s="62"/>
      <c r="G1005" s="62"/>
      <c r="H1005" s="62"/>
      <c r="I1005" s="59"/>
      <c r="J1005" s="60"/>
      <c r="K1005" s="59"/>
      <c r="L1005" s="60"/>
      <c r="M1005" s="59"/>
      <c r="N1005" s="63"/>
      <c r="O1005" s="60"/>
      <c r="P1005" s="60"/>
      <c r="Q1005" s="60"/>
      <c r="R1005" s="60"/>
      <c r="S1005" s="60"/>
      <c r="T1005" s="60"/>
      <c r="U1005" s="60"/>
      <c r="V1005" s="64"/>
      <c r="W1005" s="60"/>
      <c r="X1005" s="59"/>
      <c r="Y1005" s="60"/>
      <c r="Z1005" s="59"/>
      <c r="AA1005" s="60"/>
    </row>
    <row r="1006">
      <c r="A1006" s="58"/>
      <c r="B1006" s="58"/>
      <c r="C1006" s="59"/>
      <c r="D1006" s="60"/>
      <c r="E1006" s="61"/>
      <c r="F1006" s="62"/>
      <c r="G1006" s="62"/>
      <c r="H1006" s="62"/>
      <c r="I1006" s="59"/>
      <c r="J1006" s="60"/>
      <c r="K1006" s="59"/>
      <c r="L1006" s="60"/>
      <c r="M1006" s="59"/>
      <c r="N1006" s="63"/>
      <c r="O1006" s="60"/>
      <c r="P1006" s="60"/>
      <c r="Q1006" s="60"/>
      <c r="R1006" s="60"/>
      <c r="S1006" s="60"/>
      <c r="T1006" s="60"/>
      <c r="U1006" s="60"/>
      <c r="V1006" s="64"/>
      <c r="W1006" s="60"/>
      <c r="X1006" s="59"/>
      <c r="Y1006" s="60"/>
      <c r="Z1006" s="59"/>
      <c r="AA1006" s="60"/>
    </row>
    <row r="1007">
      <c r="A1007" s="58"/>
      <c r="B1007" s="58"/>
      <c r="C1007" s="59"/>
      <c r="D1007" s="60"/>
      <c r="E1007" s="61"/>
      <c r="F1007" s="62"/>
      <c r="G1007" s="62"/>
      <c r="H1007" s="62"/>
      <c r="I1007" s="59"/>
      <c r="J1007" s="60"/>
      <c r="K1007" s="59"/>
      <c r="L1007" s="60"/>
      <c r="M1007" s="59"/>
      <c r="N1007" s="63"/>
      <c r="O1007" s="60"/>
      <c r="P1007" s="60"/>
      <c r="Q1007" s="60"/>
      <c r="R1007" s="60"/>
      <c r="S1007" s="60"/>
      <c r="T1007" s="60"/>
      <c r="U1007" s="60"/>
      <c r="V1007" s="64"/>
      <c r="W1007" s="60"/>
      <c r="X1007" s="59"/>
      <c r="Y1007" s="60"/>
      <c r="Z1007" s="59"/>
      <c r="AA1007" s="60"/>
    </row>
    <row r="1008">
      <c r="A1008" s="58"/>
      <c r="B1008" s="58"/>
      <c r="C1008" s="59"/>
      <c r="D1008" s="60"/>
      <c r="E1008" s="61"/>
      <c r="F1008" s="62"/>
      <c r="G1008" s="62"/>
      <c r="H1008" s="62"/>
      <c r="I1008" s="59"/>
      <c r="J1008" s="60"/>
      <c r="K1008" s="59"/>
      <c r="L1008" s="60"/>
      <c r="M1008" s="59"/>
      <c r="N1008" s="63"/>
      <c r="O1008" s="60"/>
      <c r="P1008" s="60"/>
      <c r="Q1008" s="60"/>
      <c r="R1008" s="60"/>
      <c r="S1008" s="60"/>
      <c r="T1008" s="60"/>
      <c r="U1008" s="60"/>
      <c r="V1008" s="64"/>
      <c r="W1008" s="60"/>
      <c r="X1008" s="59"/>
      <c r="Y1008" s="60"/>
      <c r="Z1008" s="59"/>
      <c r="AA1008" s="60"/>
    </row>
    <row r="1009">
      <c r="A1009" s="58"/>
      <c r="B1009" s="58"/>
      <c r="C1009" s="59"/>
      <c r="D1009" s="60"/>
      <c r="E1009" s="61"/>
      <c r="F1009" s="62"/>
      <c r="G1009" s="62"/>
      <c r="H1009" s="62"/>
      <c r="I1009" s="59"/>
      <c r="J1009" s="60"/>
      <c r="K1009" s="59"/>
      <c r="L1009" s="60"/>
      <c r="M1009" s="59"/>
      <c r="N1009" s="63"/>
      <c r="O1009" s="60"/>
      <c r="P1009" s="60"/>
      <c r="Q1009" s="60"/>
      <c r="R1009" s="60"/>
      <c r="S1009" s="60"/>
      <c r="T1009" s="60"/>
      <c r="U1009" s="60"/>
      <c r="V1009" s="64"/>
      <c r="W1009" s="60"/>
      <c r="X1009" s="59"/>
      <c r="Y1009" s="60"/>
      <c r="Z1009" s="59"/>
      <c r="AA1009" s="60"/>
    </row>
    <row r="1010">
      <c r="A1010" s="58"/>
      <c r="B1010" s="58"/>
      <c r="C1010" s="59"/>
      <c r="D1010" s="60"/>
      <c r="E1010" s="61"/>
      <c r="F1010" s="62"/>
      <c r="G1010" s="62"/>
      <c r="H1010" s="62"/>
      <c r="I1010" s="59"/>
      <c r="J1010" s="60"/>
      <c r="K1010" s="59"/>
      <c r="L1010" s="60"/>
      <c r="M1010" s="59"/>
      <c r="N1010" s="63"/>
      <c r="O1010" s="60"/>
      <c r="P1010" s="60"/>
      <c r="Q1010" s="60"/>
      <c r="R1010" s="60"/>
      <c r="S1010" s="60"/>
      <c r="T1010" s="60"/>
      <c r="U1010" s="60"/>
      <c r="V1010" s="64"/>
      <c r="W1010" s="60"/>
      <c r="X1010" s="59"/>
      <c r="Y1010" s="60"/>
      <c r="Z1010" s="59"/>
      <c r="AA1010" s="60"/>
    </row>
    <row r="1011">
      <c r="A1011" s="58"/>
      <c r="B1011" s="58"/>
      <c r="C1011" s="59"/>
      <c r="D1011" s="60"/>
      <c r="E1011" s="61"/>
      <c r="F1011" s="62"/>
      <c r="G1011" s="62"/>
      <c r="H1011" s="62"/>
      <c r="I1011" s="59"/>
      <c r="J1011" s="60"/>
      <c r="K1011" s="59"/>
      <c r="L1011" s="60"/>
      <c r="M1011" s="59"/>
      <c r="N1011" s="63"/>
      <c r="O1011" s="60"/>
      <c r="P1011" s="60"/>
      <c r="Q1011" s="60"/>
      <c r="R1011" s="60"/>
      <c r="S1011" s="60"/>
      <c r="T1011" s="60"/>
      <c r="U1011" s="60"/>
      <c r="V1011" s="64"/>
      <c r="W1011" s="60"/>
      <c r="X1011" s="59"/>
      <c r="Y1011" s="60"/>
      <c r="Z1011" s="59"/>
      <c r="AA1011" s="60"/>
    </row>
    <row r="1012">
      <c r="A1012" s="58"/>
      <c r="B1012" s="58"/>
      <c r="C1012" s="59"/>
      <c r="D1012" s="60"/>
      <c r="E1012" s="61"/>
      <c r="F1012" s="62"/>
      <c r="G1012" s="62"/>
      <c r="H1012" s="62"/>
      <c r="I1012" s="59"/>
      <c r="J1012" s="60"/>
      <c r="K1012" s="59"/>
      <c r="L1012" s="60"/>
      <c r="M1012" s="59"/>
      <c r="N1012" s="63"/>
      <c r="O1012" s="60"/>
      <c r="P1012" s="60"/>
      <c r="Q1012" s="60"/>
      <c r="R1012" s="60"/>
      <c r="S1012" s="60"/>
      <c r="T1012" s="60"/>
      <c r="U1012" s="60"/>
      <c r="V1012" s="64"/>
      <c r="W1012" s="60"/>
      <c r="X1012" s="59"/>
      <c r="Y1012" s="60"/>
      <c r="Z1012" s="59"/>
      <c r="AA1012" s="60"/>
    </row>
    <row r="1013">
      <c r="A1013" s="58"/>
      <c r="B1013" s="58"/>
      <c r="C1013" s="59"/>
      <c r="D1013" s="60"/>
      <c r="E1013" s="61"/>
      <c r="F1013" s="62"/>
      <c r="G1013" s="62"/>
      <c r="H1013" s="62"/>
      <c r="I1013" s="59"/>
      <c r="J1013" s="60"/>
      <c r="K1013" s="59"/>
      <c r="L1013" s="60"/>
      <c r="M1013" s="59"/>
      <c r="N1013" s="63"/>
      <c r="O1013" s="60"/>
      <c r="P1013" s="60"/>
      <c r="Q1013" s="60"/>
      <c r="R1013" s="60"/>
      <c r="S1013" s="60"/>
      <c r="T1013" s="60"/>
      <c r="U1013" s="60"/>
      <c r="V1013" s="64"/>
      <c r="W1013" s="60"/>
      <c r="X1013" s="59"/>
      <c r="Y1013" s="60"/>
      <c r="Z1013" s="59"/>
      <c r="AA1013" s="60"/>
    </row>
    <row r="1014">
      <c r="A1014" s="58"/>
      <c r="B1014" s="58"/>
      <c r="C1014" s="59"/>
      <c r="D1014" s="60"/>
      <c r="E1014" s="61"/>
      <c r="F1014" s="62"/>
      <c r="G1014" s="62"/>
      <c r="H1014" s="62"/>
      <c r="I1014" s="59"/>
      <c r="J1014" s="60"/>
      <c r="K1014" s="59"/>
      <c r="L1014" s="60"/>
      <c r="M1014" s="59"/>
      <c r="N1014" s="63"/>
      <c r="O1014" s="60"/>
      <c r="P1014" s="60"/>
      <c r="Q1014" s="60"/>
      <c r="R1014" s="60"/>
      <c r="S1014" s="60"/>
      <c r="T1014" s="60"/>
      <c r="U1014" s="60"/>
      <c r="V1014" s="64"/>
      <c r="W1014" s="60"/>
      <c r="X1014" s="59"/>
      <c r="Y1014" s="60"/>
      <c r="Z1014" s="59"/>
      <c r="AA1014" s="60"/>
    </row>
    <row r="1015">
      <c r="A1015" s="58"/>
      <c r="B1015" s="58"/>
      <c r="C1015" s="59"/>
      <c r="D1015" s="60"/>
      <c r="E1015" s="61"/>
      <c r="F1015" s="62"/>
      <c r="G1015" s="62"/>
      <c r="H1015" s="62"/>
      <c r="I1015" s="59"/>
      <c r="J1015" s="60"/>
      <c r="K1015" s="59"/>
      <c r="L1015" s="60"/>
      <c r="M1015" s="59"/>
      <c r="N1015" s="63"/>
      <c r="O1015" s="60"/>
      <c r="P1015" s="60"/>
      <c r="Q1015" s="60"/>
      <c r="R1015" s="60"/>
      <c r="S1015" s="60"/>
      <c r="T1015" s="60"/>
      <c r="U1015" s="60"/>
      <c r="V1015" s="64"/>
      <c r="W1015" s="60"/>
      <c r="X1015" s="59"/>
      <c r="Y1015" s="60"/>
      <c r="Z1015" s="59"/>
      <c r="AA1015" s="60"/>
    </row>
    <row r="1016">
      <c r="A1016" s="58"/>
      <c r="B1016" s="58"/>
      <c r="C1016" s="59"/>
      <c r="D1016" s="60"/>
      <c r="E1016" s="61"/>
      <c r="F1016" s="62"/>
      <c r="G1016" s="62"/>
      <c r="H1016" s="62"/>
      <c r="I1016" s="59"/>
      <c r="J1016" s="60"/>
      <c r="K1016" s="59"/>
      <c r="L1016" s="60"/>
      <c r="M1016" s="59"/>
      <c r="N1016" s="63"/>
      <c r="O1016" s="60"/>
      <c r="P1016" s="60"/>
      <c r="Q1016" s="60"/>
      <c r="R1016" s="60"/>
      <c r="S1016" s="60"/>
      <c r="T1016" s="60"/>
      <c r="U1016" s="60"/>
      <c r="V1016" s="64"/>
      <c r="W1016" s="60"/>
      <c r="X1016" s="59"/>
      <c r="Y1016" s="60"/>
      <c r="Z1016" s="59"/>
      <c r="AA1016" s="60"/>
    </row>
    <row r="1017">
      <c r="A1017" s="58"/>
      <c r="B1017" s="58"/>
      <c r="C1017" s="59"/>
      <c r="D1017" s="60"/>
      <c r="E1017" s="61"/>
      <c r="F1017" s="62"/>
      <c r="G1017" s="62"/>
      <c r="H1017" s="62"/>
      <c r="I1017" s="59"/>
      <c r="J1017" s="60"/>
      <c r="K1017" s="59"/>
      <c r="L1017" s="60"/>
      <c r="M1017" s="59"/>
      <c r="N1017" s="63"/>
      <c r="O1017" s="60"/>
      <c r="P1017" s="60"/>
      <c r="Q1017" s="60"/>
      <c r="R1017" s="60"/>
      <c r="S1017" s="60"/>
      <c r="T1017" s="60"/>
      <c r="U1017" s="60"/>
      <c r="V1017" s="64"/>
      <c r="W1017" s="60"/>
      <c r="X1017" s="59"/>
      <c r="Y1017" s="60"/>
      <c r="Z1017" s="59"/>
      <c r="AA1017" s="60"/>
    </row>
    <row r="1018">
      <c r="A1018" s="58"/>
      <c r="B1018" s="58"/>
      <c r="C1018" s="59"/>
      <c r="D1018" s="60"/>
      <c r="E1018" s="61"/>
      <c r="F1018" s="62"/>
      <c r="G1018" s="62"/>
      <c r="H1018" s="62"/>
      <c r="I1018" s="59"/>
      <c r="J1018" s="60"/>
      <c r="K1018" s="59"/>
      <c r="L1018" s="60"/>
      <c r="M1018" s="59"/>
      <c r="N1018" s="63"/>
      <c r="O1018" s="60"/>
      <c r="P1018" s="60"/>
      <c r="Q1018" s="60"/>
      <c r="R1018" s="60"/>
      <c r="S1018" s="60"/>
      <c r="T1018" s="60"/>
      <c r="U1018" s="60"/>
      <c r="V1018" s="64"/>
      <c r="W1018" s="60"/>
      <c r="X1018" s="59"/>
      <c r="Y1018" s="60"/>
      <c r="Z1018" s="59"/>
      <c r="AA1018" s="60"/>
    </row>
    <row r="1019">
      <c r="A1019" s="58"/>
      <c r="B1019" s="58"/>
      <c r="C1019" s="59"/>
      <c r="D1019" s="60"/>
      <c r="E1019" s="61"/>
      <c r="F1019" s="62"/>
      <c r="G1019" s="62"/>
      <c r="H1019" s="62"/>
      <c r="I1019" s="59"/>
      <c r="J1019" s="60"/>
      <c r="K1019" s="59"/>
      <c r="L1019" s="60"/>
      <c r="M1019" s="59"/>
      <c r="N1019" s="63"/>
      <c r="O1019" s="60"/>
      <c r="P1019" s="60"/>
      <c r="Q1019" s="60"/>
      <c r="R1019" s="60"/>
      <c r="S1019" s="60"/>
      <c r="T1019" s="60"/>
      <c r="U1019" s="60"/>
      <c r="V1019" s="64"/>
      <c r="W1019" s="60"/>
      <c r="X1019" s="59"/>
      <c r="Y1019" s="60"/>
      <c r="Z1019" s="59"/>
      <c r="AA1019" s="60"/>
    </row>
    <row r="1020">
      <c r="A1020" s="58"/>
      <c r="B1020" s="58"/>
      <c r="C1020" s="59"/>
      <c r="D1020" s="60"/>
      <c r="E1020" s="61"/>
      <c r="F1020" s="62"/>
      <c r="G1020" s="62"/>
      <c r="H1020" s="62"/>
      <c r="I1020" s="59"/>
      <c r="J1020" s="60"/>
      <c r="K1020" s="59"/>
      <c r="L1020" s="60"/>
      <c r="M1020" s="59"/>
      <c r="N1020" s="63"/>
      <c r="O1020" s="60"/>
      <c r="P1020" s="60"/>
      <c r="Q1020" s="60"/>
      <c r="R1020" s="60"/>
      <c r="S1020" s="60"/>
      <c r="T1020" s="60"/>
      <c r="U1020" s="60"/>
      <c r="V1020" s="64"/>
      <c r="W1020" s="60"/>
      <c r="X1020" s="59"/>
      <c r="Y1020" s="60"/>
      <c r="Z1020" s="59"/>
      <c r="AA1020" s="60"/>
    </row>
    <row r="1021">
      <c r="A1021" s="58"/>
      <c r="B1021" s="58"/>
      <c r="C1021" s="59"/>
      <c r="D1021" s="60"/>
      <c r="E1021" s="61"/>
      <c r="F1021" s="62"/>
      <c r="G1021" s="62"/>
      <c r="H1021" s="62"/>
      <c r="I1021" s="59"/>
      <c r="J1021" s="60"/>
      <c r="K1021" s="59"/>
      <c r="L1021" s="60"/>
      <c r="M1021" s="59"/>
      <c r="N1021" s="63"/>
      <c r="O1021" s="60"/>
      <c r="P1021" s="60"/>
      <c r="Q1021" s="60"/>
      <c r="R1021" s="60"/>
      <c r="S1021" s="60"/>
      <c r="T1021" s="60"/>
      <c r="U1021" s="60"/>
      <c r="V1021" s="64"/>
      <c r="W1021" s="60"/>
      <c r="X1021" s="59"/>
      <c r="Y1021" s="60"/>
      <c r="Z1021" s="59"/>
      <c r="AA1021" s="60"/>
    </row>
    <row r="1022">
      <c r="A1022" s="58"/>
      <c r="B1022" s="58"/>
      <c r="C1022" s="59"/>
      <c r="D1022" s="60"/>
      <c r="E1022" s="61"/>
      <c r="F1022" s="62"/>
      <c r="G1022" s="62"/>
      <c r="H1022" s="62"/>
      <c r="I1022" s="59"/>
      <c r="J1022" s="60"/>
      <c r="K1022" s="59"/>
      <c r="L1022" s="60"/>
      <c r="M1022" s="59"/>
      <c r="N1022" s="63"/>
      <c r="O1022" s="60"/>
      <c r="P1022" s="60"/>
      <c r="Q1022" s="60"/>
      <c r="R1022" s="60"/>
      <c r="S1022" s="60"/>
      <c r="T1022" s="60"/>
      <c r="U1022" s="60"/>
      <c r="V1022" s="64"/>
      <c r="W1022" s="60"/>
      <c r="X1022" s="59"/>
      <c r="Y1022" s="60"/>
      <c r="Z1022" s="59"/>
      <c r="AA1022" s="60"/>
    </row>
    <row r="1023">
      <c r="A1023" s="58"/>
      <c r="B1023" s="58"/>
      <c r="C1023" s="59"/>
      <c r="D1023" s="60"/>
      <c r="E1023" s="61"/>
      <c r="F1023" s="62"/>
      <c r="G1023" s="62"/>
      <c r="H1023" s="62"/>
      <c r="I1023" s="59"/>
      <c r="J1023" s="60"/>
      <c r="K1023" s="59"/>
      <c r="L1023" s="60"/>
      <c r="M1023" s="59"/>
      <c r="N1023" s="63"/>
      <c r="O1023" s="60"/>
      <c r="P1023" s="60"/>
      <c r="Q1023" s="60"/>
      <c r="R1023" s="60"/>
      <c r="S1023" s="60"/>
      <c r="T1023" s="60"/>
      <c r="U1023" s="60"/>
      <c r="V1023" s="64"/>
      <c r="W1023" s="60"/>
      <c r="X1023" s="59"/>
      <c r="Y1023" s="60"/>
      <c r="Z1023" s="59"/>
      <c r="AA1023" s="60"/>
    </row>
    <row r="1024">
      <c r="A1024" s="58"/>
      <c r="B1024" s="58"/>
      <c r="C1024" s="59"/>
      <c r="D1024" s="60"/>
      <c r="E1024" s="61"/>
      <c r="F1024" s="62"/>
      <c r="G1024" s="62"/>
      <c r="H1024" s="62"/>
      <c r="I1024" s="59"/>
      <c r="J1024" s="60"/>
      <c r="K1024" s="59"/>
      <c r="L1024" s="60"/>
      <c r="M1024" s="59"/>
      <c r="N1024" s="63"/>
      <c r="O1024" s="60"/>
      <c r="P1024" s="60"/>
      <c r="Q1024" s="60"/>
      <c r="R1024" s="60"/>
      <c r="S1024" s="60"/>
      <c r="T1024" s="60"/>
      <c r="U1024" s="60"/>
      <c r="V1024" s="64"/>
      <c r="W1024" s="60"/>
      <c r="X1024" s="59"/>
      <c r="Y1024" s="60"/>
      <c r="Z1024" s="59"/>
      <c r="AA1024" s="60"/>
    </row>
    <row r="1025">
      <c r="A1025" s="58"/>
      <c r="B1025" s="58"/>
      <c r="C1025" s="59"/>
      <c r="D1025" s="60"/>
      <c r="E1025" s="61"/>
      <c r="F1025" s="62"/>
      <c r="G1025" s="62"/>
      <c r="H1025" s="62"/>
      <c r="I1025" s="59"/>
      <c r="J1025" s="60"/>
      <c r="K1025" s="59"/>
      <c r="L1025" s="60"/>
      <c r="M1025" s="59"/>
      <c r="N1025" s="63"/>
      <c r="O1025" s="60"/>
      <c r="P1025" s="60"/>
      <c r="Q1025" s="60"/>
      <c r="R1025" s="60"/>
      <c r="S1025" s="60"/>
      <c r="T1025" s="60"/>
      <c r="U1025" s="60"/>
      <c r="V1025" s="64"/>
      <c r="W1025" s="60"/>
      <c r="X1025" s="59"/>
      <c r="Y1025" s="60"/>
      <c r="Z1025" s="59"/>
      <c r="AA1025" s="60"/>
    </row>
    <row r="1026">
      <c r="A1026" s="58"/>
      <c r="B1026" s="58"/>
      <c r="C1026" s="59"/>
      <c r="D1026" s="60"/>
      <c r="E1026" s="61"/>
      <c r="F1026" s="62"/>
      <c r="G1026" s="62"/>
      <c r="H1026" s="62"/>
      <c r="I1026" s="59"/>
      <c r="J1026" s="60"/>
      <c r="K1026" s="59"/>
      <c r="L1026" s="60"/>
      <c r="M1026" s="59"/>
      <c r="N1026" s="63"/>
      <c r="O1026" s="60"/>
      <c r="P1026" s="60"/>
      <c r="Q1026" s="60"/>
      <c r="R1026" s="60"/>
      <c r="S1026" s="60"/>
      <c r="T1026" s="60"/>
      <c r="U1026" s="60"/>
      <c r="V1026" s="64"/>
      <c r="W1026" s="60"/>
      <c r="X1026" s="59"/>
      <c r="Y1026" s="60"/>
      <c r="Z1026" s="59"/>
      <c r="AA1026" s="60"/>
    </row>
    <row r="1027">
      <c r="A1027" s="58"/>
      <c r="B1027" s="58"/>
      <c r="C1027" s="59"/>
      <c r="D1027" s="60"/>
      <c r="E1027" s="61"/>
      <c r="F1027" s="62"/>
      <c r="G1027" s="62"/>
      <c r="H1027" s="62"/>
      <c r="I1027" s="59"/>
      <c r="J1027" s="60"/>
      <c r="K1027" s="59"/>
      <c r="L1027" s="60"/>
      <c r="M1027" s="59"/>
      <c r="N1027" s="63"/>
      <c r="O1027" s="60"/>
      <c r="P1027" s="60"/>
      <c r="Q1027" s="60"/>
      <c r="R1027" s="60"/>
      <c r="S1027" s="60"/>
      <c r="T1027" s="60"/>
      <c r="U1027" s="60"/>
      <c r="V1027" s="64"/>
      <c r="W1027" s="60"/>
      <c r="X1027" s="59"/>
      <c r="Y1027" s="60"/>
      <c r="Z1027" s="59"/>
      <c r="AA1027" s="60"/>
    </row>
    <row r="1028">
      <c r="A1028" s="58"/>
      <c r="B1028" s="58"/>
      <c r="C1028" s="59"/>
      <c r="D1028" s="60"/>
      <c r="E1028" s="61"/>
      <c r="F1028" s="62"/>
      <c r="G1028" s="62"/>
      <c r="H1028" s="62"/>
      <c r="I1028" s="59"/>
      <c r="J1028" s="60"/>
      <c r="K1028" s="59"/>
      <c r="L1028" s="60"/>
      <c r="M1028" s="59"/>
      <c r="N1028" s="63"/>
      <c r="O1028" s="60"/>
      <c r="P1028" s="60"/>
      <c r="Q1028" s="60"/>
      <c r="R1028" s="60"/>
      <c r="S1028" s="60"/>
      <c r="T1028" s="60"/>
      <c r="U1028" s="60"/>
      <c r="V1028" s="64"/>
      <c r="W1028" s="60"/>
      <c r="X1028" s="59"/>
      <c r="Y1028" s="60"/>
      <c r="Z1028" s="59"/>
      <c r="AA1028" s="60"/>
    </row>
    <row r="1029">
      <c r="A1029" s="58"/>
      <c r="B1029" s="58"/>
      <c r="C1029" s="59"/>
      <c r="D1029" s="60"/>
      <c r="E1029" s="61"/>
      <c r="F1029" s="62"/>
      <c r="G1029" s="62"/>
      <c r="H1029" s="62"/>
      <c r="I1029" s="59"/>
      <c r="J1029" s="60"/>
      <c r="K1029" s="59"/>
      <c r="L1029" s="60"/>
      <c r="M1029" s="59"/>
      <c r="N1029" s="63"/>
      <c r="O1029" s="60"/>
      <c r="P1029" s="60"/>
      <c r="Q1029" s="60"/>
      <c r="R1029" s="60"/>
      <c r="S1029" s="60"/>
      <c r="T1029" s="60"/>
      <c r="U1029" s="60"/>
      <c r="V1029" s="64"/>
      <c r="W1029" s="60"/>
      <c r="X1029" s="59"/>
      <c r="Y1029" s="60"/>
      <c r="Z1029" s="59"/>
      <c r="AA1029" s="60"/>
    </row>
    <row r="1030">
      <c r="A1030" s="58"/>
      <c r="B1030" s="58"/>
      <c r="C1030" s="59"/>
      <c r="D1030" s="60"/>
      <c r="E1030" s="61"/>
      <c r="F1030" s="62"/>
      <c r="G1030" s="62"/>
      <c r="H1030" s="62"/>
      <c r="I1030" s="59"/>
      <c r="J1030" s="60"/>
      <c r="K1030" s="59"/>
      <c r="L1030" s="60"/>
      <c r="M1030" s="59"/>
      <c r="N1030" s="63"/>
      <c r="O1030" s="60"/>
      <c r="P1030" s="60"/>
      <c r="Q1030" s="60"/>
      <c r="R1030" s="60"/>
      <c r="S1030" s="60"/>
      <c r="T1030" s="60"/>
      <c r="U1030" s="60"/>
      <c r="V1030" s="64"/>
      <c r="W1030" s="60"/>
      <c r="X1030" s="59"/>
      <c r="Y1030" s="60"/>
      <c r="Z1030" s="59"/>
      <c r="AA1030" s="60"/>
    </row>
    <row r="1031">
      <c r="A1031" s="58"/>
      <c r="B1031" s="58"/>
      <c r="C1031" s="59"/>
      <c r="D1031" s="60"/>
      <c r="E1031" s="61"/>
      <c r="F1031" s="62"/>
      <c r="G1031" s="62"/>
      <c r="H1031" s="62"/>
      <c r="I1031" s="59"/>
      <c r="J1031" s="60"/>
      <c r="K1031" s="59"/>
      <c r="L1031" s="60"/>
      <c r="M1031" s="59"/>
      <c r="N1031" s="63"/>
      <c r="O1031" s="60"/>
      <c r="P1031" s="60"/>
      <c r="Q1031" s="60"/>
      <c r="R1031" s="60"/>
      <c r="S1031" s="60"/>
      <c r="T1031" s="60"/>
      <c r="U1031" s="60"/>
      <c r="V1031" s="64"/>
      <c r="W1031" s="60"/>
      <c r="X1031" s="59"/>
      <c r="Y1031" s="60"/>
      <c r="Z1031" s="59"/>
      <c r="AA1031" s="60"/>
    </row>
    <row r="1032">
      <c r="A1032" s="58"/>
      <c r="B1032" s="58"/>
      <c r="C1032" s="59"/>
      <c r="D1032" s="60"/>
      <c r="E1032" s="61"/>
      <c r="F1032" s="62"/>
      <c r="G1032" s="62"/>
      <c r="H1032" s="62"/>
      <c r="I1032" s="59"/>
      <c r="J1032" s="60"/>
      <c r="K1032" s="59"/>
      <c r="L1032" s="60"/>
      <c r="M1032" s="59"/>
      <c r="N1032" s="63"/>
      <c r="O1032" s="60"/>
      <c r="P1032" s="60"/>
      <c r="Q1032" s="60"/>
      <c r="R1032" s="60"/>
      <c r="S1032" s="60"/>
      <c r="T1032" s="60"/>
      <c r="U1032" s="60"/>
      <c r="V1032" s="64"/>
      <c r="W1032" s="60"/>
      <c r="X1032" s="59"/>
      <c r="Y1032" s="60"/>
      <c r="Z1032" s="59"/>
      <c r="AA1032" s="60"/>
    </row>
    <row r="1033">
      <c r="A1033" s="58"/>
      <c r="B1033" s="58"/>
      <c r="C1033" s="59"/>
      <c r="D1033" s="60"/>
      <c r="E1033" s="61"/>
      <c r="F1033" s="62"/>
      <c r="G1033" s="62"/>
      <c r="H1033" s="62"/>
      <c r="I1033" s="59"/>
      <c r="J1033" s="60"/>
      <c r="K1033" s="59"/>
      <c r="L1033" s="60"/>
      <c r="M1033" s="59"/>
      <c r="N1033" s="63"/>
      <c r="O1033" s="60"/>
      <c r="P1033" s="60"/>
      <c r="Q1033" s="60"/>
      <c r="R1033" s="60"/>
      <c r="S1033" s="60"/>
      <c r="T1033" s="60"/>
      <c r="U1033" s="60"/>
      <c r="V1033" s="64"/>
      <c r="W1033" s="60"/>
      <c r="X1033" s="59"/>
      <c r="Y1033" s="60"/>
      <c r="Z1033" s="59"/>
      <c r="AA1033" s="60"/>
    </row>
    <row r="1034">
      <c r="A1034" s="58"/>
      <c r="B1034" s="58"/>
      <c r="C1034" s="59"/>
      <c r="D1034" s="60"/>
      <c r="E1034" s="61"/>
      <c r="F1034" s="62"/>
      <c r="G1034" s="62"/>
      <c r="H1034" s="62"/>
      <c r="I1034" s="59"/>
      <c r="J1034" s="60"/>
      <c r="K1034" s="59"/>
      <c r="L1034" s="60"/>
      <c r="M1034" s="59"/>
      <c r="N1034" s="63"/>
      <c r="O1034" s="60"/>
      <c r="P1034" s="60"/>
      <c r="Q1034" s="60"/>
      <c r="R1034" s="60"/>
      <c r="S1034" s="60"/>
      <c r="T1034" s="60"/>
      <c r="U1034" s="60"/>
      <c r="V1034" s="64"/>
      <c r="W1034" s="60"/>
      <c r="X1034" s="59"/>
      <c r="Y1034" s="60"/>
      <c r="Z1034" s="59"/>
      <c r="AA1034" s="60"/>
    </row>
    <row r="1035">
      <c r="A1035" s="58"/>
      <c r="B1035" s="58"/>
      <c r="C1035" s="59"/>
      <c r="D1035" s="60"/>
      <c r="E1035" s="61"/>
      <c r="F1035" s="62"/>
      <c r="G1035" s="62"/>
      <c r="H1035" s="62"/>
      <c r="I1035" s="59"/>
      <c r="J1035" s="60"/>
      <c r="K1035" s="59"/>
      <c r="L1035" s="60"/>
      <c r="M1035" s="59"/>
      <c r="N1035" s="63"/>
      <c r="O1035" s="60"/>
      <c r="P1035" s="60"/>
      <c r="Q1035" s="60"/>
      <c r="R1035" s="60"/>
      <c r="S1035" s="60"/>
      <c r="T1035" s="60"/>
      <c r="U1035" s="60"/>
      <c r="V1035" s="64"/>
      <c r="W1035" s="60"/>
      <c r="X1035" s="59"/>
      <c r="Y1035" s="60"/>
      <c r="Z1035" s="59"/>
      <c r="AA1035" s="60"/>
    </row>
    <row r="1036">
      <c r="A1036" s="58"/>
      <c r="B1036" s="58"/>
      <c r="C1036" s="59"/>
      <c r="D1036" s="60"/>
      <c r="E1036" s="61"/>
      <c r="F1036" s="62"/>
      <c r="G1036" s="62"/>
      <c r="H1036" s="62"/>
      <c r="I1036" s="59"/>
      <c r="J1036" s="60"/>
      <c r="K1036" s="59"/>
      <c r="L1036" s="60"/>
      <c r="M1036" s="59"/>
      <c r="N1036" s="63"/>
      <c r="O1036" s="60"/>
      <c r="P1036" s="60"/>
      <c r="Q1036" s="60"/>
      <c r="R1036" s="60"/>
      <c r="S1036" s="60"/>
      <c r="T1036" s="60"/>
      <c r="U1036" s="60"/>
      <c r="V1036" s="64"/>
      <c r="W1036" s="60"/>
      <c r="X1036" s="59"/>
      <c r="Y1036" s="60"/>
      <c r="Z1036" s="59"/>
      <c r="AA1036" s="60"/>
    </row>
    <row r="1037">
      <c r="A1037" s="58"/>
      <c r="B1037" s="58"/>
      <c r="C1037" s="59"/>
      <c r="D1037" s="60"/>
      <c r="E1037" s="61"/>
      <c r="F1037" s="62"/>
      <c r="G1037" s="62"/>
      <c r="H1037" s="62"/>
      <c r="I1037" s="59"/>
      <c r="J1037" s="60"/>
      <c r="K1037" s="59"/>
      <c r="L1037" s="60"/>
      <c r="M1037" s="59"/>
      <c r="N1037" s="63"/>
      <c r="O1037" s="60"/>
      <c r="P1037" s="60"/>
      <c r="Q1037" s="60"/>
      <c r="R1037" s="60"/>
      <c r="S1037" s="60"/>
      <c r="T1037" s="60"/>
      <c r="U1037" s="60"/>
      <c r="V1037" s="64"/>
      <c r="W1037" s="60"/>
      <c r="X1037" s="59"/>
      <c r="Y1037" s="60"/>
      <c r="Z1037" s="59"/>
      <c r="AA1037" s="60"/>
    </row>
    <row r="1038">
      <c r="A1038" s="58"/>
      <c r="B1038" s="58"/>
      <c r="C1038" s="59"/>
      <c r="D1038" s="60"/>
      <c r="E1038" s="61"/>
      <c r="F1038" s="62"/>
      <c r="G1038" s="62"/>
      <c r="H1038" s="62"/>
      <c r="I1038" s="59"/>
      <c r="J1038" s="60"/>
      <c r="K1038" s="59"/>
      <c r="L1038" s="60"/>
      <c r="M1038" s="59"/>
      <c r="N1038" s="63"/>
      <c r="O1038" s="60"/>
      <c r="P1038" s="60"/>
      <c r="Q1038" s="60"/>
      <c r="R1038" s="60"/>
      <c r="S1038" s="60"/>
      <c r="T1038" s="60"/>
      <c r="U1038" s="60"/>
      <c r="V1038" s="64"/>
      <c r="W1038" s="60"/>
      <c r="X1038" s="59"/>
      <c r="Y1038" s="60"/>
      <c r="Z1038" s="59"/>
      <c r="AA1038" s="60"/>
    </row>
    <row r="1039">
      <c r="A1039" s="58"/>
      <c r="B1039" s="58"/>
      <c r="C1039" s="59"/>
      <c r="D1039" s="60"/>
      <c r="E1039" s="61"/>
      <c r="F1039" s="62"/>
      <c r="G1039" s="62"/>
      <c r="H1039" s="62"/>
      <c r="I1039" s="59"/>
      <c r="J1039" s="60"/>
      <c r="K1039" s="59"/>
      <c r="L1039" s="60"/>
      <c r="M1039" s="59"/>
      <c r="N1039" s="63"/>
      <c r="O1039" s="60"/>
      <c r="P1039" s="60"/>
      <c r="Q1039" s="60"/>
      <c r="R1039" s="60"/>
      <c r="S1039" s="60"/>
      <c r="T1039" s="60"/>
      <c r="U1039" s="60"/>
      <c r="V1039" s="64"/>
      <c r="W1039" s="60"/>
      <c r="X1039" s="59"/>
      <c r="Y1039" s="60"/>
      <c r="Z1039" s="59"/>
      <c r="AA1039" s="60"/>
    </row>
    <row r="1040">
      <c r="A1040" s="58"/>
      <c r="B1040" s="58"/>
      <c r="C1040" s="59"/>
      <c r="D1040" s="60"/>
      <c r="E1040" s="61"/>
      <c r="F1040" s="62"/>
      <c r="G1040" s="62"/>
      <c r="H1040" s="62"/>
      <c r="I1040" s="59"/>
      <c r="J1040" s="60"/>
      <c r="K1040" s="59"/>
      <c r="L1040" s="60"/>
      <c r="M1040" s="59"/>
      <c r="N1040" s="63"/>
      <c r="O1040" s="60"/>
      <c r="P1040" s="60"/>
      <c r="Q1040" s="60"/>
      <c r="R1040" s="60"/>
      <c r="S1040" s="60"/>
      <c r="T1040" s="60"/>
      <c r="U1040" s="60"/>
      <c r="V1040" s="64"/>
      <c r="W1040" s="60"/>
      <c r="X1040" s="59"/>
      <c r="Y1040" s="60"/>
      <c r="Z1040" s="59"/>
      <c r="AA1040" s="60"/>
    </row>
    <row r="1041">
      <c r="A1041" s="58"/>
      <c r="B1041" s="58"/>
      <c r="C1041" s="59"/>
      <c r="D1041" s="60"/>
      <c r="E1041" s="61"/>
      <c r="F1041" s="62"/>
      <c r="G1041" s="62"/>
      <c r="H1041" s="62"/>
      <c r="I1041" s="59"/>
      <c r="J1041" s="60"/>
      <c r="K1041" s="59"/>
      <c r="L1041" s="60"/>
      <c r="M1041" s="59"/>
      <c r="N1041" s="63"/>
      <c r="O1041" s="60"/>
      <c r="P1041" s="60"/>
      <c r="Q1041" s="60"/>
      <c r="R1041" s="60"/>
      <c r="S1041" s="60"/>
      <c r="T1041" s="60"/>
      <c r="U1041" s="60"/>
      <c r="V1041" s="64"/>
      <c r="W1041" s="60"/>
      <c r="X1041" s="59"/>
      <c r="Y1041" s="60"/>
      <c r="Z1041" s="59"/>
      <c r="AA1041" s="60"/>
    </row>
    <row r="1042">
      <c r="A1042" s="58"/>
      <c r="B1042" s="58"/>
      <c r="C1042" s="59"/>
      <c r="D1042" s="60"/>
      <c r="E1042" s="61"/>
      <c r="F1042" s="62"/>
      <c r="G1042" s="62"/>
      <c r="H1042" s="62"/>
      <c r="I1042" s="59"/>
      <c r="J1042" s="60"/>
      <c r="K1042" s="59"/>
      <c r="L1042" s="60"/>
      <c r="M1042" s="59"/>
      <c r="N1042" s="63"/>
      <c r="O1042" s="60"/>
      <c r="P1042" s="60"/>
      <c r="Q1042" s="60"/>
      <c r="R1042" s="60"/>
      <c r="S1042" s="60"/>
      <c r="T1042" s="60"/>
      <c r="U1042" s="60"/>
      <c r="V1042" s="64"/>
      <c r="W1042" s="60"/>
      <c r="X1042" s="59"/>
      <c r="Y1042" s="60"/>
      <c r="Z1042" s="59"/>
      <c r="AA1042" s="60"/>
    </row>
    <row r="1043">
      <c r="A1043" s="58"/>
      <c r="B1043" s="58"/>
      <c r="C1043" s="59"/>
      <c r="D1043" s="60"/>
      <c r="E1043" s="61"/>
      <c r="F1043" s="62"/>
      <c r="G1043" s="62"/>
      <c r="H1043" s="62"/>
      <c r="I1043" s="59"/>
      <c r="J1043" s="60"/>
      <c r="K1043" s="59"/>
      <c r="L1043" s="60"/>
      <c r="M1043" s="59"/>
      <c r="N1043" s="63"/>
      <c r="O1043" s="60"/>
      <c r="P1043" s="60"/>
      <c r="Q1043" s="60"/>
      <c r="R1043" s="60"/>
      <c r="S1043" s="60"/>
      <c r="T1043" s="60"/>
      <c r="U1043" s="60"/>
      <c r="V1043" s="64"/>
      <c r="W1043" s="60"/>
      <c r="X1043" s="59"/>
      <c r="Y1043" s="60"/>
      <c r="Z1043" s="59"/>
      <c r="AA1043" s="60"/>
    </row>
    <row r="1044">
      <c r="A1044" s="58"/>
      <c r="B1044" s="58"/>
      <c r="C1044" s="59"/>
      <c r="D1044" s="60"/>
      <c r="E1044" s="61"/>
      <c r="F1044" s="62"/>
      <c r="G1044" s="62"/>
      <c r="H1044" s="62"/>
      <c r="I1044" s="59"/>
      <c r="J1044" s="60"/>
      <c r="K1044" s="59"/>
      <c r="L1044" s="60"/>
      <c r="M1044" s="59"/>
      <c r="N1044" s="63"/>
      <c r="O1044" s="60"/>
      <c r="P1044" s="60"/>
      <c r="Q1044" s="60"/>
      <c r="R1044" s="60"/>
      <c r="S1044" s="60"/>
      <c r="T1044" s="60"/>
      <c r="U1044" s="60"/>
      <c r="V1044" s="64"/>
      <c r="W1044" s="60"/>
      <c r="X1044" s="59"/>
      <c r="Y1044" s="60"/>
      <c r="Z1044" s="59"/>
      <c r="AA1044" s="60"/>
    </row>
    <row r="1045">
      <c r="A1045" s="58"/>
      <c r="B1045" s="58"/>
      <c r="C1045" s="59"/>
      <c r="D1045" s="60"/>
      <c r="E1045" s="61"/>
      <c r="F1045" s="62"/>
      <c r="G1045" s="62"/>
      <c r="H1045" s="62"/>
      <c r="I1045" s="59"/>
      <c r="J1045" s="60"/>
      <c r="K1045" s="59"/>
      <c r="L1045" s="60"/>
      <c r="M1045" s="59"/>
      <c r="N1045" s="63"/>
      <c r="O1045" s="60"/>
      <c r="P1045" s="60"/>
      <c r="Q1045" s="60"/>
      <c r="R1045" s="60"/>
      <c r="S1045" s="60"/>
      <c r="T1045" s="60"/>
      <c r="U1045" s="60"/>
      <c r="V1045" s="64"/>
      <c r="W1045" s="60"/>
      <c r="X1045" s="59"/>
      <c r="Y1045" s="60"/>
      <c r="Z1045" s="59"/>
      <c r="AA1045" s="60"/>
    </row>
    <row r="1046">
      <c r="A1046" s="58"/>
      <c r="B1046" s="58"/>
      <c r="C1046" s="59"/>
      <c r="D1046" s="60"/>
      <c r="E1046" s="61"/>
      <c r="F1046" s="62"/>
      <c r="G1046" s="62"/>
      <c r="H1046" s="62"/>
      <c r="I1046" s="59"/>
      <c r="J1046" s="60"/>
      <c r="K1046" s="59"/>
      <c r="L1046" s="60"/>
      <c r="M1046" s="59"/>
      <c r="N1046" s="63"/>
      <c r="O1046" s="60"/>
      <c r="P1046" s="60"/>
      <c r="Q1046" s="60"/>
      <c r="R1046" s="60"/>
      <c r="S1046" s="60"/>
      <c r="T1046" s="60"/>
      <c r="U1046" s="60"/>
      <c r="V1046" s="64"/>
      <c r="W1046" s="60"/>
      <c r="X1046" s="59"/>
      <c r="Y1046" s="60"/>
      <c r="Z1046" s="59"/>
      <c r="AA1046" s="60"/>
    </row>
    <row r="1047">
      <c r="A1047" s="58"/>
      <c r="B1047" s="58"/>
      <c r="C1047" s="59"/>
      <c r="D1047" s="60"/>
      <c r="E1047" s="61"/>
      <c r="F1047" s="62"/>
      <c r="G1047" s="62"/>
      <c r="H1047" s="62"/>
      <c r="I1047" s="59"/>
      <c r="J1047" s="60"/>
      <c r="K1047" s="59"/>
      <c r="L1047" s="60"/>
      <c r="M1047" s="59"/>
      <c r="N1047" s="63"/>
      <c r="O1047" s="60"/>
      <c r="P1047" s="60"/>
      <c r="Q1047" s="60"/>
      <c r="R1047" s="60"/>
      <c r="S1047" s="60"/>
      <c r="T1047" s="60"/>
      <c r="U1047" s="60"/>
      <c r="V1047" s="64"/>
      <c r="W1047" s="60"/>
      <c r="X1047" s="59"/>
      <c r="Y1047" s="60"/>
      <c r="Z1047" s="59"/>
      <c r="AA1047" s="60"/>
    </row>
    <row r="1048">
      <c r="A1048" s="58"/>
      <c r="B1048" s="58"/>
      <c r="C1048" s="59"/>
      <c r="D1048" s="60"/>
      <c r="E1048" s="61"/>
      <c r="F1048" s="62"/>
      <c r="G1048" s="62"/>
      <c r="H1048" s="62"/>
      <c r="I1048" s="59"/>
      <c r="J1048" s="60"/>
      <c r="K1048" s="59"/>
      <c r="L1048" s="60"/>
      <c r="M1048" s="59"/>
      <c r="N1048" s="63"/>
      <c r="O1048" s="60"/>
      <c r="P1048" s="60"/>
      <c r="Q1048" s="60"/>
      <c r="R1048" s="60"/>
      <c r="S1048" s="60"/>
      <c r="T1048" s="60"/>
      <c r="U1048" s="60"/>
      <c r="V1048" s="64"/>
      <c r="W1048" s="60"/>
      <c r="X1048" s="59"/>
      <c r="Y1048" s="60"/>
      <c r="Z1048" s="59"/>
      <c r="AA1048" s="60"/>
    </row>
    <row r="1049">
      <c r="A1049" s="58"/>
      <c r="B1049" s="58"/>
      <c r="C1049" s="59"/>
      <c r="D1049" s="60"/>
      <c r="E1049" s="61"/>
      <c r="F1049" s="62"/>
      <c r="G1049" s="62"/>
      <c r="H1049" s="62"/>
      <c r="I1049" s="59"/>
      <c r="J1049" s="60"/>
      <c r="K1049" s="59"/>
      <c r="L1049" s="60"/>
      <c r="M1049" s="59"/>
      <c r="N1049" s="63"/>
      <c r="O1049" s="60"/>
      <c r="P1049" s="60"/>
      <c r="Q1049" s="60"/>
      <c r="R1049" s="60"/>
      <c r="S1049" s="60"/>
      <c r="T1049" s="60"/>
      <c r="U1049" s="60"/>
      <c r="V1049" s="64"/>
      <c r="W1049" s="60"/>
      <c r="X1049" s="59"/>
      <c r="Y1049" s="60"/>
      <c r="Z1049" s="59"/>
      <c r="AA1049" s="60"/>
    </row>
    <row r="1050">
      <c r="A1050" s="58"/>
      <c r="B1050" s="58"/>
      <c r="C1050" s="59"/>
      <c r="D1050" s="60"/>
      <c r="E1050" s="61"/>
      <c r="F1050" s="62"/>
      <c r="G1050" s="62"/>
      <c r="H1050" s="62"/>
      <c r="I1050" s="59"/>
      <c r="J1050" s="60"/>
      <c r="K1050" s="59"/>
      <c r="L1050" s="60"/>
      <c r="M1050" s="59"/>
      <c r="N1050" s="63"/>
      <c r="O1050" s="60"/>
      <c r="P1050" s="60"/>
      <c r="Q1050" s="60"/>
      <c r="R1050" s="60"/>
      <c r="S1050" s="60"/>
      <c r="T1050" s="60"/>
      <c r="U1050" s="60"/>
      <c r="V1050" s="64"/>
      <c r="W1050" s="60"/>
      <c r="X1050" s="59"/>
      <c r="Y1050" s="60"/>
      <c r="Z1050" s="59"/>
      <c r="AA1050" s="60"/>
    </row>
    <row r="1051">
      <c r="A1051" s="58"/>
      <c r="B1051" s="58"/>
      <c r="C1051" s="59"/>
      <c r="D1051" s="60"/>
      <c r="E1051" s="61"/>
      <c r="F1051" s="62"/>
      <c r="G1051" s="62"/>
      <c r="H1051" s="62"/>
      <c r="I1051" s="59"/>
      <c r="J1051" s="60"/>
      <c r="K1051" s="59"/>
      <c r="L1051" s="60"/>
      <c r="M1051" s="59"/>
      <c r="N1051" s="63"/>
      <c r="O1051" s="60"/>
      <c r="P1051" s="60"/>
      <c r="Q1051" s="60"/>
      <c r="R1051" s="60"/>
      <c r="S1051" s="60"/>
      <c r="T1051" s="60"/>
      <c r="U1051" s="60"/>
      <c r="V1051" s="64"/>
      <c r="W1051" s="60"/>
      <c r="X1051" s="59"/>
      <c r="Y1051" s="60"/>
      <c r="Z1051" s="59"/>
      <c r="AA1051" s="60"/>
    </row>
    <row r="1052">
      <c r="A1052" s="58"/>
      <c r="B1052" s="58"/>
      <c r="C1052" s="59"/>
      <c r="D1052" s="60"/>
      <c r="E1052" s="61"/>
      <c r="F1052" s="62"/>
      <c r="G1052" s="62"/>
      <c r="H1052" s="62"/>
      <c r="I1052" s="59"/>
      <c r="J1052" s="60"/>
      <c r="K1052" s="59"/>
      <c r="L1052" s="60"/>
      <c r="M1052" s="59"/>
      <c r="N1052" s="63"/>
      <c r="O1052" s="60"/>
      <c r="P1052" s="60"/>
      <c r="Q1052" s="60"/>
      <c r="R1052" s="60"/>
      <c r="S1052" s="60"/>
      <c r="T1052" s="60"/>
      <c r="U1052" s="60"/>
      <c r="V1052" s="64"/>
      <c r="W1052" s="60"/>
      <c r="X1052" s="59"/>
      <c r="Y1052" s="60"/>
      <c r="Z1052" s="59"/>
      <c r="AA1052" s="60"/>
    </row>
    <row r="1053">
      <c r="A1053" s="58"/>
      <c r="B1053" s="58"/>
      <c r="C1053" s="59"/>
      <c r="D1053" s="60"/>
      <c r="E1053" s="61"/>
      <c r="F1053" s="62"/>
      <c r="G1053" s="62"/>
      <c r="H1053" s="62"/>
      <c r="I1053" s="59"/>
      <c r="J1053" s="60"/>
      <c r="K1053" s="59"/>
      <c r="L1053" s="60"/>
      <c r="M1053" s="59"/>
      <c r="N1053" s="63"/>
      <c r="O1053" s="60"/>
      <c r="P1053" s="60"/>
      <c r="Q1053" s="60"/>
      <c r="R1053" s="60"/>
      <c r="S1053" s="60"/>
      <c r="T1053" s="60"/>
      <c r="U1053" s="60"/>
      <c r="V1053" s="64"/>
      <c r="W1053" s="60"/>
      <c r="X1053" s="59"/>
      <c r="Y1053" s="60"/>
      <c r="Z1053" s="59"/>
      <c r="AA1053" s="60"/>
    </row>
    <row r="1054">
      <c r="A1054" s="58"/>
      <c r="B1054" s="58"/>
      <c r="C1054" s="59"/>
      <c r="D1054" s="60"/>
      <c r="E1054" s="61"/>
      <c r="F1054" s="62"/>
      <c r="G1054" s="62"/>
      <c r="H1054" s="62"/>
      <c r="I1054" s="59"/>
      <c r="J1054" s="60"/>
      <c r="K1054" s="59"/>
      <c r="L1054" s="60"/>
      <c r="M1054" s="59"/>
      <c r="N1054" s="63"/>
      <c r="O1054" s="60"/>
      <c r="P1054" s="60"/>
      <c r="Q1054" s="60"/>
      <c r="R1054" s="60"/>
      <c r="S1054" s="60"/>
      <c r="T1054" s="60"/>
      <c r="U1054" s="60"/>
      <c r="V1054" s="64"/>
      <c r="W1054" s="60"/>
      <c r="X1054" s="59"/>
      <c r="Y1054" s="60"/>
      <c r="Z1054" s="59"/>
      <c r="AA1054" s="60"/>
    </row>
    <row r="1055">
      <c r="A1055" s="58"/>
      <c r="B1055" s="58"/>
      <c r="C1055" s="59"/>
      <c r="D1055" s="60"/>
      <c r="E1055" s="61"/>
      <c r="F1055" s="62"/>
      <c r="G1055" s="62"/>
      <c r="H1055" s="62"/>
      <c r="I1055" s="59"/>
      <c r="J1055" s="60"/>
      <c r="K1055" s="59"/>
      <c r="L1055" s="60"/>
      <c r="M1055" s="59"/>
      <c r="N1055" s="63"/>
      <c r="O1055" s="60"/>
      <c r="P1055" s="60"/>
      <c r="Q1055" s="60"/>
      <c r="R1055" s="60"/>
      <c r="S1055" s="60"/>
      <c r="T1055" s="60"/>
      <c r="U1055" s="60"/>
      <c r="V1055" s="64"/>
      <c r="W1055" s="60"/>
      <c r="X1055" s="59"/>
      <c r="Y1055" s="60"/>
      <c r="Z1055" s="59"/>
      <c r="AA1055" s="60"/>
    </row>
    <row r="1056">
      <c r="A1056" s="58"/>
      <c r="B1056" s="58"/>
      <c r="C1056" s="59"/>
      <c r="D1056" s="60"/>
      <c r="E1056" s="61"/>
      <c r="F1056" s="62"/>
      <c r="G1056" s="62"/>
      <c r="H1056" s="62"/>
      <c r="I1056" s="59"/>
      <c r="J1056" s="60"/>
      <c r="K1056" s="59"/>
      <c r="L1056" s="60"/>
      <c r="M1056" s="59"/>
      <c r="N1056" s="63"/>
      <c r="O1056" s="60"/>
      <c r="P1056" s="60"/>
      <c r="Q1056" s="60"/>
      <c r="R1056" s="60"/>
      <c r="S1056" s="60"/>
      <c r="T1056" s="60"/>
      <c r="U1056" s="60"/>
      <c r="V1056" s="64"/>
      <c r="W1056" s="60"/>
      <c r="X1056" s="59"/>
      <c r="Y1056" s="60"/>
      <c r="Z1056" s="59"/>
      <c r="AA1056" s="60"/>
    </row>
    <row r="1057">
      <c r="A1057" s="58"/>
      <c r="B1057" s="58"/>
      <c r="C1057" s="59"/>
      <c r="D1057" s="60"/>
      <c r="E1057" s="61"/>
      <c r="F1057" s="62"/>
      <c r="G1057" s="62"/>
      <c r="H1057" s="62"/>
      <c r="I1057" s="59"/>
      <c r="J1057" s="60"/>
      <c r="K1057" s="59"/>
      <c r="L1057" s="60"/>
      <c r="M1057" s="59"/>
      <c r="N1057" s="63"/>
      <c r="O1057" s="60"/>
      <c r="P1057" s="60"/>
      <c r="Q1057" s="60"/>
      <c r="R1057" s="60"/>
      <c r="S1057" s="60"/>
      <c r="T1057" s="60"/>
      <c r="U1057" s="60"/>
      <c r="V1057" s="64"/>
      <c r="W1057" s="60"/>
      <c r="X1057" s="59"/>
      <c r="Y1057" s="60"/>
      <c r="Z1057" s="59"/>
      <c r="AA1057" s="60"/>
    </row>
    <row r="1058">
      <c r="A1058" s="58"/>
      <c r="B1058" s="58"/>
      <c r="C1058" s="59"/>
      <c r="D1058" s="60"/>
      <c r="E1058" s="61"/>
      <c r="F1058" s="62"/>
      <c r="G1058" s="62"/>
      <c r="H1058" s="62"/>
      <c r="I1058" s="59"/>
      <c r="J1058" s="60"/>
      <c r="K1058" s="59"/>
      <c r="L1058" s="60"/>
      <c r="M1058" s="59"/>
      <c r="N1058" s="63"/>
      <c r="O1058" s="60"/>
      <c r="P1058" s="60"/>
      <c r="Q1058" s="60"/>
      <c r="R1058" s="60"/>
      <c r="S1058" s="60"/>
      <c r="T1058" s="60"/>
      <c r="U1058" s="60"/>
      <c r="V1058" s="64"/>
      <c r="W1058" s="60"/>
      <c r="X1058" s="59"/>
      <c r="Y1058" s="60"/>
      <c r="Z1058" s="59"/>
      <c r="AA1058" s="60"/>
    </row>
    <row r="1059">
      <c r="A1059" s="58"/>
      <c r="B1059" s="58"/>
      <c r="C1059" s="59"/>
      <c r="D1059" s="60"/>
      <c r="E1059" s="61"/>
      <c r="F1059" s="62"/>
      <c r="G1059" s="62"/>
      <c r="H1059" s="62"/>
      <c r="I1059" s="59"/>
      <c r="J1059" s="60"/>
      <c r="K1059" s="59"/>
      <c r="L1059" s="60"/>
      <c r="M1059" s="59"/>
      <c r="N1059" s="63"/>
      <c r="O1059" s="60"/>
      <c r="P1059" s="60"/>
      <c r="Q1059" s="60"/>
      <c r="R1059" s="60"/>
      <c r="S1059" s="60"/>
      <c r="T1059" s="60"/>
      <c r="U1059" s="60"/>
      <c r="V1059" s="64"/>
      <c r="W1059" s="60"/>
      <c r="X1059" s="59"/>
      <c r="Y1059" s="60"/>
      <c r="Z1059" s="59"/>
      <c r="AA1059" s="60"/>
    </row>
    <row r="1060">
      <c r="A1060" s="58"/>
      <c r="B1060" s="58"/>
      <c r="C1060" s="59"/>
      <c r="D1060" s="60"/>
      <c r="E1060" s="61"/>
      <c r="F1060" s="62"/>
      <c r="G1060" s="62"/>
      <c r="H1060" s="62"/>
      <c r="I1060" s="59"/>
      <c r="J1060" s="60"/>
      <c r="K1060" s="59"/>
      <c r="L1060" s="60"/>
      <c r="M1060" s="59"/>
      <c r="N1060" s="63"/>
      <c r="O1060" s="60"/>
      <c r="P1060" s="60"/>
      <c r="Q1060" s="60"/>
      <c r="R1060" s="60"/>
      <c r="S1060" s="60"/>
      <c r="T1060" s="60"/>
      <c r="U1060" s="60"/>
      <c r="V1060" s="64"/>
      <c r="W1060" s="60"/>
      <c r="X1060" s="59"/>
      <c r="Y1060" s="60"/>
      <c r="Z1060" s="59"/>
      <c r="AA1060" s="60"/>
    </row>
    <row r="1061">
      <c r="A1061" s="58"/>
      <c r="B1061" s="58"/>
      <c r="C1061" s="59"/>
      <c r="D1061" s="60"/>
      <c r="E1061" s="61"/>
      <c r="F1061" s="62"/>
      <c r="G1061" s="62"/>
      <c r="H1061" s="62"/>
      <c r="I1061" s="59"/>
      <c r="J1061" s="60"/>
      <c r="K1061" s="59"/>
      <c r="L1061" s="60"/>
      <c r="M1061" s="59"/>
      <c r="N1061" s="63"/>
      <c r="O1061" s="60"/>
      <c r="P1061" s="60"/>
      <c r="Q1061" s="60"/>
      <c r="R1061" s="60"/>
      <c r="S1061" s="60"/>
      <c r="T1061" s="60"/>
      <c r="U1061" s="60"/>
      <c r="V1061" s="64"/>
      <c r="W1061" s="60"/>
      <c r="X1061" s="59"/>
      <c r="Y1061" s="60"/>
      <c r="Z1061" s="59"/>
      <c r="AA1061" s="60"/>
    </row>
    <row r="1062">
      <c r="A1062" s="58"/>
      <c r="B1062" s="58"/>
      <c r="C1062" s="59"/>
      <c r="D1062" s="60"/>
      <c r="E1062" s="61"/>
      <c r="F1062" s="62"/>
      <c r="G1062" s="62"/>
      <c r="H1062" s="62"/>
      <c r="I1062" s="59"/>
      <c r="J1062" s="60"/>
      <c r="K1062" s="59"/>
      <c r="L1062" s="60"/>
      <c r="M1062" s="59"/>
      <c r="N1062" s="63"/>
      <c r="O1062" s="60"/>
      <c r="P1062" s="60"/>
      <c r="Q1062" s="60"/>
      <c r="R1062" s="60"/>
      <c r="S1062" s="60"/>
      <c r="T1062" s="60"/>
      <c r="U1062" s="60"/>
      <c r="V1062" s="64"/>
      <c r="W1062" s="60"/>
      <c r="X1062" s="59"/>
      <c r="Y1062" s="60"/>
      <c r="Z1062" s="59"/>
      <c r="AA1062" s="60"/>
    </row>
    <row r="1063">
      <c r="A1063" s="58"/>
      <c r="B1063" s="58"/>
      <c r="C1063" s="59"/>
      <c r="D1063" s="60"/>
      <c r="E1063" s="61"/>
      <c r="F1063" s="62"/>
      <c r="G1063" s="62"/>
      <c r="H1063" s="62"/>
      <c r="I1063" s="59"/>
      <c r="J1063" s="60"/>
      <c r="K1063" s="59"/>
      <c r="L1063" s="60"/>
      <c r="M1063" s="59"/>
      <c r="N1063" s="63"/>
      <c r="O1063" s="60"/>
      <c r="P1063" s="60"/>
      <c r="Q1063" s="60"/>
      <c r="R1063" s="60"/>
      <c r="S1063" s="60"/>
      <c r="T1063" s="60"/>
      <c r="U1063" s="60"/>
      <c r="V1063" s="64"/>
      <c r="W1063" s="60"/>
      <c r="X1063" s="59"/>
      <c r="Y1063" s="60"/>
      <c r="Z1063" s="59"/>
      <c r="AA1063" s="60"/>
    </row>
    <row r="1064">
      <c r="A1064" s="58"/>
      <c r="B1064" s="58"/>
      <c r="C1064" s="59"/>
      <c r="D1064" s="60"/>
      <c r="E1064" s="61"/>
      <c r="F1064" s="62"/>
      <c r="G1064" s="62"/>
      <c r="H1064" s="62"/>
      <c r="I1064" s="59"/>
      <c r="J1064" s="60"/>
      <c r="K1064" s="59"/>
      <c r="L1064" s="60"/>
      <c r="M1064" s="59"/>
      <c r="N1064" s="63"/>
      <c r="O1064" s="60"/>
      <c r="P1064" s="60"/>
      <c r="Q1064" s="60"/>
      <c r="R1064" s="60"/>
      <c r="S1064" s="60"/>
      <c r="T1064" s="60"/>
      <c r="U1064" s="60"/>
      <c r="V1064" s="64"/>
      <c r="W1064" s="60"/>
      <c r="X1064" s="59"/>
      <c r="Y1064" s="60"/>
      <c r="Z1064" s="59"/>
      <c r="AA1064" s="60"/>
    </row>
    <row r="1065">
      <c r="A1065" s="58"/>
      <c r="B1065" s="58"/>
      <c r="C1065" s="59"/>
      <c r="D1065" s="60"/>
      <c r="E1065" s="61"/>
      <c r="F1065" s="62"/>
      <c r="G1065" s="62"/>
      <c r="H1065" s="62"/>
      <c r="I1065" s="59"/>
      <c r="J1065" s="60"/>
      <c r="K1065" s="59"/>
      <c r="L1065" s="60"/>
      <c r="M1065" s="59"/>
      <c r="N1065" s="63"/>
      <c r="O1065" s="60"/>
      <c r="P1065" s="60"/>
      <c r="Q1065" s="60"/>
      <c r="R1065" s="60"/>
      <c r="S1065" s="60"/>
      <c r="T1065" s="60"/>
      <c r="U1065" s="60"/>
      <c r="V1065" s="64"/>
      <c r="W1065" s="60"/>
      <c r="X1065" s="59"/>
      <c r="Y1065" s="60"/>
      <c r="Z1065" s="59"/>
      <c r="AA1065" s="60"/>
    </row>
    <row r="1066">
      <c r="A1066" s="58"/>
      <c r="B1066" s="58"/>
      <c r="C1066" s="59"/>
      <c r="D1066" s="60"/>
      <c r="E1066" s="61"/>
      <c r="F1066" s="62"/>
      <c r="G1066" s="62"/>
      <c r="H1066" s="62"/>
      <c r="I1066" s="59"/>
      <c r="J1066" s="60"/>
      <c r="K1066" s="59"/>
      <c r="L1066" s="60"/>
      <c r="M1066" s="59"/>
      <c r="N1066" s="63"/>
      <c r="O1066" s="60"/>
      <c r="P1066" s="60"/>
      <c r="Q1066" s="60"/>
      <c r="R1066" s="60"/>
      <c r="S1066" s="60"/>
      <c r="T1066" s="60"/>
      <c r="U1066" s="60"/>
      <c r="V1066" s="64"/>
      <c r="W1066" s="60"/>
      <c r="X1066" s="59"/>
      <c r="Y1066" s="60"/>
      <c r="Z1066" s="59"/>
      <c r="AA1066" s="60"/>
    </row>
    <row r="1067">
      <c r="A1067" s="58"/>
      <c r="B1067" s="58"/>
      <c r="C1067" s="59"/>
      <c r="D1067" s="60"/>
      <c r="E1067" s="61"/>
      <c r="F1067" s="62"/>
      <c r="G1067" s="62"/>
      <c r="H1067" s="62"/>
      <c r="I1067" s="59"/>
      <c r="J1067" s="60"/>
      <c r="K1067" s="59"/>
      <c r="L1067" s="60"/>
      <c r="M1067" s="59"/>
      <c r="N1067" s="63"/>
      <c r="O1067" s="60"/>
      <c r="P1067" s="60"/>
      <c r="Q1067" s="60"/>
      <c r="R1067" s="60"/>
      <c r="S1067" s="60"/>
      <c r="T1067" s="60"/>
      <c r="U1067" s="60"/>
      <c r="V1067" s="64"/>
      <c r="W1067" s="60"/>
      <c r="X1067" s="59"/>
      <c r="Y1067" s="60"/>
      <c r="Z1067" s="59"/>
      <c r="AA1067" s="60"/>
    </row>
    <row r="1068">
      <c r="A1068" s="58"/>
      <c r="B1068" s="58"/>
      <c r="C1068" s="59"/>
      <c r="D1068" s="60"/>
      <c r="E1068" s="61"/>
      <c r="F1068" s="62"/>
      <c r="G1068" s="62"/>
      <c r="H1068" s="62"/>
      <c r="I1068" s="59"/>
      <c r="J1068" s="60"/>
      <c r="K1068" s="59"/>
      <c r="L1068" s="60"/>
      <c r="M1068" s="59"/>
      <c r="N1068" s="63"/>
      <c r="O1068" s="60"/>
      <c r="P1068" s="60"/>
      <c r="Q1068" s="60"/>
      <c r="R1068" s="60"/>
      <c r="S1068" s="60"/>
      <c r="T1068" s="60"/>
      <c r="U1068" s="60"/>
      <c r="V1068" s="64"/>
      <c r="W1068" s="60"/>
      <c r="X1068" s="59"/>
      <c r="Y1068" s="60"/>
      <c r="Z1068" s="59"/>
      <c r="AA1068" s="60"/>
    </row>
    <row r="1069">
      <c r="A1069" s="58"/>
      <c r="B1069" s="58"/>
      <c r="C1069" s="59"/>
      <c r="D1069" s="60"/>
      <c r="E1069" s="61"/>
      <c r="F1069" s="62"/>
      <c r="G1069" s="62"/>
      <c r="H1069" s="62"/>
      <c r="I1069" s="59"/>
      <c r="J1069" s="60"/>
      <c r="K1069" s="59"/>
      <c r="L1069" s="60"/>
      <c r="M1069" s="59"/>
      <c r="N1069" s="63"/>
      <c r="O1069" s="60"/>
      <c r="P1069" s="60"/>
      <c r="Q1069" s="60"/>
      <c r="R1069" s="60"/>
      <c r="S1069" s="60"/>
      <c r="T1069" s="60"/>
      <c r="U1069" s="60"/>
      <c r="V1069" s="64"/>
      <c r="W1069" s="60"/>
      <c r="X1069" s="59"/>
      <c r="Y1069" s="60"/>
      <c r="Z1069" s="59"/>
      <c r="AA1069" s="60"/>
    </row>
    <row r="1070">
      <c r="A1070" s="58"/>
      <c r="B1070" s="58"/>
      <c r="C1070" s="59"/>
      <c r="D1070" s="60"/>
      <c r="E1070" s="61"/>
      <c r="F1070" s="62"/>
      <c r="G1070" s="62"/>
      <c r="H1070" s="62"/>
      <c r="I1070" s="59"/>
      <c r="J1070" s="60"/>
      <c r="K1070" s="59"/>
      <c r="L1070" s="60"/>
      <c r="M1070" s="59"/>
      <c r="N1070" s="63"/>
      <c r="O1070" s="60"/>
      <c r="P1070" s="60"/>
      <c r="Q1070" s="60"/>
      <c r="R1070" s="60"/>
      <c r="S1070" s="60"/>
      <c r="T1070" s="60"/>
      <c r="U1070" s="60"/>
      <c r="V1070" s="64"/>
      <c r="W1070" s="60"/>
      <c r="X1070" s="59"/>
      <c r="Y1070" s="60"/>
      <c r="Z1070" s="59"/>
      <c r="AA1070" s="60"/>
    </row>
    <row r="1071">
      <c r="A1071" s="58"/>
      <c r="B1071" s="58"/>
      <c r="C1071" s="59"/>
      <c r="D1071" s="60"/>
      <c r="E1071" s="61"/>
      <c r="F1071" s="62"/>
      <c r="G1071" s="62"/>
      <c r="H1071" s="62"/>
      <c r="I1071" s="59"/>
      <c r="J1071" s="60"/>
      <c r="K1071" s="59"/>
      <c r="L1071" s="60"/>
      <c r="M1071" s="59"/>
      <c r="N1071" s="63"/>
      <c r="O1071" s="60"/>
      <c r="P1071" s="60"/>
      <c r="Q1071" s="60"/>
      <c r="R1071" s="60"/>
      <c r="S1071" s="60"/>
      <c r="T1071" s="60"/>
      <c r="U1071" s="60"/>
      <c r="V1071" s="64"/>
      <c r="W1071" s="60"/>
      <c r="X1071" s="59"/>
      <c r="Y1071" s="60"/>
      <c r="Z1071" s="59"/>
      <c r="AA1071" s="60"/>
    </row>
    <row r="1072">
      <c r="A1072" s="58"/>
      <c r="B1072" s="58"/>
      <c r="C1072" s="59"/>
      <c r="D1072" s="60"/>
      <c r="E1072" s="61"/>
      <c r="F1072" s="62"/>
      <c r="G1072" s="62"/>
      <c r="H1072" s="62"/>
      <c r="I1072" s="59"/>
      <c r="J1072" s="60"/>
      <c r="K1072" s="59"/>
      <c r="L1072" s="60"/>
      <c r="M1072" s="59"/>
      <c r="N1072" s="63"/>
      <c r="O1072" s="60"/>
      <c r="P1072" s="60"/>
      <c r="Q1072" s="60"/>
      <c r="R1072" s="60"/>
      <c r="S1072" s="60"/>
      <c r="T1072" s="60"/>
      <c r="U1072" s="60"/>
      <c r="V1072" s="64"/>
      <c r="W1072" s="60"/>
      <c r="X1072" s="59"/>
      <c r="Y1072" s="60"/>
      <c r="Z1072" s="59"/>
      <c r="AA1072" s="60"/>
    </row>
    <row r="1073">
      <c r="A1073" s="58"/>
      <c r="B1073" s="58"/>
      <c r="C1073" s="59"/>
      <c r="D1073" s="60"/>
      <c r="E1073" s="61"/>
      <c r="F1073" s="62"/>
      <c r="G1073" s="62"/>
      <c r="H1073" s="62"/>
      <c r="I1073" s="59"/>
      <c r="J1073" s="60"/>
      <c r="K1073" s="59"/>
      <c r="L1073" s="60"/>
      <c r="M1073" s="59"/>
      <c r="N1073" s="63"/>
      <c r="O1073" s="60"/>
      <c r="P1073" s="60"/>
      <c r="Q1073" s="60"/>
      <c r="R1073" s="60"/>
      <c r="S1073" s="60"/>
      <c r="T1073" s="60"/>
      <c r="U1073" s="60"/>
      <c r="V1073" s="64"/>
      <c r="W1073" s="60"/>
      <c r="X1073" s="59"/>
      <c r="Y1073" s="60"/>
      <c r="Z1073" s="59"/>
      <c r="AA1073" s="60"/>
    </row>
    <row r="1074">
      <c r="A1074" s="58"/>
      <c r="B1074" s="58"/>
      <c r="C1074" s="59"/>
      <c r="D1074" s="60"/>
      <c r="E1074" s="61"/>
      <c r="F1074" s="62"/>
      <c r="G1074" s="62"/>
      <c r="H1074" s="62"/>
      <c r="I1074" s="59"/>
      <c r="J1074" s="60"/>
      <c r="K1074" s="59"/>
      <c r="L1074" s="60"/>
      <c r="M1074" s="59"/>
      <c r="N1074" s="63"/>
      <c r="O1074" s="60"/>
      <c r="P1074" s="60"/>
      <c r="Q1074" s="60"/>
      <c r="R1074" s="60"/>
      <c r="S1074" s="60"/>
      <c r="T1074" s="60"/>
      <c r="U1074" s="60"/>
      <c r="V1074" s="64"/>
      <c r="W1074" s="60"/>
      <c r="X1074" s="59"/>
      <c r="Y1074" s="60"/>
      <c r="Z1074" s="59"/>
      <c r="AA1074" s="60"/>
    </row>
    <row r="1075">
      <c r="A1075" s="58"/>
      <c r="B1075" s="58"/>
      <c r="C1075" s="59"/>
      <c r="D1075" s="60"/>
      <c r="E1075" s="61"/>
      <c r="F1075" s="62"/>
      <c r="G1075" s="62"/>
      <c r="H1075" s="62"/>
      <c r="I1075" s="59"/>
      <c r="J1075" s="60"/>
      <c r="K1075" s="59"/>
      <c r="L1075" s="60"/>
      <c r="M1075" s="59"/>
      <c r="N1075" s="63"/>
      <c r="O1075" s="60"/>
      <c r="P1075" s="60"/>
      <c r="Q1075" s="60"/>
      <c r="R1075" s="60"/>
      <c r="S1075" s="60"/>
      <c r="T1075" s="60"/>
      <c r="U1075" s="60"/>
      <c r="V1075" s="64"/>
      <c r="W1075" s="60"/>
      <c r="X1075" s="59"/>
      <c r="Y1075" s="60"/>
      <c r="Z1075" s="59"/>
      <c r="AA1075" s="60"/>
    </row>
    <row r="1076">
      <c r="A1076" s="58"/>
      <c r="B1076" s="58"/>
      <c r="C1076" s="59"/>
      <c r="D1076" s="60"/>
      <c r="E1076" s="61"/>
      <c r="F1076" s="62"/>
      <c r="G1076" s="62"/>
      <c r="H1076" s="62"/>
      <c r="I1076" s="59"/>
      <c r="J1076" s="60"/>
      <c r="K1076" s="59"/>
      <c r="L1076" s="60"/>
      <c r="M1076" s="59"/>
      <c r="N1076" s="63"/>
      <c r="O1076" s="60"/>
      <c r="P1076" s="60"/>
      <c r="Q1076" s="60"/>
      <c r="R1076" s="60"/>
      <c r="S1076" s="60"/>
      <c r="T1076" s="60"/>
      <c r="U1076" s="60"/>
      <c r="V1076" s="64"/>
      <c r="W1076" s="60"/>
      <c r="X1076" s="59"/>
      <c r="Y1076" s="60"/>
      <c r="Z1076" s="59"/>
      <c r="AA1076" s="60"/>
    </row>
    <row r="1077">
      <c r="A1077" s="58"/>
      <c r="B1077" s="58"/>
      <c r="C1077" s="59"/>
      <c r="D1077" s="60"/>
      <c r="E1077" s="61"/>
      <c r="F1077" s="62"/>
      <c r="G1077" s="62"/>
      <c r="H1077" s="62"/>
      <c r="I1077" s="59"/>
      <c r="J1077" s="60"/>
      <c r="K1077" s="59"/>
      <c r="L1077" s="60"/>
      <c r="M1077" s="59"/>
      <c r="N1077" s="63"/>
      <c r="O1077" s="60"/>
      <c r="P1077" s="60"/>
      <c r="Q1077" s="60"/>
      <c r="R1077" s="60"/>
      <c r="S1077" s="60"/>
      <c r="T1077" s="60"/>
      <c r="U1077" s="60"/>
      <c r="V1077" s="64"/>
      <c r="W1077" s="60"/>
      <c r="X1077" s="59"/>
      <c r="Y1077" s="60"/>
      <c r="Z1077" s="59"/>
      <c r="AA1077" s="60"/>
    </row>
    <row r="1078">
      <c r="A1078" s="58"/>
      <c r="B1078" s="58"/>
      <c r="C1078" s="59"/>
      <c r="D1078" s="60"/>
      <c r="E1078" s="61"/>
      <c r="F1078" s="62"/>
      <c r="G1078" s="62"/>
      <c r="H1078" s="62"/>
      <c r="I1078" s="59"/>
      <c r="J1078" s="60"/>
      <c r="K1078" s="59"/>
      <c r="L1078" s="60"/>
      <c r="M1078" s="59"/>
      <c r="N1078" s="63"/>
      <c r="O1078" s="60"/>
      <c r="P1078" s="60"/>
      <c r="Q1078" s="60"/>
      <c r="R1078" s="60"/>
      <c r="S1078" s="60"/>
      <c r="T1078" s="60"/>
      <c r="U1078" s="60"/>
      <c r="V1078" s="64"/>
      <c r="W1078" s="60"/>
      <c r="X1078" s="59"/>
      <c r="Y1078" s="60"/>
      <c r="Z1078" s="59"/>
      <c r="AA1078" s="60"/>
    </row>
    <row r="1079">
      <c r="A1079" s="58"/>
      <c r="B1079" s="58"/>
      <c r="C1079" s="59"/>
      <c r="D1079" s="60"/>
      <c r="E1079" s="61"/>
      <c r="F1079" s="62"/>
      <c r="G1079" s="62"/>
      <c r="H1079" s="62"/>
      <c r="I1079" s="59"/>
      <c r="J1079" s="60"/>
      <c r="K1079" s="59"/>
      <c r="L1079" s="60"/>
      <c r="M1079" s="59"/>
      <c r="N1079" s="63"/>
      <c r="O1079" s="60"/>
      <c r="P1079" s="60"/>
      <c r="Q1079" s="60"/>
      <c r="R1079" s="60"/>
      <c r="S1079" s="60"/>
      <c r="T1079" s="60"/>
      <c r="U1079" s="60"/>
      <c r="V1079" s="64"/>
      <c r="W1079" s="60"/>
      <c r="X1079" s="59"/>
      <c r="Y1079" s="60"/>
      <c r="Z1079" s="59"/>
      <c r="AA1079" s="60"/>
    </row>
    <row r="1080">
      <c r="A1080" s="58"/>
      <c r="B1080" s="58"/>
      <c r="C1080" s="59"/>
      <c r="D1080" s="60"/>
      <c r="E1080" s="61"/>
      <c r="F1080" s="62"/>
      <c r="G1080" s="62"/>
      <c r="H1080" s="62"/>
      <c r="I1080" s="59"/>
      <c r="J1080" s="60"/>
      <c r="K1080" s="59"/>
      <c r="L1080" s="60"/>
      <c r="M1080" s="59"/>
      <c r="N1080" s="63"/>
      <c r="O1080" s="60"/>
      <c r="P1080" s="60"/>
      <c r="Q1080" s="60"/>
      <c r="R1080" s="60"/>
      <c r="S1080" s="60"/>
      <c r="T1080" s="60"/>
      <c r="U1080" s="60"/>
      <c r="V1080" s="64"/>
      <c r="W1080" s="60"/>
      <c r="X1080" s="59"/>
      <c r="Y1080" s="60"/>
      <c r="Z1080" s="59"/>
      <c r="AA1080" s="60"/>
    </row>
    <row r="1081">
      <c r="A1081" s="58"/>
      <c r="B1081" s="58"/>
      <c r="C1081" s="59"/>
      <c r="D1081" s="60"/>
      <c r="E1081" s="61"/>
      <c r="F1081" s="62"/>
      <c r="G1081" s="62"/>
      <c r="H1081" s="62"/>
      <c r="I1081" s="59"/>
      <c r="J1081" s="60"/>
      <c r="K1081" s="59"/>
      <c r="L1081" s="60"/>
      <c r="M1081" s="59"/>
      <c r="N1081" s="63"/>
      <c r="O1081" s="60"/>
      <c r="P1081" s="60"/>
      <c r="Q1081" s="60"/>
      <c r="R1081" s="60"/>
      <c r="S1081" s="60"/>
      <c r="T1081" s="60"/>
      <c r="U1081" s="60"/>
      <c r="V1081" s="64"/>
      <c r="W1081" s="60"/>
      <c r="X1081" s="59"/>
      <c r="Y1081" s="60"/>
      <c r="Z1081" s="59"/>
      <c r="AA1081" s="60"/>
    </row>
    <row r="1082">
      <c r="A1082" s="58"/>
      <c r="B1082" s="58"/>
      <c r="C1082" s="59"/>
      <c r="D1082" s="60"/>
      <c r="E1082" s="61"/>
      <c r="F1082" s="62"/>
      <c r="G1082" s="62"/>
      <c r="H1082" s="62"/>
      <c r="I1082" s="59"/>
      <c r="J1082" s="60"/>
      <c r="K1082" s="59"/>
      <c r="L1082" s="60"/>
      <c r="M1082" s="59"/>
      <c r="N1082" s="63"/>
      <c r="O1082" s="60"/>
      <c r="P1082" s="60"/>
      <c r="Q1082" s="60"/>
      <c r="R1082" s="60"/>
      <c r="S1082" s="60"/>
      <c r="T1082" s="60"/>
      <c r="U1082" s="60"/>
      <c r="V1082" s="64"/>
      <c r="W1082" s="60"/>
      <c r="X1082" s="59"/>
      <c r="Y1082" s="60"/>
      <c r="Z1082" s="59"/>
      <c r="AA1082" s="60"/>
    </row>
    <row r="1083">
      <c r="A1083" s="58"/>
      <c r="B1083" s="58"/>
      <c r="C1083" s="59"/>
      <c r="D1083" s="60"/>
      <c r="E1083" s="61"/>
      <c r="F1083" s="62"/>
      <c r="G1083" s="62"/>
      <c r="H1083" s="62"/>
      <c r="I1083" s="59"/>
      <c r="J1083" s="60"/>
      <c r="K1083" s="59"/>
      <c r="L1083" s="60"/>
      <c r="M1083" s="59"/>
      <c r="N1083" s="63"/>
      <c r="O1083" s="60"/>
      <c r="P1083" s="60"/>
      <c r="Q1083" s="60"/>
      <c r="R1083" s="60"/>
      <c r="S1083" s="60"/>
      <c r="T1083" s="60"/>
      <c r="U1083" s="60"/>
      <c r="V1083" s="64"/>
      <c r="W1083" s="60"/>
      <c r="X1083" s="59"/>
      <c r="Y1083" s="60"/>
      <c r="Z1083" s="59"/>
      <c r="AA1083" s="60"/>
    </row>
    <row r="1084">
      <c r="A1084" s="58"/>
      <c r="B1084" s="58"/>
      <c r="C1084" s="59"/>
      <c r="D1084" s="60"/>
      <c r="E1084" s="61"/>
      <c r="F1084" s="62"/>
      <c r="G1084" s="62"/>
      <c r="H1084" s="62"/>
      <c r="I1084" s="59"/>
      <c r="J1084" s="60"/>
      <c r="K1084" s="59"/>
      <c r="L1084" s="60"/>
      <c r="M1084" s="59"/>
      <c r="N1084" s="63"/>
      <c r="O1084" s="60"/>
      <c r="P1084" s="60"/>
      <c r="Q1084" s="60"/>
      <c r="R1084" s="60"/>
      <c r="S1084" s="60"/>
      <c r="T1084" s="60"/>
      <c r="U1084" s="60"/>
      <c r="V1084" s="64"/>
      <c r="W1084" s="60"/>
      <c r="X1084" s="59"/>
      <c r="Y1084" s="60"/>
      <c r="Z1084" s="59"/>
      <c r="AA1084" s="60"/>
    </row>
    <row r="1085">
      <c r="A1085" s="58"/>
      <c r="B1085" s="58"/>
      <c r="C1085" s="59"/>
      <c r="D1085" s="60"/>
      <c r="E1085" s="61"/>
      <c r="F1085" s="62"/>
      <c r="G1085" s="62"/>
      <c r="H1085" s="62"/>
      <c r="I1085" s="59"/>
      <c r="J1085" s="60"/>
      <c r="K1085" s="59"/>
      <c r="L1085" s="60"/>
      <c r="M1085" s="59"/>
      <c r="N1085" s="63"/>
      <c r="O1085" s="60"/>
      <c r="P1085" s="60"/>
      <c r="Q1085" s="60"/>
      <c r="R1085" s="60"/>
      <c r="S1085" s="60"/>
      <c r="T1085" s="60"/>
      <c r="U1085" s="60"/>
      <c r="V1085" s="64"/>
      <c r="W1085" s="60"/>
      <c r="X1085" s="59"/>
      <c r="Y1085" s="60"/>
      <c r="Z1085" s="59"/>
      <c r="AA1085" s="60"/>
    </row>
    <row r="1086">
      <c r="A1086" s="58"/>
      <c r="B1086" s="58"/>
      <c r="C1086" s="59"/>
      <c r="D1086" s="60"/>
      <c r="E1086" s="61"/>
      <c r="F1086" s="62"/>
      <c r="G1086" s="62"/>
      <c r="H1086" s="62"/>
      <c r="I1086" s="59"/>
      <c r="J1086" s="60"/>
      <c r="K1086" s="59"/>
      <c r="L1086" s="60"/>
      <c r="M1086" s="59"/>
      <c r="N1086" s="63"/>
      <c r="O1086" s="60"/>
      <c r="P1086" s="60"/>
      <c r="Q1086" s="60"/>
      <c r="R1086" s="60"/>
      <c r="S1086" s="60"/>
      <c r="T1086" s="60"/>
      <c r="U1086" s="60"/>
      <c r="V1086" s="64"/>
      <c r="W1086" s="60"/>
      <c r="X1086" s="59"/>
      <c r="Y1086" s="60"/>
      <c r="Z1086" s="59"/>
      <c r="AA1086" s="60"/>
    </row>
    <row r="1087">
      <c r="A1087" s="58"/>
      <c r="B1087" s="58"/>
      <c r="C1087" s="59"/>
      <c r="D1087" s="60"/>
      <c r="E1087" s="61"/>
      <c r="F1087" s="62"/>
      <c r="G1087" s="62"/>
      <c r="H1087" s="62"/>
      <c r="I1087" s="59"/>
      <c r="J1087" s="60"/>
      <c r="K1087" s="59"/>
      <c r="L1087" s="60"/>
      <c r="M1087" s="59"/>
      <c r="N1087" s="63"/>
      <c r="O1087" s="60"/>
      <c r="P1087" s="60"/>
      <c r="Q1087" s="60"/>
      <c r="R1087" s="60"/>
      <c r="S1087" s="60"/>
      <c r="T1087" s="60"/>
      <c r="U1087" s="60"/>
      <c r="V1087" s="64"/>
      <c r="W1087" s="60"/>
      <c r="X1087" s="59"/>
      <c r="Y1087" s="60"/>
      <c r="Z1087" s="59"/>
      <c r="AA1087" s="60"/>
    </row>
    <row r="1088">
      <c r="A1088" s="58"/>
      <c r="B1088" s="58"/>
      <c r="C1088" s="59"/>
      <c r="D1088" s="60"/>
      <c r="E1088" s="61"/>
      <c r="F1088" s="62"/>
      <c r="G1088" s="62"/>
      <c r="H1088" s="62"/>
      <c r="I1088" s="59"/>
      <c r="J1088" s="60"/>
      <c r="K1088" s="59"/>
      <c r="L1088" s="60"/>
      <c r="M1088" s="59"/>
      <c r="N1088" s="63"/>
      <c r="O1088" s="60"/>
      <c r="P1088" s="60"/>
      <c r="Q1088" s="60"/>
      <c r="R1088" s="60"/>
      <c r="S1088" s="60"/>
      <c r="T1088" s="60"/>
      <c r="U1088" s="60"/>
      <c r="V1088" s="64"/>
      <c r="W1088" s="60"/>
      <c r="X1088" s="59"/>
      <c r="Y1088" s="60"/>
      <c r="Z1088" s="59"/>
      <c r="AA1088" s="60"/>
    </row>
    <row r="1089">
      <c r="A1089" s="58"/>
      <c r="B1089" s="58"/>
      <c r="C1089" s="59"/>
      <c r="D1089" s="60"/>
      <c r="E1089" s="61"/>
      <c r="F1089" s="62"/>
      <c r="G1089" s="62"/>
      <c r="H1089" s="62"/>
      <c r="I1089" s="59"/>
      <c r="J1089" s="60"/>
      <c r="K1089" s="59"/>
      <c r="L1089" s="60"/>
      <c r="M1089" s="59"/>
      <c r="N1089" s="63"/>
      <c r="O1089" s="60"/>
      <c r="P1089" s="60"/>
      <c r="Q1089" s="60"/>
      <c r="R1089" s="60"/>
      <c r="S1089" s="60"/>
      <c r="T1089" s="60"/>
      <c r="U1089" s="60"/>
      <c r="V1089" s="64"/>
      <c r="W1089" s="60"/>
      <c r="X1089" s="59"/>
      <c r="Y1089" s="60"/>
      <c r="Z1089" s="59"/>
      <c r="AA1089" s="60"/>
    </row>
    <row r="1090">
      <c r="A1090" s="58"/>
      <c r="B1090" s="58"/>
      <c r="C1090" s="59"/>
      <c r="D1090" s="60"/>
      <c r="E1090" s="61"/>
      <c r="F1090" s="62"/>
      <c r="G1090" s="62"/>
      <c r="H1090" s="62"/>
      <c r="I1090" s="59"/>
      <c r="J1090" s="60"/>
      <c r="K1090" s="59"/>
      <c r="L1090" s="60"/>
      <c r="M1090" s="59"/>
      <c r="N1090" s="63"/>
      <c r="O1090" s="60"/>
      <c r="P1090" s="60"/>
      <c r="Q1090" s="60"/>
      <c r="R1090" s="60"/>
      <c r="S1090" s="60"/>
      <c r="T1090" s="60"/>
      <c r="U1090" s="60"/>
      <c r="V1090" s="64"/>
      <c r="W1090" s="60"/>
      <c r="X1090" s="59"/>
      <c r="Y1090" s="60"/>
      <c r="Z1090" s="59"/>
      <c r="AA1090" s="60"/>
    </row>
    <row r="1091">
      <c r="A1091" s="58"/>
      <c r="B1091" s="58"/>
      <c r="C1091" s="59"/>
      <c r="D1091" s="60"/>
      <c r="E1091" s="61"/>
      <c r="F1091" s="62"/>
      <c r="G1091" s="62"/>
      <c r="H1091" s="62"/>
      <c r="I1091" s="59"/>
      <c r="J1091" s="60"/>
      <c r="K1091" s="59"/>
      <c r="L1091" s="60"/>
      <c r="M1091" s="59"/>
      <c r="N1091" s="63"/>
      <c r="O1091" s="60"/>
      <c r="P1091" s="60"/>
      <c r="Q1091" s="60"/>
      <c r="R1091" s="60"/>
      <c r="S1091" s="60"/>
      <c r="T1091" s="60"/>
      <c r="U1091" s="60"/>
      <c r="V1091" s="64"/>
      <c r="W1091" s="60"/>
      <c r="X1091" s="59"/>
      <c r="Y1091" s="60"/>
      <c r="Z1091" s="59"/>
      <c r="AA1091" s="60"/>
    </row>
    <row r="1092">
      <c r="A1092" s="58"/>
      <c r="B1092" s="58"/>
      <c r="C1092" s="59"/>
      <c r="D1092" s="60"/>
      <c r="E1092" s="61"/>
      <c r="F1092" s="62"/>
      <c r="G1092" s="62"/>
      <c r="H1092" s="62"/>
      <c r="I1092" s="59"/>
      <c r="J1092" s="60"/>
      <c r="K1092" s="59"/>
      <c r="L1092" s="60"/>
      <c r="M1092" s="59"/>
      <c r="N1092" s="63"/>
      <c r="O1092" s="60"/>
      <c r="P1092" s="60"/>
      <c r="Q1092" s="60"/>
      <c r="R1092" s="60"/>
      <c r="S1092" s="60"/>
      <c r="T1092" s="60"/>
      <c r="U1092" s="60"/>
      <c r="V1092" s="64"/>
      <c r="W1092" s="60"/>
      <c r="X1092" s="59"/>
      <c r="Y1092" s="60"/>
      <c r="Z1092" s="59"/>
      <c r="AA1092" s="60"/>
    </row>
    <row r="1093">
      <c r="A1093" s="58"/>
      <c r="B1093" s="58"/>
      <c r="C1093" s="59"/>
      <c r="D1093" s="60"/>
      <c r="E1093" s="61"/>
      <c r="F1093" s="62"/>
      <c r="G1093" s="62"/>
      <c r="H1093" s="62"/>
      <c r="I1093" s="59"/>
      <c r="J1093" s="60"/>
      <c r="K1093" s="59"/>
      <c r="L1093" s="60"/>
      <c r="M1093" s="59"/>
      <c r="N1093" s="63"/>
      <c r="O1093" s="60"/>
      <c r="P1093" s="60"/>
      <c r="Q1093" s="60"/>
      <c r="R1093" s="60"/>
      <c r="S1093" s="60"/>
      <c r="T1093" s="60"/>
      <c r="U1093" s="60"/>
      <c r="V1093" s="64"/>
      <c r="W1093" s="60"/>
      <c r="X1093" s="59"/>
      <c r="Y1093" s="60"/>
      <c r="Z1093" s="59"/>
      <c r="AA1093" s="60"/>
    </row>
    <row r="1094">
      <c r="A1094" s="58"/>
      <c r="B1094" s="58"/>
      <c r="C1094" s="59"/>
      <c r="D1094" s="60"/>
      <c r="E1094" s="61"/>
      <c r="F1094" s="62"/>
      <c r="G1094" s="62"/>
      <c r="H1094" s="62"/>
      <c r="I1094" s="59"/>
      <c r="J1094" s="60"/>
      <c r="K1094" s="59"/>
      <c r="L1094" s="60"/>
      <c r="M1094" s="59"/>
      <c r="N1094" s="63"/>
      <c r="O1094" s="60"/>
      <c r="P1094" s="60"/>
      <c r="Q1094" s="60"/>
      <c r="R1094" s="60"/>
      <c r="S1094" s="60"/>
      <c r="T1094" s="60"/>
      <c r="U1094" s="60"/>
      <c r="V1094" s="64"/>
      <c r="W1094" s="60"/>
      <c r="X1094" s="59"/>
      <c r="Y1094" s="60"/>
      <c r="Z1094" s="59"/>
      <c r="AA1094" s="60"/>
    </row>
    <row r="1095">
      <c r="A1095" s="58"/>
      <c r="B1095" s="58"/>
      <c r="C1095" s="59"/>
      <c r="D1095" s="60"/>
      <c r="E1095" s="61"/>
      <c r="F1095" s="62"/>
      <c r="G1095" s="62"/>
      <c r="H1095" s="62"/>
      <c r="I1095" s="59"/>
      <c r="J1095" s="60"/>
      <c r="K1095" s="59"/>
      <c r="L1095" s="60"/>
      <c r="M1095" s="59"/>
      <c r="N1095" s="63"/>
      <c r="O1095" s="60"/>
      <c r="P1095" s="60"/>
      <c r="Q1095" s="60"/>
      <c r="R1095" s="60"/>
      <c r="S1095" s="60"/>
      <c r="T1095" s="60"/>
      <c r="U1095" s="60"/>
      <c r="V1095" s="64"/>
      <c r="W1095" s="60"/>
      <c r="X1095" s="59"/>
      <c r="Y1095" s="60"/>
      <c r="Z1095" s="59"/>
      <c r="AA1095" s="60"/>
    </row>
    <row r="1096">
      <c r="A1096" s="58"/>
      <c r="B1096" s="58"/>
      <c r="C1096" s="59"/>
      <c r="D1096" s="60"/>
      <c r="E1096" s="61"/>
      <c r="F1096" s="62"/>
      <c r="G1096" s="62"/>
      <c r="H1096" s="62"/>
      <c r="I1096" s="59"/>
      <c r="J1096" s="60"/>
      <c r="K1096" s="59"/>
      <c r="L1096" s="60"/>
      <c r="M1096" s="59"/>
      <c r="N1096" s="63"/>
      <c r="O1096" s="60"/>
      <c r="P1096" s="60"/>
      <c r="Q1096" s="60"/>
      <c r="R1096" s="60"/>
      <c r="S1096" s="60"/>
      <c r="T1096" s="60"/>
      <c r="U1096" s="60"/>
      <c r="V1096" s="64"/>
      <c r="W1096" s="60"/>
      <c r="X1096" s="59"/>
      <c r="Y1096" s="60"/>
      <c r="Z1096" s="59"/>
      <c r="AA1096" s="60"/>
    </row>
    <row r="1097">
      <c r="A1097" s="58"/>
      <c r="B1097" s="58"/>
      <c r="C1097" s="59"/>
      <c r="D1097" s="60"/>
      <c r="E1097" s="61"/>
      <c r="F1097" s="62"/>
      <c r="G1097" s="62"/>
      <c r="H1097" s="62"/>
      <c r="I1097" s="59"/>
      <c r="J1097" s="60"/>
      <c r="K1097" s="59"/>
      <c r="L1097" s="60"/>
      <c r="M1097" s="59"/>
      <c r="N1097" s="63"/>
      <c r="O1097" s="60"/>
      <c r="P1097" s="60"/>
      <c r="Q1097" s="60"/>
      <c r="R1097" s="60"/>
      <c r="S1097" s="60"/>
      <c r="T1097" s="60"/>
      <c r="U1097" s="60"/>
      <c r="V1097" s="64"/>
      <c r="W1097" s="60"/>
      <c r="X1097" s="59"/>
      <c r="Y1097" s="60"/>
      <c r="Z1097" s="59"/>
      <c r="AA1097" s="60"/>
    </row>
    <row r="1098">
      <c r="A1098" s="58"/>
      <c r="B1098" s="58"/>
      <c r="C1098" s="59"/>
      <c r="D1098" s="60"/>
      <c r="E1098" s="61"/>
      <c r="F1098" s="62"/>
      <c r="G1098" s="62"/>
      <c r="H1098" s="62"/>
      <c r="I1098" s="59"/>
      <c r="J1098" s="60"/>
      <c r="K1098" s="59"/>
      <c r="L1098" s="60"/>
      <c r="M1098" s="59"/>
      <c r="N1098" s="63"/>
      <c r="O1098" s="60"/>
      <c r="P1098" s="60"/>
      <c r="Q1098" s="60"/>
      <c r="R1098" s="60"/>
      <c r="S1098" s="60"/>
      <c r="T1098" s="60"/>
      <c r="U1098" s="60"/>
      <c r="V1098" s="64"/>
      <c r="W1098" s="60"/>
      <c r="X1098" s="59"/>
      <c r="Y1098" s="60"/>
      <c r="Z1098" s="59"/>
      <c r="AA1098" s="60"/>
    </row>
    <row r="1099">
      <c r="A1099" s="58"/>
      <c r="B1099" s="58"/>
      <c r="C1099" s="59"/>
      <c r="D1099" s="60"/>
      <c r="E1099" s="61"/>
      <c r="F1099" s="62"/>
      <c r="G1099" s="62"/>
      <c r="H1099" s="62"/>
      <c r="I1099" s="59"/>
      <c r="J1099" s="60"/>
      <c r="K1099" s="59"/>
      <c r="L1099" s="60"/>
      <c r="M1099" s="59"/>
      <c r="N1099" s="63"/>
      <c r="O1099" s="60"/>
      <c r="P1099" s="60"/>
      <c r="Q1099" s="60"/>
      <c r="R1099" s="60"/>
      <c r="S1099" s="60"/>
      <c r="T1099" s="60"/>
      <c r="U1099" s="60"/>
      <c r="V1099" s="64"/>
      <c r="W1099" s="60"/>
      <c r="X1099" s="59"/>
      <c r="Y1099" s="60"/>
      <c r="Z1099" s="59"/>
      <c r="AA1099" s="60"/>
    </row>
    <row r="1100">
      <c r="A1100" s="58"/>
      <c r="B1100" s="58"/>
      <c r="C1100" s="59"/>
      <c r="D1100" s="60"/>
      <c r="E1100" s="61"/>
      <c r="F1100" s="62"/>
      <c r="G1100" s="62"/>
      <c r="H1100" s="62"/>
      <c r="I1100" s="59"/>
      <c r="J1100" s="60"/>
      <c r="K1100" s="59"/>
      <c r="L1100" s="60"/>
      <c r="M1100" s="59"/>
      <c r="N1100" s="63"/>
      <c r="O1100" s="60"/>
      <c r="P1100" s="60"/>
      <c r="Q1100" s="60"/>
      <c r="R1100" s="60"/>
      <c r="S1100" s="60"/>
      <c r="T1100" s="60"/>
      <c r="U1100" s="60"/>
      <c r="V1100" s="64"/>
      <c r="W1100" s="60"/>
      <c r="X1100" s="59"/>
      <c r="Y1100" s="60"/>
      <c r="Z1100" s="59"/>
      <c r="AA1100" s="60"/>
    </row>
    <row r="1101">
      <c r="A1101" s="58"/>
      <c r="B1101" s="58"/>
      <c r="C1101" s="59"/>
      <c r="D1101" s="60"/>
      <c r="E1101" s="61"/>
      <c r="F1101" s="62"/>
      <c r="G1101" s="62"/>
      <c r="H1101" s="62"/>
      <c r="I1101" s="59"/>
      <c r="J1101" s="60"/>
      <c r="K1101" s="59"/>
      <c r="L1101" s="60"/>
      <c r="M1101" s="59"/>
      <c r="N1101" s="63"/>
      <c r="O1101" s="60"/>
      <c r="P1101" s="60"/>
      <c r="Q1101" s="60"/>
      <c r="R1101" s="60"/>
      <c r="S1101" s="60"/>
      <c r="T1101" s="60"/>
      <c r="U1101" s="60"/>
      <c r="V1101" s="64"/>
      <c r="W1101" s="60"/>
      <c r="X1101" s="59"/>
      <c r="Y1101" s="60"/>
      <c r="Z1101" s="59"/>
      <c r="AA1101" s="60"/>
    </row>
    <row r="1102">
      <c r="A1102" s="58"/>
      <c r="B1102" s="58"/>
      <c r="C1102" s="59"/>
      <c r="D1102" s="60"/>
      <c r="E1102" s="61"/>
      <c r="F1102" s="62"/>
      <c r="G1102" s="62"/>
      <c r="H1102" s="62"/>
      <c r="I1102" s="59"/>
      <c r="J1102" s="60"/>
      <c r="K1102" s="59"/>
      <c r="L1102" s="60"/>
      <c r="M1102" s="59"/>
      <c r="N1102" s="63"/>
      <c r="O1102" s="60"/>
      <c r="P1102" s="60"/>
      <c r="Q1102" s="60"/>
      <c r="R1102" s="60"/>
      <c r="S1102" s="60"/>
      <c r="T1102" s="60"/>
      <c r="U1102" s="60"/>
      <c r="V1102" s="64"/>
      <c r="W1102" s="60"/>
      <c r="X1102" s="59"/>
      <c r="Y1102" s="60"/>
      <c r="Z1102" s="59"/>
      <c r="AA1102" s="60"/>
    </row>
    <row r="1103">
      <c r="A1103" s="58"/>
      <c r="B1103" s="58"/>
      <c r="C1103" s="59"/>
      <c r="D1103" s="60"/>
      <c r="E1103" s="61"/>
      <c r="F1103" s="62"/>
      <c r="G1103" s="62"/>
      <c r="H1103" s="62"/>
      <c r="I1103" s="59"/>
      <c r="J1103" s="60"/>
      <c r="K1103" s="59"/>
      <c r="L1103" s="60"/>
      <c r="M1103" s="59"/>
      <c r="N1103" s="63"/>
      <c r="O1103" s="60"/>
      <c r="P1103" s="60"/>
      <c r="Q1103" s="60"/>
      <c r="R1103" s="60"/>
      <c r="S1103" s="60"/>
      <c r="T1103" s="60"/>
      <c r="U1103" s="60"/>
      <c r="V1103" s="64"/>
      <c r="W1103" s="60"/>
      <c r="X1103" s="59"/>
      <c r="Y1103" s="60"/>
      <c r="Z1103" s="59"/>
      <c r="AA1103" s="60"/>
    </row>
    <row r="1104">
      <c r="A1104" s="58"/>
      <c r="B1104" s="58"/>
      <c r="C1104" s="59"/>
      <c r="D1104" s="60"/>
      <c r="E1104" s="61"/>
      <c r="F1104" s="62"/>
      <c r="G1104" s="62"/>
      <c r="H1104" s="62"/>
      <c r="I1104" s="59"/>
      <c r="J1104" s="60"/>
      <c r="K1104" s="59"/>
      <c r="L1104" s="60"/>
      <c r="M1104" s="59"/>
      <c r="N1104" s="63"/>
      <c r="O1104" s="60"/>
      <c r="P1104" s="60"/>
      <c r="Q1104" s="60"/>
      <c r="R1104" s="60"/>
      <c r="S1104" s="60"/>
      <c r="T1104" s="60"/>
      <c r="U1104" s="60"/>
      <c r="V1104" s="64"/>
      <c r="W1104" s="60"/>
      <c r="X1104" s="59"/>
      <c r="Y1104" s="60"/>
      <c r="Z1104" s="59"/>
      <c r="AA1104" s="60"/>
    </row>
    <row r="1105">
      <c r="A1105" s="58"/>
      <c r="B1105" s="58"/>
      <c r="C1105" s="59"/>
      <c r="D1105" s="60"/>
      <c r="E1105" s="61"/>
      <c r="F1105" s="62"/>
      <c r="G1105" s="62"/>
      <c r="H1105" s="62"/>
      <c r="I1105" s="59"/>
      <c r="J1105" s="60"/>
      <c r="K1105" s="59"/>
      <c r="L1105" s="60"/>
      <c r="M1105" s="59"/>
      <c r="N1105" s="63"/>
      <c r="O1105" s="60"/>
      <c r="P1105" s="60"/>
      <c r="Q1105" s="60"/>
      <c r="R1105" s="60"/>
      <c r="S1105" s="60"/>
      <c r="T1105" s="60"/>
      <c r="U1105" s="60"/>
      <c r="V1105" s="64"/>
      <c r="W1105" s="60"/>
      <c r="X1105" s="59"/>
      <c r="Y1105" s="60"/>
      <c r="Z1105" s="59"/>
      <c r="AA1105" s="60"/>
    </row>
    <row r="1106">
      <c r="A1106" s="58"/>
      <c r="B1106" s="58"/>
      <c r="C1106" s="59"/>
      <c r="D1106" s="60"/>
      <c r="E1106" s="61"/>
      <c r="F1106" s="62"/>
      <c r="G1106" s="62"/>
      <c r="H1106" s="62"/>
      <c r="I1106" s="59"/>
      <c r="J1106" s="60"/>
      <c r="K1106" s="59"/>
      <c r="L1106" s="60"/>
      <c r="M1106" s="59"/>
      <c r="N1106" s="63"/>
      <c r="O1106" s="60"/>
      <c r="P1106" s="60"/>
      <c r="Q1106" s="60"/>
      <c r="R1106" s="60"/>
      <c r="S1106" s="60"/>
      <c r="T1106" s="60"/>
      <c r="U1106" s="60"/>
      <c r="V1106" s="64"/>
      <c r="W1106" s="60"/>
      <c r="X1106" s="59"/>
      <c r="Y1106" s="60"/>
      <c r="Z1106" s="59"/>
      <c r="AA1106" s="60"/>
    </row>
    <row r="1107">
      <c r="A1107" s="58"/>
      <c r="B1107" s="58"/>
      <c r="C1107" s="59"/>
      <c r="D1107" s="60"/>
      <c r="E1107" s="61"/>
      <c r="F1107" s="62"/>
      <c r="G1107" s="62"/>
      <c r="H1107" s="62"/>
      <c r="I1107" s="59"/>
      <c r="J1107" s="60"/>
      <c r="K1107" s="59"/>
      <c r="L1107" s="60"/>
      <c r="M1107" s="59"/>
      <c r="N1107" s="63"/>
      <c r="O1107" s="60"/>
      <c r="P1107" s="60"/>
      <c r="Q1107" s="60"/>
      <c r="R1107" s="60"/>
      <c r="S1107" s="60"/>
      <c r="T1107" s="60"/>
      <c r="U1107" s="60"/>
      <c r="V1107" s="64"/>
      <c r="W1107" s="60"/>
      <c r="X1107" s="59"/>
      <c r="Y1107" s="60"/>
      <c r="Z1107" s="59"/>
      <c r="AA1107" s="60"/>
    </row>
    <row r="1108">
      <c r="A1108" s="58"/>
      <c r="B1108" s="58"/>
      <c r="C1108" s="59"/>
      <c r="D1108" s="60"/>
      <c r="E1108" s="61"/>
      <c r="F1108" s="62"/>
      <c r="G1108" s="62"/>
      <c r="H1108" s="62"/>
      <c r="I1108" s="59"/>
      <c r="J1108" s="60"/>
      <c r="K1108" s="59"/>
      <c r="L1108" s="60"/>
      <c r="M1108" s="59"/>
      <c r="N1108" s="63"/>
      <c r="O1108" s="60"/>
      <c r="P1108" s="60"/>
      <c r="Q1108" s="60"/>
      <c r="R1108" s="60"/>
      <c r="S1108" s="60"/>
      <c r="T1108" s="60"/>
      <c r="U1108" s="60"/>
      <c r="V1108" s="64"/>
      <c r="W1108" s="60"/>
      <c r="X1108" s="59"/>
      <c r="Y1108" s="60"/>
      <c r="Z1108" s="59"/>
      <c r="AA1108" s="60"/>
    </row>
    <row r="1109">
      <c r="A1109" s="58"/>
      <c r="B1109" s="58"/>
      <c r="C1109" s="59"/>
      <c r="D1109" s="60"/>
      <c r="E1109" s="61"/>
      <c r="F1109" s="62"/>
      <c r="G1109" s="62"/>
      <c r="H1109" s="62"/>
      <c r="I1109" s="59"/>
      <c r="J1109" s="60"/>
      <c r="K1109" s="59"/>
      <c r="L1109" s="60"/>
      <c r="M1109" s="59"/>
      <c r="N1109" s="63"/>
      <c r="O1109" s="60"/>
      <c r="P1109" s="60"/>
      <c r="Q1109" s="60"/>
      <c r="R1109" s="60"/>
      <c r="S1109" s="60"/>
      <c r="T1109" s="60"/>
      <c r="U1109" s="60"/>
      <c r="V1109" s="64"/>
      <c r="W1109" s="60"/>
      <c r="X1109" s="59"/>
      <c r="Y1109" s="60"/>
      <c r="Z1109" s="59"/>
      <c r="AA1109" s="60"/>
    </row>
    <row r="1110">
      <c r="A1110" s="58"/>
      <c r="B1110" s="58"/>
      <c r="C1110" s="59"/>
      <c r="D1110" s="60"/>
      <c r="E1110" s="61"/>
      <c r="F1110" s="62"/>
      <c r="G1110" s="62"/>
      <c r="H1110" s="62"/>
      <c r="I1110" s="59"/>
      <c r="J1110" s="60"/>
      <c r="K1110" s="59"/>
      <c r="L1110" s="60"/>
      <c r="M1110" s="59"/>
      <c r="N1110" s="63"/>
      <c r="O1110" s="60"/>
      <c r="P1110" s="60"/>
      <c r="Q1110" s="60"/>
      <c r="R1110" s="60"/>
      <c r="S1110" s="60"/>
      <c r="T1110" s="60"/>
      <c r="U1110" s="60"/>
      <c r="V1110" s="64"/>
      <c r="W1110" s="60"/>
      <c r="X1110" s="59"/>
      <c r="Y1110" s="60"/>
      <c r="Z1110" s="59"/>
      <c r="AA1110" s="60"/>
    </row>
    <row r="1111">
      <c r="A1111" s="58"/>
      <c r="B1111" s="58"/>
      <c r="C1111" s="59"/>
      <c r="D1111" s="60"/>
      <c r="E1111" s="61"/>
      <c r="F1111" s="62"/>
      <c r="G1111" s="62"/>
      <c r="H1111" s="62"/>
      <c r="I1111" s="59"/>
      <c r="J1111" s="60"/>
      <c r="K1111" s="59"/>
      <c r="L1111" s="60"/>
      <c r="M1111" s="59"/>
      <c r="N1111" s="63"/>
      <c r="O1111" s="60"/>
      <c r="P1111" s="60"/>
      <c r="Q1111" s="60"/>
      <c r="R1111" s="60"/>
      <c r="S1111" s="60"/>
      <c r="T1111" s="60"/>
      <c r="U1111" s="60"/>
      <c r="V1111" s="64"/>
      <c r="W1111" s="60"/>
      <c r="X1111" s="59"/>
      <c r="Y1111" s="60"/>
      <c r="Z1111" s="59"/>
      <c r="AA1111" s="60"/>
    </row>
    <row r="1112">
      <c r="A1112" s="58"/>
      <c r="B1112" s="58"/>
      <c r="C1112" s="59"/>
      <c r="D1112" s="60"/>
      <c r="E1112" s="61"/>
      <c r="F1112" s="62"/>
      <c r="G1112" s="62"/>
      <c r="H1112" s="62"/>
      <c r="I1112" s="59"/>
      <c r="J1112" s="60"/>
      <c r="K1112" s="59"/>
      <c r="L1112" s="60"/>
      <c r="M1112" s="59"/>
      <c r="N1112" s="63"/>
      <c r="O1112" s="60"/>
      <c r="P1112" s="60"/>
      <c r="Q1112" s="60"/>
      <c r="R1112" s="60"/>
      <c r="S1112" s="60"/>
      <c r="T1112" s="60"/>
      <c r="U1112" s="60"/>
      <c r="V1112" s="64"/>
      <c r="W1112" s="60"/>
      <c r="X1112" s="59"/>
      <c r="Y1112" s="60"/>
      <c r="Z1112" s="59"/>
      <c r="AA1112" s="60"/>
    </row>
    <row r="1113">
      <c r="A1113" s="58"/>
      <c r="B1113" s="58"/>
      <c r="C1113" s="59"/>
      <c r="D1113" s="60"/>
      <c r="E1113" s="61"/>
      <c r="F1113" s="62"/>
      <c r="G1113" s="62"/>
      <c r="H1113" s="62"/>
      <c r="I1113" s="59"/>
      <c r="J1113" s="60"/>
      <c r="K1113" s="59"/>
      <c r="L1113" s="60"/>
      <c r="M1113" s="59"/>
      <c r="N1113" s="63"/>
      <c r="O1113" s="60"/>
      <c r="P1113" s="60"/>
      <c r="Q1113" s="60"/>
      <c r="R1113" s="60"/>
      <c r="S1113" s="60"/>
      <c r="T1113" s="60"/>
      <c r="U1113" s="60"/>
      <c r="V1113" s="64"/>
      <c r="W1113" s="60"/>
      <c r="X1113" s="59"/>
      <c r="Y1113" s="60"/>
      <c r="Z1113" s="59"/>
      <c r="AA1113" s="60"/>
    </row>
    <row r="1114">
      <c r="A1114" s="58"/>
      <c r="B1114" s="58"/>
      <c r="C1114" s="59"/>
      <c r="D1114" s="60"/>
      <c r="E1114" s="61"/>
      <c r="F1114" s="62"/>
      <c r="G1114" s="62"/>
      <c r="H1114" s="62"/>
      <c r="I1114" s="59"/>
      <c r="J1114" s="60"/>
      <c r="K1114" s="59"/>
      <c r="L1114" s="60"/>
      <c r="M1114" s="59"/>
      <c r="N1114" s="63"/>
      <c r="O1114" s="60"/>
      <c r="P1114" s="60"/>
      <c r="Q1114" s="60"/>
      <c r="R1114" s="60"/>
      <c r="S1114" s="60"/>
      <c r="T1114" s="60"/>
      <c r="U1114" s="60"/>
      <c r="V1114" s="64"/>
      <c r="W1114" s="60"/>
      <c r="X1114" s="59"/>
      <c r="Y1114" s="60"/>
      <c r="Z1114" s="59"/>
      <c r="AA1114" s="60"/>
    </row>
    <row r="1115">
      <c r="A1115" s="58"/>
      <c r="B1115" s="58"/>
      <c r="C1115" s="59"/>
      <c r="D1115" s="60"/>
      <c r="E1115" s="61"/>
      <c r="F1115" s="62"/>
      <c r="G1115" s="62"/>
      <c r="H1115" s="62"/>
      <c r="I1115" s="59"/>
      <c r="J1115" s="60"/>
      <c r="K1115" s="59"/>
      <c r="L1115" s="60"/>
      <c r="M1115" s="59"/>
      <c r="N1115" s="63"/>
      <c r="O1115" s="60"/>
      <c r="P1115" s="60"/>
      <c r="Q1115" s="60"/>
      <c r="R1115" s="60"/>
      <c r="S1115" s="60"/>
      <c r="T1115" s="60"/>
      <c r="U1115" s="60"/>
      <c r="V1115" s="64"/>
      <c r="W1115" s="60"/>
      <c r="X1115" s="59"/>
      <c r="Y1115" s="60"/>
      <c r="Z1115" s="59"/>
      <c r="AA1115" s="60"/>
    </row>
    <row r="1116">
      <c r="A1116" s="58"/>
      <c r="B1116" s="58"/>
      <c r="C1116" s="59"/>
      <c r="D1116" s="60"/>
      <c r="E1116" s="61"/>
      <c r="F1116" s="62"/>
      <c r="G1116" s="62"/>
      <c r="H1116" s="62"/>
      <c r="I1116" s="59"/>
      <c r="J1116" s="60"/>
      <c r="K1116" s="59"/>
      <c r="L1116" s="60"/>
      <c r="M1116" s="59"/>
      <c r="N1116" s="63"/>
      <c r="O1116" s="60"/>
      <c r="P1116" s="60"/>
      <c r="Q1116" s="60"/>
      <c r="R1116" s="60"/>
      <c r="S1116" s="60"/>
      <c r="T1116" s="60"/>
      <c r="U1116" s="60"/>
      <c r="V1116" s="64"/>
      <c r="W1116" s="60"/>
      <c r="X1116" s="59"/>
      <c r="Y1116" s="60"/>
      <c r="Z1116" s="59"/>
      <c r="AA1116" s="60"/>
    </row>
    <row r="1117">
      <c r="A1117" s="58"/>
      <c r="B1117" s="58"/>
      <c r="C1117" s="59"/>
      <c r="D1117" s="60"/>
      <c r="E1117" s="61"/>
      <c r="F1117" s="62"/>
      <c r="G1117" s="62"/>
      <c r="H1117" s="62"/>
      <c r="I1117" s="59"/>
      <c r="J1117" s="60"/>
      <c r="K1117" s="59"/>
      <c r="L1117" s="60"/>
      <c r="M1117" s="59"/>
      <c r="N1117" s="63"/>
      <c r="O1117" s="60"/>
      <c r="P1117" s="60"/>
      <c r="Q1117" s="60"/>
      <c r="R1117" s="60"/>
      <c r="S1117" s="60"/>
      <c r="T1117" s="60"/>
      <c r="U1117" s="60"/>
      <c r="V1117" s="64"/>
      <c r="W1117" s="60"/>
      <c r="X1117" s="59"/>
      <c r="Y1117" s="60"/>
      <c r="Z1117" s="59"/>
      <c r="AA1117" s="60"/>
    </row>
    <row r="1118">
      <c r="A1118" s="58"/>
      <c r="B1118" s="58"/>
      <c r="C1118" s="59"/>
      <c r="D1118" s="60"/>
      <c r="E1118" s="61"/>
      <c r="F1118" s="62"/>
      <c r="G1118" s="62"/>
      <c r="H1118" s="62"/>
      <c r="I1118" s="59"/>
      <c r="J1118" s="60"/>
      <c r="K1118" s="59"/>
      <c r="L1118" s="60"/>
      <c r="M1118" s="59"/>
      <c r="N1118" s="63"/>
      <c r="O1118" s="60"/>
      <c r="P1118" s="60"/>
      <c r="Q1118" s="60"/>
      <c r="R1118" s="60"/>
      <c r="S1118" s="60"/>
      <c r="T1118" s="60"/>
      <c r="U1118" s="60"/>
      <c r="V1118" s="64"/>
      <c r="W1118" s="60"/>
      <c r="X1118" s="59"/>
      <c r="Y1118" s="60"/>
      <c r="Z1118" s="59"/>
      <c r="AA1118" s="60"/>
    </row>
    <row r="1119">
      <c r="A1119" s="58"/>
      <c r="B1119" s="58"/>
      <c r="C1119" s="59"/>
      <c r="D1119" s="60"/>
      <c r="E1119" s="61"/>
      <c r="F1119" s="62"/>
      <c r="G1119" s="62"/>
      <c r="H1119" s="62"/>
      <c r="I1119" s="59"/>
      <c r="J1119" s="60"/>
      <c r="K1119" s="59"/>
      <c r="L1119" s="60"/>
      <c r="M1119" s="59"/>
      <c r="N1119" s="63"/>
      <c r="O1119" s="60"/>
      <c r="P1119" s="60"/>
      <c r="Q1119" s="60"/>
      <c r="R1119" s="60"/>
      <c r="S1119" s="60"/>
      <c r="T1119" s="60"/>
      <c r="U1119" s="60"/>
      <c r="V1119" s="64"/>
      <c r="W1119" s="60"/>
      <c r="X1119" s="59"/>
      <c r="Y1119" s="60"/>
      <c r="Z1119" s="59"/>
      <c r="AA1119" s="60"/>
    </row>
    <row r="1120">
      <c r="A1120" s="58"/>
      <c r="B1120" s="58"/>
      <c r="C1120" s="59"/>
      <c r="D1120" s="60"/>
      <c r="E1120" s="61"/>
      <c r="F1120" s="62"/>
      <c r="G1120" s="62"/>
      <c r="H1120" s="62"/>
      <c r="I1120" s="59"/>
      <c r="J1120" s="60"/>
      <c r="K1120" s="59"/>
      <c r="L1120" s="60"/>
      <c r="M1120" s="59"/>
      <c r="N1120" s="63"/>
      <c r="O1120" s="60"/>
      <c r="P1120" s="60"/>
      <c r="Q1120" s="60"/>
      <c r="R1120" s="60"/>
      <c r="S1120" s="60"/>
      <c r="T1120" s="60"/>
      <c r="U1120" s="60"/>
      <c r="V1120" s="64"/>
      <c r="W1120" s="60"/>
      <c r="X1120" s="59"/>
      <c r="Y1120" s="60"/>
      <c r="Z1120" s="59"/>
      <c r="AA1120" s="60"/>
    </row>
    <row r="1121">
      <c r="A1121" s="58"/>
      <c r="B1121" s="58"/>
      <c r="C1121" s="59"/>
      <c r="D1121" s="60"/>
      <c r="E1121" s="61"/>
      <c r="F1121" s="62"/>
      <c r="G1121" s="62"/>
      <c r="H1121" s="62"/>
      <c r="I1121" s="59"/>
      <c r="J1121" s="60"/>
      <c r="K1121" s="59"/>
      <c r="L1121" s="60"/>
      <c r="M1121" s="59"/>
      <c r="N1121" s="63"/>
      <c r="O1121" s="60"/>
      <c r="P1121" s="60"/>
      <c r="Q1121" s="60"/>
      <c r="R1121" s="60"/>
      <c r="S1121" s="60"/>
      <c r="T1121" s="60"/>
      <c r="U1121" s="60"/>
      <c r="V1121" s="64"/>
      <c r="W1121" s="60"/>
      <c r="X1121" s="59"/>
      <c r="Y1121" s="60"/>
      <c r="Z1121" s="59"/>
      <c r="AA1121" s="60"/>
    </row>
    <row r="1122">
      <c r="A1122" s="58"/>
      <c r="B1122" s="58"/>
      <c r="C1122" s="59"/>
      <c r="D1122" s="60"/>
      <c r="E1122" s="61"/>
      <c r="F1122" s="62"/>
      <c r="G1122" s="62"/>
      <c r="H1122" s="62"/>
      <c r="I1122" s="59"/>
      <c r="J1122" s="60"/>
      <c r="K1122" s="59"/>
      <c r="L1122" s="60"/>
      <c r="M1122" s="59"/>
      <c r="N1122" s="63"/>
      <c r="O1122" s="60"/>
      <c r="P1122" s="60"/>
      <c r="Q1122" s="60"/>
      <c r="R1122" s="60"/>
      <c r="S1122" s="60"/>
      <c r="T1122" s="60"/>
      <c r="U1122" s="60"/>
      <c r="V1122" s="64"/>
      <c r="W1122" s="60"/>
      <c r="X1122" s="59"/>
      <c r="Y1122" s="60"/>
      <c r="Z1122" s="59"/>
      <c r="AA1122" s="60"/>
    </row>
    <row r="1123">
      <c r="A1123" s="58"/>
      <c r="B1123" s="58"/>
      <c r="C1123" s="59"/>
      <c r="D1123" s="60"/>
      <c r="E1123" s="61"/>
      <c r="F1123" s="62"/>
      <c r="G1123" s="62"/>
      <c r="H1123" s="62"/>
      <c r="I1123" s="59"/>
      <c r="J1123" s="60"/>
      <c r="K1123" s="59"/>
      <c r="L1123" s="60"/>
      <c r="M1123" s="59"/>
      <c r="N1123" s="63"/>
      <c r="O1123" s="60"/>
      <c r="P1123" s="60"/>
      <c r="Q1123" s="60"/>
      <c r="R1123" s="60"/>
      <c r="S1123" s="60"/>
      <c r="T1123" s="60"/>
      <c r="U1123" s="60"/>
      <c r="V1123" s="64"/>
      <c r="W1123" s="60"/>
      <c r="X1123" s="59"/>
      <c r="Y1123" s="60"/>
      <c r="Z1123" s="59"/>
      <c r="AA1123" s="60"/>
    </row>
    <row r="1124">
      <c r="A1124" s="58"/>
      <c r="B1124" s="58"/>
      <c r="C1124" s="59"/>
      <c r="D1124" s="60"/>
      <c r="E1124" s="61"/>
      <c r="F1124" s="62"/>
      <c r="G1124" s="62"/>
      <c r="H1124" s="62"/>
      <c r="I1124" s="59"/>
      <c r="J1124" s="60"/>
      <c r="K1124" s="59"/>
      <c r="L1124" s="60"/>
      <c r="M1124" s="59"/>
      <c r="N1124" s="63"/>
      <c r="O1124" s="60"/>
      <c r="P1124" s="60"/>
      <c r="Q1124" s="60"/>
      <c r="R1124" s="60"/>
      <c r="S1124" s="60"/>
      <c r="T1124" s="60"/>
      <c r="U1124" s="60"/>
      <c r="V1124" s="64"/>
      <c r="W1124" s="60"/>
      <c r="X1124" s="59"/>
      <c r="Y1124" s="60"/>
      <c r="Z1124" s="59"/>
      <c r="AA1124" s="60"/>
    </row>
  </sheetData>
  <conditionalFormatting sqref="Z119:AA1124">
    <cfRule type="expression" dxfId="0" priority="1">
      <formula>$AI119="Excluded"</formula>
    </cfRule>
  </conditionalFormatting>
  <conditionalFormatting sqref="AA119:AA1124">
    <cfRule type="cellIs" dxfId="1" priority="2" operator="equal">
      <formula>"patellar"</formula>
    </cfRule>
  </conditionalFormatting>
  <conditionalFormatting sqref="AA119:AA1124">
    <cfRule type="cellIs" dxfId="2" priority="3" operator="equal">
      <formula>"hamstring"</formula>
    </cfRule>
  </conditionalFormatting>
  <conditionalFormatting sqref="AA119:AA1124">
    <cfRule type="cellIs" dxfId="3" priority="4" operator="equal">
      <formula>"quadriceps"</formula>
    </cfRule>
  </conditionalFormatting>
  <conditionalFormatting sqref="AA119:AA1124">
    <cfRule type="cellIs" dxfId="4" priority="5" operator="equal">
      <formula>"tibialis"</formula>
    </cfRule>
  </conditionalFormatting>
  <conditionalFormatting sqref="Z117:AA118">
    <cfRule type="expression" dxfId="0" priority="6">
      <formula>$AI117="Excluded"</formula>
    </cfRule>
  </conditionalFormatting>
  <conditionalFormatting sqref="AA117:AA118">
    <cfRule type="cellIs" dxfId="1" priority="7" operator="equal">
      <formula>"patellar"</formula>
    </cfRule>
  </conditionalFormatting>
  <conditionalFormatting sqref="AA117:AA118">
    <cfRule type="cellIs" dxfId="2" priority="8" operator="equal">
      <formula>"hamstring"</formula>
    </cfRule>
  </conditionalFormatting>
  <conditionalFormatting sqref="AA117:AA118">
    <cfRule type="cellIs" dxfId="3" priority="9" operator="equal">
      <formula>"quadriceps"</formula>
    </cfRule>
  </conditionalFormatting>
  <conditionalFormatting sqref="AA117:AA118">
    <cfRule type="cellIs" dxfId="4" priority="10" operator="equal">
      <formula>"tibialis"</formula>
    </cfRule>
  </conditionalFormatting>
  <conditionalFormatting sqref="Z111:AA116">
    <cfRule type="expression" dxfId="0" priority="11">
      <formula>$AI111="Excluded"</formula>
    </cfRule>
  </conditionalFormatting>
  <conditionalFormatting sqref="AA111:AA116">
    <cfRule type="cellIs" dxfId="1" priority="12" operator="equal">
      <formula>"patellar"</formula>
    </cfRule>
  </conditionalFormatting>
  <conditionalFormatting sqref="AA111:AA116">
    <cfRule type="cellIs" dxfId="2" priority="13" operator="equal">
      <formula>"hamstring"</formula>
    </cfRule>
  </conditionalFormatting>
  <conditionalFormatting sqref="AA111:AA116">
    <cfRule type="cellIs" dxfId="3" priority="14" operator="equal">
      <formula>"quadriceps"</formula>
    </cfRule>
  </conditionalFormatting>
  <conditionalFormatting sqref="AA111:AA116">
    <cfRule type="cellIs" dxfId="4" priority="15" operator="equal">
      <formula>"tibialis"</formula>
    </cfRule>
  </conditionalFormatting>
  <conditionalFormatting sqref="Z106:AA110">
    <cfRule type="expression" dxfId="0" priority="16">
      <formula>$AI106="Excluded"</formula>
    </cfRule>
  </conditionalFormatting>
  <conditionalFormatting sqref="AA106:AA110">
    <cfRule type="cellIs" dxfId="1" priority="17" operator="equal">
      <formula>"patellar"</formula>
    </cfRule>
  </conditionalFormatting>
  <conditionalFormatting sqref="AA106:AA110">
    <cfRule type="cellIs" dxfId="2" priority="18" operator="equal">
      <formula>"hamstring"</formula>
    </cfRule>
  </conditionalFormatting>
  <conditionalFormatting sqref="AA106:AA110">
    <cfRule type="cellIs" dxfId="3" priority="19" operator="equal">
      <formula>"quadriceps"</formula>
    </cfRule>
  </conditionalFormatting>
  <conditionalFormatting sqref="AA106:AA110">
    <cfRule type="cellIs" dxfId="4" priority="20" operator="equal">
      <formula>"tibialis"</formula>
    </cfRule>
  </conditionalFormatting>
  <conditionalFormatting sqref="Z98:AA105">
    <cfRule type="expression" dxfId="0" priority="21">
      <formula>$AI98="Excluded"</formula>
    </cfRule>
  </conditionalFormatting>
  <conditionalFormatting sqref="AA98:AA105">
    <cfRule type="cellIs" dxfId="1" priority="22" operator="equal">
      <formula>"patellar"</formula>
    </cfRule>
  </conditionalFormatting>
  <conditionalFormatting sqref="AA98:AA105">
    <cfRule type="cellIs" dxfId="2" priority="23" operator="equal">
      <formula>"hamstring"</formula>
    </cfRule>
  </conditionalFormatting>
  <conditionalFormatting sqref="AA98:AA105">
    <cfRule type="cellIs" dxfId="3" priority="24" operator="equal">
      <formula>"quadriceps"</formula>
    </cfRule>
  </conditionalFormatting>
  <conditionalFormatting sqref="AA98:AA105">
    <cfRule type="cellIs" dxfId="4" priority="25" operator="equal">
      <formula>"tibialis"</formula>
    </cfRule>
  </conditionalFormatting>
  <conditionalFormatting sqref="Z96:AA97">
    <cfRule type="expression" dxfId="0" priority="26">
      <formula>$AI96="Excluded"</formula>
    </cfRule>
  </conditionalFormatting>
  <conditionalFormatting sqref="AA96:AA97">
    <cfRule type="cellIs" dxfId="1" priority="27" operator="equal">
      <formula>"patellar"</formula>
    </cfRule>
  </conditionalFormatting>
  <conditionalFormatting sqref="AA96:AA97">
    <cfRule type="cellIs" dxfId="2" priority="28" operator="equal">
      <formula>"hamstring"</formula>
    </cfRule>
  </conditionalFormatting>
  <conditionalFormatting sqref="AA96:AA97">
    <cfRule type="cellIs" dxfId="3" priority="29" operator="equal">
      <formula>"quadriceps"</formula>
    </cfRule>
  </conditionalFormatting>
  <conditionalFormatting sqref="AA96:AA97">
    <cfRule type="cellIs" dxfId="4" priority="30" operator="equal">
      <formula>"tibialis"</formula>
    </cfRule>
  </conditionalFormatting>
  <conditionalFormatting sqref="Z94:AA95">
    <cfRule type="expression" dxfId="0" priority="31">
      <formula>$AI94="Excluded"</formula>
    </cfRule>
  </conditionalFormatting>
  <conditionalFormatting sqref="AA94:AA95">
    <cfRule type="cellIs" dxfId="1" priority="32" operator="equal">
      <formula>"patellar"</formula>
    </cfRule>
  </conditionalFormatting>
  <conditionalFormatting sqref="AA94:AA95">
    <cfRule type="cellIs" dxfId="2" priority="33" operator="equal">
      <formula>"hamstring"</formula>
    </cfRule>
  </conditionalFormatting>
  <conditionalFormatting sqref="AA94:AA95">
    <cfRule type="cellIs" dxfId="3" priority="34" operator="equal">
      <formula>"quadriceps"</formula>
    </cfRule>
  </conditionalFormatting>
  <conditionalFormatting sqref="AA94:AA95">
    <cfRule type="cellIs" dxfId="4" priority="35" operator="equal">
      <formula>"tibialis"</formula>
    </cfRule>
  </conditionalFormatting>
  <conditionalFormatting sqref="Z91:AA93">
    <cfRule type="expression" dxfId="0" priority="36">
      <formula>$AI91="Excluded"</formula>
    </cfRule>
  </conditionalFormatting>
  <conditionalFormatting sqref="AA91:AA93">
    <cfRule type="cellIs" dxfId="1" priority="37" operator="equal">
      <formula>"patellar"</formula>
    </cfRule>
  </conditionalFormatting>
  <conditionalFormatting sqref="AA91:AA93">
    <cfRule type="cellIs" dxfId="2" priority="38" operator="equal">
      <formula>"hamstring"</formula>
    </cfRule>
  </conditionalFormatting>
  <conditionalFormatting sqref="AA91:AA93">
    <cfRule type="cellIs" dxfId="3" priority="39" operator="equal">
      <formula>"quadriceps"</formula>
    </cfRule>
  </conditionalFormatting>
  <conditionalFormatting sqref="AA91:AA93">
    <cfRule type="cellIs" dxfId="4" priority="40" operator="equal">
      <formula>"tibialis"</formula>
    </cfRule>
  </conditionalFormatting>
  <conditionalFormatting sqref="Z86:AA90">
    <cfRule type="expression" dxfId="0" priority="41">
      <formula>$AI86="Excluded"</formula>
    </cfRule>
  </conditionalFormatting>
  <conditionalFormatting sqref="AA86:AA90">
    <cfRule type="cellIs" dxfId="1" priority="42" operator="equal">
      <formula>"patellar"</formula>
    </cfRule>
  </conditionalFormatting>
  <conditionalFormatting sqref="AA86:AA90">
    <cfRule type="cellIs" dxfId="2" priority="43" operator="equal">
      <formula>"hamstring"</formula>
    </cfRule>
  </conditionalFormatting>
  <conditionalFormatting sqref="AA86:AA90">
    <cfRule type="cellIs" dxfId="3" priority="44" operator="equal">
      <formula>"quadriceps"</formula>
    </cfRule>
  </conditionalFormatting>
  <conditionalFormatting sqref="AA86:AA90">
    <cfRule type="cellIs" dxfId="4" priority="45" operator="equal">
      <formula>"tibialis"</formula>
    </cfRule>
  </conditionalFormatting>
  <conditionalFormatting sqref="Z72:AA85">
    <cfRule type="expression" dxfId="0" priority="46">
      <formula>$AI72="Excluded"</formula>
    </cfRule>
  </conditionalFormatting>
  <conditionalFormatting sqref="AA72:AA85">
    <cfRule type="cellIs" dxfId="1" priority="47" operator="equal">
      <formula>"patellar"</formula>
    </cfRule>
  </conditionalFormatting>
  <conditionalFormatting sqref="AA72:AA85">
    <cfRule type="cellIs" dxfId="2" priority="48" operator="equal">
      <formula>"hamstring"</formula>
    </cfRule>
  </conditionalFormatting>
  <conditionalFormatting sqref="AA72:AA85">
    <cfRule type="cellIs" dxfId="3" priority="49" operator="equal">
      <formula>"quadriceps"</formula>
    </cfRule>
  </conditionalFormatting>
  <conditionalFormatting sqref="AA72:AA85">
    <cfRule type="cellIs" dxfId="4" priority="50" operator="equal">
      <formula>"tibialis"</formula>
    </cfRule>
  </conditionalFormatting>
  <conditionalFormatting sqref="Z68:AA71">
    <cfRule type="expression" dxfId="0" priority="51">
      <formula>$AI68="Excluded"</formula>
    </cfRule>
  </conditionalFormatting>
  <conditionalFormatting sqref="AA68:AA71">
    <cfRule type="cellIs" dxfId="1" priority="52" operator="equal">
      <formula>"patellar"</formula>
    </cfRule>
  </conditionalFormatting>
  <conditionalFormatting sqref="AA68:AA71">
    <cfRule type="cellIs" dxfId="2" priority="53" operator="equal">
      <formula>"hamstring"</formula>
    </cfRule>
  </conditionalFormatting>
  <conditionalFormatting sqref="AA68:AA71">
    <cfRule type="cellIs" dxfId="3" priority="54" operator="equal">
      <formula>"quadriceps"</formula>
    </cfRule>
  </conditionalFormatting>
  <conditionalFormatting sqref="AA68:AA71">
    <cfRule type="cellIs" dxfId="4" priority="55" operator="equal">
      <formula>"tibialis"</formula>
    </cfRule>
  </conditionalFormatting>
  <conditionalFormatting sqref="Z66:AA67">
    <cfRule type="expression" dxfId="0" priority="56">
      <formula>$AI66="Excluded"</formula>
    </cfRule>
  </conditionalFormatting>
  <conditionalFormatting sqref="AA66:AA67">
    <cfRule type="cellIs" dxfId="1" priority="57" operator="equal">
      <formula>"patellar"</formula>
    </cfRule>
  </conditionalFormatting>
  <conditionalFormatting sqref="AA66:AA67">
    <cfRule type="cellIs" dxfId="2" priority="58" operator="equal">
      <formula>"hamstring"</formula>
    </cfRule>
  </conditionalFormatting>
  <conditionalFormatting sqref="AA66:AA67">
    <cfRule type="cellIs" dxfId="3" priority="59" operator="equal">
      <formula>"quadriceps"</formula>
    </cfRule>
  </conditionalFormatting>
  <conditionalFormatting sqref="AA66:AA67">
    <cfRule type="cellIs" dxfId="4" priority="60" operator="equal">
      <formula>"tibialis"</formula>
    </cfRule>
  </conditionalFormatting>
  <conditionalFormatting sqref="Z64:AA65">
    <cfRule type="expression" dxfId="0" priority="61">
      <formula>$AI64="Excluded"</formula>
    </cfRule>
  </conditionalFormatting>
  <conditionalFormatting sqref="AA64:AA65">
    <cfRule type="cellIs" dxfId="1" priority="62" operator="equal">
      <formula>"patellar"</formula>
    </cfRule>
  </conditionalFormatting>
  <conditionalFormatting sqref="AA64:AA65">
    <cfRule type="cellIs" dxfId="2" priority="63" operator="equal">
      <formula>"hamstring"</formula>
    </cfRule>
  </conditionalFormatting>
  <conditionalFormatting sqref="AA64:AA65">
    <cfRule type="cellIs" dxfId="3" priority="64" operator="equal">
      <formula>"quadriceps"</formula>
    </cfRule>
  </conditionalFormatting>
  <conditionalFormatting sqref="AA64:AA65">
    <cfRule type="cellIs" dxfId="4" priority="65" operator="equal">
      <formula>"tibialis"</formula>
    </cfRule>
  </conditionalFormatting>
  <conditionalFormatting sqref="Z55:AA63">
    <cfRule type="expression" dxfId="0" priority="66">
      <formula>$AI55="Excluded"</formula>
    </cfRule>
  </conditionalFormatting>
  <conditionalFormatting sqref="AA55:AA63">
    <cfRule type="cellIs" dxfId="1" priority="67" operator="equal">
      <formula>"patellar"</formula>
    </cfRule>
  </conditionalFormatting>
  <conditionalFormatting sqref="AA55:AA63">
    <cfRule type="cellIs" dxfId="2" priority="68" operator="equal">
      <formula>"hamstring"</formula>
    </cfRule>
  </conditionalFormatting>
  <conditionalFormatting sqref="AA55:AA63">
    <cfRule type="cellIs" dxfId="3" priority="69" operator="equal">
      <formula>"quadriceps"</formula>
    </cfRule>
  </conditionalFormatting>
  <conditionalFormatting sqref="AA55:AA63">
    <cfRule type="cellIs" dxfId="4" priority="70" operator="equal">
      <formula>"tibialis"</formula>
    </cfRule>
  </conditionalFormatting>
  <conditionalFormatting sqref="Z50:AA54">
    <cfRule type="expression" dxfId="0" priority="71">
      <formula>$AI50="Excluded"</formula>
    </cfRule>
  </conditionalFormatting>
  <conditionalFormatting sqref="AA50:AA54">
    <cfRule type="cellIs" dxfId="1" priority="72" operator="equal">
      <formula>"patellar"</formula>
    </cfRule>
  </conditionalFormatting>
  <conditionalFormatting sqref="AA50:AA54">
    <cfRule type="cellIs" dxfId="2" priority="73" operator="equal">
      <formula>"hamstring"</formula>
    </cfRule>
  </conditionalFormatting>
  <conditionalFormatting sqref="AA50:AA54">
    <cfRule type="cellIs" dxfId="3" priority="74" operator="equal">
      <formula>"quadriceps"</formula>
    </cfRule>
  </conditionalFormatting>
  <conditionalFormatting sqref="AA50:AA54">
    <cfRule type="cellIs" dxfId="4" priority="75" operator="equal">
      <formula>"tibialis"</formula>
    </cfRule>
  </conditionalFormatting>
  <conditionalFormatting sqref="Z47:AA49">
    <cfRule type="expression" dxfId="0" priority="76">
      <formula>$AI47="Excluded"</formula>
    </cfRule>
  </conditionalFormatting>
  <conditionalFormatting sqref="AA47:AA49">
    <cfRule type="cellIs" dxfId="1" priority="77" operator="equal">
      <formula>"patellar"</formula>
    </cfRule>
  </conditionalFormatting>
  <conditionalFormatting sqref="AA47:AA49">
    <cfRule type="cellIs" dxfId="2" priority="78" operator="equal">
      <formula>"hamstring"</formula>
    </cfRule>
  </conditionalFormatting>
  <conditionalFormatting sqref="AA47:AA49">
    <cfRule type="cellIs" dxfId="3" priority="79" operator="equal">
      <formula>"quadriceps"</formula>
    </cfRule>
  </conditionalFormatting>
  <conditionalFormatting sqref="AA47:AA49">
    <cfRule type="cellIs" dxfId="4" priority="80" operator="equal">
      <formula>"tibialis"</formula>
    </cfRule>
  </conditionalFormatting>
  <conditionalFormatting sqref="Z42:AA46">
    <cfRule type="expression" dxfId="0" priority="81">
      <formula>$AI42="Excluded"</formula>
    </cfRule>
  </conditionalFormatting>
  <conditionalFormatting sqref="AA42:AA46">
    <cfRule type="cellIs" dxfId="1" priority="82" operator="equal">
      <formula>"patellar"</formula>
    </cfRule>
  </conditionalFormatting>
  <conditionalFormatting sqref="AA42:AA46">
    <cfRule type="cellIs" dxfId="2" priority="83" operator="equal">
      <formula>"hamstring"</formula>
    </cfRule>
  </conditionalFormatting>
  <conditionalFormatting sqref="AA42:AA46">
    <cfRule type="cellIs" dxfId="3" priority="84" operator="equal">
      <formula>"quadriceps"</formula>
    </cfRule>
  </conditionalFormatting>
  <conditionalFormatting sqref="AA42:AA46">
    <cfRule type="cellIs" dxfId="4" priority="85" operator="equal">
      <formula>"tibialis"</formula>
    </cfRule>
  </conditionalFormatting>
  <conditionalFormatting sqref="Z40:AA41">
    <cfRule type="expression" dxfId="0" priority="86">
      <formula>$AI40="Excluded"</formula>
    </cfRule>
  </conditionalFormatting>
  <conditionalFormatting sqref="AA40:AA41">
    <cfRule type="cellIs" dxfId="1" priority="87" operator="equal">
      <formula>"patellar"</formula>
    </cfRule>
  </conditionalFormatting>
  <conditionalFormatting sqref="AA40:AA41">
    <cfRule type="cellIs" dxfId="2" priority="88" operator="equal">
      <formula>"hamstring"</formula>
    </cfRule>
  </conditionalFormatting>
  <conditionalFormatting sqref="AA40:AA41">
    <cfRule type="cellIs" dxfId="3" priority="89" operator="equal">
      <formula>"quadriceps"</formula>
    </cfRule>
  </conditionalFormatting>
  <conditionalFormatting sqref="AA40:AA41">
    <cfRule type="cellIs" dxfId="4" priority="90" operator="equal">
      <formula>"tibialis"</formula>
    </cfRule>
  </conditionalFormatting>
  <conditionalFormatting sqref="Z31:AA39">
    <cfRule type="expression" dxfId="0" priority="91">
      <formula>$AI31="Excluded"</formula>
    </cfRule>
  </conditionalFormatting>
  <conditionalFormatting sqref="AA31:AA39">
    <cfRule type="cellIs" dxfId="1" priority="92" operator="equal">
      <formula>"patellar"</formula>
    </cfRule>
  </conditionalFormatting>
  <conditionalFormatting sqref="AA31:AA39">
    <cfRule type="cellIs" dxfId="2" priority="93" operator="equal">
      <formula>"hamstring"</formula>
    </cfRule>
  </conditionalFormatting>
  <conditionalFormatting sqref="AA31:AA39">
    <cfRule type="cellIs" dxfId="3" priority="94" operator="equal">
      <formula>"quadriceps"</formula>
    </cfRule>
  </conditionalFormatting>
  <conditionalFormatting sqref="AA31:AA39">
    <cfRule type="cellIs" dxfId="4" priority="95" operator="equal">
      <formula>"tibialis"</formula>
    </cfRule>
  </conditionalFormatting>
  <conditionalFormatting sqref="Z29:AA30">
    <cfRule type="expression" dxfId="0" priority="96">
      <formula>$AI29="Excluded"</formula>
    </cfRule>
  </conditionalFormatting>
  <conditionalFormatting sqref="AA29:AA30">
    <cfRule type="cellIs" dxfId="1" priority="97" operator="equal">
      <formula>"patellar"</formula>
    </cfRule>
  </conditionalFormatting>
  <conditionalFormatting sqref="AA29:AA30">
    <cfRule type="cellIs" dxfId="2" priority="98" operator="equal">
      <formula>"hamstring"</formula>
    </cfRule>
  </conditionalFormatting>
  <conditionalFormatting sqref="AA29:AA30">
    <cfRule type="cellIs" dxfId="3" priority="99" operator="equal">
      <formula>"quadriceps"</formula>
    </cfRule>
  </conditionalFormatting>
  <conditionalFormatting sqref="AA29:AA30">
    <cfRule type="cellIs" dxfId="4" priority="100" operator="equal">
      <formula>"tibialis"</formula>
    </cfRule>
  </conditionalFormatting>
  <conditionalFormatting sqref="Z19:AA28">
    <cfRule type="expression" dxfId="0" priority="101">
      <formula>$AI19="Excluded"</formula>
    </cfRule>
  </conditionalFormatting>
  <conditionalFormatting sqref="AA19:AA28">
    <cfRule type="cellIs" dxfId="1" priority="102" operator="equal">
      <formula>"patellar"</formula>
    </cfRule>
  </conditionalFormatting>
  <conditionalFormatting sqref="AA19:AA28">
    <cfRule type="cellIs" dxfId="2" priority="103" operator="equal">
      <formula>"hamstring"</formula>
    </cfRule>
  </conditionalFormatting>
  <conditionalFormatting sqref="AA19:AA28">
    <cfRule type="cellIs" dxfId="3" priority="104" operator="equal">
      <formula>"quadriceps"</formula>
    </cfRule>
  </conditionalFormatting>
  <conditionalFormatting sqref="AA19:AA28">
    <cfRule type="cellIs" dxfId="4" priority="105" operator="equal">
      <formula>"tibialis"</formula>
    </cfRule>
  </conditionalFormatting>
  <conditionalFormatting sqref="Z17:AA18">
    <cfRule type="expression" dxfId="0" priority="106">
      <formula>$AI17="Excluded"</formula>
    </cfRule>
  </conditionalFormatting>
  <conditionalFormatting sqref="AA17:AA18">
    <cfRule type="cellIs" dxfId="1" priority="107" operator="equal">
      <formula>"patellar"</formula>
    </cfRule>
  </conditionalFormatting>
  <conditionalFormatting sqref="AA17:AA18">
    <cfRule type="cellIs" dxfId="2" priority="108" operator="equal">
      <formula>"hamstring"</formula>
    </cfRule>
  </conditionalFormatting>
  <conditionalFormatting sqref="AA17:AA18">
    <cfRule type="cellIs" dxfId="3" priority="109" operator="equal">
      <formula>"quadriceps"</formula>
    </cfRule>
  </conditionalFormatting>
  <conditionalFormatting sqref="AA17:AA18">
    <cfRule type="cellIs" dxfId="4" priority="110" operator="equal">
      <formula>"tibialis"</formula>
    </cfRule>
  </conditionalFormatting>
  <conditionalFormatting sqref="Z14:AA16">
    <cfRule type="expression" dxfId="0" priority="111">
      <formula>$AI14="Excluded"</formula>
    </cfRule>
  </conditionalFormatting>
  <conditionalFormatting sqref="AA14:AA16">
    <cfRule type="cellIs" dxfId="1" priority="112" operator="equal">
      <formula>"patellar"</formula>
    </cfRule>
  </conditionalFormatting>
  <conditionalFormatting sqref="AA14:AA16">
    <cfRule type="cellIs" dxfId="2" priority="113" operator="equal">
      <formula>"hamstring"</formula>
    </cfRule>
  </conditionalFormatting>
  <conditionalFormatting sqref="AA14:AA16">
    <cfRule type="cellIs" dxfId="3" priority="114" operator="equal">
      <formula>"quadriceps"</formula>
    </cfRule>
  </conditionalFormatting>
  <conditionalFormatting sqref="AA14:AA16">
    <cfRule type="cellIs" dxfId="4" priority="115" operator="equal">
      <formula>"tibialis"</formula>
    </cfRule>
  </conditionalFormatting>
  <conditionalFormatting sqref="Z9:AA13">
    <cfRule type="expression" dxfId="0" priority="116">
      <formula>$AI9="Excluded"</formula>
    </cfRule>
  </conditionalFormatting>
  <conditionalFormatting sqref="AA9:AA13">
    <cfRule type="cellIs" dxfId="1" priority="117" operator="equal">
      <formula>"patellar"</formula>
    </cfRule>
  </conditionalFormatting>
  <conditionalFormatting sqref="AA9:AA13">
    <cfRule type="cellIs" dxfId="2" priority="118" operator="equal">
      <formula>"hamstring"</formula>
    </cfRule>
  </conditionalFormatting>
  <conditionalFormatting sqref="AA9:AA13">
    <cfRule type="cellIs" dxfId="3" priority="119" operator="equal">
      <formula>"quadriceps"</formula>
    </cfRule>
  </conditionalFormatting>
  <conditionalFormatting sqref="AA9:AA13">
    <cfRule type="cellIs" dxfId="4" priority="120" operator="equal">
      <formula>"tibialis"</formula>
    </cfRule>
  </conditionalFormatting>
  <conditionalFormatting sqref="Z3:AA8">
    <cfRule type="expression" dxfId="0" priority="121">
      <formula>$AI3="Excluded"</formula>
    </cfRule>
  </conditionalFormatting>
  <conditionalFormatting sqref="AA3:AA8">
    <cfRule type="cellIs" dxfId="1" priority="122" operator="equal">
      <formula>"patellar"</formula>
    </cfRule>
  </conditionalFormatting>
  <conditionalFormatting sqref="AA3:AA8">
    <cfRule type="cellIs" dxfId="2" priority="123" operator="equal">
      <formula>"hamstring"</formula>
    </cfRule>
  </conditionalFormatting>
  <conditionalFormatting sqref="AA3:AA8">
    <cfRule type="cellIs" dxfId="3" priority="124" operator="equal">
      <formula>"quadriceps"</formula>
    </cfRule>
  </conditionalFormatting>
  <conditionalFormatting sqref="AA1:AA8">
    <cfRule type="cellIs" dxfId="4" priority="125" operator="equal">
      <formula>"tibialis"</formula>
    </cfRule>
  </conditionalFormatting>
  <conditionalFormatting sqref="X119:Y1124">
    <cfRule type="expression" dxfId="0" priority="126">
      <formula>$AI119="Excluded"</formula>
    </cfRule>
  </conditionalFormatting>
  <conditionalFormatting sqref="Y119:Y1124">
    <cfRule type="cellIs" dxfId="1" priority="127" operator="equal">
      <formula>"patellar"</formula>
    </cfRule>
  </conditionalFormatting>
  <conditionalFormatting sqref="Y119:Y1124">
    <cfRule type="cellIs" dxfId="2" priority="128" operator="equal">
      <formula>"hamstring"</formula>
    </cfRule>
  </conditionalFormatting>
  <conditionalFormatting sqref="Y119:Y1124">
    <cfRule type="cellIs" dxfId="3" priority="129" operator="equal">
      <formula>"quadriceps"</formula>
    </cfRule>
  </conditionalFormatting>
  <conditionalFormatting sqref="Y119:Y1124">
    <cfRule type="cellIs" dxfId="4" priority="130" operator="equal">
      <formula>"tibialis"</formula>
    </cfRule>
  </conditionalFormatting>
  <conditionalFormatting sqref="X117:Y118">
    <cfRule type="expression" dxfId="0" priority="131">
      <formula>$AI117="Excluded"</formula>
    </cfRule>
  </conditionalFormatting>
  <conditionalFormatting sqref="Y117:Y118">
    <cfRule type="cellIs" dxfId="1" priority="132" operator="equal">
      <formula>"patellar"</formula>
    </cfRule>
  </conditionalFormatting>
  <conditionalFormatting sqref="Y117:Y118">
    <cfRule type="cellIs" dxfId="2" priority="133" operator="equal">
      <formula>"hamstring"</formula>
    </cfRule>
  </conditionalFormatting>
  <conditionalFormatting sqref="Y117:Y118">
    <cfRule type="cellIs" dxfId="3" priority="134" operator="equal">
      <formula>"quadriceps"</formula>
    </cfRule>
  </conditionalFormatting>
  <conditionalFormatting sqref="Y117:Y118">
    <cfRule type="cellIs" dxfId="4" priority="135" operator="equal">
      <formula>"tibialis"</formula>
    </cfRule>
  </conditionalFormatting>
  <conditionalFormatting sqref="X111:Y116">
    <cfRule type="expression" dxfId="0" priority="136">
      <formula>$AI111="Excluded"</formula>
    </cfRule>
  </conditionalFormatting>
  <conditionalFormatting sqref="Y111:Y116">
    <cfRule type="cellIs" dxfId="1" priority="137" operator="equal">
      <formula>"patellar"</formula>
    </cfRule>
  </conditionalFormatting>
  <conditionalFormatting sqref="Y111:Y116">
    <cfRule type="cellIs" dxfId="2" priority="138" operator="equal">
      <formula>"hamstring"</formula>
    </cfRule>
  </conditionalFormatting>
  <conditionalFormatting sqref="Y111:Y116">
    <cfRule type="cellIs" dxfId="3" priority="139" operator="equal">
      <formula>"quadriceps"</formula>
    </cfRule>
  </conditionalFormatting>
  <conditionalFormatting sqref="Y111:Y116">
    <cfRule type="cellIs" dxfId="4" priority="140" operator="equal">
      <formula>"tibialis"</formula>
    </cfRule>
  </conditionalFormatting>
  <conditionalFormatting sqref="X106:Y110">
    <cfRule type="expression" dxfId="0" priority="141">
      <formula>$AI106="Excluded"</formula>
    </cfRule>
  </conditionalFormatting>
  <conditionalFormatting sqref="Y106:Y110">
    <cfRule type="cellIs" dxfId="1" priority="142" operator="equal">
      <formula>"patellar"</formula>
    </cfRule>
  </conditionalFormatting>
  <conditionalFormatting sqref="Y106:Y110">
    <cfRule type="cellIs" dxfId="2" priority="143" operator="equal">
      <formula>"hamstring"</formula>
    </cfRule>
  </conditionalFormatting>
  <conditionalFormatting sqref="Y106:Y110">
    <cfRule type="cellIs" dxfId="3" priority="144" operator="equal">
      <formula>"quadriceps"</formula>
    </cfRule>
  </conditionalFormatting>
  <conditionalFormatting sqref="Y106:Y110">
    <cfRule type="cellIs" dxfId="4" priority="145" operator="equal">
      <formula>"tibialis"</formula>
    </cfRule>
  </conditionalFormatting>
  <conditionalFormatting sqref="X98:Y105">
    <cfRule type="expression" dxfId="0" priority="146">
      <formula>$AI98="Excluded"</formula>
    </cfRule>
  </conditionalFormatting>
  <conditionalFormatting sqref="Y98:Y105">
    <cfRule type="cellIs" dxfId="1" priority="147" operator="equal">
      <formula>"patellar"</formula>
    </cfRule>
  </conditionalFormatting>
  <conditionalFormatting sqref="Y98:Y105">
    <cfRule type="cellIs" dxfId="2" priority="148" operator="equal">
      <formula>"hamstring"</formula>
    </cfRule>
  </conditionalFormatting>
  <conditionalFormatting sqref="Y98:Y105">
    <cfRule type="cellIs" dxfId="3" priority="149" operator="equal">
      <formula>"quadriceps"</formula>
    </cfRule>
  </conditionalFormatting>
  <conditionalFormatting sqref="Y98:Y105">
    <cfRule type="cellIs" dxfId="4" priority="150" operator="equal">
      <formula>"tibialis"</formula>
    </cfRule>
  </conditionalFormatting>
  <conditionalFormatting sqref="X96:Y97">
    <cfRule type="expression" dxfId="0" priority="151">
      <formula>$AI96="Excluded"</formula>
    </cfRule>
  </conditionalFormatting>
  <conditionalFormatting sqref="Y96:Y97">
    <cfRule type="cellIs" dxfId="1" priority="152" operator="equal">
      <formula>"patellar"</formula>
    </cfRule>
  </conditionalFormatting>
  <conditionalFormatting sqref="Y96:Y97">
    <cfRule type="cellIs" dxfId="2" priority="153" operator="equal">
      <formula>"hamstring"</formula>
    </cfRule>
  </conditionalFormatting>
  <conditionalFormatting sqref="Y96:Y97">
    <cfRule type="cellIs" dxfId="3" priority="154" operator="equal">
      <formula>"quadriceps"</formula>
    </cfRule>
  </conditionalFormatting>
  <conditionalFormatting sqref="Y96:Y97">
    <cfRule type="cellIs" dxfId="4" priority="155" operator="equal">
      <formula>"tibialis"</formula>
    </cfRule>
  </conditionalFormatting>
  <conditionalFormatting sqref="X94:Y95">
    <cfRule type="expression" dxfId="0" priority="156">
      <formula>$AI94="Excluded"</formula>
    </cfRule>
  </conditionalFormatting>
  <conditionalFormatting sqref="Y94:Y95">
    <cfRule type="cellIs" dxfId="1" priority="157" operator="equal">
      <formula>"patellar"</formula>
    </cfRule>
  </conditionalFormatting>
  <conditionalFormatting sqref="Y94:Y95">
    <cfRule type="cellIs" dxfId="2" priority="158" operator="equal">
      <formula>"hamstring"</formula>
    </cfRule>
  </conditionalFormatting>
  <conditionalFormatting sqref="Y94:Y95">
    <cfRule type="cellIs" dxfId="3" priority="159" operator="equal">
      <formula>"quadriceps"</formula>
    </cfRule>
  </conditionalFormatting>
  <conditionalFormatting sqref="Y94:Y95">
    <cfRule type="cellIs" dxfId="4" priority="160" operator="equal">
      <formula>"tibialis"</formula>
    </cfRule>
  </conditionalFormatting>
  <conditionalFormatting sqref="X91:Y93">
    <cfRule type="expression" dxfId="0" priority="161">
      <formula>$AI91="Excluded"</formula>
    </cfRule>
  </conditionalFormatting>
  <conditionalFormatting sqref="Y91:Y93">
    <cfRule type="cellIs" dxfId="1" priority="162" operator="equal">
      <formula>"patellar"</formula>
    </cfRule>
  </conditionalFormatting>
  <conditionalFormatting sqref="Y91:Y93">
    <cfRule type="cellIs" dxfId="2" priority="163" operator="equal">
      <formula>"hamstring"</formula>
    </cfRule>
  </conditionalFormatting>
  <conditionalFormatting sqref="Y91:Y93">
    <cfRule type="cellIs" dxfId="3" priority="164" operator="equal">
      <formula>"quadriceps"</formula>
    </cfRule>
  </conditionalFormatting>
  <conditionalFormatting sqref="Y91:Y93">
    <cfRule type="cellIs" dxfId="4" priority="165" operator="equal">
      <formula>"tibialis"</formula>
    </cfRule>
  </conditionalFormatting>
  <conditionalFormatting sqref="X86:Y90">
    <cfRule type="expression" dxfId="0" priority="166">
      <formula>$AI86="Excluded"</formula>
    </cfRule>
  </conditionalFormatting>
  <conditionalFormatting sqref="Y86:Y90">
    <cfRule type="cellIs" dxfId="1" priority="167" operator="equal">
      <formula>"patellar"</formula>
    </cfRule>
  </conditionalFormatting>
  <conditionalFormatting sqref="Y86:Y90">
    <cfRule type="cellIs" dxfId="2" priority="168" operator="equal">
      <formula>"hamstring"</formula>
    </cfRule>
  </conditionalFormatting>
  <conditionalFormatting sqref="Y86:Y90">
    <cfRule type="cellIs" dxfId="3" priority="169" operator="equal">
      <formula>"quadriceps"</formula>
    </cfRule>
  </conditionalFormatting>
  <conditionalFormatting sqref="Y86:Y90">
    <cfRule type="cellIs" dxfId="4" priority="170" operator="equal">
      <formula>"tibialis"</formula>
    </cfRule>
  </conditionalFormatting>
  <conditionalFormatting sqref="X72:Y85">
    <cfRule type="expression" dxfId="0" priority="171">
      <formula>$AI72="Excluded"</formula>
    </cfRule>
  </conditionalFormatting>
  <conditionalFormatting sqref="Y72:Y85">
    <cfRule type="cellIs" dxfId="1" priority="172" operator="equal">
      <formula>"patellar"</formula>
    </cfRule>
  </conditionalFormatting>
  <conditionalFormatting sqref="Y72:Y85">
    <cfRule type="cellIs" dxfId="2" priority="173" operator="equal">
      <formula>"hamstring"</formula>
    </cfRule>
  </conditionalFormatting>
  <conditionalFormatting sqref="Y72:Y85">
    <cfRule type="cellIs" dxfId="3" priority="174" operator="equal">
      <formula>"quadriceps"</formula>
    </cfRule>
  </conditionalFormatting>
  <conditionalFormatting sqref="Y72:Y85">
    <cfRule type="cellIs" dxfId="4" priority="175" operator="equal">
      <formula>"tibialis"</formula>
    </cfRule>
  </conditionalFormatting>
  <conditionalFormatting sqref="X68:Y71">
    <cfRule type="expression" dxfId="0" priority="176">
      <formula>$AI68="Excluded"</formula>
    </cfRule>
  </conditionalFormatting>
  <conditionalFormatting sqref="Y68:Y71">
    <cfRule type="cellIs" dxfId="1" priority="177" operator="equal">
      <formula>"patellar"</formula>
    </cfRule>
  </conditionalFormatting>
  <conditionalFormatting sqref="Y68:Y71">
    <cfRule type="cellIs" dxfId="2" priority="178" operator="equal">
      <formula>"hamstring"</formula>
    </cfRule>
  </conditionalFormatting>
  <conditionalFormatting sqref="Y68:Y71">
    <cfRule type="cellIs" dxfId="3" priority="179" operator="equal">
      <formula>"quadriceps"</formula>
    </cfRule>
  </conditionalFormatting>
  <conditionalFormatting sqref="Y68:Y71">
    <cfRule type="cellIs" dxfId="4" priority="180" operator="equal">
      <formula>"tibialis"</formula>
    </cfRule>
  </conditionalFormatting>
  <conditionalFormatting sqref="X66:Y67">
    <cfRule type="expression" dxfId="0" priority="181">
      <formula>$AI66="Excluded"</formula>
    </cfRule>
  </conditionalFormatting>
  <conditionalFormatting sqref="Y66:Y67">
    <cfRule type="cellIs" dxfId="1" priority="182" operator="equal">
      <formula>"patellar"</formula>
    </cfRule>
  </conditionalFormatting>
  <conditionalFormatting sqref="Y66:Y67">
    <cfRule type="cellIs" dxfId="2" priority="183" operator="equal">
      <formula>"hamstring"</formula>
    </cfRule>
  </conditionalFormatting>
  <conditionalFormatting sqref="Y66:Y67">
    <cfRule type="cellIs" dxfId="3" priority="184" operator="equal">
      <formula>"quadriceps"</formula>
    </cfRule>
  </conditionalFormatting>
  <conditionalFormatting sqref="Y66:Y67">
    <cfRule type="cellIs" dxfId="4" priority="185" operator="equal">
      <formula>"tibialis"</formula>
    </cfRule>
  </conditionalFormatting>
  <conditionalFormatting sqref="X64:Y65">
    <cfRule type="expression" dxfId="0" priority="186">
      <formula>$AI64="Excluded"</formula>
    </cfRule>
  </conditionalFormatting>
  <conditionalFormatting sqref="Y64:Y65">
    <cfRule type="cellIs" dxfId="1" priority="187" operator="equal">
      <formula>"patellar"</formula>
    </cfRule>
  </conditionalFormatting>
  <conditionalFormatting sqref="Y64:Y65">
    <cfRule type="cellIs" dxfId="2" priority="188" operator="equal">
      <formula>"hamstring"</formula>
    </cfRule>
  </conditionalFormatting>
  <conditionalFormatting sqref="Y64:Y65">
    <cfRule type="cellIs" dxfId="3" priority="189" operator="equal">
      <formula>"quadriceps"</formula>
    </cfRule>
  </conditionalFormatting>
  <conditionalFormatting sqref="Y64:Y65">
    <cfRule type="cellIs" dxfId="4" priority="190" operator="equal">
      <formula>"tibialis"</formula>
    </cfRule>
  </conditionalFormatting>
  <conditionalFormatting sqref="X55:Y63">
    <cfRule type="expression" dxfId="0" priority="191">
      <formula>$AI55="Excluded"</formula>
    </cfRule>
  </conditionalFormatting>
  <conditionalFormatting sqref="Y55:Y63">
    <cfRule type="cellIs" dxfId="1" priority="192" operator="equal">
      <formula>"patellar"</formula>
    </cfRule>
  </conditionalFormatting>
  <conditionalFormatting sqref="Y55:Y63">
    <cfRule type="cellIs" dxfId="2" priority="193" operator="equal">
      <formula>"hamstring"</formula>
    </cfRule>
  </conditionalFormatting>
  <conditionalFormatting sqref="Y55:Y63">
    <cfRule type="cellIs" dxfId="3" priority="194" operator="equal">
      <formula>"quadriceps"</formula>
    </cfRule>
  </conditionalFormatting>
  <conditionalFormatting sqref="Y55:Y63">
    <cfRule type="cellIs" dxfId="4" priority="195" operator="equal">
      <formula>"tibialis"</formula>
    </cfRule>
  </conditionalFormatting>
  <conditionalFormatting sqref="X50:Y54">
    <cfRule type="expression" dxfId="0" priority="196">
      <formula>$AI50="Excluded"</formula>
    </cfRule>
  </conditionalFormatting>
  <conditionalFormatting sqref="Y50:Y54">
    <cfRule type="cellIs" dxfId="1" priority="197" operator="equal">
      <formula>"patellar"</formula>
    </cfRule>
  </conditionalFormatting>
  <conditionalFormatting sqref="Y50:Y54">
    <cfRule type="cellIs" dxfId="2" priority="198" operator="equal">
      <formula>"hamstring"</formula>
    </cfRule>
  </conditionalFormatting>
  <conditionalFormatting sqref="Y50:Y54">
    <cfRule type="cellIs" dxfId="3" priority="199" operator="equal">
      <formula>"quadriceps"</formula>
    </cfRule>
  </conditionalFormatting>
  <conditionalFormatting sqref="Y50:Y54">
    <cfRule type="cellIs" dxfId="4" priority="200" operator="equal">
      <formula>"tibialis"</formula>
    </cfRule>
  </conditionalFormatting>
  <conditionalFormatting sqref="X47:Y49">
    <cfRule type="expression" dxfId="0" priority="201">
      <formula>$AI47="Excluded"</formula>
    </cfRule>
  </conditionalFormatting>
  <conditionalFormatting sqref="Y47:Y49">
    <cfRule type="cellIs" dxfId="1" priority="202" operator="equal">
      <formula>"patellar"</formula>
    </cfRule>
  </conditionalFormatting>
  <conditionalFormatting sqref="Y47:Y49">
    <cfRule type="cellIs" dxfId="2" priority="203" operator="equal">
      <formula>"hamstring"</formula>
    </cfRule>
  </conditionalFormatting>
  <conditionalFormatting sqref="Y47:Y49">
    <cfRule type="cellIs" dxfId="3" priority="204" operator="equal">
      <formula>"quadriceps"</formula>
    </cfRule>
  </conditionalFormatting>
  <conditionalFormatting sqref="Y47:Y49">
    <cfRule type="cellIs" dxfId="4" priority="205" operator="equal">
      <formula>"tibialis"</formula>
    </cfRule>
  </conditionalFormatting>
  <conditionalFormatting sqref="X42:Y46">
    <cfRule type="expression" dxfId="0" priority="206">
      <formula>$AI42="Excluded"</formula>
    </cfRule>
  </conditionalFormatting>
  <conditionalFormatting sqref="Y42:Y46">
    <cfRule type="cellIs" dxfId="1" priority="207" operator="equal">
      <formula>"patellar"</formula>
    </cfRule>
  </conditionalFormatting>
  <conditionalFormatting sqref="Y42:Y46">
    <cfRule type="cellIs" dxfId="2" priority="208" operator="equal">
      <formula>"hamstring"</formula>
    </cfRule>
  </conditionalFormatting>
  <conditionalFormatting sqref="Y42:Y46">
    <cfRule type="cellIs" dxfId="3" priority="209" operator="equal">
      <formula>"quadriceps"</formula>
    </cfRule>
  </conditionalFormatting>
  <conditionalFormatting sqref="Y42:Y46">
    <cfRule type="cellIs" dxfId="4" priority="210" operator="equal">
      <formula>"tibialis"</formula>
    </cfRule>
  </conditionalFormatting>
  <conditionalFormatting sqref="X40:Y41">
    <cfRule type="expression" dxfId="0" priority="211">
      <formula>$AI40="Excluded"</formula>
    </cfRule>
  </conditionalFormatting>
  <conditionalFormatting sqref="Y40:Y41">
    <cfRule type="cellIs" dxfId="1" priority="212" operator="equal">
      <formula>"patellar"</formula>
    </cfRule>
  </conditionalFormatting>
  <conditionalFormatting sqref="Y40:Y41">
    <cfRule type="cellIs" dxfId="2" priority="213" operator="equal">
      <formula>"hamstring"</formula>
    </cfRule>
  </conditionalFormatting>
  <conditionalFormatting sqref="Y40:Y41">
    <cfRule type="cellIs" dxfId="3" priority="214" operator="equal">
      <formula>"quadriceps"</formula>
    </cfRule>
  </conditionalFormatting>
  <conditionalFormatting sqref="Y40:Y41">
    <cfRule type="cellIs" dxfId="4" priority="215" operator="equal">
      <formula>"tibialis"</formula>
    </cfRule>
  </conditionalFormatting>
  <conditionalFormatting sqref="X31:Y39">
    <cfRule type="expression" dxfId="0" priority="216">
      <formula>$AI31="Excluded"</formula>
    </cfRule>
  </conditionalFormatting>
  <conditionalFormatting sqref="Y31:Y39">
    <cfRule type="cellIs" dxfId="1" priority="217" operator="equal">
      <formula>"patellar"</formula>
    </cfRule>
  </conditionalFormatting>
  <conditionalFormatting sqref="Y31:Y39">
    <cfRule type="cellIs" dxfId="2" priority="218" operator="equal">
      <formula>"hamstring"</formula>
    </cfRule>
  </conditionalFormatting>
  <conditionalFormatting sqref="Y31:Y39">
    <cfRule type="cellIs" dxfId="3" priority="219" operator="equal">
      <formula>"quadriceps"</formula>
    </cfRule>
  </conditionalFormatting>
  <conditionalFormatting sqref="Y31:Y39">
    <cfRule type="cellIs" dxfId="4" priority="220" operator="equal">
      <formula>"tibialis"</formula>
    </cfRule>
  </conditionalFormatting>
  <conditionalFormatting sqref="X29:Y30">
    <cfRule type="expression" dxfId="0" priority="221">
      <formula>$AI29="Excluded"</formula>
    </cfRule>
  </conditionalFormatting>
  <conditionalFormatting sqref="Y29:Y30">
    <cfRule type="cellIs" dxfId="1" priority="222" operator="equal">
      <formula>"patellar"</formula>
    </cfRule>
  </conditionalFormatting>
  <conditionalFormatting sqref="Y29:Y30">
    <cfRule type="cellIs" dxfId="2" priority="223" operator="equal">
      <formula>"hamstring"</formula>
    </cfRule>
  </conditionalFormatting>
  <conditionalFormatting sqref="Y29:Y30">
    <cfRule type="cellIs" dxfId="3" priority="224" operator="equal">
      <formula>"quadriceps"</formula>
    </cfRule>
  </conditionalFormatting>
  <conditionalFormatting sqref="Y29:Y30">
    <cfRule type="cellIs" dxfId="4" priority="225" operator="equal">
      <formula>"tibialis"</formula>
    </cfRule>
  </conditionalFormatting>
  <conditionalFormatting sqref="X19:Y28">
    <cfRule type="expression" dxfId="0" priority="226">
      <formula>$AI19="Excluded"</formula>
    </cfRule>
  </conditionalFormatting>
  <conditionalFormatting sqref="Y19:Y28">
    <cfRule type="cellIs" dxfId="1" priority="227" operator="equal">
      <formula>"patellar"</formula>
    </cfRule>
  </conditionalFormatting>
  <conditionalFormatting sqref="Y19:Y28">
    <cfRule type="cellIs" dxfId="2" priority="228" operator="equal">
      <formula>"hamstring"</formula>
    </cfRule>
  </conditionalFormatting>
  <conditionalFormatting sqref="Y19:Y28">
    <cfRule type="cellIs" dxfId="3" priority="229" operator="equal">
      <formula>"quadriceps"</formula>
    </cfRule>
  </conditionalFormatting>
  <conditionalFormatting sqref="Y19:Y28">
    <cfRule type="cellIs" dxfId="4" priority="230" operator="equal">
      <formula>"tibialis"</formula>
    </cfRule>
  </conditionalFormatting>
  <conditionalFormatting sqref="X17:Y18">
    <cfRule type="expression" dxfId="0" priority="231">
      <formula>$AI17="Excluded"</formula>
    </cfRule>
  </conditionalFormatting>
  <conditionalFormatting sqref="Y17:Y18">
    <cfRule type="cellIs" dxfId="1" priority="232" operator="equal">
      <formula>"patellar"</formula>
    </cfRule>
  </conditionalFormatting>
  <conditionalFormatting sqref="Y17:Y18">
    <cfRule type="cellIs" dxfId="2" priority="233" operator="equal">
      <formula>"hamstring"</formula>
    </cfRule>
  </conditionalFormatting>
  <conditionalFormatting sqref="Y17:Y18">
    <cfRule type="cellIs" dxfId="3" priority="234" operator="equal">
      <formula>"quadriceps"</formula>
    </cfRule>
  </conditionalFormatting>
  <conditionalFormatting sqref="Y17:Y18">
    <cfRule type="cellIs" dxfId="4" priority="235" operator="equal">
      <formula>"tibialis"</formula>
    </cfRule>
  </conditionalFormatting>
  <conditionalFormatting sqref="X14:Y16">
    <cfRule type="expression" dxfId="0" priority="236">
      <formula>$AI14="Excluded"</formula>
    </cfRule>
  </conditionalFormatting>
  <conditionalFormatting sqref="Y14:Y16">
    <cfRule type="cellIs" dxfId="1" priority="237" operator="equal">
      <formula>"patellar"</formula>
    </cfRule>
  </conditionalFormatting>
  <conditionalFormatting sqref="Y14:Y16">
    <cfRule type="cellIs" dxfId="2" priority="238" operator="equal">
      <formula>"hamstring"</formula>
    </cfRule>
  </conditionalFormatting>
  <conditionalFormatting sqref="Y14:Y16">
    <cfRule type="cellIs" dxfId="3" priority="239" operator="equal">
      <formula>"quadriceps"</formula>
    </cfRule>
  </conditionalFormatting>
  <conditionalFormatting sqref="Y14:Y16">
    <cfRule type="cellIs" dxfId="4" priority="240" operator="equal">
      <formula>"tibialis"</formula>
    </cfRule>
  </conditionalFormatting>
  <conditionalFormatting sqref="X9:Y13">
    <cfRule type="expression" dxfId="0" priority="241">
      <formula>$AI9="Excluded"</formula>
    </cfRule>
  </conditionalFormatting>
  <conditionalFormatting sqref="Y9:Y13">
    <cfRule type="cellIs" dxfId="1" priority="242" operator="equal">
      <formula>"patellar"</formula>
    </cfRule>
  </conditionalFormatting>
  <conditionalFormatting sqref="Y9:Y13">
    <cfRule type="cellIs" dxfId="2" priority="243" operator="equal">
      <formula>"hamstring"</formula>
    </cfRule>
  </conditionalFormatting>
  <conditionalFormatting sqref="Y9:Y13">
    <cfRule type="cellIs" dxfId="3" priority="244" operator="equal">
      <formula>"quadriceps"</formula>
    </cfRule>
  </conditionalFormatting>
  <conditionalFormatting sqref="Y9:Y13">
    <cfRule type="cellIs" dxfId="4" priority="245" operator="equal">
      <formula>"tibialis"</formula>
    </cfRule>
  </conditionalFormatting>
  <conditionalFormatting sqref="X3:Y8">
    <cfRule type="expression" dxfId="0" priority="246">
      <formula>$AI3="Excluded"</formula>
    </cfRule>
  </conditionalFormatting>
  <conditionalFormatting sqref="Y3:Y8">
    <cfRule type="cellIs" dxfId="1" priority="247" operator="equal">
      <formula>"patellar"</formula>
    </cfRule>
  </conditionalFormatting>
  <conditionalFormatting sqref="Y3:Y8">
    <cfRule type="cellIs" dxfId="2" priority="248" operator="equal">
      <formula>"hamstring"</formula>
    </cfRule>
  </conditionalFormatting>
  <conditionalFormatting sqref="Y3:Y8">
    <cfRule type="cellIs" dxfId="3" priority="249" operator="equal">
      <formula>"quadriceps"</formula>
    </cfRule>
  </conditionalFormatting>
  <conditionalFormatting sqref="Y1:Y8">
    <cfRule type="cellIs" dxfId="4" priority="250" operator="equal">
      <formula>"tibialis"</formula>
    </cfRule>
  </conditionalFormatting>
  <conditionalFormatting sqref="V119:W1124">
    <cfRule type="expression" dxfId="0" priority="251">
      <formula>$AI119="Excluded"</formula>
    </cfRule>
  </conditionalFormatting>
  <conditionalFormatting sqref="W119:W1124">
    <cfRule type="cellIs" dxfId="1" priority="252" operator="equal">
      <formula>"patellar"</formula>
    </cfRule>
  </conditionalFormatting>
  <conditionalFormatting sqref="W119:W1124">
    <cfRule type="cellIs" dxfId="2" priority="253" operator="equal">
      <formula>"hamstring"</formula>
    </cfRule>
  </conditionalFormatting>
  <conditionalFormatting sqref="W119:W1124">
    <cfRule type="cellIs" dxfId="3" priority="254" operator="equal">
      <formula>"quadriceps"</formula>
    </cfRule>
  </conditionalFormatting>
  <conditionalFormatting sqref="W119:W1124">
    <cfRule type="cellIs" dxfId="4" priority="255" operator="equal">
      <formula>"tibialis"</formula>
    </cfRule>
  </conditionalFormatting>
  <conditionalFormatting sqref="V117:W118">
    <cfRule type="expression" dxfId="0" priority="256">
      <formula>$AI117="Excluded"</formula>
    </cfRule>
  </conditionalFormatting>
  <conditionalFormatting sqref="W117:W118">
    <cfRule type="cellIs" dxfId="1" priority="257" operator="equal">
      <formula>"patellar"</formula>
    </cfRule>
  </conditionalFormatting>
  <conditionalFormatting sqref="W117:W118">
    <cfRule type="cellIs" dxfId="2" priority="258" operator="equal">
      <formula>"hamstring"</formula>
    </cfRule>
  </conditionalFormatting>
  <conditionalFormatting sqref="W117:W118">
    <cfRule type="cellIs" dxfId="3" priority="259" operator="equal">
      <formula>"quadriceps"</formula>
    </cfRule>
  </conditionalFormatting>
  <conditionalFormatting sqref="W117:W118">
    <cfRule type="cellIs" dxfId="4" priority="260" operator="equal">
      <formula>"tibialis"</formula>
    </cfRule>
  </conditionalFormatting>
  <conditionalFormatting sqref="V111:W116">
    <cfRule type="expression" dxfId="0" priority="261">
      <formula>$AI111="Excluded"</formula>
    </cfRule>
  </conditionalFormatting>
  <conditionalFormatting sqref="W111:W116">
    <cfRule type="cellIs" dxfId="1" priority="262" operator="equal">
      <formula>"patellar"</formula>
    </cfRule>
  </conditionalFormatting>
  <conditionalFormatting sqref="W111:W116">
    <cfRule type="cellIs" dxfId="2" priority="263" operator="equal">
      <formula>"hamstring"</formula>
    </cfRule>
  </conditionalFormatting>
  <conditionalFormatting sqref="W111:W116">
    <cfRule type="cellIs" dxfId="3" priority="264" operator="equal">
      <formula>"quadriceps"</formula>
    </cfRule>
  </conditionalFormatting>
  <conditionalFormatting sqref="W111:W116">
    <cfRule type="cellIs" dxfId="4" priority="265" operator="equal">
      <formula>"tibialis"</formula>
    </cfRule>
  </conditionalFormatting>
  <conditionalFormatting sqref="V106:V1124 W106:W110">
    <cfRule type="expression" dxfId="0" priority="266">
      <formula>$AI106="Excluded"</formula>
    </cfRule>
  </conditionalFormatting>
  <conditionalFormatting sqref="W106:W110">
    <cfRule type="cellIs" dxfId="1" priority="267" operator="equal">
      <formula>"patellar"</formula>
    </cfRule>
  </conditionalFormatting>
  <conditionalFormatting sqref="W106:W110">
    <cfRule type="cellIs" dxfId="2" priority="268" operator="equal">
      <formula>"hamstring"</formula>
    </cfRule>
  </conditionalFormatting>
  <conditionalFormatting sqref="W106:W110">
    <cfRule type="cellIs" dxfId="3" priority="269" operator="equal">
      <formula>"quadriceps"</formula>
    </cfRule>
  </conditionalFormatting>
  <conditionalFormatting sqref="W106:W110">
    <cfRule type="cellIs" dxfId="4" priority="270" operator="equal">
      <formula>"tibialis"</formula>
    </cfRule>
  </conditionalFormatting>
  <conditionalFormatting sqref="V98:W105 V107:V109 V111:V113 V115:V117 V119:V121">
    <cfRule type="expression" dxfId="0" priority="271">
      <formula>$AI98="Excluded"</formula>
    </cfRule>
  </conditionalFormatting>
  <conditionalFormatting sqref="W98:W105">
    <cfRule type="cellIs" dxfId="1" priority="272" operator="equal">
      <formula>"patellar"</formula>
    </cfRule>
  </conditionalFormatting>
  <conditionalFormatting sqref="W98:W105">
    <cfRule type="cellIs" dxfId="2" priority="273" operator="equal">
      <formula>"hamstring"</formula>
    </cfRule>
  </conditionalFormatting>
  <conditionalFormatting sqref="W98:W105">
    <cfRule type="cellIs" dxfId="3" priority="274" operator="equal">
      <formula>"quadriceps"</formula>
    </cfRule>
  </conditionalFormatting>
  <conditionalFormatting sqref="W98:W105">
    <cfRule type="cellIs" dxfId="4" priority="275" operator="equal">
      <formula>"tibialis"</formula>
    </cfRule>
  </conditionalFormatting>
  <conditionalFormatting sqref="V96:W97">
    <cfRule type="expression" dxfId="0" priority="276">
      <formula>$AI96="Excluded"</formula>
    </cfRule>
  </conditionalFormatting>
  <conditionalFormatting sqref="W96:W97">
    <cfRule type="cellIs" dxfId="1" priority="277" operator="equal">
      <formula>"patellar"</formula>
    </cfRule>
  </conditionalFormatting>
  <conditionalFormatting sqref="W96:W97">
    <cfRule type="cellIs" dxfId="2" priority="278" operator="equal">
      <formula>"hamstring"</formula>
    </cfRule>
  </conditionalFormatting>
  <conditionalFormatting sqref="W96:W97">
    <cfRule type="cellIs" dxfId="3" priority="279" operator="equal">
      <formula>"quadriceps"</formula>
    </cfRule>
  </conditionalFormatting>
  <conditionalFormatting sqref="W96:W97">
    <cfRule type="cellIs" dxfId="4" priority="280" operator="equal">
      <formula>"tibialis"</formula>
    </cfRule>
  </conditionalFormatting>
  <conditionalFormatting sqref="V94:W95">
    <cfRule type="expression" dxfId="0" priority="281">
      <formula>$AI94="Excluded"</formula>
    </cfRule>
  </conditionalFormatting>
  <conditionalFormatting sqref="W94:W95">
    <cfRule type="cellIs" dxfId="1" priority="282" operator="equal">
      <formula>"patellar"</formula>
    </cfRule>
  </conditionalFormatting>
  <conditionalFormatting sqref="W94:W95">
    <cfRule type="cellIs" dxfId="2" priority="283" operator="equal">
      <formula>"hamstring"</formula>
    </cfRule>
  </conditionalFormatting>
  <conditionalFormatting sqref="W94:W95">
    <cfRule type="cellIs" dxfId="3" priority="284" operator="equal">
      <formula>"quadriceps"</formula>
    </cfRule>
  </conditionalFormatting>
  <conditionalFormatting sqref="W94:W95">
    <cfRule type="cellIs" dxfId="4" priority="285" operator="equal">
      <formula>"tibialis"</formula>
    </cfRule>
  </conditionalFormatting>
  <conditionalFormatting sqref="V91:W93">
    <cfRule type="expression" dxfId="0" priority="286">
      <formula>$AI91="Excluded"</formula>
    </cfRule>
  </conditionalFormatting>
  <conditionalFormatting sqref="W91:W93">
    <cfRule type="cellIs" dxfId="1" priority="287" operator="equal">
      <formula>"patellar"</formula>
    </cfRule>
  </conditionalFormatting>
  <conditionalFormatting sqref="W91:W93">
    <cfRule type="cellIs" dxfId="2" priority="288" operator="equal">
      <formula>"hamstring"</formula>
    </cfRule>
  </conditionalFormatting>
  <conditionalFormatting sqref="W91:W93">
    <cfRule type="cellIs" dxfId="3" priority="289" operator="equal">
      <formula>"quadriceps"</formula>
    </cfRule>
  </conditionalFormatting>
  <conditionalFormatting sqref="W91:W93">
    <cfRule type="cellIs" dxfId="4" priority="290" operator="equal">
      <formula>"tibialis"</formula>
    </cfRule>
  </conditionalFormatting>
  <conditionalFormatting sqref="V86:W90">
    <cfRule type="expression" dxfId="0" priority="291">
      <formula>$AI86="Excluded"</formula>
    </cfRule>
  </conditionalFormatting>
  <conditionalFormatting sqref="W86:W90">
    <cfRule type="cellIs" dxfId="1" priority="292" operator="equal">
      <formula>"patellar"</formula>
    </cfRule>
  </conditionalFormatting>
  <conditionalFormatting sqref="W86:W90">
    <cfRule type="cellIs" dxfId="2" priority="293" operator="equal">
      <formula>"hamstring"</formula>
    </cfRule>
  </conditionalFormatting>
  <conditionalFormatting sqref="W86:W90">
    <cfRule type="cellIs" dxfId="3" priority="294" operator="equal">
      <formula>"quadriceps"</formula>
    </cfRule>
  </conditionalFormatting>
  <conditionalFormatting sqref="W86:W90">
    <cfRule type="cellIs" dxfId="4" priority="295" operator="equal">
      <formula>"tibialis"</formula>
    </cfRule>
  </conditionalFormatting>
  <conditionalFormatting sqref="S71:U72 V71:V85 W72:W85">
    <cfRule type="expression" dxfId="0" priority="296">
      <formula>$AI71="Excluded"</formula>
    </cfRule>
  </conditionalFormatting>
  <conditionalFormatting sqref="W72:W85">
    <cfRule type="cellIs" dxfId="1" priority="297" operator="equal">
      <formula>"patellar"</formula>
    </cfRule>
  </conditionalFormatting>
  <conditionalFormatting sqref="W72:W85">
    <cfRule type="cellIs" dxfId="2" priority="298" operator="equal">
      <formula>"hamstring"</formula>
    </cfRule>
  </conditionalFormatting>
  <conditionalFormatting sqref="W72:W85">
    <cfRule type="cellIs" dxfId="3" priority="299" operator="equal">
      <formula>"quadriceps"</formula>
    </cfRule>
  </conditionalFormatting>
  <conditionalFormatting sqref="W72:W85">
    <cfRule type="cellIs" dxfId="4" priority="300" operator="equal">
      <formula>"tibialis"</formula>
    </cfRule>
  </conditionalFormatting>
  <conditionalFormatting sqref="V68:V72 W68:W71 S71:U72">
    <cfRule type="expression" dxfId="0" priority="301">
      <formula>$AI68="Excluded"</formula>
    </cfRule>
  </conditionalFormatting>
  <conditionalFormatting sqref="W68:W71">
    <cfRule type="cellIs" dxfId="1" priority="302" operator="equal">
      <formula>"patellar"</formula>
    </cfRule>
  </conditionalFormatting>
  <conditionalFormatting sqref="W68:W71">
    <cfRule type="cellIs" dxfId="2" priority="303" operator="equal">
      <formula>"hamstring"</formula>
    </cfRule>
  </conditionalFormatting>
  <conditionalFormatting sqref="W68:W71">
    <cfRule type="cellIs" dxfId="3" priority="304" operator="equal">
      <formula>"quadriceps"</formula>
    </cfRule>
  </conditionalFormatting>
  <conditionalFormatting sqref="W68:W71">
    <cfRule type="cellIs" dxfId="4" priority="305" operator="equal">
      <formula>"tibialis"</formula>
    </cfRule>
  </conditionalFormatting>
  <conditionalFormatting sqref="V66:W67">
    <cfRule type="expression" dxfId="0" priority="306">
      <formula>$AI66="Excluded"</formula>
    </cfRule>
  </conditionalFormatting>
  <conditionalFormatting sqref="W66:W67">
    <cfRule type="cellIs" dxfId="1" priority="307" operator="equal">
      <formula>"patellar"</formula>
    </cfRule>
  </conditionalFormatting>
  <conditionalFormatting sqref="W66:W67">
    <cfRule type="cellIs" dxfId="2" priority="308" operator="equal">
      <formula>"hamstring"</formula>
    </cfRule>
  </conditionalFormatting>
  <conditionalFormatting sqref="W66:W67">
    <cfRule type="cellIs" dxfId="3" priority="309" operator="equal">
      <formula>"quadriceps"</formula>
    </cfRule>
  </conditionalFormatting>
  <conditionalFormatting sqref="W66:W67">
    <cfRule type="cellIs" dxfId="4" priority="310" operator="equal">
      <formula>"tibialis"</formula>
    </cfRule>
  </conditionalFormatting>
  <conditionalFormatting sqref="V64:W65">
    <cfRule type="expression" dxfId="0" priority="311">
      <formula>$AI64="Excluded"</formula>
    </cfRule>
  </conditionalFormatting>
  <conditionalFormatting sqref="W64:W65">
    <cfRule type="cellIs" dxfId="1" priority="312" operator="equal">
      <formula>"patellar"</formula>
    </cfRule>
  </conditionalFormatting>
  <conditionalFormatting sqref="W64:W65">
    <cfRule type="cellIs" dxfId="2" priority="313" operator="equal">
      <formula>"hamstring"</formula>
    </cfRule>
  </conditionalFormatting>
  <conditionalFormatting sqref="W64:W65">
    <cfRule type="cellIs" dxfId="3" priority="314" operator="equal">
      <formula>"quadriceps"</formula>
    </cfRule>
  </conditionalFormatting>
  <conditionalFormatting sqref="W64:W65">
    <cfRule type="cellIs" dxfId="4" priority="315" operator="equal">
      <formula>"tibialis"</formula>
    </cfRule>
  </conditionalFormatting>
  <conditionalFormatting sqref="V55:W63 V65:V66">
    <cfRule type="expression" dxfId="0" priority="316">
      <formula>$AI55="Excluded"</formula>
    </cfRule>
  </conditionalFormatting>
  <conditionalFormatting sqref="W55:W63">
    <cfRule type="cellIs" dxfId="1" priority="317" operator="equal">
      <formula>"patellar"</formula>
    </cfRule>
  </conditionalFormatting>
  <conditionalFormatting sqref="W55:W63">
    <cfRule type="cellIs" dxfId="2" priority="318" operator="equal">
      <formula>"hamstring"</formula>
    </cfRule>
  </conditionalFormatting>
  <conditionalFormatting sqref="W55:W63">
    <cfRule type="cellIs" dxfId="3" priority="319" operator="equal">
      <formula>"quadriceps"</formula>
    </cfRule>
  </conditionalFormatting>
  <conditionalFormatting sqref="W55:W63">
    <cfRule type="cellIs" dxfId="4" priority="320" operator="equal">
      <formula>"tibialis"</formula>
    </cfRule>
  </conditionalFormatting>
  <conditionalFormatting sqref="V50:W54">
    <cfRule type="expression" dxfId="0" priority="321">
      <formula>$AI50="Excluded"</formula>
    </cfRule>
  </conditionalFormatting>
  <conditionalFormatting sqref="W50:W54">
    <cfRule type="cellIs" dxfId="1" priority="322" operator="equal">
      <formula>"patellar"</formula>
    </cfRule>
  </conditionalFormatting>
  <conditionalFormatting sqref="W50:W54">
    <cfRule type="cellIs" dxfId="2" priority="323" operator="equal">
      <formula>"hamstring"</formula>
    </cfRule>
  </conditionalFormatting>
  <conditionalFormatting sqref="W50:W54">
    <cfRule type="cellIs" dxfId="3" priority="324" operator="equal">
      <formula>"quadriceps"</formula>
    </cfRule>
  </conditionalFormatting>
  <conditionalFormatting sqref="W50:W54">
    <cfRule type="cellIs" dxfId="4" priority="325" operator="equal">
      <formula>"tibialis"</formula>
    </cfRule>
  </conditionalFormatting>
  <conditionalFormatting sqref="V47:W49">
    <cfRule type="expression" dxfId="0" priority="326">
      <formula>$AI47="Excluded"</formula>
    </cfRule>
  </conditionalFormatting>
  <conditionalFormatting sqref="W47:W49">
    <cfRule type="cellIs" dxfId="1" priority="327" operator="equal">
      <formula>"patellar"</formula>
    </cfRule>
  </conditionalFormatting>
  <conditionalFormatting sqref="W47:W49">
    <cfRule type="cellIs" dxfId="2" priority="328" operator="equal">
      <formula>"hamstring"</formula>
    </cfRule>
  </conditionalFormatting>
  <conditionalFormatting sqref="W47:W49">
    <cfRule type="cellIs" dxfId="3" priority="329" operator="equal">
      <formula>"quadriceps"</formula>
    </cfRule>
  </conditionalFormatting>
  <conditionalFormatting sqref="W47:W49">
    <cfRule type="cellIs" dxfId="4" priority="330" operator="equal">
      <formula>"tibialis"</formula>
    </cfRule>
  </conditionalFormatting>
  <conditionalFormatting sqref="V42:W46">
    <cfRule type="expression" dxfId="0" priority="331">
      <formula>$AI42="Excluded"</formula>
    </cfRule>
  </conditionalFormatting>
  <conditionalFormatting sqref="W42:W46">
    <cfRule type="cellIs" dxfId="1" priority="332" operator="equal">
      <formula>"patellar"</formula>
    </cfRule>
  </conditionalFormatting>
  <conditionalFormatting sqref="W42:W46">
    <cfRule type="cellIs" dxfId="2" priority="333" operator="equal">
      <formula>"hamstring"</formula>
    </cfRule>
  </conditionalFormatting>
  <conditionalFormatting sqref="W42:W46">
    <cfRule type="cellIs" dxfId="3" priority="334" operator="equal">
      <formula>"quadriceps"</formula>
    </cfRule>
  </conditionalFormatting>
  <conditionalFormatting sqref="W42:W46">
    <cfRule type="cellIs" dxfId="4" priority="335" operator="equal">
      <formula>"tibialis"</formula>
    </cfRule>
  </conditionalFormatting>
  <conditionalFormatting sqref="V40:W41">
    <cfRule type="expression" dxfId="0" priority="336">
      <formula>$AI40="Excluded"</formula>
    </cfRule>
  </conditionalFormatting>
  <conditionalFormatting sqref="W40:W41">
    <cfRule type="cellIs" dxfId="1" priority="337" operator="equal">
      <formula>"patellar"</formula>
    </cfRule>
  </conditionalFormatting>
  <conditionalFormatting sqref="W40:W41">
    <cfRule type="cellIs" dxfId="2" priority="338" operator="equal">
      <formula>"hamstring"</formula>
    </cfRule>
  </conditionalFormatting>
  <conditionalFormatting sqref="W40:W41">
    <cfRule type="cellIs" dxfId="3" priority="339" operator="equal">
      <formula>"quadriceps"</formula>
    </cfRule>
  </conditionalFormatting>
  <conditionalFormatting sqref="W40:W41">
    <cfRule type="cellIs" dxfId="4" priority="340" operator="equal">
      <formula>"tibialis"</formula>
    </cfRule>
  </conditionalFormatting>
  <conditionalFormatting sqref="V31:W39">
    <cfRule type="expression" dxfId="0" priority="341">
      <formula>$AI31="Excluded"</formula>
    </cfRule>
  </conditionalFormatting>
  <conditionalFormatting sqref="W31:W39">
    <cfRule type="cellIs" dxfId="1" priority="342" operator="equal">
      <formula>"patellar"</formula>
    </cfRule>
  </conditionalFormatting>
  <conditionalFormatting sqref="W31:W39">
    <cfRule type="cellIs" dxfId="2" priority="343" operator="equal">
      <formula>"hamstring"</formula>
    </cfRule>
  </conditionalFormatting>
  <conditionalFormatting sqref="W31:W39">
    <cfRule type="cellIs" dxfId="3" priority="344" operator="equal">
      <formula>"quadriceps"</formula>
    </cfRule>
  </conditionalFormatting>
  <conditionalFormatting sqref="W31:W39">
    <cfRule type="cellIs" dxfId="4" priority="345" operator="equal">
      <formula>"tibialis"</formula>
    </cfRule>
  </conditionalFormatting>
  <conditionalFormatting sqref="V29:W30">
    <cfRule type="expression" dxfId="0" priority="346">
      <formula>$AI29="Excluded"</formula>
    </cfRule>
  </conditionalFormatting>
  <conditionalFormatting sqref="W29:W30">
    <cfRule type="cellIs" dxfId="1" priority="347" operator="equal">
      <formula>"patellar"</formula>
    </cfRule>
  </conditionalFormatting>
  <conditionalFormatting sqref="W29:W30">
    <cfRule type="cellIs" dxfId="2" priority="348" operator="equal">
      <formula>"hamstring"</formula>
    </cfRule>
  </conditionalFormatting>
  <conditionalFormatting sqref="W29:W30">
    <cfRule type="cellIs" dxfId="3" priority="349" operator="equal">
      <formula>"quadriceps"</formula>
    </cfRule>
  </conditionalFormatting>
  <conditionalFormatting sqref="W29:W30">
    <cfRule type="cellIs" dxfId="4" priority="350" operator="equal">
      <formula>"tibialis"</formula>
    </cfRule>
  </conditionalFormatting>
  <conditionalFormatting sqref="V19:W28">
    <cfRule type="expression" dxfId="0" priority="351">
      <formula>$AI19="Excluded"</formula>
    </cfRule>
  </conditionalFormatting>
  <conditionalFormatting sqref="W19:W28">
    <cfRule type="cellIs" dxfId="1" priority="352" operator="equal">
      <formula>"patellar"</formula>
    </cfRule>
  </conditionalFormatting>
  <conditionalFormatting sqref="W19:W28">
    <cfRule type="cellIs" dxfId="2" priority="353" operator="equal">
      <formula>"hamstring"</formula>
    </cfRule>
  </conditionalFormatting>
  <conditionalFormatting sqref="W19:W28">
    <cfRule type="cellIs" dxfId="3" priority="354" operator="equal">
      <formula>"quadriceps"</formula>
    </cfRule>
  </conditionalFormatting>
  <conditionalFormatting sqref="W19:W28">
    <cfRule type="cellIs" dxfId="4" priority="355" operator="equal">
      <formula>"tibialis"</formula>
    </cfRule>
  </conditionalFormatting>
  <conditionalFormatting sqref="V17:W18">
    <cfRule type="expression" dxfId="0" priority="356">
      <formula>$AI17="Excluded"</formula>
    </cfRule>
  </conditionalFormatting>
  <conditionalFormatting sqref="W17:W18">
    <cfRule type="cellIs" dxfId="1" priority="357" operator="equal">
      <formula>"patellar"</formula>
    </cfRule>
  </conditionalFormatting>
  <conditionalFormatting sqref="W17:W18">
    <cfRule type="cellIs" dxfId="2" priority="358" operator="equal">
      <formula>"hamstring"</formula>
    </cfRule>
  </conditionalFormatting>
  <conditionalFormatting sqref="W17:W18">
    <cfRule type="cellIs" dxfId="3" priority="359" operator="equal">
      <formula>"quadriceps"</formula>
    </cfRule>
  </conditionalFormatting>
  <conditionalFormatting sqref="W17:W18">
    <cfRule type="cellIs" dxfId="4" priority="360" operator="equal">
      <formula>"tibialis"</formula>
    </cfRule>
  </conditionalFormatting>
  <conditionalFormatting sqref="V14:W16">
    <cfRule type="expression" dxfId="0" priority="361">
      <formula>$AI14="Excluded"</formula>
    </cfRule>
  </conditionalFormatting>
  <conditionalFormatting sqref="W14:W16">
    <cfRule type="cellIs" dxfId="1" priority="362" operator="equal">
      <formula>"patellar"</formula>
    </cfRule>
  </conditionalFormatting>
  <conditionalFormatting sqref="W14:W16">
    <cfRule type="cellIs" dxfId="2" priority="363" operator="equal">
      <formula>"hamstring"</formula>
    </cfRule>
  </conditionalFormatting>
  <conditionalFormatting sqref="W14:W16">
    <cfRule type="cellIs" dxfId="3" priority="364" operator="equal">
      <formula>"quadriceps"</formula>
    </cfRule>
  </conditionalFormatting>
  <conditionalFormatting sqref="W14:W16">
    <cfRule type="cellIs" dxfId="4" priority="365" operator="equal">
      <formula>"tibialis"</formula>
    </cfRule>
  </conditionalFormatting>
  <conditionalFormatting sqref="V9:W13">
    <cfRule type="expression" dxfId="0" priority="366">
      <formula>$AI9="Excluded"</formula>
    </cfRule>
  </conditionalFormatting>
  <conditionalFormatting sqref="W9:W13">
    <cfRule type="cellIs" dxfId="1" priority="367" operator="equal">
      <formula>"patellar"</formula>
    </cfRule>
  </conditionalFormatting>
  <conditionalFormatting sqref="W9:W13">
    <cfRule type="cellIs" dxfId="2" priority="368" operator="equal">
      <formula>"hamstring"</formula>
    </cfRule>
  </conditionalFormatting>
  <conditionalFormatting sqref="W9:W13">
    <cfRule type="cellIs" dxfId="3" priority="369" operator="equal">
      <formula>"quadriceps"</formula>
    </cfRule>
  </conditionalFormatting>
  <conditionalFormatting sqref="W9:W13">
    <cfRule type="cellIs" dxfId="4" priority="370" operator="equal">
      <formula>"tibialis"</formula>
    </cfRule>
  </conditionalFormatting>
  <conditionalFormatting sqref="V3:V1124 W3:W8 S71:U72">
    <cfRule type="expression" dxfId="0" priority="371">
      <formula>$AI3="Excluded"</formula>
    </cfRule>
  </conditionalFormatting>
  <conditionalFormatting sqref="W3:W8">
    <cfRule type="cellIs" dxfId="1" priority="372" operator="equal">
      <formula>"patellar"</formula>
    </cfRule>
  </conditionalFormatting>
  <conditionalFormatting sqref="W3:W8">
    <cfRule type="cellIs" dxfId="2" priority="373" operator="equal">
      <formula>"hamstring"</formula>
    </cfRule>
  </conditionalFormatting>
  <conditionalFormatting sqref="W3:W8">
    <cfRule type="cellIs" dxfId="3" priority="374" operator="equal">
      <formula>"quadriceps"</formula>
    </cfRule>
  </conditionalFormatting>
  <conditionalFormatting sqref="W1:W8">
    <cfRule type="cellIs" dxfId="4" priority="375" operator="equal">
      <formula>"tibialis"</formula>
    </cfRule>
  </conditionalFormatting>
  <conditionalFormatting sqref="S119:U1124 O125:O126 Q125:R126">
    <cfRule type="expression" dxfId="0" priority="376">
      <formula>$AI119="Excluded"</formula>
    </cfRule>
  </conditionalFormatting>
  <conditionalFormatting sqref="S119:U1124 O125:O126 Q125:R126">
    <cfRule type="cellIs" dxfId="1" priority="377" operator="equal">
      <formula>"patellar"</formula>
    </cfRule>
  </conditionalFormatting>
  <conditionalFormatting sqref="S119:U1124 O125:O126 Q125:R126">
    <cfRule type="cellIs" dxfId="2" priority="378" operator="equal">
      <formula>"hamstring"</formula>
    </cfRule>
  </conditionalFormatting>
  <conditionalFormatting sqref="S119:U1124 O125:O126 Q125:R126">
    <cfRule type="cellIs" dxfId="3" priority="379" operator="equal">
      <formula>"quadriceps"</formula>
    </cfRule>
  </conditionalFormatting>
  <conditionalFormatting sqref="S119:U1124 O125:O126 Q125:R126">
    <cfRule type="cellIs" dxfId="4" priority="380" operator="equal">
      <formula>"tibialis"</formula>
    </cfRule>
  </conditionalFormatting>
  <conditionalFormatting sqref="S117:U118">
    <cfRule type="expression" dxfId="0" priority="381">
      <formula>$AI117="Excluded"</formula>
    </cfRule>
  </conditionalFormatting>
  <conditionalFormatting sqref="S117:U118">
    <cfRule type="cellIs" dxfId="1" priority="382" operator="equal">
      <formula>"patellar"</formula>
    </cfRule>
  </conditionalFormatting>
  <conditionalFormatting sqref="S117:U118">
    <cfRule type="cellIs" dxfId="2" priority="383" operator="equal">
      <formula>"hamstring"</formula>
    </cfRule>
  </conditionalFormatting>
  <conditionalFormatting sqref="S117:U118">
    <cfRule type="cellIs" dxfId="3" priority="384" operator="equal">
      <formula>"quadriceps"</formula>
    </cfRule>
  </conditionalFormatting>
  <conditionalFormatting sqref="S117:U118">
    <cfRule type="cellIs" dxfId="4" priority="385" operator="equal">
      <formula>"tibialis"</formula>
    </cfRule>
  </conditionalFormatting>
  <conditionalFormatting sqref="S111:U116">
    <cfRule type="expression" dxfId="0" priority="386">
      <formula>$AI111="Excluded"</formula>
    </cfRule>
  </conditionalFormatting>
  <conditionalFormatting sqref="S111:U116">
    <cfRule type="cellIs" dxfId="1" priority="387" operator="equal">
      <formula>"patellar"</formula>
    </cfRule>
  </conditionalFormatting>
  <conditionalFormatting sqref="S111:U116">
    <cfRule type="cellIs" dxfId="2" priority="388" operator="equal">
      <formula>"hamstring"</formula>
    </cfRule>
  </conditionalFormatting>
  <conditionalFormatting sqref="S111:U116">
    <cfRule type="cellIs" dxfId="3" priority="389" operator="equal">
      <formula>"quadriceps"</formula>
    </cfRule>
  </conditionalFormatting>
  <conditionalFormatting sqref="S111:U116">
    <cfRule type="cellIs" dxfId="4" priority="390" operator="equal">
      <formula>"tibialis"</formula>
    </cfRule>
  </conditionalFormatting>
  <conditionalFormatting sqref="S106:U1124 O125:O126 Q125:R126">
    <cfRule type="expression" dxfId="0" priority="391">
      <formula>$AI106="Excluded"</formula>
    </cfRule>
  </conditionalFormatting>
  <conditionalFormatting sqref="S106:U1124 O125:O126 Q125:R126">
    <cfRule type="cellIs" dxfId="1" priority="392" operator="equal">
      <formula>"patellar"</formula>
    </cfRule>
  </conditionalFormatting>
  <conditionalFormatting sqref="S106:U1124 O125:O126 Q125:R126">
    <cfRule type="cellIs" dxfId="2" priority="393" operator="equal">
      <formula>"hamstring"</formula>
    </cfRule>
  </conditionalFormatting>
  <conditionalFormatting sqref="S106:U1124 O125:O126 Q125:R126">
    <cfRule type="cellIs" dxfId="3" priority="394" operator="equal">
      <formula>"quadriceps"</formula>
    </cfRule>
  </conditionalFormatting>
  <conditionalFormatting sqref="S106:U1124 O125:O126 Q125:R126">
    <cfRule type="cellIs" dxfId="4" priority="395" operator="equal">
      <formula>"tibialis"</formula>
    </cfRule>
  </conditionalFormatting>
  <conditionalFormatting sqref="S98:U105 S107:U109 S111:U113 S115:U117 S119:U121">
    <cfRule type="expression" dxfId="0" priority="396">
      <formula>$AI98="Excluded"</formula>
    </cfRule>
  </conditionalFormatting>
  <conditionalFormatting sqref="S98:U105 S107:U109 S111:U113 S115:U117 S119:U121">
    <cfRule type="cellIs" dxfId="1" priority="397" operator="equal">
      <formula>"patellar"</formula>
    </cfRule>
  </conditionalFormatting>
  <conditionalFormatting sqref="S98:U105 S107:U109 S111:U113 S115:U117 S119:U121">
    <cfRule type="cellIs" dxfId="2" priority="398" operator="equal">
      <formula>"hamstring"</formula>
    </cfRule>
  </conditionalFormatting>
  <conditionalFormatting sqref="S98:U105 S107:U109 S111:U113 S115:U117 S119:U121">
    <cfRule type="cellIs" dxfId="3" priority="399" operator="equal">
      <formula>"quadriceps"</formula>
    </cfRule>
  </conditionalFormatting>
  <conditionalFormatting sqref="S98:U105 S107:U109 S111:U113 S115:U117 S119:U121">
    <cfRule type="cellIs" dxfId="4" priority="400" operator="equal">
      <formula>"tibialis"</formula>
    </cfRule>
  </conditionalFormatting>
  <conditionalFormatting sqref="S96:U97">
    <cfRule type="expression" dxfId="0" priority="401">
      <formula>$AI96="Excluded"</formula>
    </cfRule>
  </conditionalFormatting>
  <conditionalFormatting sqref="S96:U97">
    <cfRule type="cellIs" dxfId="1" priority="402" operator="equal">
      <formula>"patellar"</formula>
    </cfRule>
  </conditionalFormatting>
  <conditionalFormatting sqref="S96:U97">
    <cfRule type="cellIs" dxfId="2" priority="403" operator="equal">
      <formula>"hamstring"</formula>
    </cfRule>
  </conditionalFormatting>
  <conditionalFormatting sqref="S96:U97">
    <cfRule type="cellIs" dxfId="3" priority="404" operator="equal">
      <formula>"quadriceps"</formula>
    </cfRule>
  </conditionalFormatting>
  <conditionalFormatting sqref="S96:U97">
    <cfRule type="cellIs" dxfId="4" priority="405" operator="equal">
      <formula>"tibialis"</formula>
    </cfRule>
  </conditionalFormatting>
  <conditionalFormatting sqref="S94:U95">
    <cfRule type="expression" dxfId="0" priority="406">
      <formula>$AI94="Excluded"</formula>
    </cfRule>
  </conditionalFormatting>
  <conditionalFormatting sqref="S94:U95">
    <cfRule type="cellIs" dxfId="1" priority="407" operator="equal">
      <formula>"patellar"</formula>
    </cfRule>
  </conditionalFormatting>
  <conditionalFormatting sqref="S94:U95">
    <cfRule type="cellIs" dxfId="2" priority="408" operator="equal">
      <formula>"hamstring"</formula>
    </cfRule>
  </conditionalFormatting>
  <conditionalFormatting sqref="S94:U95">
    <cfRule type="cellIs" dxfId="3" priority="409" operator="equal">
      <formula>"quadriceps"</formula>
    </cfRule>
  </conditionalFormatting>
  <conditionalFormatting sqref="S94:U95">
    <cfRule type="cellIs" dxfId="4" priority="410" operator="equal">
      <formula>"tibialis"</formula>
    </cfRule>
  </conditionalFormatting>
  <conditionalFormatting sqref="S91:U93">
    <cfRule type="expression" dxfId="0" priority="411">
      <formula>$AI91="Excluded"</formula>
    </cfRule>
  </conditionalFormatting>
  <conditionalFormatting sqref="S91:U93">
    <cfRule type="cellIs" dxfId="1" priority="412" operator="equal">
      <formula>"patellar"</formula>
    </cfRule>
  </conditionalFormatting>
  <conditionalFormatting sqref="S91:U93">
    <cfRule type="cellIs" dxfId="2" priority="413" operator="equal">
      <formula>"hamstring"</formula>
    </cfRule>
  </conditionalFormatting>
  <conditionalFormatting sqref="S91:U93">
    <cfRule type="cellIs" dxfId="3" priority="414" operator="equal">
      <formula>"quadriceps"</formula>
    </cfRule>
  </conditionalFormatting>
  <conditionalFormatting sqref="S91:U93">
    <cfRule type="cellIs" dxfId="4" priority="415" operator="equal">
      <formula>"tibialis"</formula>
    </cfRule>
  </conditionalFormatting>
  <conditionalFormatting sqref="S86:U90">
    <cfRule type="expression" dxfId="0" priority="416">
      <formula>$AI86="Excluded"</formula>
    </cfRule>
  </conditionalFormatting>
  <conditionalFormatting sqref="S86:U90">
    <cfRule type="cellIs" dxfId="1" priority="417" operator="equal">
      <formula>"patellar"</formula>
    </cfRule>
  </conditionalFormatting>
  <conditionalFormatting sqref="S86:U90">
    <cfRule type="cellIs" dxfId="2" priority="418" operator="equal">
      <formula>"hamstring"</formula>
    </cfRule>
  </conditionalFormatting>
  <conditionalFormatting sqref="S86:U90">
    <cfRule type="cellIs" dxfId="3" priority="419" operator="equal">
      <formula>"quadriceps"</formula>
    </cfRule>
  </conditionalFormatting>
  <conditionalFormatting sqref="S86:U90">
    <cfRule type="cellIs" dxfId="4" priority="420" operator="equal">
      <formula>"tibialis"</formula>
    </cfRule>
  </conditionalFormatting>
  <conditionalFormatting sqref="S72:U85">
    <cfRule type="expression" dxfId="0" priority="421">
      <formula>$AI72="Excluded"</formula>
    </cfRule>
  </conditionalFormatting>
  <conditionalFormatting sqref="S72:U85">
    <cfRule type="cellIs" dxfId="1" priority="422" operator="equal">
      <formula>"patellar"</formula>
    </cfRule>
  </conditionalFormatting>
  <conditionalFormatting sqref="S72:U85">
    <cfRule type="cellIs" dxfId="2" priority="423" operator="equal">
      <formula>"hamstring"</formula>
    </cfRule>
  </conditionalFormatting>
  <conditionalFormatting sqref="S72:U85">
    <cfRule type="cellIs" dxfId="3" priority="424" operator="equal">
      <formula>"quadriceps"</formula>
    </cfRule>
  </conditionalFormatting>
  <conditionalFormatting sqref="S72:U85">
    <cfRule type="cellIs" dxfId="4" priority="425" operator="equal">
      <formula>"tibialis"</formula>
    </cfRule>
  </conditionalFormatting>
  <conditionalFormatting sqref="S68:U71">
    <cfRule type="expression" dxfId="0" priority="426">
      <formula>$AI68="Excluded"</formula>
    </cfRule>
  </conditionalFormatting>
  <conditionalFormatting sqref="S68:U71">
    <cfRule type="cellIs" dxfId="1" priority="427" operator="equal">
      <formula>"patellar"</formula>
    </cfRule>
  </conditionalFormatting>
  <conditionalFormatting sqref="S68:U71">
    <cfRule type="cellIs" dxfId="2" priority="428" operator="equal">
      <formula>"hamstring"</formula>
    </cfRule>
  </conditionalFormatting>
  <conditionalFormatting sqref="S68:U71">
    <cfRule type="cellIs" dxfId="3" priority="429" operator="equal">
      <formula>"quadriceps"</formula>
    </cfRule>
  </conditionalFormatting>
  <conditionalFormatting sqref="S68:U71">
    <cfRule type="cellIs" dxfId="4" priority="430" operator="equal">
      <formula>"tibialis"</formula>
    </cfRule>
  </conditionalFormatting>
  <conditionalFormatting sqref="S66:U67 V66">
    <cfRule type="expression" dxfId="0" priority="431">
      <formula>$AI66="Excluded"</formula>
    </cfRule>
  </conditionalFormatting>
  <conditionalFormatting sqref="S66:U67 V66">
    <cfRule type="cellIs" dxfId="1" priority="432" operator="equal">
      <formula>"patellar"</formula>
    </cfRule>
  </conditionalFormatting>
  <conditionalFormatting sqref="S66:U67 V66">
    <cfRule type="cellIs" dxfId="2" priority="433" operator="equal">
      <formula>"hamstring"</formula>
    </cfRule>
  </conditionalFormatting>
  <conditionalFormatting sqref="S66:U67 V66">
    <cfRule type="cellIs" dxfId="3" priority="434" operator="equal">
      <formula>"quadriceps"</formula>
    </cfRule>
  </conditionalFormatting>
  <conditionalFormatting sqref="S66:U67 V66">
    <cfRule type="cellIs" dxfId="4" priority="435" operator="equal">
      <formula>"tibialis"</formula>
    </cfRule>
  </conditionalFormatting>
  <conditionalFormatting sqref="S64:U65 V65">
    <cfRule type="expression" dxfId="0" priority="436">
      <formula>$AI64="Excluded"</formula>
    </cfRule>
  </conditionalFormatting>
  <conditionalFormatting sqref="S64:U65 V65">
    <cfRule type="cellIs" dxfId="1" priority="437" operator="equal">
      <formula>"patellar"</formula>
    </cfRule>
  </conditionalFormatting>
  <conditionalFormatting sqref="S64:U65 V65">
    <cfRule type="cellIs" dxfId="2" priority="438" operator="equal">
      <formula>"hamstring"</formula>
    </cfRule>
  </conditionalFormatting>
  <conditionalFormatting sqref="S64:U65 V65">
    <cfRule type="cellIs" dxfId="3" priority="439" operator="equal">
      <formula>"quadriceps"</formula>
    </cfRule>
  </conditionalFormatting>
  <conditionalFormatting sqref="S64:U65 V65">
    <cfRule type="cellIs" dxfId="4" priority="440" operator="equal">
      <formula>"tibialis"</formula>
    </cfRule>
  </conditionalFormatting>
  <conditionalFormatting sqref="S55:U63">
    <cfRule type="expression" dxfId="0" priority="441">
      <formula>$AI55="Excluded"</formula>
    </cfRule>
  </conditionalFormatting>
  <conditionalFormatting sqref="S55:U63">
    <cfRule type="cellIs" dxfId="1" priority="442" operator="equal">
      <formula>"patellar"</formula>
    </cfRule>
  </conditionalFormatting>
  <conditionalFormatting sqref="S55:U63">
    <cfRule type="cellIs" dxfId="2" priority="443" operator="equal">
      <formula>"hamstring"</formula>
    </cfRule>
  </conditionalFormatting>
  <conditionalFormatting sqref="S55:U63">
    <cfRule type="cellIs" dxfId="3" priority="444" operator="equal">
      <formula>"quadriceps"</formula>
    </cfRule>
  </conditionalFormatting>
  <conditionalFormatting sqref="S55:U63">
    <cfRule type="cellIs" dxfId="4" priority="445" operator="equal">
      <formula>"tibialis"</formula>
    </cfRule>
  </conditionalFormatting>
  <conditionalFormatting sqref="S50:U54">
    <cfRule type="expression" dxfId="0" priority="446">
      <formula>$AI50="Excluded"</formula>
    </cfRule>
  </conditionalFormatting>
  <conditionalFormatting sqref="S50:U54">
    <cfRule type="cellIs" dxfId="1" priority="447" operator="equal">
      <formula>"patellar"</formula>
    </cfRule>
  </conditionalFormatting>
  <conditionalFormatting sqref="S50:U54">
    <cfRule type="cellIs" dxfId="2" priority="448" operator="equal">
      <formula>"hamstring"</formula>
    </cfRule>
  </conditionalFormatting>
  <conditionalFormatting sqref="S50:U54">
    <cfRule type="cellIs" dxfId="3" priority="449" operator="equal">
      <formula>"quadriceps"</formula>
    </cfRule>
  </conditionalFormatting>
  <conditionalFormatting sqref="S50:U54">
    <cfRule type="cellIs" dxfId="4" priority="450" operator="equal">
      <formula>"tibialis"</formula>
    </cfRule>
  </conditionalFormatting>
  <conditionalFormatting sqref="S47:U49">
    <cfRule type="expression" dxfId="0" priority="451">
      <formula>$AI47="Excluded"</formula>
    </cfRule>
  </conditionalFormatting>
  <conditionalFormatting sqref="S47:U49">
    <cfRule type="cellIs" dxfId="1" priority="452" operator="equal">
      <formula>"patellar"</formula>
    </cfRule>
  </conditionalFormatting>
  <conditionalFormatting sqref="S47:U49">
    <cfRule type="cellIs" dxfId="2" priority="453" operator="equal">
      <formula>"hamstring"</formula>
    </cfRule>
  </conditionalFormatting>
  <conditionalFormatting sqref="S47:U49">
    <cfRule type="cellIs" dxfId="3" priority="454" operator="equal">
      <formula>"quadriceps"</formula>
    </cfRule>
  </conditionalFormatting>
  <conditionalFormatting sqref="S47:U49">
    <cfRule type="cellIs" dxfId="4" priority="455" operator="equal">
      <formula>"tibialis"</formula>
    </cfRule>
  </conditionalFormatting>
  <conditionalFormatting sqref="S42:U46">
    <cfRule type="expression" dxfId="0" priority="456">
      <formula>$AI42="Excluded"</formula>
    </cfRule>
  </conditionalFormatting>
  <conditionalFormatting sqref="S42:U46">
    <cfRule type="cellIs" dxfId="1" priority="457" operator="equal">
      <formula>"patellar"</formula>
    </cfRule>
  </conditionalFormatting>
  <conditionalFormatting sqref="S42:U46">
    <cfRule type="cellIs" dxfId="2" priority="458" operator="equal">
      <formula>"hamstring"</formula>
    </cfRule>
  </conditionalFormatting>
  <conditionalFormatting sqref="S42:U46">
    <cfRule type="cellIs" dxfId="3" priority="459" operator="equal">
      <formula>"quadriceps"</formula>
    </cfRule>
  </conditionalFormatting>
  <conditionalFormatting sqref="S42:U46">
    <cfRule type="cellIs" dxfId="4" priority="460" operator="equal">
      <formula>"tibialis"</formula>
    </cfRule>
  </conditionalFormatting>
  <conditionalFormatting sqref="S40:U41">
    <cfRule type="expression" dxfId="0" priority="461">
      <formula>$AI40="Excluded"</formula>
    </cfRule>
  </conditionalFormatting>
  <conditionalFormatting sqref="S40:U41">
    <cfRule type="cellIs" dxfId="1" priority="462" operator="equal">
      <formula>"patellar"</formula>
    </cfRule>
  </conditionalFormatting>
  <conditionalFormatting sqref="S40:U41">
    <cfRule type="cellIs" dxfId="2" priority="463" operator="equal">
      <formula>"hamstring"</formula>
    </cfRule>
  </conditionalFormatting>
  <conditionalFormatting sqref="S40:U41">
    <cfRule type="cellIs" dxfId="3" priority="464" operator="equal">
      <formula>"quadriceps"</formula>
    </cfRule>
  </conditionalFormatting>
  <conditionalFormatting sqref="S40:U41">
    <cfRule type="cellIs" dxfId="4" priority="465" operator="equal">
      <formula>"tibialis"</formula>
    </cfRule>
  </conditionalFormatting>
  <conditionalFormatting sqref="S31:U39">
    <cfRule type="expression" dxfId="0" priority="466">
      <formula>$AI31="Excluded"</formula>
    </cfRule>
  </conditionalFormatting>
  <conditionalFormatting sqref="S31:U39">
    <cfRule type="cellIs" dxfId="1" priority="467" operator="equal">
      <formula>"patellar"</formula>
    </cfRule>
  </conditionalFormatting>
  <conditionalFormatting sqref="S31:U39">
    <cfRule type="cellIs" dxfId="2" priority="468" operator="equal">
      <formula>"hamstring"</formula>
    </cfRule>
  </conditionalFormatting>
  <conditionalFormatting sqref="S31:U39">
    <cfRule type="cellIs" dxfId="3" priority="469" operator="equal">
      <formula>"quadriceps"</formula>
    </cfRule>
  </conditionalFormatting>
  <conditionalFormatting sqref="S31:U39">
    <cfRule type="cellIs" dxfId="4" priority="470" operator="equal">
      <formula>"tibialis"</formula>
    </cfRule>
  </conditionalFormatting>
  <conditionalFormatting sqref="S29:U30">
    <cfRule type="expression" dxfId="0" priority="471">
      <formula>$AI29="Excluded"</formula>
    </cfRule>
  </conditionalFormatting>
  <conditionalFormatting sqref="S29:U30">
    <cfRule type="cellIs" dxfId="1" priority="472" operator="equal">
      <formula>"patellar"</formula>
    </cfRule>
  </conditionalFormatting>
  <conditionalFormatting sqref="S29:U30">
    <cfRule type="cellIs" dxfId="2" priority="473" operator="equal">
      <formula>"hamstring"</formula>
    </cfRule>
  </conditionalFormatting>
  <conditionalFormatting sqref="S29:U30">
    <cfRule type="cellIs" dxfId="3" priority="474" operator="equal">
      <formula>"quadriceps"</formula>
    </cfRule>
  </conditionalFormatting>
  <conditionalFormatting sqref="S29:U30">
    <cfRule type="cellIs" dxfId="4" priority="475" operator="equal">
      <formula>"tibialis"</formula>
    </cfRule>
  </conditionalFormatting>
  <conditionalFormatting sqref="S19:U28">
    <cfRule type="expression" dxfId="0" priority="476">
      <formula>$AI19="Excluded"</formula>
    </cfRule>
  </conditionalFormatting>
  <conditionalFormatting sqref="S19:U28">
    <cfRule type="cellIs" dxfId="1" priority="477" operator="equal">
      <formula>"patellar"</formula>
    </cfRule>
  </conditionalFormatting>
  <conditionalFormatting sqref="S19:U28">
    <cfRule type="cellIs" dxfId="2" priority="478" operator="equal">
      <formula>"hamstring"</formula>
    </cfRule>
  </conditionalFormatting>
  <conditionalFormatting sqref="S19:U28">
    <cfRule type="cellIs" dxfId="3" priority="479" operator="equal">
      <formula>"quadriceps"</formula>
    </cfRule>
  </conditionalFormatting>
  <conditionalFormatting sqref="S19:U28">
    <cfRule type="cellIs" dxfId="4" priority="480" operator="equal">
      <formula>"tibialis"</formula>
    </cfRule>
  </conditionalFormatting>
  <conditionalFormatting sqref="S17:U18">
    <cfRule type="expression" dxfId="0" priority="481">
      <formula>$AI17="Excluded"</formula>
    </cfRule>
  </conditionalFormatting>
  <conditionalFormatting sqref="S17:U18">
    <cfRule type="cellIs" dxfId="1" priority="482" operator="equal">
      <formula>"patellar"</formula>
    </cfRule>
  </conditionalFormatting>
  <conditionalFormatting sqref="S17:U18">
    <cfRule type="cellIs" dxfId="2" priority="483" operator="equal">
      <formula>"hamstring"</formula>
    </cfRule>
  </conditionalFormatting>
  <conditionalFormatting sqref="S17:U18">
    <cfRule type="cellIs" dxfId="3" priority="484" operator="equal">
      <formula>"quadriceps"</formula>
    </cfRule>
  </conditionalFormatting>
  <conditionalFormatting sqref="S17:U18">
    <cfRule type="cellIs" dxfId="4" priority="485" operator="equal">
      <formula>"tibialis"</formula>
    </cfRule>
  </conditionalFormatting>
  <conditionalFormatting sqref="S14:U16">
    <cfRule type="expression" dxfId="0" priority="486">
      <formula>$AI14="Excluded"</formula>
    </cfRule>
  </conditionalFormatting>
  <conditionalFormatting sqref="S14:U16">
    <cfRule type="cellIs" dxfId="1" priority="487" operator="equal">
      <formula>"patellar"</formula>
    </cfRule>
  </conditionalFormatting>
  <conditionalFormatting sqref="S14:U16">
    <cfRule type="cellIs" dxfId="2" priority="488" operator="equal">
      <formula>"hamstring"</formula>
    </cfRule>
  </conditionalFormatting>
  <conditionalFormatting sqref="S14:U16">
    <cfRule type="cellIs" dxfId="3" priority="489" operator="equal">
      <formula>"quadriceps"</formula>
    </cfRule>
  </conditionalFormatting>
  <conditionalFormatting sqref="S14:U16">
    <cfRule type="cellIs" dxfId="4" priority="490" operator="equal">
      <formula>"tibialis"</formula>
    </cfRule>
  </conditionalFormatting>
  <conditionalFormatting sqref="S9:U13">
    <cfRule type="expression" dxfId="0" priority="491">
      <formula>$AI9="Excluded"</formula>
    </cfRule>
  </conditionalFormatting>
  <conditionalFormatting sqref="S9:U13">
    <cfRule type="cellIs" dxfId="1" priority="492" operator="equal">
      <formula>"patellar"</formula>
    </cfRule>
  </conditionalFormatting>
  <conditionalFormatting sqref="S9:U13">
    <cfRule type="cellIs" dxfId="2" priority="493" operator="equal">
      <formula>"hamstring"</formula>
    </cfRule>
  </conditionalFormatting>
  <conditionalFormatting sqref="S9:U13">
    <cfRule type="cellIs" dxfId="3" priority="494" operator="equal">
      <formula>"quadriceps"</formula>
    </cfRule>
  </conditionalFormatting>
  <conditionalFormatting sqref="S9:U13">
    <cfRule type="cellIs" dxfId="4" priority="495" operator="equal">
      <formula>"tibialis"</formula>
    </cfRule>
  </conditionalFormatting>
  <conditionalFormatting sqref="S3:U1124 V65:V66 O125:O126 Q125:R126">
    <cfRule type="expression" dxfId="0" priority="496">
      <formula>$AI3="Excluded"</formula>
    </cfRule>
  </conditionalFormatting>
  <conditionalFormatting sqref="S3:U1124 V65:V66 O125:O126 Q125:R126">
    <cfRule type="cellIs" dxfId="1" priority="497" operator="equal">
      <formula>"patellar"</formula>
    </cfRule>
  </conditionalFormatting>
  <conditionalFormatting sqref="S3:U1124 V65:V66 O125:O126 Q125:R126">
    <cfRule type="cellIs" dxfId="2" priority="498" operator="equal">
      <formula>"hamstring"</formula>
    </cfRule>
  </conditionalFormatting>
  <conditionalFormatting sqref="S3:U1124 V65:V66 O125:O126 Q125:R126">
    <cfRule type="cellIs" dxfId="3" priority="499" operator="equal">
      <formula>"quadriceps"</formula>
    </cfRule>
  </conditionalFormatting>
  <conditionalFormatting sqref="S1:V1 W1:AA2 S3:U1124 V65:V66 O125:O126 Q125:R126">
    <cfRule type="cellIs" dxfId="4" priority="500" operator="equal">
      <formula>"tibialis"</formula>
    </cfRule>
  </conditionalFormatting>
  <conditionalFormatting sqref="O119:R1124">
    <cfRule type="expression" dxfId="0" priority="501">
      <formula>$AI119="Excluded"</formula>
    </cfRule>
  </conditionalFormatting>
  <conditionalFormatting sqref="Q119:R1124">
    <cfRule type="cellIs" dxfId="1" priority="502" operator="equal">
      <formula>"patellar"</formula>
    </cfRule>
  </conditionalFormatting>
  <conditionalFormatting sqref="Q119:R1124">
    <cfRule type="cellIs" dxfId="2" priority="503" operator="equal">
      <formula>"hamstring"</formula>
    </cfRule>
  </conditionalFormatting>
  <conditionalFormatting sqref="Q119:R1124">
    <cfRule type="cellIs" dxfId="3" priority="504" operator="equal">
      <formula>"quadriceps"</formula>
    </cfRule>
  </conditionalFormatting>
  <conditionalFormatting sqref="Q119:R1124">
    <cfRule type="cellIs" dxfId="4" priority="505" operator="equal">
      <formula>"tibialis"</formula>
    </cfRule>
  </conditionalFormatting>
  <conditionalFormatting sqref="O117:R118">
    <cfRule type="expression" dxfId="0" priority="506">
      <formula>$AI117="Excluded"</formula>
    </cfRule>
  </conditionalFormatting>
  <conditionalFormatting sqref="Q117:R118">
    <cfRule type="cellIs" dxfId="1" priority="507" operator="equal">
      <formula>"patellar"</formula>
    </cfRule>
  </conditionalFormatting>
  <conditionalFormatting sqref="Q117:R118">
    <cfRule type="cellIs" dxfId="2" priority="508" operator="equal">
      <formula>"hamstring"</formula>
    </cfRule>
  </conditionalFormatting>
  <conditionalFormatting sqref="Q117:R118">
    <cfRule type="cellIs" dxfId="3" priority="509" operator="equal">
      <formula>"quadriceps"</formula>
    </cfRule>
  </conditionalFormatting>
  <conditionalFormatting sqref="Q117:R118">
    <cfRule type="cellIs" dxfId="4" priority="510" operator="equal">
      <formula>"tibialis"</formula>
    </cfRule>
  </conditionalFormatting>
  <conditionalFormatting sqref="O111:R116">
    <cfRule type="expression" dxfId="0" priority="511">
      <formula>$AI111="Excluded"</formula>
    </cfRule>
  </conditionalFormatting>
  <conditionalFormatting sqref="Q111:R116">
    <cfRule type="cellIs" dxfId="1" priority="512" operator="equal">
      <formula>"patellar"</formula>
    </cfRule>
  </conditionalFormatting>
  <conditionalFormatting sqref="Q111:R116">
    <cfRule type="cellIs" dxfId="2" priority="513" operator="equal">
      <formula>"hamstring"</formula>
    </cfRule>
  </conditionalFormatting>
  <conditionalFormatting sqref="Q111:R116">
    <cfRule type="cellIs" dxfId="3" priority="514" operator="equal">
      <formula>"quadriceps"</formula>
    </cfRule>
  </conditionalFormatting>
  <conditionalFormatting sqref="Q111:R116">
    <cfRule type="cellIs" dxfId="4" priority="515" operator="equal">
      <formula>"tibialis"</formula>
    </cfRule>
  </conditionalFormatting>
  <conditionalFormatting sqref="O106:R1124">
    <cfRule type="expression" dxfId="0" priority="516">
      <formula>$AI106="Excluded"</formula>
    </cfRule>
  </conditionalFormatting>
  <conditionalFormatting sqref="Q106:R1124">
    <cfRule type="cellIs" dxfId="1" priority="517" operator="equal">
      <formula>"patellar"</formula>
    </cfRule>
  </conditionalFormatting>
  <conditionalFormatting sqref="Q106:R1124">
    <cfRule type="cellIs" dxfId="2" priority="518" operator="equal">
      <formula>"hamstring"</formula>
    </cfRule>
  </conditionalFormatting>
  <conditionalFormatting sqref="Q106:R1124">
    <cfRule type="cellIs" dxfId="3" priority="519" operator="equal">
      <formula>"quadriceps"</formula>
    </cfRule>
  </conditionalFormatting>
  <conditionalFormatting sqref="Q106:R1124">
    <cfRule type="cellIs" dxfId="4" priority="520" operator="equal">
      <formula>"tibialis"</formula>
    </cfRule>
  </conditionalFormatting>
  <conditionalFormatting sqref="O98:R105 O107:R109 O111:R113 O115:R117 O119:R121">
    <cfRule type="expression" dxfId="0" priority="521">
      <formula>$AI98="Excluded"</formula>
    </cfRule>
  </conditionalFormatting>
  <conditionalFormatting sqref="Q98:R105 Q107:R109 Q111:R113 Q115:R117 Q119:R121">
    <cfRule type="cellIs" dxfId="1" priority="522" operator="equal">
      <formula>"patellar"</formula>
    </cfRule>
  </conditionalFormatting>
  <conditionalFormatting sqref="Q98:R105 Q107:R109 Q111:R113 Q115:R117 Q119:R121">
    <cfRule type="cellIs" dxfId="2" priority="523" operator="equal">
      <formula>"hamstring"</formula>
    </cfRule>
  </conditionalFormatting>
  <conditionalFormatting sqref="Q98:R105 Q107:R109 Q111:R113 Q115:R117 Q119:R121">
    <cfRule type="cellIs" dxfId="3" priority="524" operator="equal">
      <formula>"quadriceps"</formula>
    </cfRule>
  </conditionalFormatting>
  <conditionalFormatting sqref="Q98:R105 Q107:R109 Q111:R113 Q115:R117 Q119:R121">
    <cfRule type="cellIs" dxfId="4" priority="525" operator="equal">
      <formula>"tibialis"</formula>
    </cfRule>
  </conditionalFormatting>
  <conditionalFormatting sqref="O96:R97">
    <cfRule type="expression" dxfId="0" priority="526">
      <formula>$AI96="Excluded"</formula>
    </cfRule>
  </conditionalFormatting>
  <conditionalFormatting sqref="Q96:R97">
    <cfRule type="cellIs" dxfId="1" priority="527" operator="equal">
      <formula>"patellar"</formula>
    </cfRule>
  </conditionalFormatting>
  <conditionalFormatting sqref="Q96:R97">
    <cfRule type="cellIs" dxfId="2" priority="528" operator="equal">
      <formula>"hamstring"</formula>
    </cfRule>
  </conditionalFormatting>
  <conditionalFormatting sqref="Q96:R97">
    <cfRule type="cellIs" dxfId="3" priority="529" operator="equal">
      <formula>"quadriceps"</formula>
    </cfRule>
  </conditionalFormatting>
  <conditionalFormatting sqref="Q96:R97">
    <cfRule type="cellIs" dxfId="4" priority="530" operator="equal">
      <formula>"tibialis"</formula>
    </cfRule>
  </conditionalFormatting>
  <conditionalFormatting sqref="O94:R95">
    <cfRule type="expression" dxfId="0" priority="531">
      <formula>$AI94="Excluded"</formula>
    </cfRule>
  </conditionalFormatting>
  <conditionalFormatting sqref="Q94:R95">
    <cfRule type="cellIs" dxfId="1" priority="532" operator="equal">
      <formula>"patellar"</formula>
    </cfRule>
  </conditionalFormatting>
  <conditionalFormatting sqref="Q94:R95">
    <cfRule type="cellIs" dxfId="2" priority="533" operator="equal">
      <formula>"hamstring"</formula>
    </cfRule>
  </conditionalFormatting>
  <conditionalFormatting sqref="Q94:R95">
    <cfRule type="cellIs" dxfId="3" priority="534" operator="equal">
      <formula>"quadriceps"</formula>
    </cfRule>
  </conditionalFormatting>
  <conditionalFormatting sqref="Q94:R95">
    <cfRule type="cellIs" dxfId="4" priority="535" operator="equal">
      <formula>"tibialis"</formula>
    </cfRule>
  </conditionalFormatting>
  <conditionalFormatting sqref="O91:R93">
    <cfRule type="expression" dxfId="0" priority="536">
      <formula>$AI91="Excluded"</formula>
    </cfRule>
  </conditionalFormatting>
  <conditionalFormatting sqref="Q91:R93">
    <cfRule type="cellIs" dxfId="1" priority="537" operator="equal">
      <formula>"patellar"</formula>
    </cfRule>
  </conditionalFormatting>
  <conditionalFormatting sqref="Q91:R93">
    <cfRule type="cellIs" dxfId="2" priority="538" operator="equal">
      <formula>"hamstring"</formula>
    </cfRule>
  </conditionalFormatting>
  <conditionalFormatting sqref="Q91:R93">
    <cfRule type="cellIs" dxfId="3" priority="539" operator="equal">
      <formula>"quadriceps"</formula>
    </cfRule>
  </conditionalFormatting>
  <conditionalFormatting sqref="Q91:R93">
    <cfRule type="cellIs" dxfId="4" priority="540" operator="equal">
      <formula>"tibialis"</formula>
    </cfRule>
  </conditionalFormatting>
  <conditionalFormatting sqref="O86:R90">
    <cfRule type="expression" dxfId="0" priority="541">
      <formula>$AI86="Excluded"</formula>
    </cfRule>
  </conditionalFormatting>
  <conditionalFormatting sqref="Q86:R90">
    <cfRule type="cellIs" dxfId="1" priority="542" operator="equal">
      <formula>"patellar"</formula>
    </cfRule>
  </conditionalFormatting>
  <conditionalFormatting sqref="Q86:R90">
    <cfRule type="cellIs" dxfId="2" priority="543" operator="equal">
      <formula>"hamstring"</formula>
    </cfRule>
  </conditionalFormatting>
  <conditionalFormatting sqref="Q86:R90">
    <cfRule type="cellIs" dxfId="3" priority="544" operator="equal">
      <formula>"quadriceps"</formula>
    </cfRule>
  </conditionalFormatting>
  <conditionalFormatting sqref="Q86:R90">
    <cfRule type="cellIs" dxfId="4" priority="545" operator="equal">
      <formula>"tibialis"</formula>
    </cfRule>
  </conditionalFormatting>
  <conditionalFormatting sqref="O72:R85">
    <cfRule type="expression" dxfId="0" priority="546">
      <formula>$AI72="Excluded"</formula>
    </cfRule>
  </conditionalFormatting>
  <conditionalFormatting sqref="Q72:R85">
    <cfRule type="cellIs" dxfId="1" priority="547" operator="equal">
      <formula>"patellar"</formula>
    </cfRule>
  </conditionalFormatting>
  <conditionalFormatting sqref="Q72:R85">
    <cfRule type="cellIs" dxfId="2" priority="548" operator="equal">
      <formula>"hamstring"</formula>
    </cfRule>
  </conditionalFormatting>
  <conditionalFormatting sqref="Q72:R85">
    <cfRule type="cellIs" dxfId="3" priority="549" operator="equal">
      <formula>"quadriceps"</formula>
    </cfRule>
  </conditionalFormatting>
  <conditionalFormatting sqref="Q72:R85">
    <cfRule type="cellIs" dxfId="4" priority="550" operator="equal">
      <formula>"tibialis"</formula>
    </cfRule>
  </conditionalFormatting>
  <conditionalFormatting sqref="O68:R71">
    <cfRule type="expression" dxfId="0" priority="551">
      <formula>$AI68="Excluded"</formula>
    </cfRule>
  </conditionalFormatting>
  <conditionalFormatting sqref="Q68:R71">
    <cfRule type="cellIs" dxfId="1" priority="552" operator="equal">
      <formula>"patellar"</formula>
    </cfRule>
  </conditionalFormatting>
  <conditionalFormatting sqref="Q68:R71">
    <cfRule type="cellIs" dxfId="2" priority="553" operator="equal">
      <formula>"hamstring"</formula>
    </cfRule>
  </conditionalFormatting>
  <conditionalFormatting sqref="Q68:R71">
    <cfRule type="cellIs" dxfId="3" priority="554" operator="equal">
      <formula>"quadriceps"</formula>
    </cfRule>
  </conditionalFormatting>
  <conditionalFormatting sqref="Q68:R71">
    <cfRule type="cellIs" dxfId="4" priority="555" operator="equal">
      <formula>"tibialis"</formula>
    </cfRule>
  </conditionalFormatting>
  <conditionalFormatting sqref="O66:R67">
    <cfRule type="expression" dxfId="0" priority="556">
      <formula>$AI66="Excluded"</formula>
    </cfRule>
  </conditionalFormatting>
  <conditionalFormatting sqref="Q66:R67">
    <cfRule type="cellIs" dxfId="1" priority="557" operator="equal">
      <formula>"patellar"</formula>
    </cfRule>
  </conditionalFormatting>
  <conditionalFormatting sqref="Q66:R67">
    <cfRule type="cellIs" dxfId="2" priority="558" operator="equal">
      <formula>"hamstring"</formula>
    </cfRule>
  </conditionalFormatting>
  <conditionalFormatting sqref="Q66:R67">
    <cfRule type="cellIs" dxfId="3" priority="559" operator="equal">
      <formula>"quadriceps"</formula>
    </cfRule>
  </conditionalFormatting>
  <conditionalFormatting sqref="Q66:R67">
    <cfRule type="cellIs" dxfId="4" priority="560" operator="equal">
      <formula>"tibialis"</formula>
    </cfRule>
  </conditionalFormatting>
  <conditionalFormatting sqref="O64:R65">
    <cfRule type="expression" dxfId="0" priority="561">
      <formula>$AI64="Excluded"</formula>
    </cfRule>
  </conditionalFormatting>
  <conditionalFormatting sqref="Q64:R65">
    <cfRule type="cellIs" dxfId="1" priority="562" operator="equal">
      <formula>"patellar"</formula>
    </cfRule>
  </conditionalFormatting>
  <conditionalFormatting sqref="Q64:R65">
    <cfRule type="cellIs" dxfId="2" priority="563" operator="equal">
      <formula>"hamstring"</formula>
    </cfRule>
  </conditionalFormatting>
  <conditionalFormatting sqref="Q64:R65">
    <cfRule type="cellIs" dxfId="3" priority="564" operator="equal">
      <formula>"quadriceps"</formula>
    </cfRule>
  </conditionalFormatting>
  <conditionalFormatting sqref="Q64:R65">
    <cfRule type="cellIs" dxfId="4" priority="565" operator="equal">
      <formula>"tibialis"</formula>
    </cfRule>
  </conditionalFormatting>
  <conditionalFormatting sqref="O55:R63">
    <cfRule type="expression" dxfId="0" priority="566">
      <formula>$AI55="Excluded"</formula>
    </cfRule>
  </conditionalFormatting>
  <conditionalFormatting sqref="Q55:R63">
    <cfRule type="cellIs" dxfId="1" priority="567" operator="equal">
      <formula>"patellar"</formula>
    </cfRule>
  </conditionalFormatting>
  <conditionalFormatting sqref="Q55:R63">
    <cfRule type="cellIs" dxfId="2" priority="568" operator="equal">
      <formula>"hamstring"</formula>
    </cfRule>
  </conditionalFormatting>
  <conditionalFormatting sqref="Q55:R63">
    <cfRule type="cellIs" dxfId="3" priority="569" operator="equal">
      <formula>"quadriceps"</formula>
    </cfRule>
  </conditionalFormatting>
  <conditionalFormatting sqref="Q55:R63">
    <cfRule type="cellIs" dxfId="4" priority="570" operator="equal">
      <formula>"tibialis"</formula>
    </cfRule>
  </conditionalFormatting>
  <conditionalFormatting sqref="O50:R54">
    <cfRule type="expression" dxfId="0" priority="571">
      <formula>$AI50="Excluded"</formula>
    </cfRule>
  </conditionalFormatting>
  <conditionalFormatting sqref="Q50:R54">
    <cfRule type="cellIs" dxfId="1" priority="572" operator="equal">
      <formula>"patellar"</formula>
    </cfRule>
  </conditionalFormatting>
  <conditionalFormatting sqref="Q50:R54">
    <cfRule type="cellIs" dxfId="2" priority="573" operator="equal">
      <formula>"hamstring"</formula>
    </cfRule>
  </conditionalFormatting>
  <conditionalFormatting sqref="Q50:R54">
    <cfRule type="cellIs" dxfId="3" priority="574" operator="equal">
      <formula>"quadriceps"</formula>
    </cfRule>
  </conditionalFormatting>
  <conditionalFormatting sqref="Q50:R54">
    <cfRule type="cellIs" dxfId="4" priority="575" operator="equal">
      <formula>"tibialis"</formula>
    </cfRule>
  </conditionalFormatting>
  <conditionalFormatting sqref="O47:R49">
    <cfRule type="expression" dxfId="0" priority="576">
      <formula>$AI47="Excluded"</formula>
    </cfRule>
  </conditionalFormatting>
  <conditionalFormatting sqref="Q47:R49">
    <cfRule type="cellIs" dxfId="1" priority="577" operator="equal">
      <formula>"patellar"</formula>
    </cfRule>
  </conditionalFormatting>
  <conditionalFormatting sqref="Q47:R49">
    <cfRule type="cellIs" dxfId="2" priority="578" operator="equal">
      <formula>"hamstring"</formula>
    </cfRule>
  </conditionalFormatting>
  <conditionalFormatting sqref="Q47:R49">
    <cfRule type="cellIs" dxfId="3" priority="579" operator="equal">
      <formula>"quadriceps"</formula>
    </cfRule>
  </conditionalFormatting>
  <conditionalFormatting sqref="Q47:R49">
    <cfRule type="cellIs" dxfId="4" priority="580" operator="equal">
      <formula>"tibialis"</formula>
    </cfRule>
  </conditionalFormatting>
  <conditionalFormatting sqref="O42:R46">
    <cfRule type="expression" dxfId="0" priority="581">
      <formula>$AI42="Excluded"</formula>
    </cfRule>
  </conditionalFormatting>
  <conditionalFormatting sqref="Q42:R46">
    <cfRule type="cellIs" dxfId="1" priority="582" operator="equal">
      <formula>"patellar"</formula>
    </cfRule>
  </conditionalFormatting>
  <conditionalFormatting sqref="Q42:R46">
    <cfRule type="cellIs" dxfId="2" priority="583" operator="equal">
      <formula>"hamstring"</formula>
    </cfRule>
  </conditionalFormatting>
  <conditionalFormatting sqref="Q42:R46">
    <cfRule type="cellIs" dxfId="3" priority="584" operator="equal">
      <formula>"quadriceps"</formula>
    </cfRule>
  </conditionalFormatting>
  <conditionalFormatting sqref="Q42:R46">
    <cfRule type="cellIs" dxfId="4" priority="585" operator="equal">
      <formula>"tibialis"</formula>
    </cfRule>
  </conditionalFormatting>
  <conditionalFormatting sqref="O40:R41">
    <cfRule type="expression" dxfId="0" priority="586">
      <formula>$AI40="Excluded"</formula>
    </cfRule>
  </conditionalFormatting>
  <conditionalFormatting sqref="Q40:R41">
    <cfRule type="cellIs" dxfId="1" priority="587" operator="equal">
      <formula>"patellar"</formula>
    </cfRule>
  </conditionalFormatting>
  <conditionalFormatting sqref="Q40:R41">
    <cfRule type="cellIs" dxfId="2" priority="588" operator="equal">
      <formula>"hamstring"</formula>
    </cfRule>
  </conditionalFormatting>
  <conditionalFormatting sqref="Q40:R41">
    <cfRule type="cellIs" dxfId="3" priority="589" operator="equal">
      <formula>"quadriceps"</formula>
    </cfRule>
  </conditionalFormatting>
  <conditionalFormatting sqref="Q40:R41">
    <cfRule type="cellIs" dxfId="4" priority="590" operator="equal">
      <formula>"tibialis"</formula>
    </cfRule>
  </conditionalFormatting>
  <conditionalFormatting sqref="O31:Q39 R31:R124">
    <cfRule type="expression" dxfId="0" priority="591">
      <formula>$AI31="Excluded"</formula>
    </cfRule>
  </conditionalFormatting>
  <conditionalFormatting sqref="Q31:Q39 R31:R124">
    <cfRule type="cellIs" dxfId="1" priority="592" operator="equal">
      <formula>"patellar"</formula>
    </cfRule>
  </conditionalFormatting>
  <conditionalFormatting sqref="Q31:Q39 R31:R124">
    <cfRule type="cellIs" dxfId="2" priority="593" operator="equal">
      <formula>"hamstring"</formula>
    </cfRule>
  </conditionalFormatting>
  <conditionalFormatting sqref="Q31:Q39 R31:R124">
    <cfRule type="cellIs" dxfId="3" priority="594" operator="equal">
      <formula>"quadriceps"</formula>
    </cfRule>
  </conditionalFormatting>
  <conditionalFormatting sqref="Q31:Q39 R31:R124">
    <cfRule type="cellIs" dxfId="4" priority="595" operator="equal">
      <formula>"tibialis"</formula>
    </cfRule>
  </conditionalFormatting>
  <conditionalFormatting sqref="O29:R30">
    <cfRule type="expression" dxfId="0" priority="596">
      <formula>$AI29="Excluded"</formula>
    </cfRule>
  </conditionalFormatting>
  <conditionalFormatting sqref="Q29:R30">
    <cfRule type="cellIs" dxfId="1" priority="597" operator="equal">
      <formula>"patellar"</formula>
    </cfRule>
  </conditionalFormatting>
  <conditionalFormatting sqref="Q29:R30">
    <cfRule type="cellIs" dxfId="2" priority="598" operator="equal">
      <formula>"hamstring"</formula>
    </cfRule>
  </conditionalFormatting>
  <conditionalFormatting sqref="Q29:R30">
    <cfRule type="cellIs" dxfId="3" priority="599" operator="equal">
      <formula>"quadriceps"</formula>
    </cfRule>
  </conditionalFormatting>
  <conditionalFormatting sqref="Q29:R30">
    <cfRule type="cellIs" dxfId="4" priority="600" operator="equal">
      <formula>"tibialis"</formula>
    </cfRule>
  </conditionalFormatting>
  <conditionalFormatting sqref="O19:R28">
    <cfRule type="expression" dxfId="0" priority="601">
      <formula>$AI19="Excluded"</formula>
    </cfRule>
  </conditionalFormatting>
  <conditionalFormatting sqref="Q19:R28">
    <cfRule type="cellIs" dxfId="1" priority="602" operator="equal">
      <formula>"patellar"</formula>
    </cfRule>
  </conditionalFormatting>
  <conditionalFormatting sqref="Q19:R28">
    <cfRule type="cellIs" dxfId="2" priority="603" operator="equal">
      <formula>"hamstring"</formula>
    </cfRule>
  </conditionalFormatting>
  <conditionalFormatting sqref="Q19:R28">
    <cfRule type="cellIs" dxfId="3" priority="604" operator="equal">
      <formula>"quadriceps"</formula>
    </cfRule>
  </conditionalFormatting>
  <conditionalFormatting sqref="Q19:R28">
    <cfRule type="cellIs" dxfId="4" priority="605" operator="equal">
      <formula>"tibialis"</formula>
    </cfRule>
  </conditionalFormatting>
  <conditionalFormatting sqref="O17:R18">
    <cfRule type="expression" dxfId="0" priority="606">
      <formula>$AI17="Excluded"</formula>
    </cfRule>
  </conditionalFormatting>
  <conditionalFormatting sqref="Q17:R18">
    <cfRule type="cellIs" dxfId="1" priority="607" operator="equal">
      <formula>"patellar"</formula>
    </cfRule>
  </conditionalFormatting>
  <conditionalFormatting sqref="Q17:R18">
    <cfRule type="cellIs" dxfId="2" priority="608" operator="equal">
      <formula>"hamstring"</formula>
    </cfRule>
  </conditionalFormatting>
  <conditionalFormatting sqref="Q17:R18">
    <cfRule type="cellIs" dxfId="3" priority="609" operator="equal">
      <formula>"quadriceps"</formula>
    </cfRule>
  </conditionalFormatting>
  <conditionalFormatting sqref="Q17:R18">
    <cfRule type="cellIs" dxfId="4" priority="610" operator="equal">
      <formula>"tibialis"</formula>
    </cfRule>
  </conditionalFormatting>
  <conditionalFormatting sqref="O14:R16">
    <cfRule type="expression" dxfId="0" priority="611">
      <formula>$AI14="Excluded"</formula>
    </cfRule>
  </conditionalFormatting>
  <conditionalFormatting sqref="Q14:R16">
    <cfRule type="cellIs" dxfId="1" priority="612" operator="equal">
      <formula>"patellar"</formula>
    </cfRule>
  </conditionalFormatting>
  <conditionalFormatting sqref="Q14:R16">
    <cfRule type="cellIs" dxfId="2" priority="613" operator="equal">
      <formula>"hamstring"</formula>
    </cfRule>
  </conditionalFormatting>
  <conditionalFormatting sqref="Q14:R16">
    <cfRule type="cellIs" dxfId="3" priority="614" operator="equal">
      <formula>"quadriceps"</formula>
    </cfRule>
  </conditionalFormatting>
  <conditionalFormatting sqref="Q14:R16">
    <cfRule type="cellIs" dxfId="4" priority="615" operator="equal">
      <formula>"tibialis"</formula>
    </cfRule>
  </conditionalFormatting>
  <conditionalFormatting sqref="O9:R13">
    <cfRule type="expression" dxfId="0" priority="616">
      <formula>$AI9="Excluded"</formula>
    </cfRule>
  </conditionalFormatting>
  <conditionalFormatting sqref="Q9:R13">
    <cfRule type="cellIs" dxfId="1" priority="617" operator="equal">
      <formula>"patellar"</formula>
    </cfRule>
  </conditionalFormatting>
  <conditionalFormatting sqref="Q9:R13">
    <cfRule type="cellIs" dxfId="2" priority="618" operator="equal">
      <formula>"hamstring"</formula>
    </cfRule>
  </conditionalFormatting>
  <conditionalFormatting sqref="Q9:R13">
    <cfRule type="cellIs" dxfId="3" priority="619" operator="equal">
      <formula>"quadriceps"</formula>
    </cfRule>
  </conditionalFormatting>
  <conditionalFormatting sqref="Q9:R13">
    <cfRule type="cellIs" dxfId="4" priority="620" operator="equal">
      <formula>"tibialis"</formula>
    </cfRule>
  </conditionalFormatting>
  <conditionalFormatting sqref="O3:R1124">
    <cfRule type="expression" dxfId="0" priority="621">
      <formula>$AI3="Excluded"</formula>
    </cfRule>
  </conditionalFormatting>
  <conditionalFormatting sqref="Q3:R1124">
    <cfRule type="cellIs" dxfId="1" priority="622" operator="equal">
      <formula>"patellar"</formula>
    </cfRule>
  </conditionalFormatting>
  <conditionalFormatting sqref="Q3:R1124">
    <cfRule type="cellIs" dxfId="2" priority="623" operator="equal">
      <formula>"hamstring"</formula>
    </cfRule>
  </conditionalFormatting>
  <conditionalFormatting sqref="Q3:R1124">
    <cfRule type="cellIs" dxfId="3" priority="624" operator="equal">
      <formula>"quadriceps"</formula>
    </cfRule>
  </conditionalFormatting>
  <conditionalFormatting sqref="Q1:R1 Q3:R1124">
    <cfRule type="cellIs" dxfId="4" priority="625" operator="equal">
      <formula>"tibialis"</formula>
    </cfRule>
  </conditionalFormatting>
  <conditionalFormatting sqref="M119:N1124 P119:P1124 R119:R1124">
    <cfRule type="expression" dxfId="0" priority="626">
      <formula>$AI119="Excluded"</formula>
    </cfRule>
  </conditionalFormatting>
  <conditionalFormatting sqref="P119:P1124 R119:R1124">
    <cfRule type="cellIs" dxfId="1" priority="627" operator="equal">
      <formula>"patellar"</formula>
    </cfRule>
  </conditionalFormatting>
  <conditionalFormatting sqref="P119:P1124 R119:R1124">
    <cfRule type="cellIs" dxfId="2" priority="628" operator="equal">
      <formula>"hamstring"</formula>
    </cfRule>
  </conditionalFormatting>
  <conditionalFormatting sqref="P119:P1124 R119:R1124">
    <cfRule type="cellIs" dxfId="3" priority="629" operator="equal">
      <formula>"quadriceps"</formula>
    </cfRule>
  </conditionalFormatting>
  <conditionalFormatting sqref="P119:P1124 R119:R1124">
    <cfRule type="cellIs" dxfId="4" priority="630" operator="equal">
      <formula>"tibialis"</formula>
    </cfRule>
  </conditionalFormatting>
  <conditionalFormatting sqref="M117:N118 P117:P118 R117:R118">
    <cfRule type="expression" dxfId="0" priority="631">
      <formula>$AI117="Excluded"</formula>
    </cfRule>
  </conditionalFormatting>
  <conditionalFormatting sqref="P117:P118 R117:R118">
    <cfRule type="cellIs" dxfId="1" priority="632" operator="equal">
      <formula>"patellar"</formula>
    </cfRule>
  </conditionalFormatting>
  <conditionalFormatting sqref="P117:P118 R117:R118">
    <cfRule type="cellIs" dxfId="2" priority="633" operator="equal">
      <formula>"hamstring"</formula>
    </cfRule>
  </conditionalFormatting>
  <conditionalFormatting sqref="P117:P118 R117:R118">
    <cfRule type="cellIs" dxfId="3" priority="634" operator="equal">
      <formula>"quadriceps"</formula>
    </cfRule>
  </conditionalFormatting>
  <conditionalFormatting sqref="P117:P118 R117:R118">
    <cfRule type="cellIs" dxfId="4" priority="635" operator="equal">
      <formula>"tibialis"</formula>
    </cfRule>
  </conditionalFormatting>
  <conditionalFormatting sqref="M111:N116 P111:P116 R111:R116">
    <cfRule type="expression" dxfId="0" priority="636">
      <formula>$AI111="Excluded"</formula>
    </cfRule>
  </conditionalFormatting>
  <conditionalFormatting sqref="P111:P116 R111:R116">
    <cfRule type="cellIs" dxfId="1" priority="637" operator="equal">
      <formula>"patellar"</formula>
    </cfRule>
  </conditionalFormatting>
  <conditionalFormatting sqref="P111:P116 R111:R116">
    <cfRule type="cellIs" dxfId="2" priority="638" operator="equal">
      <formula>"hamstring"</formula>
    </cfRule>
  </conditionalFormatting>
  <conditionalFormatting sqref="P111:P116 R111:R116">
    <cfRule type="cellIs" dxfId="3" priority="639" operator="equal">
      <formula>"quadriceps"</formula>
    </cfRule>
  </conditionalFormatting>
  <conditionalFormatting sqref="P111:P116 R111:R116">
    <cfRule type="cellIs" dxfId="4" priority="640" operator="equal">
      <formula>"tibialis"</formula>
    </cfRule>
  </conditionalFormatting>
  <conditionalFormatting sqref="M106:N1124 P106:P1124 R106:R1124">
    <cfRule type="expression" dxfId="0" priority="641">
      <formula>$AI106="Excluded"</formula>
    </cfRule>
  </conditionalFormatting>
  <conditionalFormatting sqref="P106:P1124 R106:R1124">
    <cfRule type="cellIs" dxfId="1" priority="642" operator="equal">
      <formula>"patellar"</formula>
    </cfRule>
  </conditionalFormatting>
  <conditionalFormatting sqref="P106:P1124 R106:R1124">
    <cfRule type="cellIs" dxfId="2" priority="643" operator="equal">
      <formula>"hamstring"</formula>
    </cfRule>
  </conditionalFormatting>
  <conditionalFormatting sqref="P106:P1124 R106:R1124">
    <cfRule type="cellIs" dxfId="3" priority="644" operator="equal">
      <formula>"quadriceps"</formula>
    </cfRule>
  </conditionalFormatting>
  <conditionalFormatting sqref="P106:P1124 R106:R1124">
    <cfRule type="cellIs" dxfId="4" priority="645" operator="equal">
      <formula>"tibialis"</formula>
    </cfRule>
  </conditionalFormatting>
  <conditionalFormatting sqref="M98:N105 P98:P1124 R98:R1124 M107:N109 M111:N113 M115:N117 M119:N121">
    <cfRule type="expression" dxfId="0" priority="646">
      <formula>$AI98="Excluded"</formula>
    </cfRule>
  </conditionalFormatting>
  <conditionalFormatting sqref="P98:P1124 R98:R1124">
    <cfRule type="cellIs" dxfId="1" priority="647" operator="equal">
      <formula>"patellar"</formula>
    </cfRule>
  </conditionalFormatting>
  <conditionalFormatting sqref="P98:P1124 R98:R1124">
    <cfRule type="cellIs" dxfId="2" priority="648" operator="equal">
      <formula>"hamstring"</formula>
    </cfRule>
  </conditionalFormatting>
  <conditionalFormatting sqref="P98:P1124 R98:R1124">
    <cfRule type="cellIs" dxfId="3" priority="649" operator="equal">
      <formula>"quadriceps"</formula>
    </cfRule>
  </conditionalFormatting>
  <conditionalFormatting sqref="P98:P1124 R98:R1124">
    <cfRule type="cellIs" dxfId="4" priority="650" operator="equal">
      <formula>"tibialis"</formula>
    </cfRule>
  </conditionalFormatting>
  <conditionalFormatting sqref="M96:N97 P96:P97 R96:R97">
    <cfRule type="expression" dxfId="0" priority="651">
      <formula>$AI96="Excluded"</formula>
    </cfRule>
  </conditionalFormatting>
  <conditionalFormatting sqref="P96:P97 R96:R97">
    <cfRule type="cellIs" dxfId="1" priority="652" operator="equal">
      <formula>"patellar"</formula>
    </cfRule>
  </conditionalFormatting>
  <conditionalFormatting sqref="P96:P97 R96:R97">
    <cfRule type="cellIs" dxfId="2" priority="653" operator="equal">
      <formula>"hamstring"</formula>
    </cfRule>
  </conditionalFormatting>
  <conditionalFormatting sqref="P96:P97 R96:R97">
    <cfRule type="cellIs" dxfId="3" priority="654" operator="equal">
      <formula>"quadriceps"</formula>
    </cfRule>
  </conditionalFormatting>
  <conditionalFormatting sqref="P96:P97 R96:R97">
    <cfRule type="cellIs" dxfId="4" priority="655" operator="equal">
      <formula>"tibialis"</formula>
    </cfRule>
  </conditionalFormatting>
  <conditionalFormatting sqref="M94:N95 P94:P95 R94:R95">
    <cfRule type="expression" dxfId="0" priority="656">
      <formula>$AI94="Excluded"</formula>
    </cfRule>
  </conditionalFormatting>
  <conditionalFormatting sqref="P94:P95 R94:R95">
    <cfRule type="cellIs" dxfId="1" priority="657" operator="equal">
      <formula>"patellar"</formula>
    </cfRule>
  </conditionalFormatting>
  <conditionalFormatting sqref="P94:P95 R94:R95">
    <cfRule type="cellIs" dxfId="2" priority="658" operator="equal">
      <formula>"hamstring"</formula>
    </cfRule>
  </conditionalFormatting>
  <conditionalFormatting sqref="P94:P95 R94:R95">
    <cfRule type="cellIs" dxfId="3" priority="659" operator="equal">
      <formula>"quadriceps"</formula>
    </cfRule>
  </conditionalFormatting>
  <conditionalFormatting sqref="P94:P95 R94:R95">
    <cfRule type="cellIs" dxfId="4" priority="660" operator="equal">
      <formula>"tibialis"</formula>
    </cfRule>
  </conditionalFormatting>
  <conditionalFormatting sqref="M91:N93 P91:P93 R91:R93">
    <cfRule type="expression" dxfId="0" priority="661">
      <formula>$AI91="Excluded"</formula>
    </cfRule>
  </conditionalFormatting>
  <conditionalFormatting sqref="P91:P93 R91:R93">
    <cfRule type="cellIs" dxfId="1" priority="662" operator="equal">
      <formula>"patellar"</formula>
    </cfRule>
  </conditionalFormatting>
  <conditionalFormatting sqref="P91:P93 R91:R93">
    <cfRule type="cellIs" dxfId="2" priority="663" operator="equal">
      <formula>"hamstring"</formula>
    </cfRule>
  </conditionalFormatting>
  <conditionalFormatting sqref="P91:P93 R91:R93">
    <cfRule type="cellIs" dxfId="3" priority="664" operator="equal">
      <formula>"quadriceps"</formula>
    </cfRule>
  </conditionalFormatting>
  <conditionalFormatting sqref="P91:P93 R91:R93">
    <cfRule type="cellIs" dxfId="4" priority="665" operator="equal">
      <formula>"tibialis"</formula>
    </cfRule>
  </conditionalFormatting>
  <conditionalFormatting sqref="M86:N90 P86:P90 R86:R90">
    <cfRule type="expression" dxfId="0" priority="666">
      <formula>$AI86="Excluded"</formula>
    </cfRule>
  </conditionalFormatting>
  <conditionalFormatting sqref="P86:P90 R86:R90">
    <cfRule type="cellIs" dxfId="1" priority="667" operator="equal">
      <formula>"patellar"</formula>
    </cfRule>
  </conditionalFormatting>
  <conditionalFormatting sqref="P86:P90 R86:R90">
    <cfRule type="cellIs" dxfId="2" priority="668" operator="equal">
      <formula>"hamstring"</formula>
    </cfRule>
  </conditionalFormatting>
  <conditionalFormatting sqref="P86:P90 R86:R90">
    <cfRule type="cellIs" dxfId="3" priority="669" operator="equal">
      <formula>"quadriceps"</formula>
    </cfRule>
  </conditionalFormatting>
  <conditionalFormatting sqref="P86:P90 R86:R90">
    <cfRule type="cellIs" dxfId="4" priority="670" operator="equal">
      <formula>"tibialis"</formula>
    </cfRule>
  </conditionalFormatting>
  <conditionalFormatting sqref="M72:N85 P72:P85 R72:R85">
    <cfRule type="expression" dxfId="0" priority="671">
      <formula>$AI72="Excluded"</formula>
    </cfRule>
  </conditionalFormatting>
  <conditionalFormatting sqref="P72:P85 R72:R85">
    <cfRule type="cellIs" dxfId="1" priority="672" operator="equal">
      <formula>"patellar"</formula>
    </cfRule>
  </conditionalFormatting>
  <conditionalFormatting sqref="P72:P85 R72:R85">
    <cfRule type="cellIs" dxfId="2" priority="673" operator="equal">
      <formula>"hamstring"</formula>
    </cfRule>
  </conditionalFormatting>
  <conditionalFormatting sqref="P72:P85 R72:R85">
    <cfRule type="cellIs" dxfId="3" priority="674" operator="equal">
      <formula>"quadriceps"</formula>
    </cfRule>
  </conditionalFormatting>
  <conditionalFormatting sqref="P72:P85 R72:R85">
    <cfRule type="cellIs" dxfId="4" priority="675" operator="equal">
      <formula>"tibialis"</formula>
    </cfRule>
  </conditionalFormatting>
  <conditionalFormatting sqref="M68:N71 P68:P71 R68:R71">
    <cfRule type="expression" dxfId="0" priority="676">
      <formula>$AI68="Excluded"</formula>
    </cfRule>
  </conditionalFormatting>
  <conditionalFormatting sqref="P68:P71 R68:R71">
    <cfRule type="cellIs" dxfId="1" priority="677" operator="equal">
      <formula>"patellar"</formula>
    </cfRule>
  </conditionalFormatting>
  <conditionalFormatting sqref="P68:P71 R68:R71">
    <cfRule type="cellIs" dxfId="2" priority="678" operator="equal">
      <formula>"hamstring"</formula>
    </cfRule>
  </conditionalFormatting>
  <conditionalFormatting sqref="P68:P71 R68:R71">
    <cfRule type="cellIs" dxfId="3" priority="679" operator="equal">
      <formula>"quadriceps"</formula>
    </cfRule>
  </conditionalFormatting>
  <conditionalFormatting sqref="P68:P71 R68:R71">
    <cfRule type="cellIs" dxfId="4" priority="680" operator="equal">
      <formula>"tibialis"</formula>
    </cfRule>
  </conditionalFormatting>
  <conditionalFormatting sqref="M66:N67 P66:P67 R66:R67">
    <cfRule type="expression" dxfId="0" priority="681">
      <formula>$AI66="Excluded"</formula>
    </cfRule>
  </conditionalFormatting>
  <conditionalFormatting sqref="P66:P67 R66:R67">
    <cfRule type="cellIs" dxfId="1" priority="682" operator="equal">
      <formula>"patellar"</formula>
    </cfRule>
  </conditionalFormatting>
  <conditionalFormatting sqref="P66:P67 R66:R67">
    <cfRule type="cellIs" dxfId="2" priority="683" operator="equal">
      <formula>"hamstring"</formula>
    </cfRule>
  </conditionalFormatting>
  <conditionalFormatting sqref="P66:P67 R66:R67">
    <cfRule type="cellIs" dxfId="3" priority="684" operator="equal">
      <formula>"quadriceps"</formula>
    </cfRule>
  </conditionalFormatting>
  <conditionalFormatting sqref="P66:P67 R66:R67">
    <cfRule type="cellIs" dxfId="4" priority="685" operator="equal">
      <formula>"tibialis"</formula>
    </cfRule>
  </conditionalFormatting>
  <conditionalFormatting sqref="M64:N65 P64:P65 R64:R65">
    <cfRule type="expression" dxfId="0" priority="686">
      <formula>$AI64="Excluded"</formula>
    </cfRule>
  </conditionalFormatting>
  <conditionalFormatting sqref="P64:P65 R64:R65">
    <cfRule type="cellIs" dxfId="1" priority="687" operator="equal">
      <formula>"patellar"</formula>
    </cfRule>
  </conditionalFormatting>
  <conditionalFormatting sqref="P64:P65 R64:R65">
    <cfRule type="cellIs" dxfId="2" priority="688" operator="equal">
      <formula>"hamstring"</formula>
    </cfRule>
  </conditionalFormatting>
  <conditionalFormatting sqref="P64:P65 R64:R65">
    <cfRule type="cellIs" dxfId="3" priority="689" operator="equal">
      <formula>"quadriceps"</formula>
    </cfRule>
  </conditionalFormatting>
  <conditionalFormatting sqref="P64:P65 R64:R65">
    <cfRule type="cellIs" dxfId="4" priority="690" operator="equal">
      <formula>"tibialis"</formula>
    </cfRule>
  </conditionalFormatting>
  <conditionalFormatting sqref="M55:N63 P55:P63 R55:R63">
    <cfRule type="expression" dxfId="0" priority="691">
      <formula>$AI55="Excluded"</formula>
    </cfRule>
  </conditionalFormatting>
  <conditionalFormatting sqref="P55:P63 R55:R63">
    <cfRule type="cellIs" dxfId="1" priority="692" operator="equal">
      <formula>"patellar"</formula>
    </cfRule>
  </conditionalFormatting>
  <conditionalFormatting sqref="P55:P63 R55:R63">
    <cfRule type="cellIs" dxfId="2" priority="693" operator="equal">
      <formula>"hamstring"</formula>
    </cfRule>
  </conditionalFormatting>
  <conditionalFormatting sqref="P55:P63 R55:R63">
    <cfRule type="cellIs" dxfId="3" priority="694" operator="equal">
      <formula>"quadriceps"</formula>
    </cfRule>
  </conditionalFormatting>
  <conditionalFormatting sqref="P55:P63 R55:R63">
    <cfRule type="cellIs" dxfId="4" priority="695" operator="equal">
      <formula>"tibialis"</formula>
    </cfRule>
  </conditionalFormatting>
  <conditionalFormatting sqref="M50:N54 P50:P54 R50:R54">
    <cfRule type="expression" dxfId="0" priority="696">
      <formula>$AI50="Excluded"</formula>
    </cfRule>
  </conditionalFormatting>
  <conditionalFormatting sqref="P50:P54 R50:R54">
    <cfRule type="cellIs" dxfId="1" priority="697" operator="equal">
      <formula>"patellar"</formula>
    </cfRule>
  </conditionalFormatting>
  <conditionalFormatting sqref="P50:P54 R50:R54">
    <cfRule type="cellIs" dxfId="2" priority="698" operator="equal">
      <formula>"hamstring"</formula>
    </cfRule>
  </conditionalFormatting>
  <conditionalFormatting sqref="P50:P54 R50:R54">
    <cfRule type="cellIs" dxfId="3" priority="699" operator="equal">
      <formula>"quadriceps"</formula>
    </cfRule>
  </conditionalFormatting>
  <conditionalFormatting sqref="P50:P54 R50:R54">
    <cfRule type="cellIs" dxfId="4" priority="700" operator="equal">
      <formula>"tibialis"</formula>
    </cfRule>
  </conditionalFormatting>
  <conditionalFormatting sqref="M47:N49 P47:P49 R47:R49">
    <cfRule type="expression" dxfId="0" priority="701">
      <formula>$AI47="Excluded"</formula>
    </cfRule>
  </conditionalFormatting>
  <conditionalFormatting sqref="P47:P49 R47:R49">
    <cfRule type="cellIs" dxfId="1" priority="702" operator="equal">
      <formula>"patellar"</formula>
    </cfRule>
  </conditionalFormatting>
  <conditionalFormatting sqref="P47:P49 R47:R49">
    <cfRule type="cellIs" dxfId="2" priority="703" operator="equal">
      <formula>"hamstring"</formula>
    </cfRule>
  </conditionalFormatting>
  <conditionalFormatting sqref="P47:P49 R47:R49">
    <cfRule type="cellIs" dxfId="3" priority="704" operator="equal">
      <formula>"quadriceps"</formula>
    </cfRule>
  </conditionalFormatting>
  <conditionalFormatting sqref="P47:P49 R47:R49">
    <cfRule type="cellIs" dxfId="4" priority="705" operator="equal">
      <formula>"tibialis"</formula>
    </cfRule>
  </conditionalFormatting>
  <conditionalFormatting sqref="M42:N46 P42:P46 R42:R46">
    <cfRule type="expression" dxfId="0" priority="706">
      <formula>$AI42="Excluded"</formula>
    </cfRule>
  </conditionalFormatting>
  <conditionalFormatting sqref="P42:P46 R42:R46">
    <cfRule type="cellIs" dxfId="1" priority="707" operator="equal">
      <formula>"patellar"</formula>
    </cfRule>
  </conditionalFormatting>
  <conditionalFormatting sqref="P42:P46 R42:R46">
    <cfRule type="cellIs" dxfId="2" priority="708" operator="equal">
      <formula>"hamstring"</formula>
    </cfRule>
  </conditionalFormatting>
  <conditionalFormatting sqref="P42:P46 R42:R46">
    <cfRule type="cellIs" dxfId="3" priority="709" operator="equal">
      <formula>"quadriceps"</formula>
    </cfRule>
  </conditionalFormatting>
  <conditionalFormatting sqref="P42:P46 R42:R46">
    <cfRule type="cellIs" dxfId="4" priority="710" operator="equal">
      <formula>"tibialis"</formula>
    </cfRule>
  </conditionalFormatting>
  <conditionalFormatting sqref="M40:N41 P40:P41 R40:R41">
    <cfRule type="expression" dxfId="0" priority="711">
      <formula>$AI40="Excluded"</formula>
    </cfRule>
  </conditionalFormatting>
  <conditionalFormatting sqref="P40:P41 R40:R41">
    <cfRule type="cellIs" dxfId="1" priority="712" operator="equal">
      <formula>"patellar"</formula>
    </cfRule>
  </conditionalFormatting>
  <conditionalFormatting sqref="P40:P41 R40:R41">
    <cfRule type="cellIs" dxfId="2" priority="713" operator="equal">
      <formula>"hamstring"</formula>
    </cfRule>
  </conditionalFormatting>
  <conditionalFormatting sqref="P40:P41 R40:R41">
    <cfRule type="cellIs" dxfId="3" priority="714" operator="equal">
      <formula>"quadriceps"</formula>
    </cfRule>
  </conditionalFormatting>
  <conditionalFormatting sqref="P40:P41 R40:R41">
    <cfRule type="cellIs" dxfId="4" priority="715" operator="equal">
      <formula>"tibialis"</formula>
    </cfRule>
  </conditionalFormatting>
  <conditionalFormatting sqref="M31:N40 P31:P39 R31:R1124 P63:P66 P95:P1124">
    <cfRule type="expression" dxfId="0" priority="716">
      <formula>$AI31="Excluded"</formula>
    </cfRule>
  </conditionalFormatting>
  <conditionalFormatting sqref="P31:P39 R31:R1124 P63:P66 P95:P1124">
    <cfRule type="cellIs" dxfId="1" priority="717" operator="equal">
      <formula>"patellar"</formula>
    </cfRule>
  </conditionalFormatting>
  <conditionalFormatting sqref="P31:P39 R31:R1124 P63:P66 P95:P1124">
    <cfRule type="cellIs" dxfId="2" priority="718" operator="equal">
      <formula>"hamstring"</formula>
    </cfRule>
  </conditionalFormatting>
  <conditionalFormatting sqref="P31:P39 R31:R1124 P63:P66 P95:P1124">
    <cfRule type="cellIs" dxfId="3" priority="719" operator="equal">
      <formula>"quadriceps"</formula>
    </cfRule>
  </conditionalFormatting>
  <conditionalFormatting sqref="P31:P39 R31:R1124 P63:P66 P95:P1124">
    <cfRule type="cellIs" dxfId="4" priority="720" operator="equal">
      <formula>"tibialis"</formula>
    </cfRule>
  </conditionalFormatting>
  <conditionalFormatting sqref="M29:N30 P29:P30 R29:R30 P61:P62 R61:R62 P93:P94 R93:R94">
    <cfRule type="expression" dxfId="0" priority="721">
      <formula>$AI29="Excluded"</formula>
    </cfRule>
  </conditionalFormatting>
  <conditionalFormatting sqref="P29:P30 R29:R30 P61:P62 R61:R62 P93:P94 R93:R94">
    <cfRule type="cellIs" dxfId="1" priority="722" operator="equal">
      <formula>"patellar"</formula>
    </cfRule>
  </conditionalFormatting>
  <conditionalFormatting sqref="P29:P30 R29:R30 P61:P62 R61:R62 P93:P94 R93:R94">
    <cfRule type="cellIs" dxfId="2" priority="723" operator="equal">
      <formula>"hamstring"</formula>
    </cfRule>
  </conditionalFormatting>
  <conditionalFormatting sqref="P29:P30 R29:R30 P61:P62 R61:R62 P93:P94 R93:R94">
    <cfRule type="cellIs" dxfId="3" priority="724" operator="equal">
      <formula>"quadriceps"</formula>
    </cfRule>
  </conditionalFormatting>
  <conditionalFormatting sqref="P29:P30 R29:R30 P61:P62 R61:R62 P93:P94 R93:R94">
    <cfRule type="cellIs" dxfId="4" priority="725" operator="equal">
      <formula>"tibialis"</formula>
    </cfRule>
  </conditionalFormatting>
  <conditionalFormatting sqref="M19:N28 P19:P28 R19:R28 P51:P60 R51:R60 P83:P92 R83:R92">
    <cfRule type="expression" dxfId="0" priority="726">
      <formula>$AI19="Excluded"</formula>
    </cfRule>
  </conditionalFormatting>
  <conditionalFormatting sqref="P19:P28 R19:R28 P51:P60 R51:R60 P83:P92 R83:R92">
    <cfRule type="cellIs" dxfId="1" priority="727" operator="equal">
      <formula>"patellar"</formula>
    </cfRule>
  </conditionalFormatting>
  <conditionalFormatting sqref="P19:P28 R19:R28 P51:P60 R51:R60 P83:P92 R83:R92">
    <cfRule type="cellIs" dxfId="2" priority="728" operator="equal">
      <formula>"hamstring"</formula>
    </cfRule>
  </conditionalFormatting>
  <conditionalFormatting sqref="P19:P28 R19:R28 P51:P60 R51:R60 P83:P92 R83:R92">
    <cfRule type="cellIs" dxfId="3" priority="729" operator="equal">
      <formula>"quadriceps"</formula>
    </cfRule>
  </conditionalFormatting>
  <conditionalFormatting sqref="P19:P28 R19:R28 P51:P60 R51:R60 P83:P92 R83:R92">
    <cfRule type="cellIs" dxfId="4" priority="730" operator="equal">
      <formula>"tibialis"</formula>
    </cfRule>
  </conditionalFormatting>
  <conditionalFormatting sqref="M17:N18 P17:P18 R17:R18 P49:P50 R49:R50 P81:P82 R81:R82">
    <cfRule type="expression" dxfId="0" priority="731">
      <formula>$AI17="Excluded"</formula>
    </cfRule>
  </conditionalFormatting>
  <conditionalFormatting sqref="P17:P18 R17:R18 P49:P50 R49:R50 P81:P82 R81:R82">
    <cfRule type="cellIs" dxfId="1" priority="732" operator="equal">
      <formula>"patellar"</formula>
    </cfRule>
  </conditionalFormatting>
  <conditionalFormatting sqref="P17:P18 R17:R18 P49:P50 R49:R50 P81:P82 R81:R82">
    <cfRule type="cellIs" dxfId="2" priority="733" operator="equal">
      <formula>"hamstring"</formula>
    </cfRule>
  </conditionalFormatting>
  <conditionalFormatting sqref="P17:P18 R17:R18 P49:P50 R49:R50 P81:P82 R81:R82">
    <cfRule type="cellIs" dxfId="3" priority="734" operator="equal">
      <formula>"quadriceps"</formula>
    </cfRule>
  </conditionalFormatting>
  <conditionalFormatting sqref="P17:P18 R17:R18 P49:P50 R49:R50 P81:P82 R81:R82">
    <cfRule type="cellIs" dxfId="4" priority="735" operator="equal">
      <formula>"tibialis"</formula>
    </cfRule>
  </conditionalFormatting>
  <conditionalFormatting sqref="M14:N16 P14:P16 R14:R16 P46:P48 R46:R48 P78:P80 R78:R80">
    <cfRule type="expression" dxfId="0" priority="736">
      <formula>$AI14="Excluded"</formula>
    </cfRule>
  </conditionalFormatting>
  <conditionalFormatting sqref="P14:P16 R14:R16 P46:P48 R46:R48 P78:P80 R78:R80">
    <cfRule type="cellIs" dxfId="1" priority="737" operator="equal">
      <formula>"patellar"</formula>
    </cfRule>
  </conditionalFormatting>
  <conditionalFormatting sqref="P14:P16 R14:R16 P46:P48 R46:R48 P78:P80 R78:R80">
    <cfRule type="cellIs" dxfId="2" priority="738" operator="equal">
      <formula>"hamstring"</formula>
    </cfRule>
  </conditionalFormatting>
  <conditionalFormatting sqref="P14:P16 R14:R16 P46:P48 R46:R48 P78:P80 R78:R80">
    <cfRule type="cellIs" dxfId="3" priority="739" operator="equal">
      <formula>"quadriceps"</formula>
    </cfRule>
  </conditionalFormatting>
  <conditionalFormatting sqref="P14:P16 R14:R16 P46:P48 R46:R48 P78:P80 R78:R80">
    <cfRule type="cellIs" dxfId="4" priority="740" operator="equal">
      <formula>"tibialis"</formula>
    </cfRule>
  </conditionalFormatting>
  <conditionalFormatting sqref="M9:N13 P9:P13 R9:R13 P41:P45 R41:R45 P73:P77 R73:R77">
    <cfRule type="expression" dxfId="0" priority="741">
      <formula>$AI9="Excluded"</formula>
    </cfRule>
  </conditionalFormatting>
  <conditionalFormatting sqref="P9:P13 R9:R13 P41:P45 R41:R45 P73:P77 R73:R77">
    <cfRule type="cellIs" dxfId="1" priority="742" operator="equal">
      <formula>"patellar"</formula>
    </cfRule>
  </conditionalFormatting>
  <conditionalFormatting sqref="P9:P13 R9:R13 P41:P45 R41:R45 P73:P77 R73:R77">
    <cfRule type="cellIs" dxfId="2" priority="743" operator="equal">
      <formula>"hamstring"</formula>
    </cfRule>
  </conditionalFormatting>
  <conditionalFormatting sqref="P9:P13 R9:R13 P41:P45 R41:R45 P73:P77 R73:R77">
    <cfRule type="cellIs" dxfId="3" priority="744" operator="equal">
      <formula>"quadriceps"</formula>
    </cfRule>
  </conditionalFormatting>
  <conditionalFormatting sqref="P9:P13 R9:R13 P41:P45 R41:R45 P73:P77 R73:R77">
    <cfRule type="cellIs" dxfId="4" priority="745" operator="equal">
      <formula>"tibialis"</formula>
    </cfRule>
  </conditionalFormatting>
  <conditionalFormatting sqref="M3:N1124 P3:P1124 R3:R1124">
    <cfRule type="expression" dxfId="0" priority="746">
      <formula>$AI3="Excluded"</formula>
    </cfRule>
  </conditionalFormatting>
  <conditionalFormatting sqref="P3:P1124 R3:R1124">
    <cfRule type="cellIs" dxfId="1" priority="747" operator="equal">
      <formula>"patellar"</formula>
    </cfRule>
  </conditionalFormatting>
  <conditionalFormatting sqref="P3:P1124 R3:R1124">
    <cfRule type="cellIs" dxfId="2" priority="748" operator="equal">
      <formula>"hamstring"</formula>
    </cfRule>
  </conditionalFormatting>
  <conditionalFormatting sqref="P3:P1124 R3:R1124">
    <cfRule type="cellIs" dxfId="3" priority="749" operator="equal">
      <formula>"quadriceps"</formula>
    </cfRule>
  </conditionalFormatting>
  <conditionalFormatting sqref="P1 R1 P3:P1124 R3:R1124">
    <cfRule type="cellIs" dxfId="4" priority="750" operator="equal">
      <formula>"tibialis"</formula>
    </cfRule>
  </conditionalFormatting>
  <conditionalFormatting sqref="K119:L1124">
    <cfRule type="expression" dxfId="0" priority="751">
      <formula>$AI119="Excluded"</formula>
    </cfRule>
  </conditionalFormatting>
  <conditionalFormatting sqref="L119:L1124">
    <cfRule type="cellIs" dxfId="1" priority="752" operator="equal">
      <formula>"patellar"</formula>
    </cfRule>
  </conditionalFormatting>
  <conditionalFormatting sqref="L119:L1124">
    <cfRule type="cellIs" dxfId="2" priority="753" operator="equal">
      <formula>"hamstring"</formula>
    </cfRule>
  </conditionalFormatting>
  <conditionalFormatting sqref="L119:L1124">
    <cfRule type="cellIs" dxfId="3" priority="754" operator="equal">
      <formula>"quadriceps"</formula>
    </cfRule>
  </conditionalFormatting>
  <conditionalFormatting sqref="L119:L1124">
    <cfRule type="cellIs" dxfId="4" priority="755" operator="equal">
      <formula>"tibialis"</formula>
    </cfRule>
  </conditionalFormatting>
  <conditionalFormatting sqref="K117:L118">
    <cfRule type="expression" dxfId="0" priority="756">
      <formula>$AI117="Excluded"</formula>
    </cfRule>
  </conditionalFormatting>
  <conditionalFormatting sqref="L117:L118">
    <cfRule type="cellIs" dxfId="1" priority="757" operator="equal">
      <formula>"patellar"</formula>
    </cfRule>
  </conditionalFormatting>
  <conditionalFormatting sqref="L117:L118">
    <cfRule type="cellIs" dxfId="2" priority="758" operator="equal">
      <formula>"hamstring"</formula>
    </cfRule>
  </conditionalFormatting>
  <conditionalFormatting sqref="L117:L118">
    <cfRule type="cellIs" dxfId="3" priority="759" operator="equal">
      <formula>"quadriceps"</formula>
    </cfRule>
  </conditionalFormatting>
  <conditionalFormatting sqref="L117:L118">
    <cfRule type="cellIs" dxfId="4" priority="760" operator="equal">
      <formula>"tibialis"</formula>
    </cfRule>
  </conditionalFormatting>
  <conditionalFormatting sqref="K111:L116">
    <cfRule type="expression" dxfId="0" priority="761">
      <formula>$AI111="Excluded"</formula>
    </cfRule>
  </conditionalFormatting>
  <conditionalFormatting sqref="L111:L116">
    <cfRule type="cellIs" dxfId="1" priority="762" operator="equal">
      <formula>"patellar"</formula>
    </cfRule>
  </conditionalFormatting>
  <conditionalFormatting sqref="L111:L116">
    <cfRule type="cellIs" dxfId="2" priority="763" operator="equal">
      <formula>"hamstring"</formula>
    </cfRule>
  </conditionalFormatting>
  <conditionalFormatting sqref="L111:L116">
    <cfRule type="cellIs" dxfId="3" priority="764" operator="equal">
      <formula>"quadriceps"</formula>
    </cfRule>
  </conditionalFormatting>
  <conditionalFormatting sqref="L111:L116">
    <cfRule type="cellIs" dxfId="4" priority="765" operator="equal">
      <formula>"tibialis"</formula>
    </cfRule>
  </conditionalFormatting>
  <conditionalFormatting sqref="K106:L1124">
    <cfRule type="expression" dxfId="0" priority="766">
      <formula>$AI106="Excluded"</formula>
    </cfRule>
  </conditionalFormatting>
  <conditionalFormatting sqref="L106:L1124">
    <cfRule type="cellIs" dxfId="1" priority="767" operator="equal">
      <formula>"patellar"</formula>
    </cfRule>
  </conditionalFormatting>
  <conditionalFormatting sqref="L106:L1124">
    <cfRule type="cellIs" dxfId="2" priority="768" operator="equal">
      <formula>"hamstring"</formula>
    </cfRule>
  </conditionalFormatting>
  <conditionalFormatting sqref="L106:L1124">
    <cfRule type="cellIs" dxfId="3" priority="769" operator="equal">
      <formula>"quadriceps"</formula>
    </cfRule>
  </conditionalFormatting>
  <conditionalFormatting sqref="L106:L1124">
    <cfRule type="cellIs" dxfId="4" priority="770" operator="equal">
      <formula>"tibialis"</formula>
    </cfRule>
  </conditionalFormatting>
  <conditionalFormatting sqref="K98:L105 K107:L109 K111:L113 K115:L117 K119:L121">
    <cfRule type="expression" dxfId="0" priority="771">
      <formula>$AI98="Excluded"</formula>
    </cfRule>
  </conditionalFormatting>
  <conditionalFormatting sqref="L98:L105 L107:L109 L111:L113 L115:L117 L119:L121">
    <cfRule type="cellIs" dxfId="1" priority="772" operator="equal">
      <formula>"patellar"</formula>
    </cfRule>
  </conditionalFormatting>
  <conditionalFormatting sqref="L98:L105 L107:L109 L111:L113 L115:L117 L119:L121">
    <cfRule type="cellIs" dxfId="2" priority="773" operator="equal">
      <formula>"hamstring"</formula>
    </cfRule>
  </conditionalFormatting>
  <conditionalFormatting sqref="L98:L105 L107:L109 L111:L113 L115:L117 L119:L121">
    <cfRule type="cellIs" dxfId="3" priority="774" operator="equal">
      <formula>"quadriceps"</formula>
    </cfRule>
  </conditionalFormatting>
  <conditionalFormatting sqref="L98:L105 L107:L109 L111:L113 L115:L117 L119:L121">
    <cfRule type="cellIs" dxfId="4" priority="775" operator="equal">
      <formula>"tibialis"</formula>
    </cfRule>
  </conditionalFormatting>
  <conditionalFormatting sqref="K96:L97">
    <cfRule type="expression" dxfId="0" priority="776">
      <formula>$AI96="Excluded"</formula>
    </cfRule>
  </conditionalFormatting>
  <conditionalFormatting sqref="L96:L97">
    <cfRule type="cellIs" dxfId="1" priority="777" operator="equal">
      <formula>"patellar"</formula>
    </cfRule>
  </conditionalFormatting>
  <conditionalFormatting sqref="L96:L97">
    <cfRule type="cellIs" dxfId="2" priority="778" operator="equal">
      <formula>"hamstring"</formula>
    </cfRule>
  </conditionalFormatting>
  <conditionalFormatting sqref="L96:L97">
    <cfRule type="cellIs" dxfId="3" priority="779" operator="equal">
      <formula>"quadriceps"</formula>
    </cfRule>
  </conditionalFormatting>
  <conditionalFormatting sqref="L96:L97">
    <cfRule type="cellIs" dxfId="4" priority="780" operator="equal">
      <formula>"tibialis"</formula>
    </cfRule>
  </conditionalFormatting>
  <conditionalFormatting sqref="K94:L95">
    <cfRule type="expression" dxfId="0" priority="781">
      <formula>$AI94="Excluded"</formula>
    </cfRule>
  </conditionalFormatting>
  <conditionalFormatting sqref="L94:L95">
    <cfRule type="cellIs" dxfId="1" priority="782" operator="equal">
      <formula>"patellar"</formula>
    </cfRule>
  </conditionalFormatting>
  <conditionalFormatting sqref="L94:L95">
    <cfRule type="cellIs" dxfId="2" priority="783" operator="equal">
      <formula>"hamstring"</formula>
    </cfRule>
  </conditionalFormatting>
  <conditionalFormatting sqref="L94:L95">
    <cfRule type="cellIs" dxfId="3" priority="784" operator="equal">
      <formula>"quadriceps"</formula>
    </cfRule>
  </conditionalFormatting>
  <conditionalFormatting sqref="L94:L95">
    <cfRule type="cellIs" dxfId="4" priority="785" operator="equal">
      <formula>"tibialis"</formula>
    </cfRule>
  </conditionalFormatting>
  <conditionalFormatting sqref="K91:L93">
    <cfRule type="expression" dxfId="0" priority="786">
      <formula>$AI91="Excluded"</formula>
    </cfRule>
  </conditionalFormatting>
  <conditionalFormatting sqref="L91:L93">
    <cfRule type="cellIs" dxfId="1" priority="787" operator="equal">
      <formula>"patellar"</formula>
    </cfRule>
  </conditionalFormatting>
  <conditionalFormatting sqref="L91:L93">
    <cfRule type="cellIs" dxfId="2" priority="788" operator="equal">
      <formula>"hamstring"</formula>
    </cfRule>
  </conditionalFormatting>
  <conditionalFormatting sqref="L91:L93">
    <cfRule type="cellIs" dxfId="3" priority="789" operator="equal">
      <formula>"quadriceps"</formula>
    </cfRule>
  </conditionalFormatting>
  <conditionalFormatting sqref="L91:L93">
    <cfRule type="cellIs" dxfId="4" priority="790" operator="equal">
      <formula>"tibialis"</formula>
    </cfRule>
  </conditionalFormatting>
  <conditionalFormatting sqref="K86:L90">
    <cfRule type="expression" dxfId="0" priority="791">
      <formula>$AI86="Excluded"</formula>
    </cfRule>
  </conditionalFormatting>
  <conditionalFormatting sqref="L86:L90">
    <cfRule type="cellIs" dxfId="1" priority="792" operator="equal">
      <formula>"patellar"</formula>
    </cfRule>
  </conditionalFormatting>
  <conditionalFormatting sqref="L86:L90">
    <cfRule type="cellIs" dxfId="2" priority="793" operator="equal">
      <formula>"hamstring"</formula>
    </cfRule>
  </conditionalFormatting>
  <conditionalFormatting sqref="L86:L90">
    <cfRule type="cellIs" dxfId="3" priority="794" operator="equal">
      <formula>"quadriceps"</formula>
    </cfRule>
  </conditionalFormatting>
  <conditionalFormatting sqref="L86:L90">
    <cfRule type="cellIs" dxfId="4" priority="795" operator="equal">
      <formula>"tibialis"</formula>
    </cfRule>
  </conditionalFormatting>
  <conditionalFormatting sqref="K72:L85">
    <cfRule type="expression" dxfId="0" priority="796">
      <formula>$AI72="Excluded"</formula>
    </cfRule>
  </conditionalFormatting>
  <conditionalFormatting sqref="L72:L85">
    <cfRule type="cellIs" dxfId="1" priority="797" operator="equal">
      <formula>"patellar"</formula>
    </cfRule>
  </conditionalFormatting>
  <conditionalFormatting sqref="L72:L85">
    <cfRule type="cellIs" dxfId="2" priority="798" operator="equal">
      <formula>"hamstring"</formula>
    </cfRule>
  </conditionalFormatting>
  <conditionalFormatting sqref="L72:L85">
    <cfRule type="cellIs" dxfId="3" priority="799" operator="equal">
      <formula>"quadriceps"</formula>
    </cfRule>
  </conditionalFormatting>
  <conditionalFormatting sqref="L72:L85">
    <cfRule type="cellIs" dxfId="4" priority="800" operator="equal">
      <formula>"tibialis"</formula>
    </cfRule>
  </conditionalFormatting>
  <conditionalFormatting sqref="K68:L71">
    <cfRule type="expression" dxfId="0" priority="801">
      <formula>$AI68="Excluded"</formula>
    </cfRule>
  </conditionalFormatting>
  <conditionalFormatting sqref="L68:L71">
    <cfRule type="cellIs" dxfId="1" priority="802" operator="equal">
      <formula>"patellar"</formula>
    </cfRule>
  </conditionalFormatting>
  <conditionalFormatting sqref="L68:L71">
    <cfRule type="cellIs" dxfId="2" priority="803" operator="equal">
      <formula>"hamstring"</formula>
    </cfRule>
  </conditionalFormatting>
  <conditionalFormatting sqref="L68:L71">
    <cfRule type="cellIs" dxfId="3" priority="804" operator="equal">
      <formula>"quadriceps"</formula>
    </cfRule>
  </conditionalFormatting>
  <conditionalFormatting sqref="L68:L71">
    <cfRule type="cellIs" dxfId="4" priority="805" operator="equal">
      <formula>"tibialis"</formula>
    </cfRule>
  </conditionalFormatting>
  <conditionalFormatting sqref="K66:L67">
    <cfRule type="expression" dxfId="0" priority="806">
      <formula>$AI66="Excluded"</formula>
    </cfRule>
  </conditionalFormatting>
  <conditionalFormatting sqref="L66:L67">
    <cfRule type="cellIs" dxfId="1" priority="807" operator="equal">
      <formula>"patellar"</formula>
    </cfRule>
  </conditionalFormatting>
  <conditionalFormatting sqref="L66:L67">
    <cfRule type="cellIs" dxfId="2" priority="808" operator="equal">
      <formula>"hamstring"</formula>
    </cfRule>
  </conditionalFormatting>
  <conditionalFormatting sqref="L66:L67">
    <cfRule type="cellIs" dxfId="3" priority="809" operator="equal">
      <formula>"quadriceps"</formula>
    </cfRule>
  </conditionalFormatting>
  <conditionalFormatting sqref="L66:L67">
    <cfRule type="cellIs" dxfId="4" priority="810" operator="equal">
      <formula>"tibialis"</formula>
    </cfRule>
  </conditionalFormatting>
  <conditionalFormatting sqref="K64:L65">
    <cfRule type="expression" dxfId="0" priority="811">
      <formula>$AI64="Excluded"</formula>
    </cfRule>
  </conditionalFormatting>
  <conditionalFormatting sqref="L64:L65">
    <cfRule type="cellIs" dxfId="1" priority="812" operator="equal">
      <formula>"patellar"</formula>
    </cfRule>
  </conditionalFormatting>
  <conditionalFormatting sqref="L64:L65">
    <cfRule type="cellIs" dxfId="2" priority="813" operator="equal">
      <formula>"hamstring"</formula>
    </cfRule>
  </conditionalFormatting>
  <conditionalFormatting sqref="L64:L65">
    <cfRule type="cellIs" dxfId="3" priority="814" operator="equal">
      <formula>"quadriceps"</formula>
    </cfRule>
  </conditionalFormatting>
  <conditionalFormatting sqref="L64:L65">
    <cfRule type="cellIs" dxfId="4" priority="815" operator="equal">
      <formula>"tibialis"</formula>
    </cfRule>
  </conditionalFormatting>
  <conditionalFormatting sqref="K55:L63">
    <cfRule type="expression" dxfId="0" priority="816">
      <formula>$AI55="Excluded"</formula>
    </cfRule>
  </conditionalFormatting>
  <conditionalFormatting sqref="L55:L63">
    <cfRule type="cellIs" dxfId="1" priority="817" operator="equal">
      <formula>"patellar"</formula>
    </cfRule>
  </conditionalFormatting>
  <conditionalFormatting sqref="L55:L63">
    <cfRule type="cellIs" dxfId="2" priority="818" operator="equal">
      <formula>"hamstring"</formula>
    </cfRule>
  </conditionalFormatting>
  <conditionalFormatting sqref="L55:L63">
    <cfRule type="cellIs" dxfId="3" priority="819" operator="equal">
      <formula>"quadriceps"</formula>
    </cfRule>
  </conditionalFormatting>
  <conditionalFormatting sqref="L55:L63">
    <cfRule type="cellIs" dxfId="4" priority="820" operator="equal">
      <formula>"tibialis"</formula>
    </cfRule>
  </conditionalFormatting>
  <conditionalFormatting sqref="K50:L54">
    <cfRule type="expression" dxfId="0" priority="821">
      <formula>$AI50="Excluded"</formula>
    </cfRule>
  </conditionalFormatting>
  <conditionalFormatting sqref="L50:L54">
    <cfRule type="cellIs" dxfId="1" priority="822" operator="equal">
      <formula>"patellar"</formula>
    </cfRule>
  </conditionalFormatting>
  <conditionalFormatting sqref="L50:L54">
    <cfRule type="cellIs" dxfId="2" priority="823" operator="equal">
      <formula>"hamstring"</formula>
    </cfRule>
  </conditionalFormatting>
  <conditionalFormatting sqref="L50:L54">
    <cfRule type="cellIs" dxfId="3" priority="824" operator="equal">
      <formula>"quadriceps"</formula>
    </cfRule>
  </conditionalFormatting>
  <conditionalFormatting sqref="L50:L54">
    <cfRule type="cellIs" dxfId="4" priority="825" operator="equal">
      <formula>"tibialis"</formula>
    </cfRule>
  </conditionalFormatting>
  <conditionalFormatting sqref="K47:L49">
    <cfRule type="expression" dxfId="0" priority="826">
      <formula>$AI47="Excluded"</formula>
    </cfRule>
  </conditionalFormatting>
  <conditionalFormatting sqref="L47:L49">
    <cfRule type="cellIs" dxfId="1" priority="827" operator="equal">
      <formula>"patellar"</formula>
    </cfRule>
  </conditionalFormatting>
  <conditionalFormatting sqref="L47:L49">
    <cfRule type="cellIs" dxfId="2" priority="828" operator="equal">
      <formula>"hamstring"</formula>
    </cfRule>
  </conditionalFormatting>
  <conditionalFormatting sqref="L47:L49">
    <cfRule type="cellIs" dxfId="3" priority="829" operator="equal">
      <formula>"quadriceps"</formula>
    </cfRule>
  </conditionalFormatting>
  <conditionalFormatting sqref="L47:L49">
    <cfRule type="cellIs" dxfId="4" priority="830" operator="equal">
      <formula>"tibialis"</formula>
    </cfRule>
  </conditionalFormatting>
  <conditionalFormatting sqref="K42:L46">
    <cfRule type="expression" dxfId="0" priority="831">
      <formula>$AI42="Excluded"</formula>
    </cfRule>
  </conditionalFormatting>
  <conditionalFormatting sqref="L42:L46">
    <cfRule type="cellIs" dxfId="1" priority="832" operator="equal">
      <formula>"patellar"</formula>
    </cfRule>
  </conditionalFormatting>
  <conditionalFormatting sqref="L42:L46">
    <cfRule type="cellIs" dxfId="2" priority="833" operator="equal">
      <formula>"hamstring"</formula>
    </cfRule>
  </conditionalFormatting>
  <conditionalFormatting sqref="L42:L46">
    <cfRule type="cellIs" dxfId="3" priority="834" operator="equal">
      <formula>"quadriceps"</formula>
    </cfRule>
  </conditionalFormatting>
  <conditionalFormatting sqref="L42:L46">
    <cfRule type="cellIs" dxfId="4" priority="835" operator="equal">
      <formula>"tibialis"</formula>
    </cfRule>
  </conditionalFormatting>
  <conditionalFormatting sqref="K40:L41">
    <cfRule type="expression" dxfId="0" priority="836">
      <formula>$AI40="Excluded"</formula>
    </cfRule>
  </conditionalFormatting>
  <conditionalFormatting sqref="L40:L41">
    <cfRule type="cellIs" dxfId="1" priority="837" operator="equal">
      <formula>"patellar"</formula>
    </cfRule>
  </conditionalFormatting>
  <conditionalFormatting sqref="L40:L41">
    <cfRule type="cellIs" dxfId="2" priority="838" operator="equal">
      <formula>"hamstring"</formula>
    </cfRule>
  </conditionalFormatting>
  <conditionalFormatting sqref="L40:L41">
    <cfRule type="cellIs" dxfId="3" priority="839" operator="equal">
      <formula>"quadriceps"</formula>
    </cfRule>
  </conditionalFormatting>
  <conditionalFormatting sqref="L40:L41">
    <cfRule type="cellIs" dxfId="4" priority="840" operator="equal">
      <formula>"tibialis"</formula>
    </cfRule>
  </conditionalFormatting>
  <conditionalFormatting sqref="K31:L40">
    <cfRule type="expression" dxfId="0" priority="841">
      <formula>$AI31="Excluded"</formula>
    </cfRule>
  </conditionalFormatting>
  <conditionalFormatting sqref="L31:L40">
    <cfRule type="cellIs" dxfId="1" priority="842" operator="equal">
      <formula>"patellar"</formula>
    </cfRule>
  </conditionalFormatting>
  <conditionalFormatting sqref="L31:L40">
    <cfRule type="cellIs" dxfId="2" priority="843" operator="equal">
      <formula>"hamstring"</formula>
    </cfRule>
  </conditionalFormatting>
  <conditionalFormatting sqref="L31:L40">
    <cfRule type="cellIs" dxfId="3" priority="844" operator="equal">
      <formula>"quadriceps"</formula>
    </cfRule>
  </conditionalFormatting>
  <conditionalFormatting sqref="L31:L40">
    <cfRule type="cellIs" dxfId="4" priority="845" operator="equal">
      <formula>"tibialis"</formula>
    </cfRule>
  </conditionalFormatting>
  <conditionalFormatting sqref="K29:L30">
    <cfRule type="expression" dxfId="0" priority="846">
      <formula>$AI29="Excluded"</formula>
    </cfRule>
  </conditionalFormatting>
  <conditionalFormatting sqref="L29:L30">
    <cfRule type="cellIs" dxfId="1" priority="847" operator="equal">
      <formula>"patellar"</formula>
    </cfRule>
  </conditionalFormatting>
  <conditionalFormatting sqref="L29:L30">
    <cfRule type="cellIs" dxfId="2" priority="848" operator="equal">
      <formula>"hamstring"</formula>
    </cfRule>
  </conditionalFormatting>
  <conditionalFormatting sqref="L29:L30">
    <cfRule type="cellIs" dxfId="3" priority="849" operator="equal">
      <formula>"quadriceps"</formula>
    </cfRule>
  </conditionalFormatting>
  <conditionalFormatting sqref="L29:L30">
    <cfRule type="cellIs" dxfId="4" priority="850" operator="equal">
      <formula>"tibialis"</formula>
    </cfRule>
  </conditionalFormatting>
  <conditionalFormatting sqref="K19:L28">
    <cfRule type="expression" dxfId="0" priority="851">
      <formula>$AI19="Excluded"</formula>
    </cfRule>
  </conditionalFormatting>
  <conditionalFormatting sqref="L19:L28">
    <cfRule type="cellIs" dxfId="1" priority="852" operator="equal">
      <formula>"patellar"</formula>
    </cfRule>
  </conditionalFormatting>
  <conditionalFormatting sqref="L19:L28">
    <cfRule type="cellIs" dxfId="2" priority="853" operator="equal">
      <formula>"hamstring"</formula>
    </cfRule>
  </conditionalFormatting>
  <conditionalFormatting sqref="L19:L28">
    <cfRule type="cellIs" dxfId="3" priority="854" operator="equal">
      <formula>"quadriceps"</formula>
    </cfRule>
  </conditionalFormatting>
  <conditionalFormatting sqref="L19:L28">
    <cfRule type="cellIs" dxfId="4" priority="855" operator="equal">
      <formula>"tibialis"</formula>
    </cfRule>
  </conditionalFormatting>
  <conditionalFormatting sqref="K17:L18">
    <cfRule type="expression" dxfId="0" priority="856">
      <formula>$AI17="Excluded"</formula>
    </cfRule>
  </conditionalFormatting>
  <conditionalFormatting sqref="L17:L18">
    <cfRule type="cellIs" dxfId="1" priority="857" operator="equal">
      <formula>"patellar"</formula>
    </cfRule>
  </conditionalFormatting>
  <conditionalFormatting sqref="L17:L18">
    <cfRule type="cellIs" dxfId="2" priority="858" operator="equal">
      <formula>"hamstring"</formula>
    </cfRule>
  </conditionalFormatting>
  <conditionalFormatting sqref="L17:L18">
    <cfRule type="cellIs" dxfId="3" priority="859" operator="equal">
      <formula>"quadriceps"</formula>
    </cfRule>
  </conditionalFormatting>
  <conditionalFormatting sqref="L17:L18">
    <cfRule type="cellIs" dxfId="4" priority="860" operator="equal">
      <formula>"tibialis"</formula>
    </cfRule>
  </conditionalFormatting>
  <conditionalFormatting sqref="K14:L16">
    <cfRule type="expression" dxfId="0" priority="861">
      <formula>$AI14="Excluded"</formula>
    </cfRule>
  </conditionalFormatting>
  <conditionalFormatting sqref="L14:L16">
    <cfRule type="cellIs" dxfId="1" priority="862" operator="equal">
      <formula>"patellar"</formula>
    </cfRule>
  </conditionalFormatting>
  <conditionalFormatting sqref="L14:L16">
    <cfRule type="cellIs" dxfId="2" priority="863" operator="equal">
      <formula>"hamstring"</formula>
    </cfRule>
  </conditionalFormatting>
  <conditionalFormatting sqref="L14:L16">
    <cfRule type="cellIs" dxfId="3" priority="864" operator="equal">
      <formula>"quadriceps"</formula>
    </cfRule>
  </conditionalFormatting>
  <conditionalFormatting sqref="L14:L16">
    <cfRule type="cellIs" dxfId="4" priority="865" operator="equal">
      <formula>"tibialis"</formula>
    </cfRule>
  </conditionalFormatting>
  <conditionalFormatting sqref="K9:L13">
    <cfRule type="expression" dxfId="0" priority="866">
      <formula>$AI9="Excluded"</formula>
    </cfRule>
  </conditionalFormatting>
  <conditionalFormatting sqref="L9:L13">
    <cfRule type="cellIs" dxfId="1" priority="867" operator="equal">
      <formula>"patellar"</formula>
    </cfRule>
  </conditionalFormatting>
  <conditionalFormatting sqref="L9:L13">
    <cfRule type="cellIs" dxfId="2" priority="868" operator="equal">
      <formula>"hamstring"</formula>
    </cfRule>
  </conditionalFormatting>
  <conditionalFormatting sqref="L9:L13">
    <cfRule type="cellIs" dxfId="3" priority="869" operator="equal">
      <formula>"quadriceps"</formula>
    </cfRule>
  </conditionalFormatting>
  <conditionalFormatting sqref="L9:L13">
    <cfRule type="cellIs" dxfId="4" priority="870" operator="equal">
      <formula>"tibialis"</formula>
    </cfRule>
  </conditionalFormatting>
  <conditionalFormatting sqref="K3:L1124">
    <cfRule type="expression" dxfId="0" priority="871">
      <formula>$AI3="Excluded"</formula>
    </cfRule>
  </conditionalFormatting>
  <conditionalFormatting sqref="L3:L1124">
    <cfRule type="cellIs" dxfId="1" priority="872" operator="equal">
      <formula>"patellar"</formula>
    </cfRule>
  </conditionalFormatting>
  <conditionalFormatting sqref="L3:L1124">
    <cfRule type="cellIs" dxfId="2" priority="873" operator="equal">
      <formula>"hamstring"</formula>
    </cfRule>
  </conditionalFormatting>
  <conditionalFormatting sqref="L3:L1124">
    <cfRule type="cellIs" dxfId="3" priority="874" operator="equal">
      <formula>"quadriceps"</formula>
    </cfRule>
  </conditionalFormatting>
  <conditionalFormatting sqref="L1 Z1:Z2 L3:L1124">
    <cfRule type="cellIs" dxfId="4" priority="875" operator="equal">
      <formula>"tibialis"</formula>
    </cfRule>
  </conditionalFormatting>
  <conditionalFormatting sqref="I119:J1124">
    <cfRule type="expression" dxfId="0" priority="876">
      <formula>$AI119="Excluded"</formula>
    </cfRule>
  </conditionalFormatting>
  <conditionalFormatting sqref="J119:J1124">
    <cfRule type="cellIs" dxfId="1" priority="877" operator="equal">
      <formula>"patellar"</formula>
    </cfRule>
  </conditionalFormatting>
  <conditionalFormatting sqref="J119:J1124">
    <cfRule type="cellIs" dxfId="2" priority="878" operator="equal">
      <formula>"hamstring"</formula>
    </cfRule>
  </conditionalFormatting>
  <conditionalFormatting sqref="J119:J1124">
    <cfRule type="cellIs" dxfId="3" priority="879" operator="equal">
      <formula>"quadriceps"</formula>
    </cfRule>
  </conditionalFormatting>
  <conditionalFormatting sqref="J119:J1124">
    <cfRule type="cellIs" dxfId="4" priority="880" operator="equal">
      <formula>"tibialis"</formula>
    </cfRule>
  </conditionalFormatting>
  <conditionalFormatting sqref="I117:J118">
    <cfRule type="expression" dxfId="0" priority="881">
      <formula>$AI117="Excluded"</formula>
    </cfRule>
  </conditionalFormatting>
  <conditionalFormatting sqref="J117:J118">
    <cfRule type="cellIs" dxfId="1" priority="882" operator="equal">
      <formula>"patellar"</formula>
    </cfRule>
  </conditionalFormatting>
  <conditionalFormatting sqref="J117:J118">
    <cfRule type="cellIs" dxfId="2" priority="883" operator="equal">
      <formula>"hamstring"</formula>
    </cfRule>
  </conditionalFormatting>
  <conditionalFormatting sqref="J117:J118">
    <cfRule type="cellIs" dxfId="3" priority="884" operator="equal">
      <formula>"quadriceps"</formula>
    </cfRule>
  </conditionalFormatting>
  <conditionalFormatting sqref="J117:J118">
    <cfRule type="cellIs" dxfId="4" priority="885" operator="equal">
      <formula>"tibialis"</formula>
    </cfRule>
  </conditionalFormatting>
  <conditionalFormatting sqref="I111:J116">
    <cfRule type="expression" dxfId="0" priority="886">
      <formula>$AI111="Excluded"</formula>
    </cfRule>
  </conditionalFormatting>
  <conditionalFormatting sqref="J111:J116">
    <cfRule type="cellIs" dxfId="1" priority="887" operator="equal">
      <formula>"patellar"</formula>
    </cfRule>
  </conditionalFormatting>
  <conditionalFormatting sqref="J111:J116">
    <cfRule type="cellIs" dxfId="2" priority="888" operator="equal">
      <formula>"hamstring"</formula>
    </cfRule>
  </conditionalFormatting>
  <conditionalFormatting sqref="J111:J116">
    <cfRule type="cellIs" dxfId="3" priority="889" operator="equal">
      <formula>"quadriceps"</formula>
    </cfRule>
  </conditionalFormatting>
  <conditionalFormatting sqref="J111:J116">
    <cfRule type="cellIs" dxfId="4" priority="890" operator="equal">
      <formula>"tibialis"</formula>
    </cfRule>
  </conditionalFormatting>
  <conditionalFormatting sqref="I106:J1124">
    <cfRule type="expression" dxfId="0" priority="891">
      <formula>$AI106="Excluded"</formula>
    </cfRule>
  </conditionalFormatting>
  <conditionalFormatting sqref="J106:J1124">
    <cfRule type="cellIs" dxfId="1" priority="892" operator="equal">
      <formula>"patellar"</formula>
    </cfRule>
  </conditionalFormatting>
  <conditionalFormatting sqref="J106:J1124">
    <cfRule type="cellIs" dxfId="2" priority="893" operator="equal">
      <formula>"hamstring"</formula>
    </cfRule>
  </conditionalFormatting>
  <conditionalFormatting sqref="J106:J1124">
    <cfRule type="cellIs" dxfId="3" priority="894" operator="equal">
      <formula>"quadriceps"</formula>
    </cfRule>
  </conditionalFormatting>
  <conditionalFormatting sqref="J106:J1124">
    <cfRule type="cellIs" dxfId="4" priority="895" operator="equal">
      <formula>"tibialis"</formula>
    </cfRule>
  </conditionalFormatting>
  <conditionalFormatting sqref="I98:J105 I107:J109 I111:J113 I115:J117 I119:J121">
    <cfRule type="expression" dxfId="0" priority="896">
      <formula>$AI98="Excluded"</formula>
    </cfRule>
  </conditionalFormatting>
  <conditionalFormatting sqref="J98:J105 J107:J109 J111:J113 J115:J117 J119:J121">
    <cfRule type="cellIs" dxfId="1" priority="897" operator="equal">
      <formula>"patellar"</formula>
    </cfRule>
  </conditionalFormatting>
  <conditionalFormatting sqref="J98:J105 J107:J109 J111:J113 J115:J117 J119:J121">
    <cfRule type="cellIs" dxfId="2" priority="898" operator="equal">
      <formula>"hamstring"</formula>
    </cfRule>
  </conditionalFormatting>
  <conditionalFormatting sqref="J98:J105 J107:J109 J111:J113 J115:J117 J119:J121">
    <cfRule type="cellIs" dxfId="3" priority="899" operator="equal">
      <formula>"quadriceps"</formula>
    </cfRule>
  </conditionalFormatting>
  <conditionalFormatting sqref="J98:J105 J107:J109 J111:J113 J115:J117 J119:J121">
    <cfRule type="cellIs" dxfId="4" priority="900" operator="equal">
      <formula>"tibialis"</formula>
    </cfRule>
  </conditionalFormatting>
  <conditionalFormatting sqref="I96:J97">
    <cfRule type="expression" dxfId="0" priority="901">
      <formula>$AI96="Excluded"</formula>
    </cfRule>
  </conditionalFormatting>
  <conditionalFormatting sqref="J96:J97">
    <cfRule type="cellIs" dxfId="1" priority="902" operator="equal">
      <formula>"patellar"</formula>
    </cfRule>
  </conditionalFormatting>
  <conditionalFormatting sqref="J96:J97">
    <cfRule type="cellIs" dxfId="2" priority="903" operator="equal">
      <formula>"hamstring"</formula>
    </cfRule>
  </conditionalFormatting>
  <conditionalFormatting sqref="J96:J97">
    <cfRule type="cellIs" dxfId="3" priority="904" operator="equal">
      <formula>"quadriceps"</formula>
    </cfRule>
  </conditionalFormatting>
  <conditionalFormatting sqref="J96:J97">
    <cfRule type="cellIs" dxfId="4" priority="905" operator="equal">
      <formula>"tibialis"</formula>
    </cfRule>
  </conditionalFormatting>
  <conditionalFormatting sqref="I94:J95">
    <cfRule type="expression" dxfId="0" priority="906">
      <formula>$AI94="Excluded"</formula>
    </cfRule>
  </conditionalFormatting>
  <conditionalFormatting sqref="J94:J95">
    <cfRule type="cellIs" dxfId="1" priority="907" operator="equal">
      <formula>"patellar"</formula>
    </cfRule>
  </conditionalFormatting>
  <conditionalFormatting sqref="J94:J95">
    <cfRule type="cellIs" dxfId="2" priority="908" operator="equal">
      <formula>"hamstring"</formula>
    </cfRule>
  </conditionalFormatting>
  <conditionalFormatting sqref="J94:J95">
    <cfRule type="cellIs" dxfId="3" priority="909" operator="equal">
      <formula>"quadriceps"</formula>
    </cfRule>
  </conditionalFormatting>
  <conditionalFormatting sqref="J94:J95">
    <cfRule type="cellIs" dxfId="4" priority="910" operator="equal">
      <formula>"tibialis"</formula>
    </cfRule>
  </conditionalFormatting>
  <conditionalFormatting sqref="I91:J93">
    <cfRule type="expression" dxfId="0" priority="911">
      <formula>$AI91="Excluded"</formula>
    </cfRule>
  </conditionalFormatting>
  <conditionalFormatting sqref="J91:J93">
    <cfRule type="cellIs" dxfId="1" priority="912" operator="equal">
      <formula>"patellar"</formula>
    </cfRule>
  </conditionalFormatting>
  <conditionalFormatting sqref="J91:J93">
    <cfRule type="cellIs" dxfId="2" priority="913" operator="equal">
      <formula>"hamstring"</formula>
    </cfRule>
  </conditionalFormatting>
  <conditionalFormatting sqref="J91:J93">
    <cfRule type="cellIs" dxfId="3" priority="914" operator="equal">
      <formula>"quadriceps"</formula>
    </cfRule>
  </conditionalFormatting>
  <conditionalFormatting sqref="J91:J93">
    <cfRule type="cellIs" dxfId="4" priority="915" operator="equal">
      <formula>"tibialis"</formula>
    </cfRule>
  </conditionalFormatting>
  <conditionalFormatting sqref="I86:J90">
    <cfRule type="expression" dxfId="0" priority="916">
      <formula>$AI86="Excluded"</formula>
    </cfRule>
  </conditionalFormatting>
  <conditionalFormatting sqref="J86:J90">
    <cfRule type="cellIs" dxfId="1" priority="917" operator="equal">
      <formula>"patellar"</formula>
    </cfRule>
  </conditionalFormatting>
  <conditionalFormatting sqref="J86:J90">
    <cfRule type="cellIs" dxfId="2" priority="918" operator="equal">
      <formula>"hamstring"</formula>
    </cfRule>
  </conditionalFormatting>
  <conditionalFormatting sqref="J86:J90">
    <cfRule type="cellIs" dxfId="3" priority="919" operator="equal">
      <formula>"quadriceps"</formula>
    </cfRule>
  </conditionalFormatting>
  <conditionalFormatting sqref="J86:J90">
    <cfRule type="cellIs" dxfId="4" priority="920" operator="equal">
      <formula>"tibialis"</formula>
    </cfRule>
  </conditionalFormatting>
  <conditionalFormatting sqref="I72:J85">
    <cfRule type="expression" dxfId="0" priority="921">
      <formula>$AI72="Excluded"</formula>
    </cfRule>
  </conditionalFormatting>
  <conditionalFormatting sqref="J72:J85">
    <cfRule type="cellIs" dxfId="1" priority="922" operator="equal">
      <formula>"patellar"</formula>
    </cfRule>
  </conditionalFormatting>
  <conditionalFormatting sqref="J72:J85">
    <cfRule type="cellIs" dxfId="2" priority="923" operator="equal">
      <formula>"hamstring"</formula>
    </cfRule>
  </conditionalFormatting>
  <conditionalFormatting sqref="J72:J85">
    <cfRule type="cellIs" dxfId="3" priority="924" operator="equal">
      <formula>"quadriceps"</formula>
    </cfRule>
  </conditionalFormatting>
  <conditionalFormatting sqref="J72:J85">
    <cfRule type="cellIs" dxfId="4" priority="925" operator="equal">
      <formula>"tibialis"</formula>
    </cfRule>
  </conditionalFormatting>
  <conditionalFormatting sqref="I68:J71">
    <cfRule type="expression" dxfId="0" priority="926">
      <formula>$AI68="Excluded"</formula>
    </cfRule>
  </conditionalFormatting>
  <conditionalFormatting sqref="J68:J71">
    <cfRule type="cellIs" dxfId="1" priority="927" operator="equal">
      <formula>"patellar"</formula>
    </cfRule>
  </conditionalFormatting>
  <conditionalFormatting sqref="J68:J71">
    <cfRule type="cellIs" dxfId="2" priority="928" operator="equal">
      <formula>"hamstring"</formula>
    </cfRule>
  </conditionalFormatting>
  <conditionalFormatting sqref="J68:J71">
    <cfRule type="cellIs" dxfId="3" priority="929" operator="equal">
      <formula>"quadriceps"</formula>
    </cfRule>
  </conditionalFormatting>
  <conditionalFormatting sqref="J68:J71">
    <cfRule type="cellIs" dxfId="4" priority="930" operator="equal">
      <formula>"tibialis"</formula>
    </cfRule>
  </conditionalFormatting>
  <conditionalFormatting sqref="I66:J67">
    <cfRule type="expression" dxfId="0" priority="931">
      <formula>$AI66="Excluded"</formula>
    </cfRule>
  </conditionalFormatting>
  <conditionalFormatting sqref="J66:J67">
    <cfRule type="cellIs" dxfId="1" priority="932" operator="equal">
      <formula>"patellar"</formula>
    </cfRule>
  </conditionalFormatting>
  <conditionalFormatting sqref="J66:J67">
    <cfRule type="cellIs" dxfId="2" priority="933" operator="equal">
      <formula>"hamstring"</formula>
    </cfRule>
  </conditionalFormatting>
  <conditionalFormatting sqref="J66:J67">
    <cfRule type="cellIs" dxfId="3" priority="934" operator="equal">
      <formula>"quadriceps"</formula>
    </cfRule>
  </conditionalFormatting>
  <conditionalFormatting sqref="J66:J67">
    <cfRule type="cellIs" dxfId="4" priority="935" operator="equal">
      <formula>"tibialis"</formula>
    </cfRule>
  </conditionalFormatting>
  <conditionalFormatting sqref="I64:J65">
    <cfRule type="expression" dxfId="0" priority="936">
      <formula>$AI64="Excluded"</formula>
    </cfRule>
  </conditionalFormatting>
  <conditionalFormatting sqref="J64:J65">
    <cfRule type="cellIs" dxfId="1" priority="937" operator="equal">
      <formula>"patellar"</formula>
    </cfRule>
  </conditionalFormatting>
  <conditionalFormatting sqref="J64:J65">
    <cfRule type="cellIs" dxfId="2" priority="938" operator="equal">
      <formula>"hamstring"</formula>
    </cfRule>
  </conditionalFormatting>
  <conditionalFormatting sqref="J64:J65">
    <cfRule type="cellIs" dxfId="3" priority="939" operator="equal">
      <formula>"quadriceps"</formula>
    </cfRule>
  </conditionalFormatting>
  <conditionalFormatting sqref="J64:J65">
    <cfRule type="cellIs" dxfId="4" priority="940" operator="equal">
      <formula>"tibialis"</formula>
    </cfRule>
  </conditionalFormatting>
  <conditionalFormatting sqref="I55:J63">
    <cfRule type="expression" dxfId="0" priority="941">
      <formula>$AI55="Excluded"</formula>
    </cfRule>
  </conditionalFormatting>
  <conditionalFormatting sqref="J55:J63">
    <cfRule type="cellIs" dxfId="1" priority="942" operator="equal">
      <formula>"patellar"</formula>
    </cfRule>
  </conditionalFormatting>
  <conditionalFormatting sqref="J55:J63">
    <cfRule type="cellIs" dxfId="2" priority="943" operator="equal">
      <formula>"hamstring"</formula>
    </cfRule>
  </conditionalFormatting>
  <conditionalFormatting sqref="J55:J63">
    <cfRule type="cellIs" dxfId="3" priority="944" operator="equal">
      <formula>"quadriceps"</formula>
    </cfRule>
  </conditionalFormatting>
  <conditionalFormatting sqref="J55:J63">
    <cfRule type="cellIs" dxfId="4" priority="945" operator="equal">
      <formula>"tibialis"</formula>
    </cfRule>
  </conditionalFormatting>
  <conditionalFormatting sqref="I50:J54">
    <cfRule type="expression" dxfId="0" priority="946">
      <formula>$AI50="Excluded"</formula>
    </cfRule>
  </conditionalFormatting>
  <conditionalFormatting sqref="J50:J54">
    <cfRule type="cellIs" dxfId="1" priority="947" operator="equal">
      <formula>"patellar"</formula>
    </cfRule>
  </conditionalFormatting>
  <conditionalFormatting sqref="J50:J54">
    <cfRule type="cellIs" dxfId="2" priority="948" operator="equal">
      <formula>"hamstring"</formula>
    </cfRule>
  </conditionalFormatting>
  <conditionalFormatting sqref="J50:J54">
    <cfRule type="cellIs" dxfId="3" priority="949" operator="equal">
      <formula>"quadriceps"</formula>
    </cfRule>
  </conditionalFormatting>
  <conditionalFormatting sqref="J50:J54">
    <cfRule type="cellIs" dxfId="4" priority="950" operator="equal">
      <formula>"tibialis"</formula>
    </cfRule>
  </conditionalFormatting>
  <conditionalFormatting sqref="I47:J49">
    <cfRule type="expression" dxfId="0" priority="951">
      <formula>$AI47="Excluded"</formula>
    </cfRule>
  </conditionalFormatting>
  <conditionalFormatting sqref="J47:J49">
    <cfRule type="cellIs" dxfId="1" priority="952" operator="equal">
      <formula>"patellar"</formula>
    </cfRule>
  </conditionalFormatting>
  <conditionalFormatting sqref="J47:J49">
    <cfRule type="cellIs" dxfId="2" priority="953" operator="equal">
      <formula>"hamstring"</formula>
    </cfRule>
  </conditionalFormatting>
  <conditionalFormatting sqref="J47:J49">
    <cfRule type="cellIs" dxfId="3" priority="954" operator="equal">
      <formula>"quadriceps"</formula>
    </cfRule>
  </conditionalFormatting>
  <conditionalFormatting sqref="J47:J49">
    <cfRule type="cellIs" dxfId="4" priority="955" operator="equal">
      <formula>"tibialis"</formula>
    </cfRule>
  </conditionalFormatting>
  <conditionalFormatting sqref="I42:J46">
    <cfRule type="expression" dxfId="0" priority="956">
      <formula>$AI42="Excluded"</formula>
    </cfRule>
  </conditionalFormatting>
  <conditionalFormatting sqref="J42:J46">
    <cfRule type="cellIs" dxfId="1" priority="957" operator="equal">
      <formula>"patellar"</formula>
    </cfRule>
  </conditionalFormatting>
  <conditionalFormatting sqref="J42:J46">
    <cfRule type="cellIs" dxfId="2" priority="958" operator="equal">
      <formula>"hamstring"</formula>
    </cfRule>
  </conditionalFormatting>
  <conditionalFormatting sqref="J42:J46">
    <cfRule type="cellIs" dxfId="3" priority="959" operator="equal">
      <formula>"quadriceps"</formula>
    </cfRule>
  </conditionalFormatting>
  <conditionalFormatting sqref="J42:J46">
    <cfRule type="cellIs" dxfId="4" priority="960" operator="equal">
      <formula>"tibialis"</formula>
    </cfRule>
  </conditionalFormatting>
  <conditionalFormatting sqref="I40:J41">
    <cfRule type="expression" dxfId="0" priority="961">
      <formula>$AI40="Excluded"</formula>
    </cfRule>
  </conditionalFormatting>
  <conditionalFormatting sqref="J40:J41">
    <cfRule type="cellIs" dxfId="1" priority="962" operator="equal">
      <formula>"patellar"</formula>
    </cfRule>
  </conditionalFormatting>
  <conditionalFormatting sqref="J40:J41">
    <cfRule type="cellIs" dxfId="2" priority="963" operator="equal">
      <formula>"hamstring"</formula>
    </cfRule>
  </conditionalFormatting>
  <conditionalFormatting sqref="J40:J41">
    <cfRule type="cellIs" dxfId="3" priority="964" operator="equal">
      <formula>"quadriceps"</formula>
    </cfRule>
  </conditionalFormatting>
  <conditionalFormatting sqref="J40:J41">
    <cfRule type="cellIs" dxfId="4" priority="965" operator="equal">
      <formula>"tibialis"</formula>
    </cfRule>
  </conditionalFormatting>
  <conditionalFormatting sqref="I31:J40">
    <cfRule type="expression" dxfId="0" priority="966">
      <formula>$AI31="Excluded"</formula>
    </cfRule>
  </conditionalFormatting>
  <conditionalFormatting sqref="J31:J40">
    <cfRule type="cellIs" dxfId="1" priority="967" operator="equal">
      <formula>"patellar"</formula>
    </cfRule>
  </conditionalFormatting>
  <conditionalFormatting sqref="J31:J40">
    <cfRule type="cellIs" dxfId="2" priority="968" operator="equal">
      <formula>"hamstring"</formula>
    </cfRule>
  </conditionalFormatting>
  <conditionalFormatting sqref="J31:J40">
    <cfRule type="cellIs" dxfId="3" priority="969" operator="equal">
      <formula>"quadriceps"</formula>
    </cfRule>
  </conditionalFormatting>
  <conditionalFormatting sqref="J31:J40">
    <cfRule type="cellIs" dxfId="4" priority="970" operator="equal">
      <formula>"tibialis"</formula>
    </cfRule>
  </conditionalFormatting>
  <conditionalFormatting sqref="I29:J30">
    <cfRule type="expression" dxfId="0" priority="971">
      <formula>$AI29="Excluded"</formula>
    </cfRule>
  </conditionalFormatting>
  <conditionalFormatting sqref="J29:J30">
    <cfRule type="cellIs" dxfId="1" priority="972" operator="equal">
      <formula>"patellar"</formula>
    </cfRule>
  </conditionalFormatting>
  <conditionalFormatting sqref="J29:J30">
    <cfRule type="cellIs" dxfId="2" priority="973" operator="equal">
      <formula>"hamstring"</formula>
    </cfRule>
  </conditionalFormatting>
  <conditionalFormatting sqref="J29:J30">
    <cfRule type="cellIs" dxfId="3" priority="974" operator="equal">
      <formula>"quadriceps"</formula>
    </cfRule>
  </conditionalFormatting>
  <conditionalFormatting sqref="J29:J30">
    <cfRule type="cellIs" dxfId="4" priority="975" operator="equal">
      <formula>"tibialis"</formula>
    </cfRule>
  </conditionalFormatting>
  <conditionalFormatting sqref="I19:J28">
    <cfRule type="expression" dxfId="0" priority="976">
      <formula>$AI19="Excluded"</formula>
    </cfRule>
  </conditionalFormatting>
  <conditionalFormatting sqref="J19:J28">
    <cfRule type="cellIs" dxfId="1" priority="977" operator="equal">
      <formula>"patellar"</formula>
    </cfRule>
  </conditionalFormatting>
  <conditionalFormatting sqref="J19:J28">
    <cfRule type="cellIs" dxfId="2" priority="978" operator="equal">
      <formula>"hamstring"</formula>
    </cfRule>
  </conditionalFormatting>
  <conditionalFormatting sqref="J19:J28">
    <cfRule type="cellIs" dxfId="3" priority="979" operator="equal">
      <formula>"quadriceps"</formula>
    </cfRule>
  </conditionalFormatting>
  <conditionalFormatting sqref="J19:J28">
    <cfRule type="cellIs" dxfId="4" priority="980" operator="equal">
      <formula>"tibialis"</formula>
    </cfRule>
  </conditionalFormatting>
  <conditionalFormatting sqref="I17:J18">
    <cfRule type="expression" dxfId="0" priority="981">
      <formula>$AI17="Excluded"</formula>
    </cfRule>
  </conditionalFormatting>
  <conditionalFormatting sqref="J17:J18">
    <cfRule type="cellIs" dxfId="1" priority="982" operator="equal">
      <formula>"patellar"</formula>
    </cfRule>
  </conditionalFormatting>
  <conditionalFormatting sqref="J17:J18">
    <cfRule type="cellIs" dxfId="2" priority="983" operator="equal">
      <formula>"hamstring"</formula>
    </cfRule>
  </conditionalFormatting>
  <conditionalFormatting sqref="J17:J18">
    <cfRule type="cellIs" dxfId="3" priority="984" operator="equal">
      <formula>"quadriceps"</formula>
    </cfRule>
  </conditionalFormatting>
  <conditionalFormatting sqref="J17:J18">
    <cfRule type="cellIs" dxfId="4" priority="985" operator="equal">
      <formula>"tibialis"</formula>
    </cfRule>
  </conditionalFormatting>
  <conditionalFormatting sqref="J14:J16 I15:I16">
    <cfRule type="expression" dxfId="0" priority="986">
      <formula>$AI14="Excluded"</formula>
    </cfRule>
  </conditionalFormatting>
  <conditionalFormatting sqref="J14:J16">
    <cfRule type="cellIs" dxfId="1" priority="987" operator="equal">
      <formula>"patellar"</formula>
    </cfRule>
  </conditionalFormatting>
  <conditionalFormatting sqref="J14:J16">
    <cfRule type="cellIs" dxfId="2" priority="988" operator="equal">
      <formula>"hamstring"</formula>
    </cfRule>
  </conditionalFormatting>
  <conditionalFormatting sqref="J14:J16">
    <cfRule type="cellIs" dxfId="3" priority="989" operator="equal">
      <formula>"quadriceps"</formula>
    </cfRule>
  </conditionalFormatting>
  <conditionalFormatting sqref="J14:J16">
    <cfRule type="cellIs" dxfId="4" priority="990" operator="equal">
      <formula>"tibialis"</formula>
    </cfRule>
  </conditionalFormatting>
  <conditionalFormatting sqref="I9:I12 J9:J13">
    <cfRule type="expression" dxfId="0" priority="991">
      <formula>$AI9="Excluded"</formula>
    </cfRule>
  </conditionalFormatting>
  <conditionalFormatting sqref="J9:J13">
    <cfRule type="cellIs" dxfId="1" priority="992" operator="equal">
      <formula>"patellar"</formula>
    </cfRule>
  </conditionalFormatting>
  <conditionalFormatting sqref="J9:J13">
    <cfRule type="cellIs" dxfId="2" priority="993" operator="equal">
      <formula>"hamstring"</formula>
    </cfRule>
  </conditionalFormatting>
  <conditionalFormatting sqref="J9:J13">
    <cfRule type="cellIs" dxfId="3" priority="994" operator="equal">
      <formula>"quadriceps"</formula>
    </cfRule>
  </conditionalFormatting>
  <conditionalFormatting sqref="J9:J13">
    <cfRule type="cellIs" dxfId="4" priority="995" operator="equal">
      <formula>"tibialis"</formula>
    </cfRule>
  </conditionalFormatting>
  <conditionalFormatting sqref="I3:J1124">
    <cfRule type="expression" dxfId="0" priority="996">
      <formula>$AI3="Excluded"</formula>
    </cfRule>
  </conditionalFormatting>
  <conditionalFormatting sqref="J3:J1124">
    <cfRule type="cellIs" dxfId="1" priority="997" operator="equal">
      <formula>"patellar"</formula>
    </cfRule>
  </conditionalFormatting>
  <conditionalFormatting sqref="J3:J1124">
    <cfRule type="cellIs" dxfId="2" priority="998" operator="equal">
      <formula>"hamstring"</formula>
    </cfRule>
  </conditionalFormatting>
  <conditionalFormatting sqref="J3:J1124">
    <cfRule type="cellIs" dxfId="3" priority="999" operator="equal">
      <formula>"quadriceps"</formula>
    </cfRule>
  </conditionalFormatting>
  <conditionalFormatting sqref="J1 X1:X2 J3:J1124">
    <cfRule type="cellIs" dxfId="4" priority="1000" operator="equal">
      <formula>"tibialis"</formula>
    </cfRule>
  </conditionalFormatting>
  <conditionalFormatting sqref="E119:H1124 V121:V1124">
    <cfRule type="expression" dxfId="0" priority="1001">
      <formula>$AI119="Excluded"</formula>
    </cfRule>
  </conditionalFormatting>
  <conditionalFormatting sqref="H119:H1124 V121:V1124">
    <cfRule type="cellIs" dxfId="1" priority="1002" operator="equal">
      <formula>"patellar"</formula>
    </cfRule>
  </conditionalFormatting>
  <conditionalFormatting sqref="H119:H1124 V121:V1124">
    <cfRule type="cellIs" dxfId="2" priority="1003" operator="equal">
      <formula>"hamstring"</formula>
    </cfRule>
  </conditionalFormatting>
  <conditionalFormatting sqref="H119:H1124 V121:V1124">
    <cfRule type="cellIs" dxfId="3" priority="1004" operator="equal">
      <formula>"quadriceps"</formula>
    </cfRule>
  </conditionalFormatting>
  <conditionalFormatting sqref="H119:H1124 V121:V1124">
    <cfRule type="cellIs" dxfId="4" priority="1005" operator="equal">
      <formula>"tibialis"</formula>
    </cfRule>
  </conditionalFormatting>
  <conditionalFormatting sqref="E117:H118">
    <cfRule type="expression" dxfId="0" priority="1006">
      <formula>$AI117="Excluded"</formula>
    </cfRule>
  </conditionalFormatting>
  <conditionalFormatting sqref="H117:H118">
    <cfRule type="cellIs" dxfId="1" priority="1007" operator="equal">
      <formula>"patellar"</formula>
    </cfRule>
  </conditionalFormatting>
  <conditionalFormatting sqref="H117:H118">
    <cfRule type="cellIs" dxfId="2" priority="1008" operator="equal">
      <formula>"hamstring"</formula>
    </cfRule>
  </conditionalFormatting>
  <conditionalFormatting sqref="H117:H118">
    <cfRule type="cellIs" dxfId="3" priority="1009" operator="equal">
      <formula>"quadriceps"</formula>
    </cfRule>
  </conditionalFormatting>
  <conditionalFormatting sqref="H117:H118">
    <cfRule type="cellIs" dxfId="4" priority="1010" operator="equal">
      <formula>"tibialis"</formula>
    </cfRule>
  </conditionalFormatting>
  <conditionalFormatting sqref="E111:H116">
    <cfRule type="expression" dxfId="0" priority="1011">
      <formula>$AI111="Excluded"</formula>
    </cfRule>
  </conditionalFormatting>
  <conditionalFormatting sqref="H111:H116">
    <cfRule type="cellIs" dxfId="1" priority="1012" operator="equal">
      <formula>"patellar"</formula>
    </cfRule>
  </conditionalFormatting>
  <conditionalFormatting sqref="H111:H116">
    <cfRule type="cellIs" dxfId="2" priority="1013" operator="equal">
      <formula>"hamstring"</formula>
    </cfRule>
  </conditionalFormatting>
  <conditionalFormatting sqref="H111:H116">
    <cfRule type="cellIs" dxfId="3" priority="1014" operator="equal">
      <formula>"quadriceps"</formula>
    </cfRule>
  </conditionalFormatting>
  <conditionalFormatting sqref="H111:H116">
    <cfRule type="cellIs" dxfId="4" priority="1015" operator="equal">
      <formula>"tibialis"</formula>
    </cfRule>
  </conditionalFormatting>
  <conditionalFormatting sqref="E106:H1124 V121:V1124">
    <cfRule type="expression" dxfId="0" priority="1016">
      <formula>$AI106="Excluded"</formula>
    </cfRule>
  </conditionalFormatting>
  <conditionalFormatting sqref="H106:H1124 V121:V1124">
    <cfRule type="cellIs" dxfId="1" priority="1017" operator="equal">
      <formula>"patellar"</formula>
    </cfRule>
  </conditionalFormatting>
  <conditionalFormatting sqref="H106:H1124 V121:V1124">
    <cfRule type="cellIs" dxfId="2" priority="1018" operator="equal">
      <formula>"hamstring"</formula>
    </cfRule>
  </conditionalFormatting>
  <conditionalFormatting sqref="H106:H1124 V121:V1124">
    <cfRule type="cellIs" dxfId="3" priority="1019" operator="equal">
      <formula>"quadriceps"</formula>
    </cfRule>
  </conditionalFormatting>
  <conditionalFormatting sqref="H106:H1124 V121:V1124">
    <cfRule type="cellIs" dxfId="4" priority="1020" operator="equal">
      <formula>"tibialis"</formula>
    </cfRule>
  </conditionalFormatting>
  <conditionalFormatting sqref="E98:H105 E107:H109 E111:G117 H111:H113 H115:H117 E119:G122 H119:H121">
    <cfRule type="expression" dxfId="0" priority="1021">
      <formula>$AI98="Excluded"</formula>
    </cfRule>
  </conditionalFormatting>
  <conditionalFormatting sqref="H98:H105 H107:H109 H111:H113 H115:H117 H119:H121">
    <cfRule type="cellIs" dxfId="1" priority="1022" operator="equal">
      <formula>"patellar"</formula>
    </cfRule>
  </conditionalFormatting>
  <conditionalFormatting sqref="H98:H105 H107:H109 H111:H113 H115:H117 H119:H121">
    <cfRule type="cellIs" dxfId="2" priority="1023" operator="equal">
      <formula>"hamstring"</formula>
    </cfRule>
  </conditionalFormatting>
  <conditionalFormatting sqref="H98:H105 H107:H109 H111:H113 H115:H117 H119:H121">
    <cfRule type="cellIs" dxfId="3" priority="1024" operator="equal">
      <formula>"quadriceps"</formula>
    </cfRule>
  </conditionalFormatting>
  <conditionalFormatting sqref="H98:H105 H107:H109 H111:H113 H115:H117 H119:H121">
    <cfRule type="cellIs" dxfId="4" priority="1025" operator="equal">
      <formula>"tibialis"</formula>
    </cfRule>
  </conditionalFormatting>
  <conditionalFormatting sqref="E96:H97">
    <cfRule type="expression" dxfId="0" priority="1026">
      <formula>$AI96="Excluded"</formula>
    </cfRule>
  </conditionalFormatting>
  <conditionalFormatting sqref="H96:H97">
    <cfRule type="cellIs" dxfId="1" priority="1027" operator="equal">
      <formula>"patellar"</formula>
    </cfRule>
  </conditionalFormatting>
  <conditionalFormatting sqref="H96:H97">
    <cfRule type="cellIs" dxfId="2" priority="1028" operator="equal">
      <formula>"hamstring"</formula>
    </cfRule>
  </conditionalFormatting>
  <conditionalFormatting sqref="H96:H97">
    <cfRule type="cellIs" dxfId="3" priority="1029" operator="equal">
      <formula>"quadriceps"</formula>
    </cfRule>
  </conditionalFormatting>
  <conditionalFormatting sqref="H96:H97">
    <cfRule type="cellIs" dxfId="4" priority="1030" operator="equal">
      <formula>"tibialis"</formula>
    </cfRule>
  </conditionalFormatting>
  <conditionalFormatting sqref="E94:H95">
    <cfRule type="expression" dxfId="0" priority="1031">
      <formula>$AI94="Excluded"</formula>
    </cfRule>
  </conditionalFormatting>
  <conditionalFormatting sqref="H94:H95">
    <cfRule type="cellIs" dxfId="1" priority="1032" operator="equal">
      <formula>"patellar"</formula>
    </cfRule>
  </conditionalFormatting>
  <conditionalFormatting sqref="H94:H95">
    <cfRule type="cellIs" dxfId="2" priority="1033" operator="equal">
      <formula>"hamstring"</formula>
    </cfRule>
  </conditionalFormatting>
  <conditionalFormatting sqref="H94:H95">
    <cfRule type="cellIs" dxfId="3" priority="1034" operator="equal">
      <formula>"quadriceps"</formula>
    </cfRule>
  </conditionalFormatting>
  <conditionalFormatting sqref="H94:H95">
    <cfRule type="cellIs" dxfId="4" priority="1035" operator="equal">
      <formula>"tibialis"</formula>
    </cfRule>
  </conditionalFormatting>
  <conditionalFormatting sqref="E91:G94 H91:H93">
    <cfRule type="expression" dxfId="0" priority="1036">
      <formula>$AI91="Excluded"</formula>
    </cfRule>
  </conditionalFormatting>
  <conditionalFormatting sqref="H91:H93">
    <cfRule type="cellIs" dxfId="1" priority="1037" operator="equal">
      <formula>"patellar"</formula>
    </cfRule>
  </conditionalFormatting>
  <conditionalFormatting sqref="H91:H93">
    <cfRule type="cellIs" dxfId="2" priority="1038" operator="equal">
      <formula>"hamstring"</formula>
    </cfRule>
  </conditionalFormatting>
  <conditionalFormatting sqref="H91:H93">
    <cfRule type="cellIs" dxfId="3" priority="1039" operator="equal">
      <formula>"quadriceps"</formula>
    </cfRule>
  </conditionalFormatting>
  <conditionalFormatting sqref="H91:H93">
    <cfRule type="cellIs" dxfId="4" priority="1040" operator="equal">
      <formula>"tibialis"</formula>
    </cfRule>
  </conditionalFormatting>
  <conditionalFormatting sqref="E86:H90">
    <cfRule type="expression" dxfId="0" priority="1041">
      <formula>$AI86="Excluded"</formula>
    </cfRule>
  </conditionalFormatting>
  <conditionalFormatting sqref="H86:H90">
    <cfRule type="cellIs" dxfId="1" priority="1042" operator="equal">
      <formula>"patellar"</formula>
    </cfRule>
  </conditionalFormatting>
  <conditionalFormatting sqref="H86:H90">
    <cfRule type="cellIs" dxfId="2" priority="1043" operator="equal">
      <formula>"hamstring"</formula>
    </cfRule>
  </conditionalFormatting>
  <conditionalFormatting sqref="H86:H90">
    <cfRule type="cellIs" dxfId="3" priority="1044" operator="equal">
      <formula>"quadriceps"</formula>
    </cfRule>
  </conditionalFormatting>
  <conditionalFormatting sqref="H86:H90">
    <cfRule type="cellIs" dxfId="4" priority="1045" operator="equal">
      <formula>"tibialis"</formula>
    </cfRule>
  </conditionalFormatting>
  <conditionalFormatting sqref="E72:H85 E90:H90">
    <cfRule type="expression" dxfId="0" priority="1046">
      <formula>$AI72="Excluded"</formula>
    </cfRule>
  </conditionalFormatting>
  <conditionalFormatting sqref="H72:H85 H90">
    <cfRule type="cellIs" dxfId="1" priority="1047" operator="equal">
      <formula>"patellar"</formula>
    </cfRule>
  </conditionalFormatting>
  <conditionalFormatting sqref="H72:H85 H90">
    <cfRule type="cellIs" dxfId="2" priority="1048" operator="equal">
      <formula>"hamstring"</formula>
    </cfRule>
  </conditionalFormatting>
  <conditionalFormatting sqref="H72:H85 H90">
    <cfRule type="cellIs" dxfId="3" priority="1049" operator="equal">
      <formula>"quadriceps"</formula>
    </cfRule>
  </conditionalFormatting>
  <conditionalFormatting sqref="H72:H85 H90">
    <cfRule type="cellIs" dxfId="4" priority="1050" operator="equal">
      <formula>"tibialis"</formula>
    </cfRule>
  </conditionalFormatting>
  <conditionalFormatting sqref="E68:H71">
    <cfRule type="expression" dxfId="0" priority="1051">
      <formula>$AI68="Excluded"</formula>
    </cfRule>
  </conditionalFormatting>
  <conditionalFormatting sqref="H68:H71">
    <cfRule type="cellIs" dxfId="1" priority="1052" operator="equal">
      <formula>"patellar"</formula>
    </cfRule>
  </conditionalFormatting>
  <conditionalFormatting sqref="H68:H71">
    <cfRule type="cellIs" dxfId="2" priority="1053" operator="equal">
      <formula>"hamstring"</formula>
    </cfRule>
  </conditionalFormatting>
  <conditionalFormatting sqref="H68:H71">
    <cfRule type="cellIs" dxfId="3" priority="1054" operator="equal">
      <formula>"quadriceps"</formula>
    </cfRule>
  </conditionalFormatting>
  <conditionalFormatting sqref="H68:H71">
    <cfRule type="cellIs" dxfId="4" priority="1055" operator="equal">
      <formula>"tibialis"</formula>
    </cfRule>
  </conditionalFormatting>
  <conditionalFormatting sqref="E66:H67">
    <cfRule type="expression" dxfId="0" priority="1056">
      <formula>$AI66="Excluded"</formula>
    </cfRule>
  </conditionalFormatting>
  <conditionalFormatting sqref="H66:H67">
    <cfRule type="cellIs" dxfId="1" priority="1057" operator="equal">
      <formula>"patellar"</formula>
    </cfRule>
  </conditionalFormatting>
  <conditionalFormatting sqref="H66:H67">
    <cfRule type="cellIs" dxfId="2" priority="1058" operator="equal">
      <formula>"hamstring"</formula>
    </cfRule>
  </conditionalFormatting>
  <conditionalFormatting sqref="H66:H67">
    <cfRule type="cellIs" dxfId="3" priority="1059" operator="equal">
      <formula>"quadriceps"</formula>
    </cfRule>
  </conditionalFormatting>
  <conditionalFormatting sqref="H66:H67">
    <cfRule type="cellIs" dxfId="4" priority="1060" operator="equal">
      <formula>"tibialis"</formula>
    </cfRule>
  </conditionalFormatting>
  <conditionalFormatting sqref="E64:H65">
    <cfRule type="expression" dxfId="0" priority="1061">
      <formula>$AI64="Excluded"</formula>
    </cfRule>
  </conditionalFormatting>
  <conditionalFormatting sqref="H64:H65">
    <cfRule type="cellIs" dxfId="1" priority="1062" operator="equal">
      <formula>"patellar"</formula>
    </cfRule>
  </conditionalFormatting>
  <conditionalFormatting sqref="H64:H65">
    <cfRule type="cellIs" dxfId="2" priority="1063" operator="equal">
      <formula>"hamstring"</formula>
    </cfRule>
  </conditionalFormatting>
  <conditionalFormatting sqref="H64:H65">
    <cfRule type="cellIs" dxfId="3" priority="1064" operator="equal">
      <formula>"quadriceps"</formula>
    </cfRule>
  </conditionalFormatting>
  <conditionalFormatting sqref="H64:H65">
    <cfRule type="cellIs" dxfId="4" priority="1065" operator="equal">
      <formula>"tibialis"</formula>
    </cfRule>
  </conditionalFormatting>
  <conditionalFormatting sqref="E55:H63">
    <cfRule type="expression" dxfId="0" priority="1066">
      <formula>$AI55="Excluded"</formula>
    </cfRule>
  </conditionalFormatting>
  <conditionalFormatting sqref="H55:H63">
    <cfRule type="cellIs" dxfId="1" priority="1067" operator="equal">
      <formula>"patellar"</formula>
    </cfRule>
  </conditionalFormatting>
  <conditionalFormatting sqref="H55:H63">
    <cfRule type="cellIs" dxfId="2" priority="1068" operator="equal">
      <formula>"hamstring"</formula>
    </cfRule>
  </conditionalFormatting>
  <conditionalFormatting sqref="H55:H63">
    <cfRule type="cellIs" dxfId="3" priority="1069" operator="equal">
      <formula>"quadriceps"</formula>
    </cfRule>
  </conditionalFormatting>
  <conditionalFormatting sqref="H55:H63">
    <cfRule type="cellIs" dxfId="4" priority="1070" operator="equal">
      <formula>"tibialis"</formula>
    </cfRule>
  </conditionalFormatting>
  <conditionalFormatting sqref="E50:H54">
    <cfRule type="expression" dxfId="0" priority="1071">
      <formula>$AI50="Excluded"</formula>
    </cfRule>
  </conditionalFormatting>
  <conditionalFormatting sqref="H50:H54">
    <cfRule type="cellIs" dxfId="1" priority="1072" operator="equal">
      <formula>"patellar"</formula>
    </cfRule>
  </conditionalFormatting>
  <conditionalFormatting sqref="H50:H54">
    <cfRule type="cellIs" dxfId="2" priority="1073" operator="equal">
      <formula>"hamstring"</formula>
    </cfRule>
  </conditionalFormatting>
  <conditionalFormatting sqref="H50:H54">
    <cfRule type="cellIs" dxfId="3" priority="1074" operator="equal">
      <formula>"quadriceps"</formula>
    </cfRule>
  </conditionalFormatting>
  <conditionalFormatting sqref="H50:H54">
    <cfRule type="cellIs" dxfId="4" priority="1075" operator="equal">
      <formula>"tibialis"</formula>
    </cfRule>
  </conditionalFormatting>
  <conditionalFormatting sqref="E47:H50">
    <cfRule type="expression" dxfId="0" priority="1076">
      <formula>$AI47="Excluded"</formula>
    </cfRule>
  </conditionalFormatting>
  <conditionalFormatting sqref="H47:H50">
    <cfRule type="cellIs" dxfId="1" priority="1077" operator="equal">
      <formula>"patellar"</formula>
    </cfRule>
  </conditionalFormatting>
  <conditionalFormatting sqref="H47:H50">
    <cfRule type="cellIs" dxfId="2" priority="1078" operator="equal">
      <formula>"hamstring"</formula>
    </cfRule>
  </conditionalFormatting>
  <conditionalFormatting sqref="H47:H50">
    <cfRule type="cellIs" dxfId="3" priority="1079" operator="equal">
      <formula>"quadriceps"</formula>
    </cfRule>
  </conditionalFormatting>
  <conditionalFormatting sqref="H47:H50">
    <cfRule type="cellIs" dxfId="4" priority="1080" operator="equal">
      <formula>"tibialis"</formula>
    </cfRule>
  </conditionalFormatting>
  <conditionalFormatting sqref="E42:H46">
    <cfRule type="expression" dxfId="0" priority="1081">
      <formula>$AI42="Excluded"</formula>
    </cfRule>
  </conditionalFormatting>
  <conditionalFormatting sqref="H42:H46">
    <cfRule type="cellIs" dxfId="1" priority="1082" operator="equal">
      <formula>"patellar"</formula>
    </cfRule>
  </conditionalFormatting>
  <conditionalFormatting sqref="H42:H46">
    <cfRule type="cellIs" dxfId="2" priority="1083" operator="equal">
      <formula>"hamstring"</formula>
    </cfRule>
  </conditionalFormatting>
  <conditionalFormatting sqref="H42:H46">
    <cfRule type="cellIs" dxfId="3" priority="1084" operator="equal">
      <formula>"quadriceps"</formula>
    </cfRule>
  </conditionalFormatting>
  <conditionalFormatting sqref="H42:H46">
    <cfRule type="cellIs" dxfId="4" priority="1085" operator="equal">
      <formula>"tibialis"</formula>
    </cfRule>
  </conditionalFormatting>
  <conditionalFormatting sqref="E40:H41">
    <cfRule type="expression" dxfId="0" priority="1086">
      <formula>$AI40="Excluded"</formula>
    </cfRule>
  </conditionalFormatting>
  <conditionalFormatting sqref="H40:H41">
    <cfRule type="cellIs" dxfId="1" priority="1087" operator="equal">
      <formula>"patellar"</formula>
    </cfRule>
  </conditionalFormatting>
  <conditionalFormatting sqref="H40:H41">
    <cfRule type="cellIs" dxfId="2" priority="1088" operator="equal">
      <formula>"hamstring"</formula>
    </cfRule>
  </conditionalFormatting>
  <conditionalFormatting sqref="H40:H41">
    <cfRule type="cellIs" dxfId="3" priority="1089" operator="equal">
      <formula>"quadriceps"</formula>
    </cfRule>
  </conditionalFormatting>
  <conditionalFormatting sqref="H40:H41">
    <cfRule type="cellIs" dxfId="4" priority="1090" operator="equal">
      <formula>"tibialis"</formula>
    </cfRule>
  </conditionalFormatting>
  <conditionalFormatting sqref="E31:H40">
    <cfRule type="expression" dxfId="0" priority="1091">
      <formula>$AI31="Excluded"</formula>
    </cfRule>
  </conditionalFormatting>
  <conditionalFormatting sqref="H31:H40">
    <cfRule type="cellIs" dxfId="1" priority="1092" operator="equal">
      <formula>"patellar"</formula>
    </cfRule>
  </conditionalFormatting>
  <conditionalFormatting sqref="H31:H40">
    <cfRule type="cellIs" dxfId="2" priority="1093" operator="equal">
      <formula>"hamstring"</formula>
    </cfRule>
  </conditionalFormatting>
  <conditionalFormatting sqref="H31:H40">
    <cfRule type="cellIs" dxfId="3" priority="1094" operator="equal">
      <formula>"quadriceps"</formula>
    </cfRule>
  </conditionalFormatting>
  <conditionalFormatting sqref="H31:H40">
    <cfRule type="cellIs" dxfId="4" priority="1095" operator="equal">
      <formula>"tibialis"</formula>
    </cfRule>
  </conditionalFormatting>
  <conditionalFormatting sqref="E29:H30">
    <cfRule type="expression" dxfId="0" priority="1096">
      <formula>$AI29="Excluded"</formula>
    </cfRule>
  </conditionalFormatting>
  <conditionalFormatting sqref="H29:H30">
    <cfRule type="cellIs" dxfId="1" priority="1097" operator="equal">
      <formula>"patellar"</formula>
    </cfRule>
  </conditionalFormatting>
  <conditionalFormatting sqref="H29:H30">
    <cfRule type="cellIs" dxfId="2" priority="1098" operator="equal">
      <formula>"hamstring"</formula>
    </cfRule>
  </conditionalFormatting>
  <conditionalFormatting sqref="H29:H30">
    <cfRule type="cellIs" dxfId="3" priority="1099" operator="equal">
      <formula>"quadriceps"</formula>
    </cfRule>
  </conditionalFormatting>
  <conditionalFormatting sqref="H29:H30">
    <cfRule type="cellIs" dxfId="4" priority="1100" operator="equal">
      <formula>"tibialis"</formula>
    </cfRule>
  </conditionalFormatting>
  <conditionalFormatting sqref="E19:G28 H19:H1124 V121:V1124">
    <cfRule type="expression" dxfId="0" priority="1101">
      <formula>$AI19="Excluded"</formula>
    </cfRule>
  </conditionalFormatting>
  <conditionalFormatting sqref="H19:H1124 V121:V1124">
    <cfRule type="cellIs" dxfId="1" priority="1102" operator="equal">
      <formula>"patellar"</formula>
    </cfRule>
  </conditionalFormatting>
  <conditionalFormatting sqref="H19:H1124 V121:V1124">
    <cfRule type="cellIs" dxfId="2" priority="1103" operator="equal">
      <formula>"hamstring"</formula>
    </cfRule>
  </conditionalFormatting>
  <conditionalFormatting sqref="H19:H1124 V121:V1124">
    <cfRule type="cellIs" dxfId="3" priority="1104" operator="equal">
      <formula>"quadriceps"</formula>
    </cfRule>
  </conditionalFormatting>
  <conditionalFormatting sqref="H19:H1124 V121:V1124">
    <cfRule type="cellIs" dxfId="4" priority="1105" operator="equal">
      <formula>"tibialis"</formula>
    </cfRule>
  </conditionalFormatting>
  <conditionalFormatting sqref="E17:H18">
    <cfRule type="expression" dxfId="0" priority="1106">
      <formula>$AI17="Excluded"</formula>
    </cfRule>
  </conditionalFormatting>
  <conditionalFormatting sqref="H17:H18">
    <cfRule type="cellIs" dxfId="1" priority="1107" operator="equal">
      <formula>"patellar"</formula>
    </cfRule>
  </conditionalFormatting>
  <conditionalFormatting sqref="H17:H18">
    <cfRule type="cellIs" dxfId="2" priority="1108" operator="equal">
      <formula>"hamstring"</formula>
    </cfRule>
  </conditionalFormatting>
  <conditionalFormatting sqref="H17:H18">
    <cfRule type="cellIs" dxfId="3" priority="1109" operator="equal">
      <formula>"quadriceps"</formula>
    </cfRule>
  </conditionalFormatting>
  <conditionalFormatting sqref="H17:H18">
    <cfRule type="cellIs" dxfId="4" priority="1110" operator="equal">
      <formula>"tibialis"</formula>
    </cfRule>
  </conditionalFormatting>
  <conditionalFormatting sqref="E14:H16 I14">
    <cfRule type="expression" dxfId="0" priority="1111">
      <formula>$AI14="Excluded"</formula>
    </cfRule>
  </conditionalFormatting>
  <conditionalFormatting sqref="H14:H16 I14">
    <cfRule type="cellIs" dxfId="1" priority="1112" operator="equal">
      <formula>"patellar"</formula>
    </cfRule>
  </conditionalFormatting>
  <conditionalFormatting sqref="H14:H16 I14">
    <cfRule type="cellIs" dxfId="2" priority="1113" operator="equal">
      <formula>"hamstring"</formula>
    </cfRule>
  </conditionalFormatting>
  <conditionalFormatting sqref="H14:H16 I14">
    <cfRule type="cellIs" dxfId="3" priority="1114" operator="equal">
      <formula>"quadriceps"</formula>
    </cfRule>
  </conditionalFormatting>
  <conditionalFormatting sqref="H14:H16 I14">
    <cfRule type="cellIs" dxfId="4" priority="1115" operator="equal">
      <formula>"tibialis"</formula>
    </cfRule>
  </conditionalFormatting>
  <conditionalFormatting sqref="E9:H13 S12:V12 I13">
    <cfRule type="expression" dxfId="0" priority="1116">
      <formula>$AI9="Excluded"</formula>
    </cfRule>
  </conditionalFormatting>
  <conditionalFormatting sqref="H9:H13 V12 I13">
    <cfRule type="cellIs" dxfId="1" priority="1117" operator="equal">
      <formula>"patellar"</formula>
    </cfRule>
  </conditionalFormatting>
  <conditionalFormatting sqref="H9:H13 V12 I13">
    <cfRule type="cellIs" dxfId="2" priority="1118" operator="equal">
      <formula>"hamstring"</formula>
    </cfRule>
  </conditionalFormatting>
  <conditionalFormatting sqref="H9:H13 V12 I13">
    <cfRule type="cellIs" dxfId="3" priority="1119" operator="equal">
      <formula>"quadriceps"</formula>
    </cfRule>
  </conditionalFormatting>
  <conditionalFormatting sqref="H9:H13 V12 I13">
    <cfRule type="cellIs" dxfId="4" priority="1120" operator="equal">
      <formula>"tibialis"</formula>
    </cfRule>
  </conditionalFormatting>
  <conditionalFormatting sqref="E3:H1124 S7:V8 S12:V12 S71:U72 V121:V1124">
    <cfRule type="expression" dxfId="0" priority="1121">
      <formula>$AI3="Excluded"</formula>
    </cfRule>
  </conditionalFormatting>
  <conditionalFormatting sqref="H3:H1124 V7:V8 V12 V121:V1124">
    <cfRule type="cellIs" dxfId="1" priority="1122" operator="equal">
      <formula>"patellar"</formula>
    </cfRule>
  </conditionalFormatting>
  <conditionalFormatting sqref="H3:H1124 V7:V8 V12 V121:V1124">
    <cfRule type="cellIs" dxfId="2" priority="1123" operator="equal">
      <formula>"hamstring"</formula>
    </cfRule>
  </conditionalFormatting>
  <conditionalFormatting sqref="H3:H1124 V7:V8 V12 V121:V1124">
    <cfRule type="cellIs" dxfId="3" priority="1124" operator="equal">
      <formula>"quadriceps"</formula>
    </cfRule>
  </conditionalFormatting>
  <conditionalFormatting sqref="V1 H3:H1124 V7:V8 V12 V121:V1124">
    <cfRule type="cellIs" dxfId="4" priority="1125" operator="equal">
      <formula>"tibialis"</formula>
    </cfRule>
  </conditionalFormatting>
  <conditionalFormatting sqref="D119:D1124 P119:P1124 R119:R1124">
    <cfRule type="expression" dxfId="0" priority="1126">
      <formula>$AI119="Excluded"</formula>
    </cfRule>
  </conditionalFormatting>
  <conditionalFormatting sqref="D119:D1124 P119:P1124 R119:R1124">
    <cfRule type="cellIs" dxfId="1" priority="1127" operator="equal">
      <formula>"patellar"</formula>
    </cfRule>
  </conditionalFormatting>
  <conditionalFormatting sqref="D119:D1124 P119:P1124 R119:R1124">
    <cfRule type="cellIs" dxfId="2" priority="1128" operator="equal">
      <formula>"hamstring"</formula>
    </cfRule>
  </conditionalFormatting>
  <conditionalFormatting sqref="D119:D1124 P119:P1124 R119:R1124">
    <cfRule type="cellIs" dxfId="3" priority="1129" operator="equal">
      <formula>"quadriceps"</formula>
    </cfRule>
  </conditionalFormatting>
  <conditionalFormatting sqref="D119:D1124 P119:P1124 R119:R1124">
    <cfRule type="cellIs" dxfId="4" priority="1130" operator="equal">
      <formula>"tibialis"</formula>
    </cfRule>
  </conditionalFormatting>
  <conditionalFormatting sqref="D117:D118 P117:P118 R117:R118">
    <cfRule type="expression" dxfId="0" priority="1131">
      <formula>$AI117="Excluded"</formula>
    </cfRule>
  </conditionalFormatting>
  <conditionalFormatting sqref="D117:D118 P117:P118 R117:R118">
    <cfRule type="cellIs" dxfId="1" priority="1132" operator="equal">
      <formula>"patellar"</formula>
    </cfRule>
  </conditionalFormatting>
  <conditionalFormatting sqref="D117:D118 P117:P118 R117:R118">
    <cfRule type="cellIs" dxfId="2" priority="1133" operator="equal">
      <formula>"hamstring"</formula>
    </cfRule>
  </conditionalFormatting>
  <conditionalFormatting sqref="D117:D118 P117:P118 R117:R118">
    <cfRule type="cellIs" dxfId="3" priority="1134" operator="equal">
      <formula>"quadriceps"</formula>
    </cfRule>
  </conditionalFormatting>
  <conditionalFormatting sqref="D117:D118 P117:P118 R117:R118">
    <cfRule type="cellIs" dxfId="4" priority="1135" operator="equal">
      <formula>"tibialis"</formula>
    </cfRule>
  </conditionalFormatting>
  <conditionalFormatting sqref="D111:D116 P111:P116 R111:R116">
    <cfRule type="expression" dxfId="0" priority="1136">
      <formula>$AI111="Excluded"</formula>
    </cfRule>
  </conditionalFormatting>
  <conditionalFormatting sqref="D111:D116 P111:P116 R111:R116">
    <cfRule type="cellIs" dxfId="1" priority="1137" operator="equal">
      <formula>"patellar"</formula>
    </cfRule>
  </conditionalFormatting>
  <conditionalFormatting sqref="D111:D116 P111:P116 R111:R116">
    <cfRule type="cellIs" dxfId="2" priority="1138" operator="equal">
      <formula>"hamstring"</formula>
    </cfRule>
  </conditionalFormatting>
  <conditionalFormatting sqref="D111:D116 P111:P116 R111:R116">
    <cfRule type="cellIs" dxfId="3" priority="1139" operator="equal">
      <formula>"quadriceps"</formula>
    </cfRule>
  </conditionalFormatting>
  <conditionalFormatting sqref="D111:D116 P111:P116 R111:R116">
    <cfRule type="cellIs" dxfId="4" priority="1140" operator="equal">
      <formula>"tibialis"</formula>
    </cfRule>
  </conditionalFormatting>
  <conditionalFormatting sqref="D106:D1124 P106:P1124 R106:R1124">
    <cfRule type="expression" dxfId="0" priority="1141">
      <formula>$AI106="Excluded"</formula>
    </cfRule>
  </conditionalFormatting>
  <conditionalFormatting sqref="D106:D1124 P106:P1124 R106:R1124">
    <cfRule type="cellIs" dxfId="1" priority="1142" operator="equal">
      <formula>"patellar"</formula>
    </cfRule>
  </conditionalFormatting>
  <conditionalFormatting sqref="D106:D1124 P106:P1124 R106:R1124">
    <cfRule type="cellIs" dxfId="2" priority="1143" operator="equal">
      <formula>"hamstring"</formula>
    </cfRule>
  </conditionalFormatting>
  <conditionalFormatting sqref="D106:D1124 P106:P1124 R106:R1124">
    <cfRule type="cellIs" dxfId="3" priority="1144" operator="equal">
      <formula>"quadriceps"</formula>
    </cfRule>
  </conditionalFormatting>
  <conditionalFormatting sqref="D106:D1124 P106:P1124 R106:R1124">
    <cfRule type="cellIs" dxfId="4" priority="1145" operator="equal">
      <formula>"tibialis"</formula>
    </cfRule>
  </conditionalFormatting>
  <conditionalFormatting sqref="D98:D105 P98:P1124 R98:R1124 D107:D109 D111:D113 D115:D117 D119:D121">
    <cfRule type="expression" dxfId="0" priority="1146">
      <formula>$AI98="Excluded"</formula>
    </cfRule>
  </conditionalFormatting>
  <conditionalFormatting sqref="D98:D105 P98:P1124 R98:R1124 D107:D109 D111:D113 D115:D117 D119:D121">
    <cfRule type="cellIs" dxfId="1" priority="1147" operator="equal">
      <formula>"patellar"</formula>
    </cfRule>
  </conditionalFormatting>
  <conditionalFormatting sqref="D98:D105 P98:P1124 R98:R1124 D107:D109 D111:D113 D115:D117 D119:D121">
    <cfRule type="cellIs" dxfId="2" priority="1148" operator="equal">
      <formula>"hamstring"</formula>
    </cfRule>
  </conditionalFormatting>
  <conditionalFormatting sqref="D98:D105 P98:P1124 R98:R1124 D107:D109 D111:D113 D115:D117 D119:D121">
    <cfRule type="cellIs" dxfId="3" priority="1149" operator="equal">
      <formula>"quadriceps"</formula>
    </cfRule>
  </conditionalFormatting>
  <conditionalFormatting sqref="D98:D105 P98:P1124 R98:R1124 D107:D109 D111:D113 D115:D117 D119:D121">
    <cfRule type="cellIs" dxfId="4" priority="1150" operator="equal">
      <formula>"tibialis"</formula>
    </cfRule>
  </conditionalFormatting>
  <conditionalFormatting sqref="D96:D97 P96:P97 R96:R97">
    <cfRule type="expression" dxfId="0" priority="1151">
      <formula>$AI96="Excluded"</formula>
    </cfRule>
  </conditionalFormatting>
  <conditionalFormatting sqref="D96:D97 P96:P97 R96:R97">
    <cfRule type="cellIs" dxfId="1" priority="1152" operator="equal">
      <formula>"patellar"</formula>
    </cfRule>
  </conditionalFormatting>
  <conditionalFormatting sqref="D96:D97 P96:P97 R96:R97">
    <cfRule type="cellIs" dxfId="2" priority="1153" operator="equal">
      <formula>"hamstring"</formula>
    </cfRule>
  </conditionalFormatting>
  <conditionalFormatting sqref="D96:D97 P96:P97 R96:R97">
    <cfRule type="cellIs" dxfId="3" priority="1154" operator="equal">
      <formula>"quadriceps"</formula>
    </cfRule>
  </conditionalFormatting>
  <conditionalFormatting sqref="D96:D97 P96:P97 R96:R97">
    <cfRule type="cellIs" dxfId="4" priority="1155" operator="equal">
      <formula>"tibialis"</formula>
    </cfRule>
  </conditionalFormatting>
  <conditionalFormatting sqref="D94:D95 P94:P95 R94:R95">
    <cfRule type="expression" dxfId="0" priority="1156">
      <formula>$AI94="Excluded"</formula>
    </cfRule>
  </conditionalFormatting>
  <conditionalFormatting sqref="D94:D95 P94:P95 R94:R95">
    <cfRule type="cellIs" dxfId="1" priority="1157" operator="equal">
      <formula>"patellar"</formula>
    </cfRule>
  </conditionalFormatting>
  <conditionalFormatting sqref="D94:D95 P94:P95 R94:R95">
    <cfRule type="cellIs" dxfId="2" priority="1158" operator="equal">
      <formula>"hamstring"</formula>
    </cfRule>
  </conditionalFormatting>
  <conditionalFormatting sqref="D94:D95 P94:P95 R94:R95">
    <cfRule type="cellIs" dxfId="3" priority="1159" operator="equal">
      <formula>"quadriceps"</formula>
    </cfRule>
  </conditionalFormatting>
  <conditionalFormatting sqref="D94:D95 P94:P95 R94:R95">
    <cfRule type="cellIs" dxfId="4" priority="1160" operator="equal">
      <formula>"tibialis"</formula>
    </cfRule>
  </conditionalFormatting>
  <conditionalFormatting sqref="D91:D93 P91:P93 R91:R93">
    <cfRule type="expression" dxfId="0" priority="1161">
      <formula>$AI91="Excluded"</formula>
    </cfRule>
  </conditionalFormatting>
  <conditionalFormatting sqref="D91:D93 P91:P93 R91:R93">
    <cfRule type="cellIs" dxfId="1" priority="1162" operator="equal">
      <formula>"patellar"</formula>
    </cfRule>
  </conditionalFormatting>
  <conditionalFormatting sqref="D91:D93 P91:P93 R91:R93">
    <cfRule type="cellIs" dxfId="2" priority="1163" operator="equal">
      <formula>"hamstring"</formula>
    </cfRule>
  </conditionalFormatting>
  <conditionalFormatting sqref="D91:D93 P91:P93 R91:R93">
    <cfRule type="cellIs" dxfId="3" priority="1164" operator="equal">
      <formula>"quadriceps"</formula>
    </cfRule>
  </conditionalFormatting>
  <conditionalFormatting sqref="D91:D93 P91:P93 R91:R93">
    <cfRule type="cellIs" dxfId="4" priority="1165" operator="equal">
      <formula>"tibialis"</formula>
    </cfRule>
  </conditionalFormatting>
  <conditionalFormatting sqref="D86:D90 P86:P90 R86:R90">
    <cfRule type="expression" dxfId="0" priority="1166">
      <formula>$AI86="Excluded"</formula>
    </cfRule>
  </conditionalFormatting>
  <conditionalFormatting sqref="D86:D90 P86:P90 R86:R90">
    <cfRule type="cellIs" dxfId="1" priority="1167" operator="equal">
      <formula>"patellar"</formula>
    </cfRule>
  </conditionalFormatting>
  <conditionalFormatting sqref="D86:D90 P86:P90 R86:R90">
    <cfRule type="cellIs" dxfId="2" priority="1168" operator="equal">
      <formula>"hamstring"</formula>
    </cfRule>
  </conditionalFormatting>
  <conditionalFormatting sqref="D86:D90 P86:P90 R86:R90">
    <cfRule type="cellIs" dxfId="3" priority="1169" operator="equal">
      <formula>"quadriceps"</formula>
    </cfRule>
  </conditionalFormatting>
  <conditionalFormatting sqref="D86:D90 P86:P90 R86:R90">
    <cfRule type="cellIs" dxfId="4" priority="1170" operator="equal">
      <formula>"tibialis"</formula>
    </cfRule>
  </conditionalFormatting>
  <conditionalFormatting sqref="D72:D85 P72:P85 R72:R85 D90">
    <cfRule type="expression" dxfId="0" priority="1171">
      <formula>$AI72="Excluded"</formula>
    </cfRule>
  </conditionalFormatting>
  <conditionalFormatting sqref="D72:D85 P72:P85 R72:R85 D90">
    <cfRule type="cellIs" dxfId="1" priority="1172" operator="equal">
      <formula>"patellar"</formula>
    </cfRule>
  </conditionalFormatting>
  <conditionalFormatting sqref="D72:D85 P72:P85 R72:R85 D90">
    <cfRule type="cellIs" dxfId="2" priority="1173" operator="equal">
      <formula>"hamstring"</formula>
    </cfRule>
  </conditionalFormatting>
  <conditionalFormatting sqref="D72:D85 P72:P85 R72:R85 D90">
    <cfRule type="cellIs" dxfId="3" priority="1174" operator="equal">
      <formula>"quadriceps"</formula>
    </cfRule>
  </conditionalFormatting>
  <conditionalFormatting sqref="D72:D85 P72:P85 R72:R85 D90">
    <cfRule type="cellIs" dxfId="4" priority="1175" operator="equal">
      <formula>"tibialis"</formula>
    </cfRule>
  </conditionalFormatting>
  <conditionalFormatting sqref="D68:D71 P68:P71 R68:R71">
    <cfRule type="expression" dxfId="0" priority="1176">
      <formula>$AI68="Excluded"</formula>
    </cfRule>
  </conditionalFormatting>
  <conditionalFormatting sqref="D68:D71 P68:P71 R68:R71">
    <cfRule type="cellIs" dxfId="1" priority="1177" operator="equal">
      <formula>"patellar"</formula>
    </cfRule>
  </conditionalFormatting>
  <conditionalFormatting sqref="D68:D71 P68:P71 R68:R71">
    <cfRule type="cellIs" dxfId="2" priority="1178" operator="equal">
      <formula>"hamstring"</formula>
    </cfRule>
  </conditionalFormatting>
  <conditionalFormatting sqref="D68:D71 P68:P71 R68:R71">
    <cfRule type="cellIs" dxfId="3" priority="1179" operator="equal">
      <formula>"quadriceps"</formula>
    </cfRule>
  </conditionalFormatting>
  <conditionalFormatting sqref="D68:D71 P68:P71 R68:R71">
    <cfRule type="cellIs" dxfId="4" priority="1180" operator="equal">
      <formula>"tibialis"</formula>
    </cfRule>
  </conditionalFormatting>
  <conditionalFormatting sqref="D66:D67 P66:P67 R66:R67">
    <cfRule type="expression" dxfId="0" priority="1181">
      <formula>$AI66="Excluded"</formula>
    </cfRule>
  </conditionalFormatting>
  <conditionalFormatting sqref="D66:D67 P66:P67 R66:R67">
    <cfRule type="cellIs" dxfId="1" priority="1182" operator="equal">
      <formula>"patellar"</formula>
    </cfRule>
  </conditionalFormatting>
  <conditionalFormatting sqref="D66:D67 P66:P67 R66:R67">
    <cfRule type="cellIs" dxfId="2" priority="1183" operator="equal">
      <formula>"hamstring"</formula>
    </cfRule>
  </conditionalFormatting>
  <conditionalFormatting sqref="D66:D67 P66:P67 R66:R67">
    <cfRule type="cellIs" dxfId="3" priority="1184" operator="equal">
      <formula>"quadriceps"</formula>
    </cfRule>
  </conditionalFormatting>
  <conditionalFormatting sqref="D66:D67 P66:P67 R66:R67">
    <cfRule type="cellIs" dxfId="4" priority="1185" operator="equal">
      <formula>"tibialis"</formula>
    </cfRule>
  </conditionalFormatting>
  <conditionalFormatting sqref="D64:D65 P64:P65 R64:R65">
    <cfRule type="expression" dxfId="0" priority="1186">
      <formula>$AI64="Excluded"</formula>
    </cfRule>
  </conditionalFormatting>
  <conditionalFormatting sqref="D64:D65 P64:P65 R64:R65">
    <cfRule type="cellIs" dxfId="1" priority="1187" operator="equal">
      <formula>"patellar"</formula>
    </cfRule>
  </conditionalFormatting>
  <conditionalFormatting sqref="D64:D65 P64:P65 R64:R65">
    <cfRule type="cellIs" dxfId="2" priority="1188" operator="equal">
      <formula>"hamstring"</formula>
    </cfRule>
  </conditionalFormatting>
  <conditionalFormatting sqref="D64:D65 P64:P65 R64:R65">
    <cfRule type="cellIs" dxfId="3" priority="1189" operator="equal">
      <formula>"quadriceps"</formula>
    </cfRule>
  </conditionalFormatting>
  <conditionalFormatting sqref="D64:D65 P64:P65 R64:R65">
    <cfRule type="cellIs" dxfId="4" priority="1190" operator="equal">
      <formula>"tibialis"</formula>
    </cfRule>
  </conditionalFormatting>
  <conditionalFormatting sqref="D55:D63 P55:P63 R55:R63">
    <cfRule type="expression" dxfId="0" priority="1191">
      <formula>$AI55="Excluded"</formula>
    </cfRule>
  </conditionalFormatting>
  <conditionalFormatting sqref="D55:D63 P55:P63 R55:R63">
    <cfRule type="cellIs" dxfId="1" priority="1192" operator="equal">
      <formula>"patellar"</formula>
    </cfRule>
  </conditionalFormatting>
  <conditionalFormatting sqref="D55:D63 P55:P63 R55:R63">
    <cfRule type="cellIs" dxfId="2" priority="1193" operator="equal">
      <formula>"hamstring"</formula>
    </cfRule>
  </conditionalFormatting>
  <conditionalFormatting sqref="D55:D63 P55:P63 R55:R63">
    <cfRule type="cellIs" dxfId="3" priority="1194" operator="equal">
      <formula>"quadriceps"</formula>
    </cfRule>
  </conditionalFormatting>
  <conditionalFormatting sqref="D55:D63 P55:P63 R55:R63">
    <cfRule type="cellIs" dxfId="4" priority="1195" operator="equal">
      <formula>"tibialis"</formula>
    </cfRule>
  </conditionalFormatting>
  <conditionalFormatting sqref="D50:D54 P50:P54 R50:R54">
    <cfRule type="expression" dxfId="0" priority="1196">
      <formula>$AI50="Excluded"</formula>
    </cfRule>
  </conditionalFormatting>
  <conditionalFormatting sqref="D50:D54 P50:P54 R50:R54">
    <cfRule type="cellIs" dxfId="1" priority="1197" operator="equal">
      <formula>"patellar"</formula>
    </cfRule>
  </conditionalFormatting>
  <conditionalFormatting sqref="D50:D54 P50:P54 R50:R54">
    <cfRule type="cellIs" dxfId="2" priority="1198" operator="equal">
      <formula>"hamstring"</formula>
    </cfRule>
  </conditionalFormatting>
  <conditionalFormatting sqref="D50:D54 P50:P54 R50:R54">
    <cfRule type="cellIs" dxfId="3" priority="1199" operator="equal">
      <formula>"quadriceps"</formula>
    </cfRule>
  </conditionalFormatting>
  <conditionalFormatting sqref="D50:D54 P50:P54 R50:R54">
    <cfRule type="cellIs" dxfId="4" priority="1200" operator="equal">
      <formula>"tibialis"</formula>
    </cfRule>
  </conditionalFormatting>
  <conditionalFormatting sqref="D47:D49 P47:P49 R47:R49">
    <cfRule type="expression" dxfId="0" priority="1201">
      <formula>$AI47="Excluded"</formula>
    </cfRule>
  </conditionalFormatting>
  <conditionalFormatting sqref="D47:D49 P47:P49 R47:R49">
    <cfRule type="cellIs" dxfId="1" priority="1202" operator="equal">
      <formula>"patellar"</formula>
    </cfRule>
  </conditionalFormatting>
  <conditionalFormatting sqref="D47:D49 P47:P49 R47:R49">
    <cfRule type="cellIs" dxfId="2" priority="1203" operator="equal">
      <formula>"hamstring"</formula>
    </cfRule>
  </conditionalFormatting>
  <conditionalFormatting sqref="D47:D49 P47:P49 R47:R49">
    <cfRule type="cellIs" dxfId="3" priority="1204" operator="equal">
      <formula>"quadriceps"</formula>
    </cfRule>
  </conditionalFormatting>
  <conditionalFormatting sqref="D47:D49 P47:P49 R47:R49">
    <cfRule type="cellIs" dxfId="4" priority="1205" operator="equal">
      <formula>"tibialis"</formula>
    </cfRule>
  </conditionalFormatting>
  <conditionalFormatting sqref="D42:D46 P42:P46 R42:R46">
    <cfRule type="expression" dxfId="0" priority="1206">
      <formula>$AI42="Excluded"</formula>
    </cfRule>
  </conditionalFormatting>
  <conditionalFormatting sqref="D42:D46 P42:P46 R42:R46">
    <cfRule type="cellIs" dxfId="1" priority="1207" operator="equal">
      <formula>"patellar"</formula>
    </cfRule>
  </conditionalFormatting>
  <conditionalFormatting sqref="D42:D46 P42:P46 R42:R46">
    <cfRule type="cellIs" dxfId="2" priority="1208" operator="equal">
      <formula>"hamstring"</formula>
    </cfRule>
  </conditionalFormatting>
  <conditionalFormatting sqref="D42:D46 P42:P46 R42:R46">
    <cfRule type="cellIs" dxfId="3" priority="1209" operator="equal">
      <formula>"quadriceps"</formula>
    </cfRule>
  </conditionalFormatting>
  <conditionalFormatting sqref="D42:D46 P42:P46 R42:R46">
    <cfRule type="cellIs" dxfId="4" priority="1210" operator="equal">
      <formula>"tibialis"</formula>
    </cfRule>
  </conditionalFormatting>
  <conditionalFormatting sqref="D40:D41 P40:P41 R40:R41">
    <cfRule type="expression" dxfId="0" priority="1211">
      <formula>$AI40="Excluded"</formula>
    </cfRule>
  </conditionalFormatting>
  <conditionalFormatting sqref="D40:D41 P40:P41 R40:R41">
    <cfRule type="cellIs" dxfId="1" priority="1212" operator="equal">
      <formula>"patellar"</formula>
    </cfRule>
  </conditionalFormatting>
  <conditionalFormatting sqref="D40:D41 P40:P41 R40:R41">
    <cfRule type="cellIs" dxfId="2" priority="1213" operator="equal">
      <formula>"hamstring"</formula>
    </cfRule>
  </conditionalFormatting>
  <conditionalFormatting sqref="D40:D41 P40:P41 R40:R41">
    <cfRule type="cellIs" dxfId="3" priority="1214" operator="equal">
      <formula>"quadriceps"</formula>
    </cfRule>
  </conditionalFormatting>
  <conditionalFormatting sqref="D40:D41 P40:P41 R40:R41">
    <cfRule type="cellIs" dxfId="4" priority="1215" operator="equal">
      <formula>"tibialis"</formula>
    </cfRule>
  </conditionalFormatting>
  <conditionalFormatting sqref="D31:D39 P31:P39 R31:R1124 P63:P66 P95:P1124">
    <cfRule type="expression" dxfId="0" priority="1216">
      <formula>$AI31="Excluded"</formula>
    </cfRule>
  </conditionalFormatting>
  <conditionalFormatting sqref="D31:D39 P31:P39 R31:R1124 P63:P66 P95:P1124">
    <cfRule type="cellIs" dxfId="1" priority="1217" operator="equal">
      <formula>"patellar"</formula>
    </cfRule>
  </conditionalFormatting>
  <conditionalFormatting sqref="D31:D39 P31:P39 R31:R1124 P63:P66 P95:P1124">
    <cfRule type="cellIs" dxfId="2" priority="1218" operator="equal">
      <formula>"hamstring"</formula>
    </cfRule>
  </conditionalFormatting>
  <conditionalFormatting sqref="D31:D39 P31:P39 R31:R1124 P63:P66 P95:P1124">
    <cfRule type="cellIs" dxfId="3" priority="1219" operator="equal">
      <formula>"quadriceps"</formula>
    </cfRule>
  </conditionalFormatting>
  <conditionalFormatting sqref="D31:D39 P31:P39 R31:R1124 P63:P66 P95:P1124">
    <cfRule type="cellIs" dxfId="4" priority="1220" operator="equal">
      <formula>"tibialis"</formula>
    </cfRule>
  </conditionalFormatting>
  <conditionalFormatting sqref="D29:D30 P29:P30 R29:R30 P61:P62 R61:R62 P93:P94 R93:R94">
    <cfRule type="expression" dxfId="0" priority="1221">
      <formula>$AI29="Excluded"</formula>
    </cfRule>
  </conditionalFormatting>
  <conditionalFormatting sqref="D29:D30 P29:P30 R29:R30 P61:P62 R61:R62 P93:P94 R93:R94">
    <cfRule type="cellIs" dxfId="1" priority="1222" operator="equal">
      <formula>"patellar"</formula>
    </cfRule>
  </conditionalFormatting>
  <conditionalFormatting sqref="D29:D30 P29:P30 R29:R30 P61:P62 R61:R62 P93:P94 R93:R94">
    <cfRule type="cellIs" dxfId="2" priority="1223" operator="equal">
      <formula>"hamstring"</formula>
    </cfRule>
  </conditionalFormatting>
  <conditionalFormatting sqref="D29:D30 P29:P30 R29:R30 P61:P62 R61:R62 P93:P94 R93:R94">
    <cfRule type="cellIs" dxfId="3" priority="1224" operator="equal">
      <formula>"quadriceps"</formula>
    </cfRule>
  </conditionalFormatting>
  <conditionalFormatting sqref="D29:D30 P29:P30 R29:R30 P61:P62 R61:R62 P93:P94 R93:R94">
    <cfRule type="cellIs" dxfId="4" priority="1225" operator="equal">
      <formula>"tibialis"</formula>
    </cfRule>
  </conditionalFormatting>
  <conditionalFormatting sqref="D19:D28 P19:P28 R19:R28 P51:P60 R51:R60 P83:P92 R83:R92">
    <cfRule type="expression" dxfId="0" priority="1226">
      <formula>$AI19="Excluded"</formula>
    </cfRule>
  </conditionalFormatting>
  <conditionalFormatting sqref="D19:D28 P19:P28 R19:R28 P51:P60 R51:R60 P83:P92 R83:R92">
    <cfRule type="cellIs" dxfId="1" priority="1227" operator="equal">
      <formula>"patellar"</formula>
    </cfRule>
  </conditionalFormatting>
  <conditionalFormatting sqref="D19:D28 P19:P28 R19:R28 P51:P60 R51:R60 P83:P92 R83:R92">
    <cfRule type="cellIs" dxfId="2" priority="1228" operator="equal">
      <formula>"hamstring"</formula>
    </cfRule>
  </conditionalFormatting>
  <conditionalFormatting sqref="D19:D28 P19:P28 R19:R28 P51:P60 R51:R60 P83:P92 R83:R92">
    <cfRule type="cellIs" dxfId="3" priority="1229" operator="equal">
      <formula>"quadriceps"</formula>
    </cfRule>
  </conditionalFormatting>
  <conditionalFormatting sqref="D19:D28 P19:P28 R19:R28 P51:P60 R51:R60 P83:P92 R83:R92">
    <cfRule type="cellIs" dxfId="4" priority="1230" operator="equal">
      <formula>"tibialis"</formula>
    </cfRule>
  </conditionalFormatting>
  <conditionalFormatting sqref="D17:D18 P17:P18 R17:R18 P49:P50 R49:R50 P81:P82 R81:R82">
    <cfRule type="expression" dxfId="0" priority="1231">
      <formula>$AI17="Excluded"</formula>
    </cfRule>
  </conditionalFormatting>
  <conditionalFormatting sqref="D17:D18 P17:P18 R17:R18 P49:P50 R49:R50 P81:P82 R81:R82">
    <cfRule type="cellIs" dxfId="1" priority="1232" operator="equal">
      <formula>"patellar"</formula>
    </cfRule>
  </conditionalFormatting>
  <conditionalFormatting sqref="D17:D18 P17:P18 R17:R18 P49:P50 R49:R50 P81:P82 R81:R82">
    <cfRule type="cellIs" dxfId="2" priority="1233" operator="equal">
      <formula>"hamstring"</formula>
    </cfRule>
  </conditionalFormatting>
  <conditionalFormatting sqref="D17:D18 P17:P18 R17:R18 P49:P50 R49:R50 P81:P82 R81:R82">
    <cfRule type="cellIs" dxfId="3" priority="1234" operator="equal">
      <formula>"quadriceps"</formula>
    </cfRule>
  </conditionalFormatting>
  <conditionalFormatting sqref="D17:D18 P17:P18 R17:R18 P49:P50 R49:R50 P81:P82 R81:R82">
    <cfRule type="cellIs" dxfId="4" priority="1235" operator="equal">
      <formula>"tibialis"</formula>
    </cfRule>
  </conditionalFormatting>
  <conditionalFormatting sqref="D14:D16 E14:G14 P15:P16 R15:R16 P47:P48 R47:R48 P79:P80 R79:R80">
    <cfRule type="expression" dxfId="0" priority="1236">
      <formula>$AI14="Excluded"</formula>
    </cfRule>
  </conditionalFormatting>
  <conditionalFormatting sqref="D14:D16 E14:G14 P15:P16 R15:R16 P47:P48 R47:R48 P79:P80 R79:R80">
    <cfRule type="cellIs" dxfId="1" priority="1237" operator="equal">
      <formula>"patellar"</formula>
    </cfRule>
  </conditionalFormatting>
  <conditionalFormatting sqref="D14:D16 E14:G14 P15:P16 R15:R16 P47:P48 R47:R48 P79:P80 R79:R80">
    <cfRule type="cellIs" dxfId="2" priority="1238" operator="equal">
      <formula>"hamstring"</formula>
    </cfRule>
  </conditionalFormatting>
  <conditionalFormatting sqref="D14:D16 E14:G14 P15:P16 R15:R16 P47:P48 R47:R48 P79:P80 R79:R80">
    <cfRule type="cellIs" dxfId="3" priority="1239" operator="equal">
      <formula>"quadriceps"</formula>
    </cfRule>
  </conditionalFormatting>
  <conditionalFormatting sqref="D14:D16 E14:G14 P15:P16 R15:R16 P47:P48 R47:R48 P79:P80 R79:R80">
    <cfRule type="cellIs" dxfId="4" priority="1240" operator="equal">
      <formula>"tibialis"</formula>
    </cfRule>
  </conditionalFormatting>
  <conditionalFormatting sqref="D9:D13 P9:P12 R9:R12 E13:G14 P41:P44 R41:R44 P73:P76 R73:R76">
    <cfRule type="expression" dxfId="0" priority="1241">
      <formula>$AI9="Excluded"</formula>
    </cfRule>
  </conditionalFormatting>
  <conditionalFormatting sqref="D9:D13 P9:P12 R9:R12 E13:G14 P41:P44 R41:R44 P73:P76 R73:R76">
    <cfRule type="cellIs" dxfId="1" priority="1242" operator="equal">
      <formula>"patellar"</formula>
    </cfRule>
  </conditionalFormatting>
  <conditionalFormatting sqref="D9:D13 P9:P12 R9:R12 E13:G14 P41:P44 R41:R44 P73:P76 R73:R76">
    <cfRule type="cellIs" dxfId="2" priority="1243" operator="equal">
      <formula>"hamstring"</formula>
    </cfRule>
  </conditionalFormatting>
  <conditionalFormatting sqref="D9:D13 P9:P12 R9:R12 E13:G14 P41:P44 R41:R44 P73:P76 R73:R76">
    <cfRule type="cellIs" dxfId="3" priority="1244" operator="equal">
      <formula>"quadriceps"</formula>
    </cfRule>
  </conditionalFormatting>
  <conditionalFormatting sqref="D9:D13 P9:P12 R9:R12 E13:G14 P41:P44 R41:R44 P73:P76 R73:R76">
    <cfRule type="cellIs" dxfId="4" priority="1245" operator="equal">
      <formula>"tibialis"</formula>
    </cfRule>
  </conditionalFormatting>
  <conditionalFormatting sqref="D3:D1124 P3:P1124 R3:R1124">
    <cfRule type="expression" dxfId="0" priority="1246">
      <formula>$AI3="Excluded"</formula>
    </cfRule>
  </conditionalFormatting>
  <conditionalFormatting sqref="D3:D1124 P3:P1124 R3:R1124">
    <cfRule type="cellIs" dxfId="1" priority="1247" operator="equal">
      <formula>"patellar"</formula>
    </cfRule>
  </conditionalFormatting>
  <conditionalFormatting sqref="D3:D1124 P3:P1124 R3:R1124">
    <cfRule type="cellIs" dxfId="2" priority="1248" operator="equal">
      <formula>"hamstring"</formula>
    </cfRule>
  </conditionalFormatting>
  <conditionalFormatting sqref="D3:D1124 P3:P1124 R3:R1124">
    <cfRule type="cellIs" dxfId="3" priority="1249" operator="equal">
      <formula>"quadriceps"</formula>
    </cfRule>
  </conditionalFormatting>
  <conditionalFormatting sqref="D1 P1 R1 D3:D1124 P3:P1124 R3:R1124">
    <cfRule type="cellIs" dxfId="4" priority="1250" operator="equal">
      <formula>"tibialis"</formula>
    </cfRule>
  </conditionalFormatting>
  <conditionalFormatting sqref="A119:C1124">
    <cfRule type="expression" dxfId="0" priority="1251">
      <formula>$AI119="Excluded"</formula>
    </cfRule>
  </conditionalFormatting>
  <conditionalFormatting sqref="C119:C1124">
    <cfRule type="cellIs" dxfId="1" priority="1252" operator="equal">
      <formula>"patellar"</formula>
    </cfRule>
  </conditionalFormatting>
  <conditionalFormatting sqref="C119:C1124">
    <cfRule type="cellIs" dxfId="2" priority="1253" operator="equal">
      <formula>"hamstring"</formula>
    </cfRule>
  </conditionalFormatting>
  <conditionalFormatting sqref="C119:C1124">
    <cfRule type="cellIs" dxfId="3" priority="1254" operator="equal">
      <formula>"quadriceps"</formula>
    </cfRule>
  </conditionalFormatting>
  <conditionalFormatting sqref="C119:C1124">
    <cfRule type="cellIs" dxfId="4" priority="1255" operator="equal">
      <formula>"tibialis"</formula>
    </cfRule>
  </conditionalFormatting>
  <conditionalFormatting sqref="A117:C118">
    <cfRule type="expression" dxfId="0" priority="1256">
      <formula>$AI117="Excluded"</formula>
    </cfRule>
  </conditionalFormatting>
  <conditionalFormatting sqref="C117:C118">
    <cfRule type="cellIs" dxfId="1" priority="1257" operator="equal">
      <formula>"patellar"</formula>
    </cfRule>
  </conditionalFormatting>
  <conditionalFormatting sqref="C117:C118">
    <cfRule type="cellIs" dxfId="2" priority="1258" operator="equal">
      <formula>"hamstring"</formula>
    </cfRule>
  </conditionalFormatting>
  <conditionalFormatting sqref="C117:C118">
    <cfRule type="cellIs" dxfId="3" priority="1259" operator="equal">
      <formula>"quadriceps"</formula>
    </cfRule>
  </conditionalFormatting>
  <conditionalFormatting sqref="C117:C118">
    <cfRule type="cellIs" dxfId="4" priority="1260" operator="equal">
      <formula>"tibialis"</formula>
    </cfRule>
  </conditionalFormatting>
  <conditionalFormatting sqref="A111:C116">
    <cfRule type="expression" dxfId="0" priority="1261">
      <formula>$AI111="Excluded"</formula>
    </cfRule>
  </conditionalFormatting>
  <conditionalFormatting sqref="C111:C116">
    <cfRule type="cellIs" dxfId="1" priority="1262" operator="equal">
      <formula>"patellar"</formula>
    </cfRule>
  </conditionalFormatting>
  <conditionalFormatting sqref="C111:C116">
    <cfRule type="cellIs" dxfId="2" priority="1263" operator="equal">
      <formula>"hamstring"</formula>
    </cfRule>
  </conditionalFormatting>
  <conditionalFormatting sqref="C111:C116">
    <cfRule type="cellIs" dxfId="3" priority="1264" operator="equal">
      <formula>"quadriceps"</formula>
    </cfRule>
  </conditionalFormatting>
  <conditionalFormatting sqref="C111:C116">
    <cfRule type="cellIs" dxfId="4" priority="1265" operator="equal">
      <formula>"tibialis"</formula>
    </cfRule>
  </conditionalFormatting>
  <conditionalFormatting sqref="A106:C1124">
    <cfRule type="expression" dxfId="0" priority="1266">
      <formula>$AI106="Excluded"</formula>
    </cfRule>
  </conditionalFormatting>
  <conditionalFormatting sqref="C106:C1124">
    <cfRule type="cellIs" dxfId="1" priority="1267" operator="equal">
      <formula>"patellar"</formula>
    </cfRule>
  </conditionalFormatting>
  <conditionalFormatting sqref="C106:C1124">
    <cfRule type="cellIs" dxfId="2" priority="1268" operator="equal">
      <formula>"hamstring"</formula>
    </cfRule>
  </conditionalFormatting>
  <conditionalFormatting sqref="C106:C1124">
    <cfRule type="cellIs" dxfId="3" priority="1269" operator="equal">
      <formula>"quadriceps"</formula>
    </cfRule>
  </conditionalFormatting>
  <conditionalFormatting sqref="C106:C1124">
    <cfRule type="cellIs" dxfId="4" priority="1270" operator="equal">
      <formula>"tibialis"</formula>
    </cfRule>
  </conditionalFormatting>
  <conditionalFormatting sqref="A98:C105 A107:C109 A111:C113 A115:C117 A119:C121">
    <cfRule type="expression" dxfId="0" priority="1271">
      <formula>$AI98="Excluded"</formula>
    </cfRule>
  </conditionalFormatting>
  <conditionalFormatting sqref="C98:C105 C107:C109 C111:C113 C115:C117 C119:C121">
    <cfRule type="cellIs" dxfId="1" priority="1272" operator="equal">
      <formula>"patellar"</formula>
    </cfRule>
  </conditionalFormatting>
  <conditionalFormatting sqref="C98:C105 C107:C109 C111:C113 C115:C117 C119:C121">
    <cfRule type="cellIs" dxfId="2" priority="1273" operator="equal">
      <formula>"hamstring"</formula>
    </cfRule>
  </conditionalFormatting>
  <conditionalFormatting sqref="C98:C105 C107:C109 C111:C113 C115:C117 C119:C121">
    <cfRule type="cellIs" dxfId="3" priority="1274" operator="equal">
      <formula>"quadriceps"</formula>
    </cfRule>
  </conditionalFormatting>
  <conditionalFormatting sqref="C98:C105 C107:C109 C111:C113 C115:C117 C119:C121">
    <cfRule type="cellIs" dxfId="4" priority="1275" operator="equal">
      <formula>"tibialis"</formula>
    </cfRule>
  </conditionalFormatting>
  <conditionalFormatting sqref="A96:C97">
    <cfRule type="expression" dxfId="0" priority="1276">
      <formula>$AI96="Excluded"</formula>
    </cfRule>
  </conditionalFormatting>
  <conditionalFormatting sqref="C96:C97">
    <cfRule type="cellIs" dxfId="1" priority="1277" operator="equal">
      <formula>"patellar"</formula>
    </cfRule>
  </conditionalFormatting>
  <conditionalFormatting sqref="C96:C97">
    <cfRule type="cellIs" dxfId="2" priority="1278" operator="equal">
      <formula>"hamstring"</formula>
    </cfRule>
  </conditionalFormatting>
  <conditionalFormatting sqref="C96:C97">
    <cfRule type="cellIs" dxfId="3" priority="1279" operator="equal">
      <formula>"quadriceps"</formula>
    </cfRule>
  </conditionalFormatting>
  <conditionalFormatting sqref="C96:C97">
    <cfRule type="cellIs" dxfId="4" priority="1280" operator="equal">
      <formula>"tibialis"</formula>
    </cfRule>
  </conditionalFormatting>
  <conditionalFormatting sqref="A94:C95">
    <cfRule type="expression" dxfId="0" priority="1281">
      <formula>$AI94="Excluded"</formula>
    </cfRule>
  </conditionalFormatting>
  <conditionalFormatting sqref="C94:C95">
    <cfRule type="cellIs" dxfId="1" priority="1282" operator="equal">
      <formula>"patellar"</formula>
    </cfRule>
  </conditionalFormatting>
  <conditionalFormatting sqref="C94:C95">
    <cfRule type="cellIs" dxfId="2" priority="1283" operator="equal">
      <formula>"hamstring"</formula>
    </cfRule>
  </conditionalFormatting>
  <conditionalFormatting sqref="C94:C95">
    <cfRule type="cellIs" dxfId="3" priority="1284" operator="equal">
      <formula>"quadriceps"</formula>
    </cfRule>
  </conditionalFormatting>
  <conditionalFormatting sqref="C94:C95">
    <cfRule type="cellIs" dxfId="4" priority="1285" operator="equal">
      <formula>"tibialis"</formula>
    </cfRule>
  </conditionalFormatting>
  <conditionalFormatting sqref="A91:C93">
    <cfRule type="expression" dxfId="0" priority="1286">
      <formula>$AI91="Excluded"</formula>
    </cfRule>
  </conditionalFormatting>
  <conditionalFormatting sqref="C91:C93">
    <cfRule type="cellIs" dxfId="1" priority="1287" operator="equal">
      <formula>"patellar"</formula>
    </cfRule>
  </conditionalFormatting>
  <conditionalFormatting sqref="C91:C93">
    <cfRule type="cellIs" dxfId="2" priority="1288" operator="equal">
      <formula>"hamstring"</formula>
    </cfRule>
  </conditionalFormatting>
  <conditionalFormatting sqref="C91:C93">
    <cfRule type="cellIs" dxfId="3" priority="1289" operator="equal">
      <formula>"quadriceps"</formula>
    </cfRule>
  </conditionalFormatting>
  <conditionalFormatting sqref="C91:C93">
    <cfRule type="cellIs" dxfId="4" priority="1290" operator="equal">
      <formula>"tibialis"</formula>
    </cfRule>
  </conditionalFormatting>
  <conditionalFormatting sqref="A86:C90">
    <cfRule type="expression" dxfId="0" priority="1291">
      <formula>$AI86="Excluded"</formula>
    </cfRule>
  </conditionalFormatting>
  <conditionalFormatting sqref="C86:C90">
    <cfRule type="cellIs" dxfId="1" priority="1292" operator="equal">
      <formula>"patellar"</formula>
    </cfRule>
  </conditionalFormatting>
  <conditionalFormatting sqref="C86:C90">
    <cfRule type="cellIs" dxfId="2" priority="1293" operator="equal">
      <formula>"hamstring"</formula>
    </cfRule>
  </conditionalFormatting>
  <conditionalFormatting sqref="C86:C90">
    <cfRule type="cellIs" dxfId="3" priority="1294" operator="equal">
      <formula>"quadriceps"</formula>
    </cfRule>
  </conditionalFormatting>
  <conditionalFormatting sqref="C86:C90">
    <cfRule type="cellIs" dxfId="4" priority="1295" operator="equal">
      <formula>"tibialis"</formula>
    </cfRule>
  </conditionalFormatting>
  <conditionalFormatting sqref="A72:C85">
    <cfRule type="expression" dxfId="0" priority="1296">
      <formula>$AI72="Excluded"</formula>
    </cfRule>
  </conditionalFormatting>
  <conditionalFormatting sqref="C72:C85">
    <cfRule type="cellIs" dxfId="1" priority="1297" operator="equal">
      <formula>"patellar"</formula>
    </cfRule>
  </conditionalFormatting>
  <conditionalFormatting sqref="C72:C85">
    <cfRule type="cellIs" dxfId="2" priority="1298" operator="equal">
      <formula>"hamstring"</formula>
    </cfRule>
  </conditionalFormatting>
  <conditionalFormatting sqref="C72:C85">
    <cfRule type="cellIs" dxfId="3" priority="1299" operator="equal">
      <formula>"quadriceps"</formula>
    </cfRule>
  </conditionalFormatting>
  <conditionalFormatting sqref="C72:C85">
    <cfRule type="cellIs" dxfId="4" priority="1300" operator="equal">
      <formula>"tibialis"</formula>
    </cfRule>
  </conditionalFormatting>
  <conditionalFormatting sqref="A68:C71">
    <cfRule type="expression" dxfId="0" priority="1301">
      <formula>$AI68="Excluded"</formula>
    </cfRule>
  </conditionalFormatting>
  <conditionalFormatting sqref="C68:C71">
    <cfRule type="cellIs" dxfId="1" priority="1302" operator="equal">
      <formula>"patellar"</formula>
    </cfRule>
  </conditionalFormatting>
  <conditionalFormatting sqref="C68:C71">
    <cfRule type="cellIs" dxfId="2" priority="1303" operator="equal">
      <formula>"hamstring"</formula>
    </cfRule>
  </conditionalFormatting>
  <conditionalFormatting sqref="C68:C71">
    <cfRule type="cellIs" dxfId="3" priority="1304" operator="equal">
      <formula>"quadriceps"</formula>
    </cfRule>
  </conditionalFormatting>
  <conditionalFormatting sqref="C68:C71">
    <cfRule type="cellIs" dxfId="4" priority="1305" operator="equal">
      <formula>"tibialis"</formula>
    </cfRule>
  </conditionalFormatting>
  <conditionalFormatting sqref="A66:C67">
    <cfRule type="expression" dxfId="0" priority="1306">
      <formula>$AI66="Excluded"</formula>
    </cfRule>
  </conditionalFormatting>
  <conditionalFormatting sqref="C66:C67">
    <cfRule type="cellIs" dxfId="1" priority="1307" operator="equal">
      <formula>"patellar"</formula>
    </cfRule>
  </conditionalFormatting>
  <conditionalFormatting sqref="C66:C67">
    <cfRule type="cellIs" dxfId="2" priority="1308" operator="equal">
      <formula>"hamstring"</formula>
    </cfRule>
  </conditionalFormatting>
  <conditionalFormatting sqref="C66:C67">
    <cfRule type="cellIs" dxfId="3" priority="1309" operator="equal">
      <formula>"quadriceps"</formula>
    </cfRule>
  </conditionalFormatting>
  <conditionalFormatting sqref="C66:C67">
    <cfRule type="cellIs" dxfId="4" priority="1310" operator="equal">
      <formula>"tibialis"</formula>
    </cfRule>
  </conditionalFormatting>
  <conditionalFormatting sqref="A64:C65">
    <cfRule type="expression" dxfId="0" priority="1311">
      <formula>$AI64="Excluded"</formula>
    </cfRule>
  </conditionalFormatting>
  <conditionalFormatting sqref="C64:C65">
    <cfRule type="cellIs" dxfId="1" priority="1312" operator="equal">
      <formula>"patellar"</formula>
    </cfRule>
  </conditionalFormatting>
  <conditionalFormatting sqref="C64:C65">
    <cfRule type="cellIs" dxfId="2" priority="1313" operator="equal">
      <formula>"hamstring"</formula>
    </cfRule>
  </conditionalFormatting>
  <conditionalFormatting sqref="C64:C65">
    <cfRule type="cellIs" dxfId="3" priority="1314" operator="equal">
      <formula>"quadriceps"</formula>
    </cfRule>
  </conditionalFormatting>
  <conditionalFormatting sqref="C64:C65">
    <cfRule type="cellIs" dxfId="4" priority="1315" operator="equal">
      <formula>"tibialis"</formula>
    </cfRule>
  </conditionalFormatting>
  <conditionalFormatting sqref="A55:C63">
    <cfRule type="expression" dxfId="0" priority="1316">
      <formula>$AI55="Excluded"</formula>
    </cfRule>
  </conditionalFormatting>
  <conditionalFormatting sqref="C55:C63">
    <cfRule type="cellIs" dxfId="1" priority="1317" operator="equal">
      <formula>"patellar"</formula>
    </cfRule>
  </conditionalFormatting>
  <conditionalFormatting sqref="C55:C63">
    <cfRule type="cellIs" dxfId="2" priority="1318" operator="equal">
      <formula>"hamstring"</formula>
    </cfRule>
  </conditionalFormatting>
  <conditionalFormatting sqref="C55:C63">
    <cfRule type="cellIs" dxfId="3" priority="1319" operator="equal">
      <formula>"quadriceps"</formula>
    </cfRule>
  </conditionalFormatting>
  <conditionalFormatting sqref="C55:C63">
    <cfRule type="cellIs" dxfId="4" priority="1320" operator="equal">
      <formula>"tibialis"</formula>
    </cfRule>
  </conditionalFormatting>
  <conditionalFormatting sqref="A50:C54">
    <cfRule type="expression" dxfId="0" priority="1321">
      <formula>$AI50="Excluded"</formula>
    </cfRule>
  </conditionalFormatting>
  <conditionalFormatting sqref="C50:C54">
    <cfRule type="cellIs" dxfId="1" priority="1322" operator="equal">
      <formula>"patellar"</formula>
    </cfRule>
  </conditionalFormatting>
  <conditionalFormatting sqref="C50:C54">
    <cfRule type="cellIs" dxfId="2" priority="1323" operator="equal">
      <formula>"hamstring"</formula>
    </cfRule>
  </conditionalFormatting>
  <conditionalFormatting sqref="C50:C54">
    <cfRule type="cellIs" dxfId="3" priority="1324" operator="equal">
      <formula>"quadriceps"</formula>
    </cfRule>
  </conditionalFormatting>
  <conditionalFormatting sqref="C50:C54">
    <cfRule type="cellIs" dxfId="4" priority="1325" operator="equal">
      <formula>"tibialis"</formula>
    </cfRule>
  </conditionalFormatting>
  <conditionalFormatting sqref="A47:C49">
    <cfRule type="expression" dxfId="0" priority="1326">
      <formula>$AI47="Excluded"</formula>
    </cfRule>
  </conditionalFormatting>
  <conditionalFormatting sqref="C47:C49">
    <cfRule type="cellIs" dxfId="1" priority="1327" operator="equal">
      <formula>"patellar"</formula>
    </cfRule>
  </conditionalFormatting>
  <conditionalFormatting sqref="C47:C49">
    <cfRule type="cellIs" dxfId="2" priority="1328" operator="equal">
      <formula>"hamstring"</formula>
    </cfRule>
  </conditionalFormatting>
  <conditionalFormatting sqref="C47:C49">
    <cfRule type="cellIs" dxfId="3" priority="1329" operator="equal">
      <formula>"quadriceps"</formula>
    </cfRule>
  </conditionalFormatting>
  <conditionalFormatting sqref="C47:C49">
    <cfRule type="cellIs" dxfId="4" priority="1330" operator="equal">
      <formula>"tibialis"</formula>
    </cfRule>
  </conditionalFormatting>
  <conditionalFormatting sqref="A42:C46">
    <cfRule type="expression" dxfId="0" priority="1331">
      <formula>$AI42="Excluded"</formula>
    </cfRule>
  </conditionalFormatting>
  <conditionalFormatting sqref="C42:C46">
    <cfRule type="cellIs" dxfId="1" priority="1332" operator="equal">
      <formula>"patellar"</formula>
    </cfRule>
  </conditionalFormatting>
  <conditionalFormatting sqref="C42:C46">
    <cfRule type="cellIs" dxfId="2" priority="1333" operator="equal">
      <formula>"hamstring"</formula>
    </cfRule>
  </conditionalFormatting>
  <conditionalFormatting sqref="C42:C46">
    <cfRule type="cellIs" dxfId="3" priority="1334" operator="equal">
      <formula>"quadriceps"</formula>
    </cfRule>
  </conditionalFormatting>
  <conditionalFormatting sqref="C42:C46">
    <cfRule type="cellIs" dxfId="4" priority="1335" operator="equal">
      <formula>"tibialis"</formula>
    </cfRule>
  </conditionalFormatting>
  <conditionalFormatting sqref="A40:C41">
    <cfRule type="expression" dxfId="0" priority="1336">
      <formula>$AI40="Excluded"</formula>
    </cfRule>
  </conditionalFormatting>
  <conditionalFormatting sqref="C40:C41">
    <cfRule type="cellIs" dxfId="1" priority="1337" operator="equal">
      <formula>"patellar"</formula>
    </cfRule>
  </conditionalFormatting>
  <conditionalFormatting sqref="C40:C41">
    <cfRule type="cellIs" dxfId="2" priority="1338" operator="equal">
      <formula>"hamstring"</formula>
    </cfRule>
  </conditionalFormatting>
  <conditionalFormatting sqref="C40:C41">
    <cfRule type="cellIs" dxfId="3" priority="1339" operator="equal">
      <formula>"quadriceps"</formula>
    </cfRule>
  </conditionalFormatting>
  <conditionalFormatting sqref="C40:C41">
    <cfRule type="cellIs" dxfId="4" priority="1340" operator="equal">
      <formula>"tibialis"</formula>
    </cfRule>
  </conditionalFormatting>
  <conditionalFormatting sqref="A31:C39">
    <cfRule type="expression" dxfId="0" priority="1341">
      <formula>$AI31="Excluded"</formula>
    </cfRule>
  </conditionalFormatting>
  <conditionalFormatting sqref="C31:C39">
    <cfRule type="cellIs" dxfId="1" priority="1342" operator="equal">
      <formula>"patellar"</formula>
    </cfRule>
  </conditionalFormatting>
  <conditionalFormatting sqref="C31:C39">
    <cfRule type="cellIs" dxfId="2" priority="1343" operator="equal">
      <formula>"hamstring"</formula>
    </cfRule>
  </conditionalFormatting>
  <conditionalFormatting sqref="C31:C39">
    <cfRule type="cellIs" dxfId="3" priority="1344" operator="equal">
      <formula>"quadriceps"</formula>
    </cfRule>
  </conditionalFormatting>
  <conditionalFormatting sqref="C31:C39">
    <cfRule type="cellIs" dxfId="4" priority="1345" operator="equal">
      <formula>"tibialis"</formula>
    </cfRule>
  </conditionalFormatting>
  <conditionalFormatting sqref="A29:C30">
    <cfRule type="expression" dxfId="0" priority="1346">
      <formula>$AI29="Excluded"</formula>
    </cfRule>
  </conditionalFormatting>
  <conditionalFormatting sqref="C29:C30">
    <cfRule type="cellIs" dxfId="1" priority="1347" operator="equal">
      <formula>"patellar"</formula>
    </cfRule>
  </conditionalFormatting>
  <conditionalFormatting sqref="C29:C30">
    <cfRule type="cellIs" dxfId="2" priority="1348" operator="equal">
      <formula>"hamstring"</formula>
    </cfRule>
  </conditionalFormatting>
  <conditionalFormatting sqref="C29:C30">
    <cfRule type="cellIs" dxfId="3" priority="1349" operator="equal">
      <formula>"quadriceps"</formula>
    </cfRule>
  </conditionalFormatting>
  <conditionalFormatting sqref="C29:C30">
    <cfRule type="cellIs" dxfId="4" priority="1350" operator="equal">
      <formula>"tibialis"</formula>
    </cfRule>
  </conditionalFormatting>
  <conditionalFormatting sqref="A19:C28">
    <cfRule type="expression" dxfId="0" priority="1351">
      <formula>$AI19="Excluded"</formula>
    </cfRule>
  </conditionalFormatting>
  <conditionalFormatting sqref="C19:C28">
    <cfRule type="cellIs" dxfId="1" priority="1352" operator="equal">
      <formula>"patellar"</formula>
    </cfRule>
  </conditionalFormatting>
  <conditionalFormatting sqref="C19:C28">
    <cfRule type="cellIs" dxfId="2" priority="1353" operator="equal">
      <formula>"hamstring"</formula>
    </cfRule>
  </conditionalFormatting>
  <conditionalFormatting sqref="C19:C28">
    <cfRule type="cellIs" dxfId="3" priority="1354" operator="equal">
      <formula>"quadriceps"</formula>
    </cfRule>
  </conditionalFormatting>
  <conditionalFormatting sqref="C19:C28">
    <cfRule type="cellIs" dxfId="4" priority="1355" operator="equal">
      <formula>"tibialis"</formula>
    </cfRule>
  </conditionalFormatting>
  <conditionalFormatting sqref="A17:C18">
    <cfRule type="expression" dxfId="0" priority="1356">
      <formula>$AI17="Excluded"</formula>
    </cfRule>
  </conditionalFormatting>
  <conditionalFormatting sqref="C17:C18">
    <cfRule type="cellIs" dxfId="1" priority="1357" operator="equal">
      <formula>"patellar"</formula>
    </cfRule>
  </conditionalFormatting>
  <conditionalFormatting sqref="C17:C18">
    <cfRule type="cellIs" dxfId="2" priority="1358" operator="equal">
      <formula>"hamstring"</formula>
    </cfRule>
  </conditionalFormatting>
  <conditionalFormatting sqref="C17:C18">
    <cfRule type="cellIs" dxfId="3" priority="1359" operator="equal">
      <formula>"quadriceps"</formula>
    </cfRule>
  </conditionalFormatting>
  <conditionalFormatting sqref="C17:C18">
    <cfRule type="cellIs" dxfId="4" priority="1360" operator="equal">
      <formula>"tibialis"</formula>
    </cfRule>
  </conditionalFormatting>
  <conditionalFormatting sqref="A14:C16">
    <cfRule type="expression" dxfId="0" priority="1361">
      <formula>$AI14="Excluded"</formula>
    </cfRule>
  </conditionalFormatting>
  <conditionalFormatting sqref="C14:C16">
    <cfRule type="cellIs" dxfId="1" priority="1362" operator="equal">
      <formula>"patellar"</formula>
    </cfRule>
  </conditionalFormatting>
  <conditionalFormatting sqref="C14:C16">
    <cfRule type="cellIs" dxfId="2" priority="1363" operator="equal">
      <formula>"hamstring"</formula>
    </cfRule>
  </conditionalFormatting>
  <conditionalFormatting sqref="C14:C16">
    <cfRule type="cellIs" dxfId="3" priority="1364" operator="equal">
      <formula>"quadriceps"</formula>
    </cfRule>
  </conditionalFormatting>
  <conditionalFormatting sqref="C14:C16">
    <cfRule type="cellIs" dxfId="4" priority="1365" operator="equal">
      <formula>"tibialis"</formula>
    </cfRule>
  </conditionalFormatting>
  <conditionalFormatting sqref="A9:C13">
    <cfRule type="expression" dxfId="0" priority="1366">
      <formula>$AI9="Excluded"</formula>
    </cfRule>
  </conditionalFormatting>
  <conditionalFormatting sqref="C9:C13">
    <cfRule type="cellIs" dxfId="1" priority="1367" operator="equal">
      <formula>"patellar"</formula>
    </cfRule>
  </conditionalFormatting>
  <conditionalFormatting sqref="C9:C13">
    <cfRule type="cellIs" dxfId="2" priority="1368" operator="equal">
      <formula>"hamstring"</formula>
    </cfRule>
  </conditionalFormatting>
  <conditionalFormatting sqref="C9:C13">
    <cfRule type="cellIs" dxfId="3" priority="1369" operator="equal">
      <formula>"quadriceps"</formula>
    </cfRule>
  </conditionalFormatting>
  <conditionalFormatting sqref="C9:C13">
    <cfRule type="cellIs" dxfId="4" priority="1370" operator="equal">
      <formula>"tibialis"</formula>
    </cfRule>
  </conditionalFormatting>
  <conditionalFormatting sqref="A3:C1124">
    <cfRule type="expression" dxfId="0" priority="1371">
      <formula>$AI3="Excluded"</formula>
    </cfRule>
  </conditionalFormatting>
  <conditionalFormatting sqref="C3:C1124">
    <cfRule type="cellIs" dxfId="1" priority="1372" operator="equal">
      <formula>"patellar"</formula>
    </cfRule>
  </conditionalFormatting>
  <conditionalFormatting sqref="C3:C1124">
    <cfRule type="cellIs" dxfId="2" priority="1373" operator="equal">
      <formula>"hamstring"</formula>
    </cfRule>
  </conditionalFormatting>
  <conditionalFormatting sqref="C3:C1124">
    <cfRule type="cellIs" dxfId="3" priority="1374" operator="equal">
      <formula>"quadriceps"</formula>
    </cfRule>
  </conditionalFormatting>
  <conditionalFormatting sqref="C1 C3:C1124">
    <cfRule type="cellIs" dxfId="4" priority="1375" operator="equal">
      <formula>"tibialis"</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2" width="5.0"/>
    <col customWidth="1" min="3" max="3" width="23.5"/>
    <col customWidth="1" min="4" max="4" width="11.13"/>
    <col customWidth="1" min="5" max="5" width="7.13"/>
    <col customWidth="1" min="6" max="6" width="11.63"/>
    <col customWidth="1" min="7" max="7" width="9.0"/>
    <col customWidth="1" min="8" max="8" width="7.38"/>
    <col customWidth="1" min="9" max="9" width="8.88"/>
    <col customWidth="1" min="10" max="10" width="14.25"/>
    <col customWidth="1" min="11" max="11" width="13.25"/>
    <col customWidth="1" min="12" max="12" width="73.38"/>
  </cols>
  <sheetData>
    <row r="1">
      <c r="A1" s="69"/>
      <c r="B1" s="9" t="s">
        <v>0</v>
      </c>
      <c r="C1" s="7" t="s">
        <v>3</v>
      </c>
      <c r="D1" s="9" t="s">
        <v>4</v>
      </c>
      <c r="E1" s="9" t="s">
        <v>166</v>
      </c>
      <c r="F1" s="70" t="s">
        <v>50</v>
      </c>
      <c r="G1" s="70" t="s">
        <v>51</v>
      </c>
      <c r="H1" s="71" t="s">
        <v>25</v>
      </c>
      <c r="I1" s="71" t="s">
        <v>28</v>
      </c>
      <c r="J1" s="70" t="s">
        <v>54</v>
      </c>
      <c r="K1" s="70" t="s">
        <v>55</v>
      </c>
      <c r="L1" s="72" t="s">
        <v>318</v>
      </c>
      <c r="M1" s="73"/>
      <c r="N1" s="74"/>
      <c r="O1" s="74"/>
      <c r="P1" s="74"/>
      <c r="Q1" s="74"/>
    </row>
    <row r="2">
      <c r="A2" s="60"/>
      <c r="B2" s="15">
        <v>1.0</v>
      </c>
      <c r="C2" s="19" t="s">
        <v>1</v>
      </c>
      <c r="D2" s="15" t="s">
        <v>42</v>
      </c>
      <c r="E2" s="9">
        <v>20.0</v>
      </c>
      <c r="F2" s="70">
        <v>32.0</v>
      </c>
      <c r="G2" s="70">
        <v>5.0</v>
      </c>
      <c r="H2" s="71">
        <v>15.0</v>
      </c>
      <c r="I2" s="71">
        <v>5.0</v>
      </c>
      <c r="J2" s="71">
        <v>36.0</v>
      </c>
      <c r="K2" s="70">
        <v>3.0</v>
      </c>
      <c r="L2" s="72" t="s">
        <v>319</v>
      </c>
      <c r="M2" s="73"/>
      <c r="N2" s="74"/>
      <c r="O2" s="74"/>
      <c r="P2" s="74"/>
      <c r="Q2" s="74"/>
    </row>
    <row r="3">
      <c r="A3" s="60"/>
      <c r="B3" s="15">
        <v>1.0</v>
      </c>
      <c r="C3" s="19" t="s">
        <v>1</v>
      </c>
      <c r="D3" s="15" t="s">
        <v>84</v>
      </c>
      <c r="E3" s="9">
        <v>16.0</v>
      </c>
      <c r="F3" s="70">
        <v>28.0</v>
      </c>
      <c r="G3" s="70">
        <v>4.4</v>
      </c>
      <c r="H3" s="71">
        <v>12.0</v>
      </c>
      <c r="I3" s="71">
        <v>4.0</v>
      </c>
      <c r="J3" s="71">
        <v>36.0</v>
      </c>
      <c r="K3" s="70">
        <v>3.0</v>
      </c>
      <c r="L3" s="72" t="s">
        <v>319</v>
      </c>
      <c r="M3" s="73"/>
      <c r="N3" s="74"/>
      <c r="O3" s="74"/>
      <c r="P3" s="74"/>
      <c r="Q3" s="74"/>
    </row>
    <row r="4">
      <c r="A4" s="75" t="s">
        <v>320</v>
      </c>
      <c r="B4" s="76">
        <v>1.0</v>
      </c>
      <c r="C4" s="77" t="str">
        <f>C3</f>
        <v>Ageberg et al., 2009</v>
      </c>
      <c r="D4" s="76" t="s">
        <v>321</v>
      </c>
      <c r="E4" s="76">
        <v>36.0</v>
      </c>
      <c r="F4" s="78">
        <v>30.0</v>
      </c>
      <c r="G4" s="78">
        <v>5.0923534335377285</v>
      </c>
      <c r="H4" s="76">
        <v>27.0</v>
      </c>
      <c r="I4" s="76">
        <v>9.0</v>
      </c>
      <c r="J4" s="78">
        <v>36.0</v>
      </c>
      <c r="K4" s="78">
        <v>3.0</v>
      </c>
      <c r="L4" s="79" t="s">
        <v>319</v>
      </c>
      <c r="M4" s="73"/>
      <c r="N4" s="74"/>
      <c r="O4" s="74"/>
      <c r="P4" s="74"/>
      <c r="Q4" s="74"/>
    </row>
    <row r="5">
      <c r="A5" s="59"/>
      <c r="B5" s="15">
        <v>2.0</v>
      </c>
      <c r="C5" s="19" t="s">
        <v>11</v>
      </c>
      <c r="D5" s="15" t="s">
        <v>42</v>
      </c>
      <c r="E5" s="15">
        <v>60.0</v>
      </c>
      <c r="F5" s="70">
        <v>25.0</v>
      </c>
      <c r="G5" s="70">
        <v>4.973</v>
      </c>
      <c r="H5" s="71">
        <v>46.0</v>
      </c>
      <c r="I5" s="71">
        <v>14.0</v>
      </c>
      <c r="J5" s="71">
        <v>24.0</v>
      </c>
      <c r="K5" s="70">
        <v>2.0</v>
      </c>
      <c r="L5" s="72" t="s">
        <v>322</v>
      </c>
      <c r="M5" s="73"/>
      <c r="N5" s="74"/>
      <c r="O5" s="74"/>
      <c r="P5" s="74"/>
      <c r="Q5" s="74"/>
    </row>
    <row r="6">
      <c r="A6" s="59"/>
      <c r="B6" s="15">
        <v>2.0</v>
      </c>
      <c r="C6" s="19" t="s">
        <v>11</v>
      </c>
      <c r="D6" s="15" t="s">
        <v>84</v>
      </c>
      <c r="E6" s="15">
        <v>60.0</v>
      </c>
      <c r="F6" s="70">
        <v>25.0</v>
      </c>
      <c r="G6" s="70">
        <v>5.189</v>
      </c>
      <c r="H6" s="71">
        <v>46.0</v>
      </c>
      <c r="I6" s="71">
        <v>14.0</v>
      </c>
      <c r="J6" s="71">
        <v>24.0</v>
      </c>
      <c r="K6" s="70">
        <v>2.0</v>
      </c>
      <c r="L6" s="72" t="s">
        <v>322</v>
      </c>
      <c r="M6" s="73"/>
      <c r="N6" s="74"/>
      <c r="O6" s="74"/>
      <c r="P6" s="74"/>
      <c r="Q6" s="74"/>
    </row>
    <row r="7">
      <c r="A7" s="75" t="s">
        <v>320</v>
      </c>
      <c r="B7" s="76">
        <v>2.0</v>
      </c>
      <c r="C7" s="77" t="str">
        <f>C6</f>
        <v>Aglietti et al., 2004</v>
      </c>
      <c r="D7" s="76" t="s">
        <v>321</v>
      </c>
      <c r="E7" s="76">
        <v>120.0</v>
      </c>
      <c r="F7" s="78">
        <v>25.0</v>
      </c>
      <c r="G7" s="78">
        <v>5.0923534335377285</v>
      </c>
      <c r="H7" s="76">
        <v>92.0</v>
      </c>
      <c r="I7" s="76">
        <v>28.0</v>
      </c>
      <c r="J7" s="78">
        <v>24.0</v>
      </c>
      <c r="K7" s="78">
        <v>2.0</v>
      </c>
      <c r="L7" s="79" t="s">
        <v>322</v>
      </c>
      <c r="M7" s="73"/>
      <c r="N7" s="74"/>
      <c r="O7" s="74"/>
      <c r="P7" s="74"/>
      <c r="Q7" s="74"/>
    </row>
    <row r="8">
      <c r="A8" s="59"/>
      <c r="B8" s="15">
        <v>3.0</v>
      </c>
      <c r="C8" s="19" t="s">
        <v>16</v>
      </c>
      <c r="D8" s="15" t="s">
        <v>42</v>
      </c>
      <c r="E8" s="9">
        <v>22.0</v>
      </c>
      <c r="F8" s="70">
        <v>27.412608360722036</v>
      </c>
      <c r="G8" s="70">
        <v>8.902</v>
      </c>
      <c r="H8" s="71">
        <v>14.0</v>
      </c>
      <c r="I8" s="71">
        <v>8.0</v>
      </c>
      <c r="J8" s="70">
        <v>90.27134752464984</v>
      </c>
      <c r="K8" s="70">
        <v>7.5</v>
      </c>
      <c r="L8" s="72" t="s">
        <v>323</v>
      </c>
      <c r="M8" s="73"/>
      <c r="N8" s="74"/>
      <c r="O8" s="74"/>
      <c r="P8" s="74"/>
      <c r="Q8" s="74"/>
    </row>
    <row r="9">
      <c r="A9" s="59"/>
      <c r="B9" s="15">
        <v>3.0</v>
      </c>
      <c r="C9" s="19" t="s">
        <v>16</v>
      </c>
      <c r="D9" s="15" t="s">
        <v>84</v>
      </c>
      <c r="E9" s="9">
        <v>25.0</v>
      </c>
      <c r="F9" s="70">
        <v>28.604751932798223</v>
      </c>
      <c r="G9" s="70">
        <v>6.364</v>
      </c>
      <c r="H9" s="71">
        <v>18.0</v>
      </c>
      <c r="I9" s="71">
        <v>7.0</v>
      </c>
      <c r="J9" s="70">
        <v>86.79049613440355</v>
      </c>
      <c r="K9" s="70">
        <v>7.2</v>
      </c>
      <c r="L9" s="72" t="s">
        <v>323</v>
      </c>
      <c r="M9" s="73"/>
      <c r="N9" s="74"/>
      <c r="O9" s="74"/>
      <c r="P9" s="74"/>
      <c r="Q9" s="74"/>
    </row>
    <row r="10">
      <c r="A10" s="75" t="s">
        <v>320</v>
      </c>
      <c r="B10" s="76">
        <v>3.0</v>
      </c>
      <c r="C10" s="77" t="str">
        <f>C9</f>
        <v>Ahldén et al., 2009</v>
      </c>
      <c r="D10" s="76" t="s">
        <v>321</v>
      </c>
      <c r="E10" s="76">
        <v>47.0</v>
      </c>
      <c r="F10" s="78">
        <v>28.008680146760128</v>
      </c>
      <c r="G10" s="78">
        <v>5.0923534335377285</v>
      </c>
      <c r="H10" s="76">
        <v>32.0</v>
      </c>
      <c r="I10" s="76">
        <v>15.0</v>
      </c>
      <c r="J10" s="78">
        <v>88.5309218295267</v>
      </c>
      <c r="K10" s="78">
        <v>7.35</v>
      </c>
      <c r="L10" s="79" t="s">
        <v>323</v>
      </c>
      <c r="M10" s="73"/>
      <c r="N10" s="74"/>
      <c r="O10" s="74"/>
      <c r="P10" s="74"/>
      <c r="Q10" s="74"/>
    </row>
    <row r="11">
      <c r="A11" s="59"/>
      <c r="B11" s="15">
        <v>5.0</v>
      </c>
      <c r="C11" s="19" t="s">
        <v>22</v>
      </c>
      <c r="D11" s="15" t="s">
        <v>42</v>
      </c>
      <c r="E11" s="15">
        <v>35.0</v>
      </c>
      <c r="F11" s="70">
        <v>23.6</v>
      </c>
      <c r="G11" s="70">
        <v>7.132</v>
      </c>
      <c r="H11" s="71">
        <v>23.0</v>
      </c>
      <c r="I11" s="71">
        <v>12.0</v>
      </c>
      <c r="J11" s="71">
        <v>34.6</v>
      </c>
      <c r="K11" s="70">
        <v>2.9</v>
      </c>
      <c r="L11" s="72" t="s">
        <v>324</v>
      </c>
      <c r="M11" s="73"/>
      <c r="N11" s="74"/>
      <c r="O11" s="74"/>
      <c r="P11" s="74"/>
      <c r="Q11" s="74"/>
    </row>
    <row r="12">
      <c r="A12" s="59"/>
      <c r="B12" s="15">
        <v>5.0</v>
      </c>
      <c r="C12" s="80" t="s">
        <v>22</v>
      </c>
      <c r="D12" s="81" t="s">
        <v>192</v>
      </c>
      <c r="E12" s="82">
        <v>33.0</v>
      </c>
      <c r="F12" s="83">
        <v>22.0</v>
      </c>
      <c r="G12" s="83">
        <v>5.771</v>
      </c>
      <c r="H12" s="84">
        <v>22.0</v>
      </c>
      <c r="I12" s="84">
        <v>11.0</v>
      </c>
      <c r="J12" s="71">
        <v>35.7</v>
      </c>
      <c r="K12" s="70">
        <v>3.0</v>
      </c>
      <c r="L12" s="72" t="s">
        <v>324</v>
      </c>
      <c r="M12" s="73"/>
      <c r="N12" s="74"/>
      <c r="O12" s="74"/>
      <c r="P12" s="74"/>
      <c r="Q12" s="74"/>
    </row>
    <row r="13">
      <c r="A13" s="59"/>
      <c r="B13" s="15">
        <v>5.0</v>
      </c>
      <c r="C13" s="80" t="s">
        <v>22</v>
      </c>
      <c r="D13" s="81" t="s">
        <v>195</v>
      </c>
      <c r="E13" s="81">
        <v>35.0</v>
      </c>
      <c r="F13" s="83">
        <v>20.1</v>
      </c>
      <c r="G13" s="83">
        <v>5.771</v>
      </c>
      <c r="H13" s="84">
        <v>23.0</v>
      </c>
      <c r="I13" s="84">
        <v>12.0</v>
      </c>
      <c r="J13" s="71">
        <v>35.9</v>
      </c>
      <c r="K13" s="70">
        <v>3.0</v>
      </c>
      <c r="L13" s="72" t="s">
        <v>324</v>
      </c>
      <c r="M13" s="73"/>
      <c r="N13" s="74"/>
      <c r="O13" s="74"/>
      <c r="P13" s="74"/>
      <c r="Q13" s="74"/>
    </row>
    <row r="14">
      <c r="A14" s="59"/>
      <c r="B14" s="15">
        <v>5.0</v>
      </c>
      <c r="C14" s="19" t="s">
        <v>22</v>
      </c>
      <c r="D14" s="15" t="s">
        <v>84</v>
      </c>
      <c r="E14" s="15">
        <v>68.0</v>
      </c>
      <c r="F14" s="70">
        <v>21.022058823529413</v>
      </c>
      <c r="G14" s="70">
        <v>5.807110949394516</v>
      </c>
      <c r="H14" s="15">
        <v>45.0</v>
      </c>
      <c r="I14" s="71">
        <v>23.0</v>
      </c>
      <c r="J14" s="70">
        <v>35.8029411764706</v>
      </c>
      <c r="K14" s="70">
        <v>3.0</v>
      </c>
      <c r="L14" s="72" t="s">
        <v>324</v>
      </c>
      <c r="M14" s="73"/>
      <c r="N14" s="74"/>
      <c r="O14" s="74"/>
      <c r="P14" s="74"/>
      <c r="Q14" s="74"/>
    </row>
    <row r="15">
      <c r="A15" s="75" t="s">
        <v>320</v>
      </c>
      <c r="B15" s="76">
        <v>5.0</v>
      </c>
      <c r="C15" s="77" t="str">
        <f>C14</f>
        <v>Anderson et al., 2001</v>
      </c>
      <c r="D15" s="85" t="s">
        <v>321</v>
      </c>
      <c r="E15" s="76">
        <v>103.0</v>
      </c>
      <c r="F15" s="78">
        <v>20.561029411764707</v>
      </c>
      <c r="G15" s="78">
        <v>5.869918917619636</v>
      </c>
      <c r="H15" s="76">
        <v>68.0</v>
      </c>
      <c r="I15" s="76">
        <v>35.0</v>
      </c>
      <c r="J15" s="78">
        <v>35.8514705882353</v>
      </c>
      <c r="K15" s="78">
        <v>3.0</v>
      </c>
      <c r="L15" s="79" t="s">
        <v>324</v>
      </c>
      <c r="M15" s="73"/>
      <c r="N15" s="74"/>
      <c r="O15" s="74"/>
      <c r="P15" s="74"/>
      <c r="Q15" s="74"/>
    </row>
    <row r="16">
      <c r="A16" s="59"/>
      <c r="B16" s="15">
        <v>6.0</v>
      </c>
      <c r="C16" s="19" t="s">
        <v>26</v>
      </c>
      <c r="D16" s="15" t="s">
        <v>42</v>
      </c>
      <c r="E16" s="9">
        <v>10.0</v>
      </c>
      <c r="F16" s="70">
        <v>29.4</v>
      </c>
      <c r="G16" s="70">
        <v>7.343</v>
      </c>
      <c r="H16" s="71">
        <v>4.0</v>
      </c>
      <c r="I16" s="71">
        <v>6.0</v>
      </c>
      <c r="J16" s="71">
        <v>12.0</v>
      </c>
      <c r="K16" s="70">
        <v>1.0</v>
      </c>
      <c r="L16" s="72" t="s">
        <v>325</v>
      </c>
      <c r="M16" s="73"/>
      <c r="N16" s="74"/>
      <c r="O16" s="74"/>
      <c r="P16" s="74"/>
      <c r="Q16" s="74"/>
    </row>
    <row r="17">
      <c r="A17" s="59"/>
      <c r="B17" s="15">
        <v>6.0</v>
      </c>
      <c r="C17" s="19" t="s">
        <v>26</v>
      </c>
      <c r="D17" s="15" t="s">
        <v>84</v>
      </c>
      <c r="E17" s="9">
        <v>10.0</v>
      </c>
      <c r="F17" s="70">
        <v>27.55</v>
      </c>
      <c r="G17" s="70">
        <v>8.643</v>
      </c>
      <c r="H17" s="71">
        <v>3.0</v>
      </c>
      <c r="I17" s="71">
        <v>7.0</v>
      </c>
      <c r="J17" s="71">
        <v>12.0</v>
      </c>
      <c r="K17" s="70">
        <v>1.0</v>
      </c>
      <c r="L17" s="72" t="s">
        <v>325</v>
      </c>
      <c r="M17" s="73"/>
      <c r="N17" s="74"/>
      <c r="O17" s="74"/>
      <c r="P17" s="74"/>
      <c r="Q17" s="74"/>
    </row>
    <row r="18">
      <c r="A18" s="75" t="s">
        <v>320</v>
      </c>
      <c r="B18" s="76">
        <v>6.0</v>
      </c>
      <c r="C18" s="77" t="str">
        <f>C17</f>
        <v>Anz et al., 2023</v>
      </c>
      <c r="D18" s="76" t="s">
        <v>321</v>
      </c>
      <c r="E18" s="76">
        <v>20.0</v>
      </c>
      <c r="F18" s="78">
        <v>28.475</v>
      </c>
      <c r="G18" s="78">
        <v>6.394648321300932</v>
      </c>
      <c r="H18" s="76">
        <v>7.0</v>
      </c>
      <c r="I18" s="76">
        <v>13.0</v>
      </c>
      <c r="J18" s="78">
        <v>12.0</v>
      </c>
      <c r="K18" s="78">
        <v>1.0</v>
      </c>
      <c r="L18" s="79" t="s">
        <v>325</v>
      </c>
      <c r="M18" s="73"/>
      <c r="N18" s="74"/>
      <c r="O18" s="74"/>
      <c r="P18" s="74"/>
      <c r="Q18" s="74"/>
    </row>
    <row r="19">
      <c r="A19" s="59"/>
      <c r="B19" s="15">
        <v>7.0</v>
      </c>
      <c r="C19" s="19" t="s">
        <v>30</v>
      </c>
      <c r="D19" s="15" t="s">
        <v>42</v>
      </c>
      <c r="E19" s="9">
        <v>35.0</v>
      </c>
      <c r="F19" s="70">
        <v>25.0</v>
      </c>
      <c r="G19" s="70">
        <v>7.0</v>
      </c>
      <c r="H19" s="71">
        <v>19.0</v>
      </c>
      <c r="I19" s="71">
        <v>16.0</v>
      </c>
      <c r="J19" s="71">
        <v>24.0</v>
      </c>
      <c r="K19" s="70">
        <v>2.0</v>
      </c>
      <c r="L19" s="72" t="s">
        <v>317</v>
      </c>
      <c r="M19" s="73"/>
      <c r="N19" s="74"/>
      <c r="O19" s="74"/>
      <c r="P19" s="74"/>
      <c r="Q19" s="74"/>
    </row>
    <row r="20">
      <c r="A20" s="59"/>
      <c r="B20" s="15">
        <v>7.0</v>
      </c>
      <c r="C20" s="19" t="s">
        <v>30</v>
      </c>
      <c r="D20" s="15" t="s">
        <v>84</v>
      </c>
      <c r="E20" s="9">
        <v>37.0</v>
      </c>
      <c r="F20" s="70">
        <v>27.0</v>
      </c>
      <c r="G20" s="70">
        <v>9.0</v>
      </c>
      <c r="H20" s="71">
        <v>21.0</v>
      </c>
      <c r="I20" s="71">
        <v>16.0</v>
      </c>
      <c r="J20" s="71">
        <v>24.0</v>
      </c>
      <c r="K20" s="70">
        <v>2.0</v>
      </c>
      <c r="L20" s="72" t="s">
        <v>317</v>
      </c>
      <c r="M20" s="73"/>
      <c r="N20" s="74"/>
      <c r="O20" s="74"/>
      <c r="P20" s="74"/>
      <c r="Q20" s="74"/>
    </row>
    <row r="21">
      <c r="A21" s="75" t="s">
        <v>320</v>
      </c>
      <c r="B21" s="76">
        <v>7.0</v>
      </c>
      <c r="C21" s="77" t="str">
        <f>C20</f>
        <v>Aune et al., 2001</v>
      </c>
      <c r="D21" s="76" t="s">
        <v>321</v>
      </c>
      <c r="E21" s="76">
        <v>72.0</v>
      </c>
      <c r="F21" s="78">
        <v>26.0</v>
      </c>
      <c r="G21" s="78">
        <v>5.783178985273506</v>
      </c>
      <c r="H21" s="76">
        <v>40.0</v>
      </c>
      <c r="I21" s="76">
        <v>32.0</v>
      </c>
      <c r="J21" s="78">
        <v>24.0</v>
      </c>
      <c r="K21" s="78">
        <v>2.0</v>
      </c>
      <c r="L21" s="79" t="s">
        <v>317</v>
      </c>
      <c r="M21" s="73"/>
      <c r="N21" s="74"/>
      <c r="O21" s="74"/>
      <c r="P21" s="74"/>
      <c r="Q21" s="74"/>
    </row>
    <row r="22">
      <c r="A22" s="59"/>
      <c r="B22" s="15">
        <v>9.0</v>
      </c>
      <c r="C22" s="19" t="s">
        <v>32</v>
      </c>
      <c r="D22" s="15" t="s">
        <v>42</v>
      </c>
      <c r="E22" s="15">
        <v>78.0</v>
      </c>
      <c r="F22" s="70">
        <v>33.0</v>
      </c>
      <c r="G22" s="70">
        <v>6.3</v>
      </c>
      <c r="H22" s="71">
        <v>38.0</v>
      </c>
      <c r="I22" s="71">
        <v>40.0</v>
      </c>
      <c r="J22" s="71">
        <v>96.0</v>
      </c>
      <c r="K22" s="70">
        <v>8.0</v>
      </c>
      <c r="L22" s="86" t="s">
        <v>326</v>
      </c>
      <c r="M22" s="73"/>
      <c r="N22" s="74"/>
      <c r="O22" s="74"/>
      <c r="P22" s="74"/>
      <c r="Q22" s="74"/>
    </row>
    <row r="23">
      <c r="A23" s="59"/>
      <c r="B23" s="15">
        <v>9.0</v>
      </c>
      <c r="C23" s="19" t="s">
        <v>32</v>
      </c>
      <c r="D23" s="15" t="s">
        <v>84</v>
      </c>
      <c r="E23" s="15">
        <v>75.0</v>
      </c>
      <c r="F23" s="70">
        <v>35.0</v>
      </c>
      <c r="G23" s="70">
        <v>7.5</v>
      </c>
      <c r="H23" s="71">
        <v>51.0</v>
      </c>
      <c r="I23" s="71">
        <v>24.0</v>
      </c>
      <c r="J23" s="71">
        <v>96.0</v>
      </c>
      <c r="K23" s="70">
        <v>8.0</v>
      </c>
      <c r="L23" s="86" t="s">
        <v>326</v>
      </c>
      <c r="M23" s="73"/>
      <c r="N23" s="74"/>
      <c r="O23" s="74"/>
      <c r="P23" s="74"/>
      <c r="Q23" s="74"/>
    </row>
    <row r="24">
      <c r="A24" s="75" t="s">
        <v>320</v>
      </c>
      <c r="B24" s="76">
        <v>9.0</v>
      </c>
      <c r="C24" s="77" t="str">
        <f>C23</f>
        <v>Barenius et al., 2010</v>
      </c>
      <c r="D24" s="76" t="s">
        <v>321</v>
      </c>
      <c r="E24" s="76">
        <v>153.0</v>
      </c>
      <c r="F24" s="78">
        <v>34.0</v>
      </c>
      <c r="G24" s="78">
        <v>7.862979152833532</v>
      </c>
      <c r="H24" s="76">
        <v>89.0</v>
      </c>
      <c r="I24" s="76">
        <v>64.0</v>
      </c>
      <c r="J24" s="78">
        <v>96.0</v>
      </c>
      <c r="K24" s="78">
        <v>8.0</v>
      </c>
      <c r="L24" s="87" t="s">
        <v>326</v>
      </c>
      <c r="M24" s="73"/>
      <c r="N24" s="74"/>
      <c r="O24" s="74"/>
      <c r="P24" s="74"/>
      <c r="Q24" s="74"/>
    </row>
    <row r="25">
      <c r="A25" s="59"/>
      <c r="B25" s="15">
        <v>10.0</v>
      </c>
      <c r="C25" s="19" t="s">
        <v>35</v>
      </c>
      <c r="D25" s="15" t="s">
        <v>42</v>
      </c>
      <c r="E25" s="9">
        <v>30.0</v>
      </c>
      <c r="F25" s="70">
        <v>30.6</v>
      </c>
      <c r="G25" s="70">
        <v>7.5</v>
      </c>
      <c r="H25" s="71">
        <v>17.0</v>
      </c>
      <c r="I25" s="71">
        <v>13.0</v>
      </c>
      <c r="J25" s="71">
        <v>122.39999999999999</v>
      </c>
      <c r="K25" s="70">
        <v>10.2</v>
      </c>
      <c r="L25" s="72" t="s">
        <v>327</v>
      </c>
      <c r="M25" s="73"/>
      <c r="N25" s="74"/>
      <c r="O25" s="74"/>
      <c r="P25" s="74"/>
      <c r="Q25" s="74"/>
    </row>
    <row r="26">
      <c r="A26" s="59"/>
      <c r="B26" s="15">
        <v>10.0</v>
      </c>
      <c r="C26" s="19" t="s">
        <v>35</v>
      </c>
      <c r="D26" s="15" t="s">
        <v>200</v>
      </c>
      <c r="E26" s="9">
        <v>30.0</v>
      </c>
      <c r="F26" s="70">
        <v>30.5</v>
      </c>
      <c r="G26" s="70">
        <v>7.8</v>
      </c>
      <c r="H26" s="71">
        <v>17.0</v>
      </c>
      <c r="I26" s="71">
        <v>13.0</v>
      </c>
      <c r="J26" s="71">
        <v>123.60000000000001</v>
      </c>
      <c r="K26" s="70">
        <v>10.3</v>
      </c>
      <c r="L26" s="72" t="s">
        <v>327</v>
      </c>
      <c r="M26" s="73"/>
      <c r="N26" s="74"/>
      <c r="O26" s="74"/>
      <c r="P26" s="74"/>
      <c r="Q26" s="74"/>
    </row>
    <row r="27">
      <c r="A27" s="75" t="s">
        <v>320</v>
      </c>
      <c r="B27" s="76">
        <v>10.0</v>
      </c>
      <c r="C27" s="77" t="str">
        <f>C26</f>
        <v>Barié et al., 2020</v>
      </c>
      <c r="D27" s="76" t="s">
        <v>328</v>
      </c>
      <c r="E27" s="76">
        <v>60.0</v>
      </c>
      <c r="F27" s="78">
        <v>30.55</v>
      </c>
      <c r="G27" s="78">
        <v>8.096203635163485</v>
      </c>
      <c r="H27" s="76">
        <v>34.0</v>
      </c>
      <c r="I27" s="76">
        <v>26.0</v>
      </c>
      <c r="J27" s="78">
        <v>123.0</v>
      </c>
      <c r="K27" s="78">
        <v>10.25</v>
      </c>
      <c r="L27" s="79" t="s">
        <v>327</v>
      </c>
      <c r="M27" s="73"/>
      <c r="N27" s="74"/>
      <c r="O27" s="74"/>
      <c r="P27" s="74"/>
      <c r="Q27" s="74"/>
    </row>
    <row r="28">
      <c r="A28" s="59"/>
      <c r="B28" s="15">
        <v>11.0</v>
      </c>
      <c r="C28" s="19" t="s">
        <v>37</v>
      </c>
      <c r="D28" s="15" t="s">
        <v>42</v>
      </c>
      <c r="E28" s="9">
        <v>28.0</v>
      </c>
      <c r="F28" s="70">
        <v>28.5</v>
      </c>
      <c r="G28" s="70">
        <v>6.959</v>
      </c>
      <c r="H28" s="71">
        <v>18.0</v>
      </c>
      <c r="I28" s="71">
        <v>10.0</v>
      </c>
      <c r="J28" s="71">
        <v>36.0</v>
      </c>
      <c r="K28" s="70">
        <v>3.0</v>
      </c>
      <c r="L28" s="72" t="s">
        <v>329</v>
      </c>
      <c r="M28" s="73"/>
      <c r="N28" s="74"/>
      <c r="O28" s="74"/>
      <c r="P28" s="74"/>
      <c r="Q28" s="74"/>
    </row>
    <row r="29">
      <c r="A29" s="59"/>
      <c r="B29" s="15">
        <v>11.0</v>
      </c>
      <c r="C29" s="19" t="s">
        <v>37</v>
      </c>
      <c r="D29" s="15" t="s">
        <v>84</v>
      </c>
      <c r="E29" s="9">
        <v>28.0</v>
      </c>
      <c r="F29" s="70">
        <v>29.9</v>
      </c>
      <c r="G29" s="70">
        <v>5.716</v>
      </c>
      <c r="H29" s="71">
        <v>13.0</v>
      </c>
      <c r="I29" s="71">
        <v>15.0</v>
      </c>
      <c r="J29" s="71">
        <v>36.0</v>
      </c>
      <c r="K29" s="70">
        <v>3.0</v>
      </c>
      <c r="L29" s="72" t="s">
        <v>329</v>
      </c>
      <c r="M29" s="73"/>
      <c r="N29" s="74"/>
      <c r="O29" s="74"/>
      <c r="P29" s="74"/>
      <c r="Q29" s="74"/>
    </row>
    <row r="30">
      <c r="A30" s="75" t="s">
        <v>320</v>
      </c>
      <c r="B30" s="76">
        <v>11.0</v>
      </c>
      <c r="C30" s="77" t="str">
        <f>C29</f>
        <v>Beynnon et al., 2002</v>
      </c>
      <c r="D30" s="76" t="s">
        <v>321</v>
      </c>
      <c r="E30" s="76">
        <v>56.0</v>
      </c>
      <c r="F30" s="78">
        <v>29.2</v>
      </c>
      <c r="G30" s="78">
        <v>6.96399158475724</v>
      </c>
      <c r="H30" s="76">
        <v>31.0</v>
      </c>
      <c r="I30" s="76">
        <v>25.0</v>
      </c>
      <c r="J30" s="78">
        <v>36.0</v>
      </c>
      <c r="K30" s="78">
        <v>3.0</v>
      </c>
      <c r="L30" s="79" t="s">
        <v>329</v>
      </c>
      <c r="M30" s="73"/>
      <c r="N30" s="74"/>
      <c r="O30" s="74"/>
      <c r="P30" s="74"/>
      <c r="Q30" s="74"/>
    </row>
    <row r="31">
      <c r="A31" s="59"/>
      <c r="B31" s="15">
        <v>12.0</v>
      </c>
      <c r="C31" s="19" t="s">
        <v>39</v>
      </c>
      <c r="D31" s="15" t="s">
        <v>84</v>
      </c>
      <c r="E31" s="15">
        <v>62.0</v>
      </c>
      <c r="F31" s="70">
        <v>27.9</v>
      </c>
      <c r="G31" s="70">
        <v>6.7</v>
      </c>
      <c r="H31" s="71">
        <v>31.0</v>
      </c>
      <c r="I31" s="71">
        <v>31.0</v>
      </c>
      <c r="J31" s="71">
        <v>30.3</v>
      </c>
      <c r="K31" s="70">
        <v>2.5</v>
      </c>
      <c r="L31" s="72" t="s">
        <v>330</v>
      </c>
      <c r="M31" s="73"/>
      <c r="N31" s="74"/>
      <c r="O31" s="74"/>
      <c r="P31" s="74"/>
      <c r="Q31" s="74"/>
    </row>
    <row r="32">
      <c r="A32" s="59"/>
      <c r="B32" s="15">
        <v>12.0</v>
      </c>
      <c r="C32" s="19" t="s">
        <v>39</v>
      </c>
      <c r="D32" s="15" t="s">
        <v>186</v>
      </c>
      <c r="E32" s="15">
        <v>62.0</v>
      </c>
      <c r="F32" s="70">
        <v>29.1</v>
      </c>
      <c r="G32" s="70">
        <v>6.5</v>
      </c>
      <c r="H32" s="71">
        <v>34.0</v>
      </c>
      <c r="I32" s="71">
        <v>28.0</v>
      </c>
      <c r="J32" s="71">
        <v>29.7</v>
      </c>
      <c r="K32" s="70">
        <v>2.5</v>
      </c>
      <c r="L32" s="72" t="s">
        <v>330</v>
      </c>
      <c r="M32" s="73"/>
      <c r="N32" s="74"/>
      <c r="O32" s="74"/>
      <c r="P32" s="74"/>
      <c r="Q32" s="74"/>
    </row>
    <row r="33">
      <c r="A33" s="75" t="s">
        <v>320</v>
      </c>
      <c r="B33" s="76">
        <v>12.0</v>
      </c>
      <c r="C33" s="77" t="str">
        <f>C32</f>
        <v>Bi et al., 2018</v>
      </c>
      <c r="D33" s="76" t="s">
        <v>331</v>
      </c>
      <c r="E33" s="76">
        <v>124.0</v>
      </c>
      <c r="F33" s="78">
        <v>28.5</v>
      </c>
      <c r="G33" s="78">
        <v>7.586517925721136</v>
      </c>
      <c r="H33" s="76">
        <v>65.0</v>
      </c>
      <c r="I33" s="76">
        <v>59.0</v>
      </c>
      <c r="J33" s="78">
        <v>30.0</v>
      </c>
      <c r="K33" s="78">
        <v>2.5</v>
      </c>
      <c r="L33" s="79" t="s">
        <v>330</v>
      </c>
      <c r="M33" s="73"/>
      <c r="N33" s="74"/>
      <c r="O33" s="74"/>
      <c r="P33" s="74"/>
      <c r="Q33" s="74"/>
    </row>
    <row r="34">
      <c r="A34" s="59"/>
      <c r="B34" s="15">
        <v>13.0</v>
      </c>
      <c r="C34" s="19" t="s">
        <v>43</v>
      </c>
      <c r="D34" s="15" t="s">
        <v>42</v>
      </c>
      <c r="E34" s="15">
        <v>61.0</v>
      </c>
      <c r="F34" s="70">
        <v>28.2</v>
      </c>
      <c r="G34" s="70">
        <v>9.1</v>
      </c>
      <c r="H34" s="71">
        <v>42.0</v>
      </c>
      <c r="I34" s="71">
        <v>19.0</v>
      </c>
      <c r="J34" s="71">
        <v>202.6</v>
      </c>
      <c r="K34" s="70">
        <v>16.9</v>
      </c>
      <c r="L34" s="72" t="s">
        <v>332</v>
      </c>
      <c r="M34" s="73"/>
      <c r="N34" s="74"/>
      <c r="O34" s="74"/>
      <c r="P34" s="74"/>
      <c r="Q34" s="74"/>
    </row>
    <row r="35">
      <c r="A35" s="59"/>
      <c r="B35" s="15">
        <v>13.0</v>
      </c>
      <c r="C35" s="19" t="s">
        <v>43</v>
      </c>
      <c r="D35" s="15" t="s">
        <v>84</v>
      </c>
      <c r="E35" s="15">
        <v>86.0</v>
      </c>
      <c r="F35" s="70">
        <v>26.8</v>
      </c>
      <c r="G35" s="70">
        <v>7.6</v>
      </c>
      <c r="H35" s="71">
        <v>53.0</v>
      </c>
      <c r="I35" s="71">
        <v>33.0</v>
      </c>
      <c r="J35" s="71">
        <v>191.9</v>
      </c>
      <c r="K35" s="70">
        <v>16.0</v>
      </c>
      <c r="L35" s="72" t="s">
        <v>332</v>
      </c>
      <c r="M35" s="73"/>
      <c r="N35" s="74"/>
      <c r="O35" s="74"/>
      <c r="P35" s="74"/>
      <c r="Q35" s="74"/>
    </row>
    <row r="36">
      <c r="A36" s="75" t="s">
        <v>320</v>
      </c>
      <c r="B36" s="76">
        <v>13.0</v>
      </c>
      <c r="C36" s="77" t="str">
        <f>C35</f>
        <v>Björnsson et al., 2016</v>
      </c>
      <c r="D36" s="76" t="s">
        <v>321</v>
      </c>
      <c r="E36" s="76">
        <v>147.0</v>
      </c>
      <c r="F36" s="78">
        <v>27.5</v>
      </c>
      <c r="G36" s="78">
        <v>6.349157566165762</v>
      </c>
      <c r="H36" s="76">
        <v>95.0</v>
      </c>
      <c r="I36" s="76">
        <v>52.0</v>
      </c>
      <c r="J36" s="78">
        <v>197.25</v>
      </c>
      <c r="K36" s="78">
        <v>16.45</v>
      </c>
      <c r="L36" s="79" t="s">
        <v>332</v>
      </c>
      <c r="M36" s="73"/>
      <c r="N36" s="74"/>
      <c r="O36" s="74"/>
      <c r="P36" s="74"/>
      <c r="Q36" s="74"/>
    </row>
    <row r="37">
      <c r="A37" s="59"/>
      <c r="B37" s="15">
        <v>14.0</v>
      </c>
      <c r="C37" s="19" t="s">
        <v>45</v>
      </c>
      <c r="D37" s="15" t="s">
        <v>84</v>
      </c>
      <c r="E37" s="9">
        <v>48.0</v>
      </c>
      <c r="F37" s="70">
        <v>28.9</v>
      </c>
      <c r="G37" s="70">
        <v>5.8</v>
      </c>
      <c r="H37" s="71">
        <v>41.0</v>
      </c>
      <c r="I37" s="71">
        <v>7.0</v>
      </c>
      <c r="J37" s="71">
        <v>120.0</v>
      </c>
      <c r="K37" s="70">
        <v>10.0</v>
      </c>
      <c r="L37" s="72" t="s">
        <v>333</v>
      </c>
      <c r="M37" s="73"/>
      <c r="N37" s="74"/>
      <c r="O37" s="74"/>
      <c r="P37" s="74"/>
      <c r="Q37" s="74"/>
    </row>
    <row r="38">
      <c r="A38" s="59"/>
      <c r="B38" s="15">
        <v>14.0</v>
      </c>
      <c r="C38" s="19" t="s">
        <v>45</v>
      </c>
      <c r="D38" s="15" t="s">
        <v>205</v>
      </c>
      <c r="E38" s="9">
        <v>49.0</v>
      </c>
      <c r="F38" s="70">
        <v>29.2</v>
      </c>
      <c r="G38" s="70">
        <v>5.5</v>
      </c>
      <c r="H38" s="71">
        <v>43.0</v>
      </c>
      <c r="I38" s="71">
        <v>6.0</v>
      </c>
      <c r="J38" s="71">
        <v>120.0</v>
      </c>
      <c r="K38" s="70">
        <v>10.0</v>
      </c>
      <c r="L38" s="72" t="s">
        <v>333</v>
      </c>
      <c r="M38" s="73"/>
      <c r="N38" s="74"/>
      <c r="O38" s="74"/>
      <c r="P38" s="74"/>
      <c r="Q38" s="74"/>
    </row>
    <row r="39">
      <c r="A39" s="75" t="s">
        <v>320</v>
      </c>
      <c r="B39" s="76">
        <v>14.0</v>
      </c>
      <c r="C39" s="77" t="str">
        <f>C38</f>
        <v>Bottoni et al., 2015</v>
      </c>
      <c r="D39" s="76" t="s">
        <v>334</v>
      </c>
      <c r="E39" s="76">
        <v>97.0</v>
      </c>
      <c r="F39" s="78">
        <v>29.049999999999997</v>
      </c>
      <c r="G39" s="78">
        <v>6.6014164530797395</v>
      </c>
      <c r="H39" s="76">
        <v>84.0</v>
      </c>
      <c r="I39" s="76">
        <v>13.0</v>
      </c>
      <c r="J39" s="78">
        <v>120.0</v>
      </c>
      <c r="K39" s="78">
        <v>10.0</v>
      </c>
      <c r="L39" s="79" t="s">
        <v>333</v>
      </c>
      <c r="M39" s="73"/>
      <c r="N39" s="74"/>
      <c r="O39" s="74"/>
      <c r="P39" s="74"/>
      <c r="Q39" s="74"/>
    </row>
    <row r="40">
      <c r="A40" s="59"/>
      <c r="B40" s="15">
        <v>18.0</v>
      </c>
      <c r="C40" s="19" t="s">
        <v>47</v>
      </c>
      <c r="D40" s="15" t="s">
        <v>84</v>
      </c>
      <c r="E40" s="15">
        <v>30.0</v>
      </c>
      <c r="F40" s="70">
        <v>29.17</v>
      </c>
      <c r="G40" s="70">
        <v>5.03</v>
      </c>
      <c r="H40" s="71">
        <v>29.0</v>
      </c>
      <c r="I40" s="71">
        <v>1.0</v>
      </c>
      <c r="J40" s="71">
        <v>60.0</v>
      </c>
      <c r="K40" s="70">
        <v>5.0</v>
      </c>
      <c r="L40" s="72" t="s">
        <v>335</v>
      </c>
      <c r="M40" s="73"/>
      <c r="N40" s="74"/>
      <c r="O40" s="74"/>
      <c r="P40" s="74"/>
      <c r="Q40" s="74"/>
    </row>
    <row r="41">
      <c r="A41" s="59"/>
      <c r="B41" s="15">
        <v>18.0</v>
      </c>
      <c r="C41" s="19" t="s">
        <v>47</v>
      </c>
      <c r="D41" s="15" t="s">
        <v>186</v>
      </c>
      <c r="E41" s="15">
        <v>30.0</v>
      </c>
      <c r="F41" s="70">
        <v>27.73</v>
      </c>
      <c r="G41" s="70">
        <v>4.14</v>
      </c>
      <c r="H41" s="71">
        <v>30.0</v>
      </c>
      <c r="I41" s="71">
        <v>0.0</v>
      </c>
      <c r="J41" s="71">
        <v>60.0</v>
      </c>
      <c r="K41" s="70">
        <v>5.0</v>
      </c>
      <c r="L41" s="72" t="s">
        <v>335</v>
      </c>
      <c r="M41" s="73"/>
      <c r="N41" s="74"/>
      <c r="O41" s="74"/>
      <c r="P41" s="74"/>
      <c r="Q41" s="74"/>
    </row>
    <row r="42">
      <c r="A42" s="75" t="s">
        <v>320</v>
      </c>
      <c r="B42" s="76">
        <v>18.0</v>
      </c>
      <c r="C42" s="77" t="str">
        <f>C41</f>
        <v>Butt et al., 2024</v>
      </c>
      <c r="D42" s="76" t="s">
        <v>331</v>
      </c>
      <c r="E42" s="76">
        <v>60.0</v>
      </c>
      <c r="F42" s="78">
        <v>28.450000000000003</v>
      </c>
      <c r="G42" s="78">
        <v>8.254573936162902</v>
      </c>
      <c r="H42" s="76">
        <v>59.0</v>
      </c>
      <c r="I42" s="76">
        <v>1.0</v>
      </c>
      <c r="J42" s="78">
        <v>60.0</v>
      </c>
      <c r="K42" s="78">
        <v>5.0</v>
      </c>
      <c r="L42" s="79" t="s">
        <v>335</v>
      </c>
      <c r="M42" s="73"/>
      <c r="N42" s="74"/>
      <c r="O42" s="74"/>
      <c r="P42" s="74"/>
      <c r="Q42" s="74"/>
    </row>
    <row r="43">
      <c r="A43" s="59"/>
      <c r="B43" s="15">
        <v>19.0</v>
      </c>
      <c r="C43" s="19" t="s">
        <v>52</v>
      </c>
      <c r="D43" s="15" t="s">
        <v>84</v>
      </c>
      <c r="E43" s="9">
        <v>55.0</v>
      </c>
      <c r="F43" s="70">
        <v>29.4</v>
      </c>
      <c r="G43" s="70">
        <v>7.7</v>
      </c>
      <c r="H43" s="71">
        <v>28.0</v>
      </c>
      <c r="I43" s="71">
        <v>27.0</v>
      </c>
      <c r="J43" s="71">
        <v>24.0</v>
      </c>
      <c r="K43" s="70">
        <v>2.0</v>
      </c>
      <c r="L43" s="72" t="s">
        <v>336</v>
      </c>
      <c r="M43" s="73"/>
      <c r="N43" s="74"/>
      <c r="O43" s="74"/>
      <c r="P43" s="74"/>
      <c r="Q43" s="74"/>
    </row>
    <row r="44">
      <c r="A44" s="59"/>
      <c r="B44" s="15">
        <v>19.0</v>
      </c>
      <c r="C44" s="19" t="s">
        <v>52</v>
      </c>
      <c r="D44" s="15" t="s">
        <v>200</v>
      </c>
      <c r="E44" s="9">
        <v>57.0</v>
      </c>
      <c r="F44" s="70">
        <v>28.1</v>
      </c>
      <c r="G44" s="70">
        <v>8.2</v>
      </c>
      <c r="H44" s="71">
        <v>28.0</v>
      </c>
      <c r="I44" s="71">
        <v>29.0</v>
      </c>
      <c r="J44" s="71">
        <v>24.0</v>
      </c>
      <c r="K44" s="70">
        <v>2.0</v>
      </c>
      <c r="L44" s="72" t="s">
        <v>336</v>
      </c>
      <c r="M44" s="73"/>
      <c r="N44" s="74"/>
      <c r="O44" s="74"/>
      <c r="P44" s="74"/>
      <c r="Q44" s="74"/>
    </row>
    <row r="45">
      <c r="A45" s="75" t="s">
        <v>320</v>
      </c>
      <c r="B45" s="76">
        <v>19.0</v>
      </c>
      <c r="C45" s="77" t="str">
        <f>C44</f>
        <v>Calvert et al., 2025</v>
      </c>
      <c r="D45" s="76" t="s">
        <v>337</v>
      </c>
      <c r="E45" s="76">
        <v>112.0</v>
      </c>
      <c r="F45" s="78">
        <v>28.75</v>
      </c>
      <c r="G45" s="78">
        <v>5.62292764421669</v>
      </c>
      <c r="H45" s="76">
        <v>56.0</v>
      </c>
      <c r="I45" s="76">
        <v>56.0</v>
      </c>
      <c r="J45" s="78">
        <v>24.0</v>
      </c>
      <c r="K45" s="78">
        <v>2.0</v>
      </c>
      <c r="L45" s="79" t="s">
        <v>336</v>
      </c>
      <c r="M45" s="73"/>
      <c r="N45" s="74"/>
      <c r="O45" s="74"/>
      <c r="P45" s="74"/>
      <c r="Q45" s="74"/>
    </row>
    <row r="46">
      <c r="A46" s="59"/>
      <c r="B46" s="15">
        <v>23.0</v>
      </c>
      <c r="C46" s="19" t="s">
        <v>56</v>
      </c>
      <c r="D46" s="15" t="s">
        <v>42</v>
      </c>
      <c r="E46" s="15">
        <v>32.0</v>
      </c>
      <c r="F46" s="70">
        <v>27.260431312060195</v>
      </c>
      <c r="G46" s="70">
        <v>8.467</v>
      </c>
      <c r="H46" s="71">
        <v>21.0</v>
      </c>
      <c r="I46" s="71">
        <v>11.0</v>
      </c>
      <c r="J46" s="71">
        <v>24.0</v>
      </c>
      <c r="K46" s="70">
        <v>2.0</v>
      </c>
      <c r="L46" s="72" t="s">
        <v>338</v>
      </c>
      <c r="M46" s="73"/>
      <c r="N46" s="74"/>
      <c r="O46" s="74"/>
      <c r="P46" s="74"/>
      <c r="Q46" s="74"/>
    </row>
    <row r="47">
      <c r="A47" s="59"/>
      <c r="B47" s="15">
        <v>23.0</v>
      </c>
      <c r="C47" s="19" t="s">
        <v>56</v>
      </c>
      <c r="D47" s="15" t="s">
        <v>84</v>
      </c>
      <c r="E47" s="15">
        <v>34.0</v>
      </c>
      <c r="F47" s="70">
        <v>30.769890770539824</v>
      </c>
      <c r="G47" s="70">
        <v>10.52</v>
      </c>
      <c r="H47" s="71">
        <v>25.0</v>
      </c>
      <c r="I47" s="71">
        <v>9.0</v>
      </c>
      <c r="J47" s="71">
        <v>24.0</v>
      </c>
      <c r="K47" s="70">
        <v>2.0</v>
      </c>
      <c r="L47" s="72" t="s">
        <v>338</v>
      </c>
      <c r="M47" s="73"/>
      <c r="N47" s="74"/>
      <c r="O47" s="74"/>
      <c r="P47" s="74"/>
      <c r="Q47" s="74"/>
    </row>
    <row r="48">
      <c r="A48" s="75" t="s">
        <v>320</v>
      </c>
      <c r="B48" s="76">
        <v>23.0</v>
      </c>
      <c r="C48" s="77" t="str">
        <f>C47</f>
        <v>Ejerhed et al., 2003</v>
      </c>
      <c r="D48" s="76" t="s">
        <v>321</v>
      </c>
      <c r="E48" s="76">
        <v>66.0</v>
      </c>
      <c r="F48" s="78">
        <v>29.01516104130001</v>
      </c>
      <c r="G48" s="78">
        <v>4.624691469324269</v>
      </c>
      <c r="H48" s="76">
        <v>46.0</v>
      </c>
      <c r="I48" s="76">
        <v>20.0</v>
      </c>
      <c r="J48" s="78">
        <v>24.0</v>
      </c>
      <c r="K48" s="78">
        <v>2.0</v>
      </c>
      <c r="L48" s="79" t="s">
        <v>338</v>
      </c>
      <c r="M48" s="73"/>
      <c r="N48" s="74"/>
      <c r="O48" s="74"/>
      <c r="P48" s="74"/>
      <c r="Q48" s="74"/>
    </row>
    <row r="49">
      <c r="A49" s="59"/>
      <c r="B49" s="15">
        <v>25.0</v>
      </c>
      <c r="C49" s="19" t="s">
        <v>58</v>
      </c>
      <c r="D49" s="15" t="s">
        <v>42</v>
      </c>
      <c r="E49" s="9">
        <v>59.0</v>
      </c>
      <c r="F49" s="70">
        <v>27.0</v>
      </c>
      <c r="G49" s="70">
        <v>6.0</v>
      </c>
      <c r="H49" s="71"/>
      <c r="I49" s="71"/>
      <c r="J49" s="71">
        <v>6.7</v>
      </c>
      <c r="K49" s="70">
        <v>0.6</v>
      </c>
      <c r="L49" s="72" t="s">
        <v>339</v>
      </c>
      <c r="M49" s="73"/>
      <c r="N49" s="74"/>
      <c r="O49" s="74"/>
      <c r="P49" s="74"/>
      <c r="Q49" s="74"/>
    </row>
    <row r="50">
      <c r="A50" s="59"/>
      <c r="B50" s="15">
        <v>25.0</v>
      </c>
      <c r="C50" s="19" t="s">
        <v>58</v>
      </c>
      <c r="D50" s="15" t="s">
        <v>84</v>
      </c>
      <c r="E50" s="9">
        <v>57.0</v>
      </c>
      <c r="F50" s="70">
        <v>27.0</v>
      </c>
      <c r="G50" s="70">
        <v>6.0</v>
      </c>
      <c r="H50" s="71"/>
      <c r="I50" s="71"/>
      <c r="J50" s="71">
        <v>6.7</v>
      </c>
      <c r="K50" s="70">
        <v>0.6</v>
      </c>
      <c r="L50" s="72" t="s">
        <v>339</v>
      </c>
      <c r="M50" s="73"/>
      <c r="N50" s="74"/>
      <c r="O50" s="74"/>
      <c r="P50" s="74"/>
      <c r="Q50" s="74"/>
    </row>
    <row r="51">
      <c r="A51" s="75" t="s">
        <v>320</v>
      </c>
      <c r="B51" s="76">
        <v>25.0</v>
      </c>
      <c r="C51" s="77" t="str">
        <f>C50</f>
        <v>Eriksson et al., 2001</v>
      </c>
      <c r="D51" s="76" t="s">
        <v>321</v>
      </c>
      <c r="E51" s="76">
        <v>116.0</v>
      </c>
      <c r="F51" s="78">
        <v>27.0</v>
      </c>
      <c r="G51" s="78">
        <v>7.949392243024749</v>
      </c>
      <c r="H51" s="76">
        <v>0.0</v>
      </c>
      <c r="I51" s="76">
        <v>0.0</v>
      </c>
      <c r="J51" s="78">
        <v>6.7</v>
      </c>
      <c r="K51" s="78">
        <v>0.6</v>
      </c>
      <c r="L51" s="79" t="s">
        <v>339</v>
      </c>
      <c r="M51" s="73"/>
      <c r="N51" s="74"/>
      <c r="O51" s="74"/>
      <c r="P51" s="74"/>
      <c r="Q51" s="74"/>
    </row>
    <row r="52">
      <c r="A52" s="59"/>
      <c r="B52" s="15">
        <v>26.0</v>
      </c>
      <c r="C52" s="19" t="s">
        <v>60</v>
      </c>
      <c r="D52" s="15" t="s">
        <v>42</v>
      </c>
      <c r="E52" s="9">
        <v>31.0</v>
      </c>
      <c r="F52" s="70">
        <v>25.8</v>
      </c>
      <c r="G52" s="70">
        <v>6.0</v>
      </c>
      <c r="H52" s="71">
        <v>23.0</v>
      </c>
      <c r="I52" s="71">
        <v>8.0</v>
      </c>
      <c r="J52" s="71">
        <v>36.0</v>
      </c>
      <c r="K52" s="70">
        <v>3.0</v>
      </c>
      <c r="L52" s="72" t="s">
        <v>340</v>
      </c>
      <c r="M52" s="73"/>
      <c r="N52" s="74"/>
      <c r="O52" s="74"/>
      <c r="P52" s="74"/>
      <c r="Q52" s="74"/>
    </row>
    <row r="53">
      <c r="A53" s="59"/>
      <c r="B53" s="15">
        <v>26.0</v>
      </c>
      <c r="C53" s="19" t="s">
        <v>60</v>
      </c>
      <c r="D53" s="15" t="s">
        <v>84</v>
      </c>
      <c r="E53" s="9">
        <v>34.0</v>
      </c>
      <c r="F53" s="70">
        <v>26.3</v>
      </c>
      <c r="G53" s="70">
        <v>6.0</v>
      </c>
      <c r="H53" s="71">
        <v>24.0</v>
      </c>
      <c r="I53" s="71">
        <v>10.0</v>
      </c>
      <c r="J53" s="71">
        <v>36.0</v>
      </c>
      <c r="K53" s="70">
        <v>3.0</v>
      </c>
      <c r="L53" s="72" t="s">
        <v>340</v>
      </c>
      <c r="M53" s="73"/>
      <c r="N53" s="74"/>
      <c r="O53" s="74"/>
      <c r="P53" s="74"/>
      <c r="Q53" s="74"/>
    </row>
    <row r="54">
      <c r="A54" s="75" t="s">
        <v>320</v>
      </c>
      <c r="B54" s="76">
        <v>26.0</v>
      </c>
      <c r="C54" s="77" t="str">
        <f>C53</f>
        <v>Feller &amp; Webster, 2003</v>
      </c>
      <c r="D54" s="76" t="s">
        <v>321</v>
      </c>
      <c r="E54" s="76">
        <v>65.0</v>
      </c>
      <c r="F54" s="78">
        <v>26.05</v>
      </c>
      <c r="G54" s="78">
        <v>9.669578299773644</v>
      </c>
      <c r="H54" s="76">
        <v>47.0</v>
      </c>
      <c r="I54" s="76">
        <v>18.0</v>
      </c>
      <c r="J54" s="78">
        <v>36.0</v>
      </c>
      <c r="K54" s="78">
        <v>3.0</v>
      </c>
      <c r="L54" s="79" t="s">
        <v>340</v>
      </c>
      <c r="M54" s="73"/>
      <c r="N54" s="74"/>
      <c r="O54" s="74"/>
      <c r="P54" s="74"/>
      <c r="Q54" s="74"/>
    </row>
    <row r="55">
      <c r="A55" s="59"/>
      <c r="B55" s="15">
        <v>30.0</v>
      </c>
      <c r="C55" s="19" t="s">
        <v>62</v>
      </c>
      <c r="D55" s="15" t="s">
        <v>42</v>
      </c>
      <c r="E55" s="15">
        <v>41.0</v>
      </c>
      <c r="F55" s="70">
        <v>27.0</v>
      </c>
      <c r="G55" s="70">
        <v>6.74</v>
      </c>
      <c r="H55" s="15"/>
      <c r="I55" s="71" t="s">
        <v>101</v>
      </c>
      <c r="J55" s="71">
        <v>84.0</v>
      </c>
      <c r="K55" s="70">
        <v>7.0</v>
      </c>
      <c r="L55" s="72" t="s">
        <v>338</v>
      </c>
      <c r="M55" s="73"/>
      <c r="N55" s="74"/>
      <c r="O55" s="74"/>
      <c r="P55" s="74"/>
      <c r="Q55" s="74"/>
    </row>
    <row r="56">
      <c r="A56" s="59"/>
      <c r="B56" s="15">
        <v>30.0</v>
      </c>
      <c r="C56" s="19" t="s">
        <v>62</v>
      </c>
      <c r="D56" s="15" t="s">
        <v>84</v>
      </c>
      <c r="E56" s="15">
        <v>36.0</v>
      </c>
      <c r="F56" s="70">
        <v>27.0</v>
      </c>
      <c r="G56" s="70">
        <v>6.779</v>
      </c>
      <c r="H56" s="15"/>
      <c r="I56" s="71" t="s">
        <v>101</v>
      </c>
      <c r="J56" s="71">
        <v>84.0</v>
      </c>
      <c r="K56" s="70">
        <v>7.0</v>
      </c>
      <c r="L56" s="72" t="s">
        <v>338</v>
      </c>
      <c r="M56" s="73"/>
      <c r="N56" s="74"/>
      <c r="O56" s="74"/>
      <c r="P56" s="74"/>
      <c r="Q56" s="74"/>
    </row>
    <row r="57">
      <c r="A57" s="75" t="s">
        <v>320</v>
      </c>
      <c r="B57" s="76">
        <v>30.0</v>
      </c>
      <c r="C57" s="77" t="str">
        <f>C56</f>
        <v>Gifstad et al., 2013</v>
      </c>
      <c r="D57" s="76" t="s">
        <v>321</v>
      </c>
      <c r="E57" s="76">
        <v>77.0</v>
      </c>
      <c r="F57" s="78">
        <v>27.0</v>
      </c>
      <c r="G57" s="78">
        <v>5.9738560847863695</v>
      </c>
      <c r="H57" s="76">
        <v>0.0</v>
      </c>
      <c r="I57" s="76">
        <v>0.0</v>
      </c>
      <c r="J57" s="78">
        <v>84.0</v>
      </c>
      <c r="K57" s="78">
        <v>7.0</v>
      </c>
      <c r="L57" s="79" t="s">
        <v>338</v>
      </c>
      <c r="M57" s="73"/>
      <c r="N57" s="74"/>
      <c r="O57" s="74"/>
      <c r="P57" s="74"/>
      <c r="Q57" s="74"/>
    </row>
    <row r="58">
      <c r="A58" s="59"/>
      <c r="B58" s="15">
        <v>32.0</v>
      </c>
      <c r="C58" s="19" t="s">
        <v>65</v>
      </c>
      <c r="D58" s="15" t="s">
        <v>42</v>
      </c>
      <c r="E58" s="15">
        <v>31.0</v>
      </c>
      <c r="F58" s="70">
        <v>25.2</v>
      </c>
      <c r="G58" s="70">
        <v>5.48</v>
      </c>
      <c r="H58" s="71">
        <v>23.0</v>
      </c>
      <c r="I58" s="71">
        <v>8.0</v>
      </c>
      <c r="J58" s="71">
        <v>24.0</v>
      </c>
      <c r="K58" s="70">
        <v>2.0</v>
      </c>
      <c r="L58" s="72" t="s">
        <v>341</v>
      </c>
      <c r="M58" s="73"/>
      <c r="N58" s="74"/>
      <c r="O58" s="74"/>
      <c r="P58" s="74"/>
      <c r="Q58" s="74"/>
    </row>
    <row r="59">
      <c r="A59" s="59"/>
      <c r="B59" s="15">
        <v>32.0</v>
      </c>
      <c r="C59" s="19" t="s">
        <v>65</v>
      </c>
      <c r="D59" s="15" t="s">
        <v>84</v>
      </c>
      <c r="E59" s="15">
        <v>31.0</v>
      </c>
      <c r="F59" s="70">
        <v>24.64</v>
      </c>
      <c r="G59" s="70">
        <v>5.33</v>
      </c>
      <c r="H59" s="71">
        <v>19.0</v>
      </c>
      <c r="I59" s="71">
        <v>12.0</v>
      </c>
      <c r="J59" s="71">
        <v>24.0</v>
      </c>
      <c r="K59" s="70">
        <v>2.0</v>
      </c>
      <c r="L59" s="72" t="s">
        <v>341</v>
      </c>
      <c r="M59" s="73"/>
      <c r="N59" s="74"/>
      <c r="O59" s="74"/>
      <c r="P59" s="74"/>
      <c r="Q59" s="74"/>
    </row>
    <row r="60">
      <c r="A60" s="75" t="s">
        <v>320</v>
      </c>
      <c r="B60" s="76">
        <v>32.0</v>
      </c>
      <c r="C60" s="77" t="str">
        <f>C59</f>
        <v>Guglielmetti et al., 2021</v>
      </c>
      <c r="D60" s="76" t="s">
        <v>321</v>
      </c>
      <c r="E60" s="76">
        <v>62.0</v>
      </c>
      <c r="F60" s="78">
        <v>24.92</v>
      </c>
      <c r="G60" s="78">
        <v>5.958258247688983</v>
      </c>
      <c r="H60" s="76">
        <v>42.0</v>
      </c>
      <c r="I60" s="76">
        <v>20.0</v>
      </c>
      <c r="J60" s="78">
        <v>24.0</v>
      </c>
      <c r="K60" s="78">
        <v>2.0</v>
      </c>
      <c r="L60" s="79" t="s">
        <v>341</v>
      </c>
      <c r="M60" s="73"/>
      <c r="N60" s="74"/>
      <c r="O60" s="74"/>
      <c r="P60" s="74"/>
      <c r="Q60" s="74"/>
    </row>
    <row r="61">
      <c r="A61" s="59"/>
      <c r="B61" s="15">
        <v>33.0</v>
      </c>
      <c r="C61" s="19" t="s">
        <v>67</v>
      </c>
      <c r="D61" s="15" t="s">
        <v>42</v>
      </c>
      <c r="E61" s="9">
        <v>40.0</v>
      </c>
      <c r="F61" s="70"/>
      <c r="G61" s="70" t="s">
        <v>101</v>
      </c>
      <c r="H61" s="15"/>
      <c r="I61" s="71" t="s">
        <v>101</v>
      </c>
      <c r="J61" s="71">
        <v>60.6</v>
      </c>
      <c r="K61" s="70">
        <v>5.1</v>
      </c>
      <c r="L61" s="72" t="s">
        <v>342</v>
      </c>
      <c r="M61" s="73"/>
      <c r="N61" s="74"/>
      <c r="O61" s="74"/>
      <c r="P61" s="74"/>
      <c r="Q61" s="74"/>
    </row>
    <row r="62">
      <c r="A62" s="59"/>
      <c r="B62" s="15">
        <v>33.0</v>
      </c>
      <c r="C62" s="19" t="s">
        <v>67</v>
      </c>
      <c r="D62" s="15" t="s">
        <v>84</v>
      </c>
      <c r="E62" s="9">
        <v>39.0</v>
      </c>
      <c r="F62" s="70"/>
      <c r="G62" s="70" t="s">
        <v>101</v>
      </c>
      <c r="H62" s="15"/>
      <c r="I62" s="71" t="s">
        <v>101</v>
      </c>
      <c r="J62" s="71">
        <v>60.6</v>
      </c>
      <c r="K62" s="70">
        <v>5.1</v>
      </c>
      <c r="L62" s="72" t="s">
        <v>342</v>
      </c>
      <c r="M62" s="73"/>
      <c r="N62" s="74"/>
      <c r="O62" s="74"/>
      <c r="P62" s="74"/>
      <c r="Q62" s="74"/>
    </row>
    <row r="63">
      <c r="A63" s="75" t="s">
        <v>320</v>
      </c>
      <c r="B63" s="76">
        <v>33.0</v>
      </c>
      <c r="C63" s="77" t="str">
        <f>C62</f>
        <v>Harilainen et al., 2006</v>
      </c>
      <c r="D63" s="76" t="s">
        <v>321</v>
      </c>
      <c r="E63" s="76">
        <v>79.0</v>
      </c>
      <c r="F63" s="78"/>
      <c r="G63" s="78">
        <v>6.713618754167963</v>
      </c>
      <c r="H63" s="76">
        <v>0.0</v>
      </c>
      <c r="I63" s="76">
        <v>0.0</v>
      </c>
      <c r="J63" s="78">
        <v>60.6</v>
      </c>
      <c r="K63" s="78">
        <v>5.1</v>
      </c>
      <c r="L63" s="79" t="s">
        <v>342</v>
      </c>
      <c r="M63" s="73"/>
      <c r="N63" s="74"/>
      <c r="O63" s="74"/>
      <c r="P63" s="74"/>
      <c r="Q63" s="74"/>
    </row>
    <row r="64">
      <c r="A64" s="59"/>
      <c r="B64" s="15">
        <v>34.0</v>
      </c>
      <c r="C64" s="19" t="s">
        <v>69</v>
      </c>
      <c r="D64" s="15" t="s">
        <v>42</v>
      </c>
      <c r="E64" s="9">
        <v>34.0</v>
      </c>
      <c r="F64" s="70">
        <v>29.0</v>
      </c>
      <c r="G64" s="70">
        <v>7.0</v>
      </c>
      <c r="H64" s="71">
        <v>22.0</v>
      </c>
      <c r="I64" s="71">
        <v>12.0</v>
      </c>
      <c r="J64" s="71">
        <v>24.7</v>
      </c>
      <c r="K64" s="70">
        <v>2.1</v>
      </c>
      <c r="L64" s="72" t="s">
        <v>343</v>
      </c>
      <c r="M64" s="73"/>
      <c r="N64" s="74"/>
      <c r="O64" s="74"/>
      <c r="P64" s="74"/>
      <c r="Q64" s="74"/>
    </row>
    <row r="65">
      <c r="A65" s="59"/>
      <c r="B65" s="15">
        <v>34.0</v>
      </c>
      <c r="C65" s="19" t="s">
        <v>69</v>
      </c>
      <c r="D65" s="15" t="s">
        <v>84</v>
      </c>
      <c r="E65" s="9">
        <v>34.0</v>
      </c>
      <c r="F65" s="70">
        <v>30.0</v>
      </c>
      <c r="G65" s="70">
        <v>9.0</v>
      </c>
      <c r="H65" s="71">
        <v>14.0</v>
      </c>
      <c r="I65" s="71">
        <v>20.0</v>
      </c>
      <c r="J65" s="71">
        <v>24.7</v>
      </c>
      <c r="K65" s="70">
        <v>2.1</v>
      </c>
      <c r="L65" s="72" t="s">
        <v>343</v>
      </c>
      <c r="M65" s="73"/>
      <c r="N65" s="74"/>
      <c r="O65" s="74"/>
      <c r="P65" s="74"/>
      <c r="Q65" s="74"/>
    </row>
    <row r="66">
      <c r="A66" s="75" t="s">
        <v>320</v>
      </c>
      <c r="B66" s="76">
        <v>34.0</v>
      </c>
      <c r="C66" s="77" t="str">
        <f>C65</f>
        <v>Heijne &amp; Werner, 2010</v>
      </c>
      <c r="D66" s="76" t="s">
        <v>321</v>
      </c>
      <c r="E66" s="76">
        <v>68.0</v>
      </c>
      <c r="F66" s="78">
        <v>29.5</v>
      </c>
      <c r="G66" s="78">
        <v>5.368456443910477</v>
      </c>
      <c r="H66" s="76">
        <v>36.0</v>
      </c>
      <c r="I66" s="76">
        <v>32.0</v>
      </c>
      <c r="J66" s="78">
        <v>24.7</v>
      </c>
      <c r="K66" s="78">
        <v>2.1</v>
      </c>
      <c r="L66" s="79" t="s">
        <v>343</v>
      </c>
      <c r="M66" s="73"/>
      <c r="N66" s="74"/>
      <c r="O66" s="74"/>
      <c r="P66" s="74"/>
      <c r="Q66" s="74"/>
    </row>
    <row r="67">
      <c r="A67" s="59"/>
      <c r="B67" s="15">
        <v>35.0</v>
      </c>
      <c r="C67" s="19" t="s">
        <v>71</v>
      </c>
      <c r="D67" s="15" t="s">
        <v>42</v>
      </c>
      <c r="E67" s="15">
        <v>28.0</v>
      </c>
      <c r="F67" s="70">
        <v>33.9</v>
      </c>
      <c r="G67" s="70">
        <v>6.2</v>
      </c>
      <c r="H67" s="71">
        <v>18.0</v>
      </c>
      <c r="I67" s="71">
        <v>10.0</v>
      </c>
      <c r="J67" s="71">
        <v>10.2</v>
      </c>
      <c r="K67" s="70">
        <v>0.9</v>
      </c>
      <c r="L67" s="72" t="s">
        <v>344</v>
      </c>
      <c r="M67" s="73"/>
      <c r="N67" s="74"/>
      <c r="O67" s="74"/>
      <c r="P67" s="74"/>
      <c r="Q67" s="74"/>
    </row>
    <row r="68">
      <c r="A68" s="59"/>
      <c r="B68" s="15">
        <v>35.0</v>
      </c>
      <c r="C68" s="19" t="s">
        <v>71</v>
      </c>
      <c r="D68" s="15" t="s">
        <v>84</v>
      </c>
      <c r="E68" s="15">
        <v>29.0</v>
      </c>
      <c r="F68" s="70">
        <v>37.9</v>
      </c>
      <c r="G68" s="70">
        <v>9.1</v>
      </c>
      <c r="H68" s="71">
        <v>15.0</v>
      </c>
      <c r="I68" s="71">
        <v>14.0</v>
      </c>
      <c r="J68" s="71">
        <v>10.7</v>
      </c>
      <c r="K68" s="70">
        <v>0.9</v>
      </c>
      <c r="L68" s="72" t="s">
        <v>344</v>
      </c>
      <c r="M68" s="73"/>
      <c r="N68" s="74"/>
      <c r="O68" s="74"/>
      <c r="P68" s="74"/>
      <c r="Q68" s="74"/>
    </row>
    <row r="69">
      <c r="A69" s="75" t="s">
        <v>320</v>
      </c>
      <c r="B69" s="76">
        <v>35.0</v>
      </c>
      <c r="C69" s="77" t="str">
        <f>C68</f>
        <v>Holm et al., 2010</v>
      </c>
      <c r="D69" s="76" t="s">
        <v>321</v>
      </c>
      <c r="E69" s="76">
        <v>57.0</v>
      </c>
      <c r="F69" s="78">
        <v>35.9</v>
      </c>
      <c r="G69" s="78">
        <v>0.0</v>
      </c>
      <c r="H69" s="76">
        <v>33.0</v>
      </c>
      <c r="I69" s="76">
        <v>24.0</v>
      </c>
      <c r="J69" s="78">
        <v>10.45</v>
      </c>
      <c r="K69" s="78">
        <v>0.9</v>
      </c>
      <c r="L69" s="79" t="s">
        <v>344</v>
      </c>
      <c r="M69" s="73"/>
      <c r="N69" s="74"/>
      <c r="O69" s="74"/>
      <c r="P69" s="74"/>
      <c r="Q69" s="74"/>
    </row>
    <row r="70">
      <c r="A70" s="59"/>
      <c r="B70" s="15">
        <v>36.0</v>
      </c>
      <c r="C70" s="19" t="s">
        <v>73</v>
      </c>
      <c r="D70" s="15" t="s">
        <v>84</v>
      </c>
      <c r="E70" s="9">
        <v>27.0</v>
      </c>
      <c r="F70" s="70">
        <v>32.7</v>
      </c>
      <c r="G70" s="70">
        <v>11.4</v>
      </c>
      <c r="H70" s="71">
        <v>12.0</v>
      </c>
      <c r="I70" s="71">
        <v>15.0</v>
      </c>
      <c r="J70" s="71">
        <v>24.0</v>
      </c>
      <c r="K70" s="70">
        <v>2.0</v>
      </c>
      <c r="L70" s="72" t="s">
        <v>345</v>
      </c>
      <c r="M70" s="73"/>
      <c r="N70" s="74"/>
      <c r="O70" s="74"/>
      <c r="P70" s="74"/>
      <c r="Q70" s="74"/>
    </row>
    <row r="71">
      <c r="A71" s="59"/>
      <c r="B71" s="15">
        <v>36.0</v>
      </c>
      <c r="C71" s="19" t="s">
        <v>73</v>
      </c>
      <c r="D71" s="15" t="s">
        <v>200</v>
      </c>
      <c r="E71" s="9">
        <v>24.0</v>
      </c>
      <c r="F71" s="70">
        <v>24.1</v>
      </c>
      <c r="G71" s="70">
        <v>3.6</v>
      </c>
      <c r="H71" s="71">
        <v>21.0</v>
      </c>
      <c r="I71" s="71">
        <v>3.0</v>
      </c>
      <c r="J71" s="71">
        <v>24.0</v>
      </c>
      <c r="K71" s="70">
        <v>2.0</v>
      </c>
      <c r="L71" s="72" t="s">
        <v>345</v>
      </c>
      <c r="M71" s="73"/>
      <c r="N71" s="74"/>
      <c r="O71" s="74"/>
      <c r="P71" s="74"/>
      <c r="Q71" s="74"/>
    </row>
    <row r="72">
      <c r="A72" s="75" t="s">
        <v>320</v>
      </c>
      <c r="B72" s="76">
        <v>36.0</v>
      </c>
      <c r="C72" s="77" t="str">
        <f>C71</f>
        <v>Horstmann et al., 2022</v>
      </c>
      <c r="D72" s="76" t="s">
        <v>337</v>
      </c>
      <c r="E72" s="76">
        <v>51.0</v>
      </c>
      <c r="F72" s="78">
        <v>28.400000000000002</v>
      </c>
      <c r="G72" s="78">
        <v>8.017704290478182</v>
      </c>
      <c r="H72" s="76">
        <v>33.0</v>
      </c>
      <c r="I72" s="76">
        <v>18.0</v>
      </c>
      <c r="J72" s="78">
        <v>24.0</v>
      </c>
      <c r="K72" s="78">
        <v>2.0</v>
      </c>
      <c r="L72" s="79" t="s">
        <v>345</v>
      </c>
      <c r="M72" s="73"/>
      <c r="N72" s="74"/>
      <c r="O72" s="74"/>
      <c r="P72" s="74"/>
      <c r="Q72" s="74"/>
    </row>
    <row r="73">
      <c r="A73" s="59"/>
      <c r="B73" s="15">
        <v>37.0</v>
      </c>
      <c r="C73" s="19" t="s">
        <v>75</v>
      </c>
      <c r="D73" s="15" t="s">
        <v>42</v>
      </c>
      <c r="E73" s="15">
        <v>40.0</v>
      </c>
      <c r="F73" s="70">
        <v>22.3</v>
      </c>
      <c r="G73" s="70">
        <v>3.942</v>
      </c>
      <c r="H73" s="71">
        <v>40.0</v>
      </c>
      <c r="I73" s="71">
        <v>0.0</v>
      </c>
      <c r="J73" s="71">
        <v>81.0</v>
      </c>
      <c r="K73" s="70">
        <v>6.8</v>
      </c>
      <c r="L73" s="72" t="s">
        <v>346</v>
      </c>
      <c r="M73" s="73"/>
      <c r="N73" s="74"/>
      <c r="O73" s="74"/>
      <c r="P73" s="74"/>
      <c r="Q73" s="74"/>
    </row>
    <row r="74">
      <c r="A74" s="59"/>
      <c r="B74" s="15">
        <v>37.0</v>
      </c>
      <c r="C74" s="19" t="s">
        <v>75</v>
      </c>
      <c r="D74" s="15" t="s">
        <v>84</v>
      </c>
      <c r="E74" s="15">
        <v>46.0</v>
      </c>
      <c r="F74" s="70">
        <v>22.3</v>
      </c>
      <c r="G74" s="70">
        <v>3.844</v>
      </c>
      <c r="H74" s="71">
        <v>46.0</v>
      </c>
      <c r="I74" s="71">
        <v>0.0</v>
      </c>
      <c r="J74" s="71">
        <v>81.0</v>
      </c>
      <c r="K74" s="70">
        <v>6.8</v>
      </c>
      <c r="L74" s="72" t="s">
        <v>346</v>
      </c>
      <c r="M74" s="73"/>
      <c r="N74" s="74"/>
      <c r="O74" s="74"/>
      <c r="P74" s="74"/>
      <c r="Q74" s="74"/>
    </row>
    <row r="75">
      <c r="A75" s="75" t="s">
        <v>320</v>
      </c>
      <c r="B75" s="76">
        <v>37.0</v>
      </c>
      <c r="C75" s="77" t="str">
        <f>C74</f>
        <v>Ibrahim et al., 2005</v>
      </c>
      <c r="D75" s="76" t="s">
        <v>321</v>
      </c>
      <c r="E75" s="76">
        <v>86.0</v>
      </c>
      <c r="F75" s="78">
        <v>22.3</v>
      </c>
      <c r="G75" s="78">
        <v>8.000546660520637</v>
      </c>
      <c r="H75" s="76">
        <v>86.0</v>
      </c>
      <c r="I75" s="76">
        <v>0.0</v>
      </c>
      <c r="J75" s="78">
        <v>81.0</v>
      </c>
      <c r="K75" s="78">
        <v>6.8</v>
      </c>
      <c r="L75" s="79" t="s">
        <v>346</v>
      </c>
      <c r="M75" s="73"/>
      <c r="N75" s="74"/>
      <c r="O75" s="74"/>
      <c r="P75" s="74"/>
      <c r="Q75" s="74"/>
    </row>
    <row r="76">
      <c r="A76" s="59"/>
      <c r="B76" s="15">
        <v>38.0</v>
      </c>
      <c r="C76" s="19" t="s">
        <v>77</v>
      </c>
      <c r="D76" s="15" t="s">
        <v>42</v>
      </c>
      <c r="E76" s="9">
        <v>10.0</v>
      </c>
      <c r="F76" s="70">
        <v>24.8</v>
      </c>
      <c r="G76" s="70">
        <v>5.0</v>
      </c>
      <c r="H76" s="71">
        <v>10.0</v>
      </c>
      <c r="I76" s="71">
        <v>0.0</v>
      </c>
      <c r="J76" s="71">
        <v>9.0</v>
      </c>
      <c r="K76" s="70">
        <v>0.8</v>
      </c>
      <c r="L76" s="72" t="s">
        <v>341</v>
      </c>
      <c r="M76" s="73"/>
      <c r="N76" s="74"/>
      <c r="O76" s="74"/>
      <c r="P76" s="74"/>
      <c r="Q76" s="74"/>
    </row>
    <row r="77">
      <c r="A77" s="59"/>
      <c r="B77" s="15">
        <v>38.0</v>
      </c>
      <c r="C77" s="19" t="s">
        <v>77</v>
      </c>
      <c r="D77" s="15" t="s">
        <v>84</v>
      </c>
      <c r="E77" s="9">
        <v>10.0</v>
      </c>
      <c r="F77" s="70">
        <v>26.7</v>
      </c>
      <c r="G77" s="70">
        <v>7.2</v>
      </c>
      <c r="H77" s="71">
        <v>10.0</v>
      </c>
      <c r="I77" s="71">
        <v>0.0</v>
      </c>
      <c r="J77" s="71">
        <v>9.0</v>
      </c>
      <c r="K77" s="70">
        <v>0.8</v>
      </c>
      <c r="L77" s="72" t="s">
        <v>341</v>
      </c>
      <c r="M77" s="73"/>
      <c r="N77" s="74"/>
      <c r="O77" s="74"/>
      <c r="P77" s="74"/>
      <c r="Q77" s="74"/>
    </row>
    <row r="78">
      <c r="A78" s="75" t="s">
        <v>320</v>
      </c>
      <c r="B78" s="76">
        <v>38.0</v>
      </c>
      <c r="C78" s="77" t="str">
        <f>C77</f>
        <v>Iliopoulos et al., 2017</v>
      </c>
      <c r="D78" s="76" t="s">
        <v>321</v>
      </c>
      <c r="E78" s="76">
        <v>20.0</v>
      </c>
      <c r="F78" s="78">
        <v>25.75</v>
      </c>
      <c r="G78" s="78">
        <v>9.609128013325174</v>
      </c>
      <c r="H78" s="76">
        <v>20.0</v>
      </c>
      <c r="I78" s="76">
        <v>0.0</v>
      </c>
      <c r="J78" s="78">
        <v>9.0</v>
      </c>
      <c r="K78" s="78">
        <v>0.8</v>
      </c>
      <c r="L78" s="79" t="s">
        <v>341</v>
      </c>
      <c r="M78" s="73"/>
      <c r="N78" s="74"/>
      <c r="O78" s="74"/>
      <c r="P78" s="74"/>
      <c r="Q78" s="74"/>
    </row>
    <row r="79">
      <c r="A79" s="59"/>
      <c r="B79" s="15">
        <v>41.0</v>
      </c>
      <c r="C79" s="19" t="s">
        <v>79</v>
      </c>
      <c r="D79" s="15" t="s">
        <v>42</v>
      </c>
      <c r="E79" s="15">
        <v>43.0</v>
      </c>
      <c r="F79" s="70"/>
      <c r="G79" s="70"/>
      <c r="H79" s="71"/>
      <c r="I79" s="71" t="s">
        <v>101</v>
      </c>
      <c r="J79" s="71">
        <v>24.0</v>
      </c>
      <c r="K79" s="70">
        <v>2.0</v>
      </c>
      <c r="L79" s="72" t="s">
        <v>347</v>
      </c>
      <c r="M79" s="73"/>
      <c r="N79" s="74"/>
      <c r="O79" s="74"/>
      <c r="P79" s="74"/>
      <c r="Q79" s="74"/>
    </row>
    <row r="80">
      <c r="A80" s="59"/>
      <c r="B80" s="15">
        <v>41.0</v>
      </c>
      <c r="C80" s="19" t="s">
        <v>79</v>
      </c>
      <c r="D80" s="15" t="s">
        <v>84</v>
      </c>
      <c r="E80" s="15">
        <v>46.0</v>
      </c>
      <c r="F80" s="70"/>
      <c r="G80" s="70" t="s">
        <v>101</v>
      </c>
      <c r="H80" s="71"/>
      <c r="I80" s="71" t="s">
        <v>101</v>
      </c>
      <c r="J80" s="71">
        <v>24.0</v>
      </c>
      <c r="K80" s="70">
        <v>2.0</v>
      </c>
      <c r="L80" s="72" t="s">
        <v>347</v>
      </c>
      <c r="M80" s="73"/>
      <c r="N80" s="74"/>
      <c r="O80" s="74"/>
      <c r="P80" s="74"/>
      <c r="Q80" s="74"/>
    </row>
    <row r="81">
      <c r="A81" s="75" t="s">
        <v>320</v>
      </c>
      <c r="B81" s="76">
        <v>41.0</v>
      </c>
      <c r="C81" s="77" t="str">
        <f>C80</f>
        <v>Jansson et al., 2003</v>
      </c>
      <c r="D81" s="76" t="s">
        <v>321</v>
      </c>
      <c r="E81" s="76">
        <v>89.0</v>
      </c>
      <c r="F81" s="78"/>
      <c r="G81" s="78">
        <v>3.866858150093067</v>
      </c>
      <c r="H81" s="76">
        <v>0.0</v>
      </c>
      <c r="I81" s="76">
        <v>0.0</v>
      </c>
      <c r="J81" s="78">
        <v>24.0</v>
      </c>
      <c r="K81" s="78">
        <v>2.0</v>
      </c>
      <c r="L81" s="79" t="s">
        <v>347</v>
      </c>
      <c r="M81" s="73"/>
      <c r="N81" s="74"/>
      <c r="O81" s="74"/>
      <c r="P81" s="74"/>
      <c r="Q81" s="74"/>
    </row>
    <row r="82">
      <c r="A82" s="59"/>
      <c r="B82" s="15">
        <v>43.0</v>
      </c>
      <c r="C82" s="19" t="s">
        <v>82</v>
      </c>
      <c r="D82" s="15" t="s">
        <v>42</v>
      </c>
      <c r="E82" s="15">
        <v>74.0</v>
      </c>
      <c r="F82" s="70">
        <v>26.0</v>
      </c>
      <c r="G82" s="70">
        <v>6.275</v>
      </c>
      <c r="H82" s="71">
        <v>0.0</v>
      </c>
      <c r="I82" s="71">
        <v>74.0</v>
      </c>
      <c r="J82" s="71">
        <v>24.0</v>
      </c>
      <c r="K82" s="70">
        <v>2.0</v>
      </c>
      <c r="L82" s="72" t="s">
        <v>348</v>
      </c>
      <c r="M82" s="73"/>
      <c r="N82" s="74"/>
      <c r="O82" s="74"/>
      <c r="P82" s="74"/>
      <c r="Q82" s="74"/>
    </row>
    <row r="83">
      <c r="A83" s="59"/>
      <c r="B83" s="15">
        <v>43.0</v>
      </c>
      <c r="C83" s="19" t="s">
        <v>82</v>
      </c>
      <c r="D83" s="15" t="s">
        <v>84</v>
      </c>
      <c r="E83" s="15">
        <v>73.0</v>
      </c>
      <c r="F83" s="70">
        <v>26.0</v>
      </c>
      <c r="G83" s="70">
        <v>6.288</v>
      </c>
      <c r="H83" s="71">
        <v>0.0</v>
      </c>
      <c r="I83" s="71">
        <v>73.0</v>
      </c>
      <c r="J83" s="71">
        <v>24.0</v>
      </c>
      <c r="K83" s="70">
        <v>2.0</v>
      </c>
      <c r="L83" s="72" t="s">
        <v>348</v>
      </c>
      <c r="M83" s="73"/>
      <c r="N83" s="74"/>
      <c r="O83" s="74"/>
      <c r="P83" s="74"/>
      <c r="Q83" s="74"/>
    </row>
    <row r="84">
      <c r="A84" s="75" t="s">
        <v>320</v>
      </c>
      <c r="B84" s="76">
        <v>43.0</v>
      </c>
      <c r="C84" s="77" t="str">
        <f>C83</f>
        <v>Kautzner et al., 2015</v>
      </c>
      <c r="D84" s="76" t="s">
        <v>321</v>
      </c>
      <c r="E84" s="76">
        <v>147.0</v>
      </c>
      <c r="F84" s="78">
        <v>26.0</v>
      </c>
      <c r="G84" s="78">
        <v>6.111292394971962</v>
      </c>
      <c r="H84" s="76">
        <v>0.0</v>
      </c>
      <c r="I84" s="76">
        <v>147.0</v>
      </c>
      <c r="J84" s="78">
        <v>24.0</v>
      </c>
      <c r="K84" s="78">
        <v>2.0</v>
      </c>
      <c r="L84" s="79" t="s">
        <v>348</v>
      </c>
      <c r="M84" s="73"/>
      <c r="N84" s="74"/>
      <c r="O84" s="74"/>
      <c r="P84" s="74"/>
      <c r="Q84" s="74"/>
    </row>
    <row r="85">
      <c r="A85" s="59"/>
      <c r="B85" s="15">
        <v>44.0</v>
      </c>
      <c r="C85" s="19" t="s">
        <v>85</v>
      </c>
      <c r="D85" s="15" t="s">
        <v>42</v>
      </c>
      <c r="E85" s="15">
        <v>36.0</v>
      </c>
      <c r="F85" s="70">
        <v>31.0</v>
      </c>
      <c r="G85" s="70">
        <v>9.459</v>
      </c>
      <c r="H85" s="15">
        <v>23.0</v>
      </c>
      <c r="I85" s="71">
        <v>17.0</v>
      </c>
      <c r="J85" s="71">
        <v>28.0</v>
      </c>
      <c r="K85" s="70">
        <v>2.3</v>
      </c>
      <c r="L85" s="72" t="s">
        <v>349</v>
      </c>
      <c r="M85" s="73"/>
      <c r="N85" s="74"/>
      <c r="O85" s="74"/>
      <c r="P85" s="74"/>
      <c r="Q85" s="74"/>
    </row>
    <row r="86">
      <c r="A86" s="59"/>
      <c r="B86" s="15">
        <v>44.0</v>
      </c>
      <c r="C86" s="19" t="s">
        <v>85</v>
      </c>
      <c r="D86" s="15" t="s">
        <v>200</v>
      </c>
      <c r="E86" s="15">
        <v>36.0</v>
      </c>
      <c r="F86" s="70">
        <v>29.8</v>
      </c>
      <c r="G86" s="70">
        <v>9.459</v>
      </c>
      <c r="H86" s="15">
        <v>21.0</v>
      </c>
      <c r="I86" s="71">
        <v>19.0</v>
      </c>
      <c r="J86" s="71">
        <v>28.0</v>
      </c>
      <c r="K86" s="70">
        <v>2.3</v>
      </c>
      <c r="L86" s="72" t="s">
        <v>349</v>
      </c>
      <c r="M86" s="73"/>
      <c r="N86" s="74"/>
      <c r="O86" s="74"/>
      <c r="P86" s="74"/>
      <c r="Q86" s="74"/>
    </row>
    <row r="87">
      <c r="A87" s="75" t="s">
        <v>320</v>
      </c>
      <c r="B87" s="76">
        <v>44.0</v>
      </c>
      <c r="C87" s="77" t="str">
        <f>C86</f>
        <v>Komzak et al., 2022</v>
      </c>
      <c r="D87" s="76" t="s">
        <v>328</v>
      </c>
      <c r="E87" s="76">
        <v>72.0</v>
      </c>
      <c r="F87" s="78">
        <v>30.4</v>
      </c>
      <c r="G87" s="78">
        <v>0.0</v>
      </c>
      <c r="H87" s="76">
        <v>44.0</v>
      </c>
      <c r="I87" s="76">
        <v>36.0</v>
      </c>
      <c r="J87" s="78">
        <v>28.0</v>
      </c>
      <c r="K87" s="78">
        <v>2.3</v>
      </c>
      <c r="L87" s="79" t="s">
        <v>349</v>
      </c>
      <c r="M87" s="73"/>
      <c r="N87" s="74"/>
      <c r="O87" s="74"/>
      <c r="P87" s="74"/>
      <c r="Q87" s="74"/>
    </row>
    <row r="88">
      <c r="A88" s="59"/>
      <c r="B88" s="15">
        <v>45.0</v>
      </c>
      <c r="C88" s="19" t="s">
        <v>88</v>
      </c>
      <c r="D88" s="15" t="s">
        <v>42</v>
      </c>
      <c r="E88" s="15">
        <v>31.0</v>
      </c>
      <c r="F88" s="70">
        <v>29.8</v>
      </c>
      <c r="G88" s="70">
        <v>6.33</v>
      </c>
      <c r="H88" s="71">
        <v>22.0</v>
      </c>
      <c r="I88" s="71">
        <v>9.0</v>
      </c>
      <c r="J88" s="71">
        <v>120.0</v>
      </c>
      <c r="K88" s="70">
        <v>10.0</v>
      </c>
      <c r="L88" s="72" t="s">
        <v>350</v>
      </c>
      <c r="M88" s="73"/>
      <c r="N88" s="74"/>
      <c r="O88" s="74"/>
      <c r="P88" s="74"/>
      <c r="Q88" s="74"/>
    </row>
    <row r="89">
      <c r="A89" s="59"/>
      <c r="B89" s="15">
        <v>45.0</v>
      </c>
      <c r="C89" s="19" t="s">
        <v>88</v>
      </c>
      <c r="D89" s="15" t="s">
        <v>84</v>
      </c>
      <c r="E89" s="15">
        <v>31.0</v>
      </c>
      <c r="F89" s="70">
        <v>29.8</v>
      </c>
      <c r="G89" s="70">
        <v>6.33</v>
      </c>
      <c r="H89" s="71">
        <v>23.0</v>
      </c>
      <c r="I89" s="71">
        <v>8.0</v>
      </c>
      <c r="J89" s="71">
        <v>120.0</v>
      </c>
      <c r="K89" s="70">
        <v>10.0</v>
      </c>
      <c r="L89" s="72" t="s">
        <v>350</v>
      </c>
      <c r="M89" s="73"/>
      <c r="N89" s="74"/>
      <c r="O89" s="74"/>
      <c r="P89" s="74"/>
      <c r="Q89" s="74"/>
    </row>
    <row r="90">
      <c r="A90" s="75" t="s">
        <v>320</v>
      </c>
      <c r="B90" s="76">
        <v>45.0</v>
      </c>
      <c r="C90" s="77" t="str">
        <f>C89</f>
        <v>Konrads et al., 2016</v>
      </c>
      <c r="D90" s="76" t="s">
        <v>321</v>
      </c>
      <c r="E90" s="76">
        <v>62.0</v>
      </c>
      <c r="F90" s="78">
        <v>29.8</v>
      </c>
      <c r="G90" s="78">
        <v>6.259909728987192</v>
      </c>
      <c r="H90" s="76">
        <v>45.0</v>
      </c>
      <c r="I90" s="76">
        <v>17.0</v>
      </c>
      <c r="J90" s="78">
        <v>120.0</v>
      </c>
      <c r="K90" s="78">
        <v>10.0</v>
      </c>
      <c r="L90" s="79" t="s">
        <v>350</v>
      </c>
      <c r="M90" s="73"/>
      <c r="N90" s="74"/>
      <c r="O90" s="74"/>
      <c r="P90" s="74"/>
      <c r="Q90" s="74"/>
    </row>
    <row r="91">
      <c r="A91" s="59"/>
      <c r="B91" s="15">
        <v>46.0</v>
      </c>
      <c r="C91" s="19" t="s">
        <v>90</v>
      </c>
      <c r="D91" s="15" t="s">
        <v>42</v>
      </c>
      <c r="E91" s="15">
        <v>15.0</v>
      </c>
      <c r="F91" s="70">
        <v>29.93</v>
      </c>
      <c r="G91" s="70">
        <v>8.911</v>
      </c>
      <c r="H91" s="15"/>
      <c r="I91" s="71"/>
      <c r="J91" s="71">
        <v>19.0</v>
      </c>
      <c r="K91" s="70">
        <v>1.6</v>
      </c>
      <c r="L91" s="72" t="s">
        <v>351</v>
      </c>
      <c r="M91" s="73"/>
      <c r="N91" s="74"/>
      <c r="O91" s="74"/>
      <c r="P91" s="74"/>
      <c r="Q91" s="74"/>
    </row>
    <row r="92">
      <c r="A92" s="59"/>
      <c r="B92" s="15">
        <v>46.0</v>
      </c>
      <c r="C92" s="19" t="s">
        <v>90</v>
      </c>
      <c r="D92" s="15" t="s">
        <v>84</v>
      </c>
      <c r="E92" s="15">
        <v>13.0</v>
      </c>
      <c r="F92" s="70">
        <v>28.65</v>
      </c>
      <c r="G92" s="70">
        <v>9.265</v>
      </c>
      <c r="H92" s="15"/>
      <c r="I92" s="71"/>
      <c r="J92" s="71">
        <v>19.0</v>
      </c>
      <c r="K92" s="70">
        <v>1.6</v>
      </c>
      <c r="L92" s="72" t="s">
        <v>351</v>
      </c>
      <c r="M92" s="73"/>
      <c r="N92" s="74"/>
      <c r="O92" s="74"/>
      <c r="P92" s="74"/>
      <c r="Q92" s="74"/>
    </row>
    <row r="93">
      <c r="A93" s="75" t="s">
        <v>320</v>
      </c>
      <c r="B93" s="76">
        <v>46.0</v>
      </c>
      <c r="C93" s="77" t="str">
        <f>C92</f>
        <v>Laoruengthana et al., 2009</v>
      </c>
      <c r="D93" s="76" t="s">
        <v>321</v>
      </c>
      <c r="E93" s="76">
        <v>28.0</v>
      </c>
      <c r="F93" s="78">
        <v>29.29</v>
      </c>
      <c r="G93" s="78">
        <v>9.411565906739503</v>
      </c>
      <c r="H93" s="76">
        <v>0.0</v>
      </c>
      <c r="I93" s="76">
        <v>0.0</v>
      </c>
      <c r="J93" s="78">
        <v>19.0</v>
      </c>
      <c r="K93" s="78">
        <v>1.6</v>
      </c>
      <c r="L93" s="79" t="s">
        <v>351</v>
      </c>
      <c r="M93" s="73"/>
      <c r="N93" s="74"/>
      <c r="O93" s="74"/>
      <c r="P93" s="74"/>
      <c r="Q93" s="74"/>
    </row>
    <row r="94">
      <c r="A94" s="59"/>
      <c r="B94" s="15">
        <v>47.0</v>
      </c>
      <c r="C94" s="19" t="s">
        <v>91</v>
      </c>
      <c r="D94" s="15" t="s">
        <v>84</v>
      </c>
      <c r="E94" s="9">
        <v>44.0</v>
      </c>
      <c r="F94" s="70">
        <v>32.0</v>
      </c>
      <c r="G94" s="70">
        <v>8.433</v>
      </c>
      <c r="H94" s="71">
        <v>32.0</v>
      </c>
      <c r="I94" s="71">
        <v>22.0</v>
      </c>
      <c r="J94" s="71">
        <v>24.0</v>
      </c>
      <c r="K94" s="70">
        <v>2.0</v>
      </c>
      <c r="L94" s="72" t="s">
        <v>324</v>
      </c>
      <c r="M94" s="73"/>
      <c r="N94" s="74"/>
      <c r="O94" s="74"/>
      <c r="P94" s="74"/>
      <c r="Q94" s="74"/>
    </row>
    <row r="95">
      <c r="A95" s="59"/>
      <c r="B95" s="15">
        <v>47.0</v>
      </c>
      <c r="C95" s="19" t="s">
        <v>91</v>
      </c>
      <c r="D95" s="15" t="s">
        <v>205</v>
      </c>
      <c r="E95" s="9">
        <v>48.0</v>
      </c>
      <c r="F95" s="70">
        <v>33.0</v>
      </c>
      <c r="G95" s="70">
        <v>8.305</v>
      </c>
      <c r="H95" s="71">
        <v>38.0</v>
      </c>
      <c r="I95" s="71">
        <v>10.0</v>
      </c>
      <c r="J95" s="71">
        <v>24.0</v>
      </c>
      <c r="K95" s="70">
        <v>2.0</v>
      </c>
      <c r="L95" s="72" t="s">
        <v>324</v>
      </c>
      <c r="M95" s="73"/>
      <c r="N95" s="74"/>
      <c r="O95" s="74"/>
      <c r="P95" s="74"/>
      <c r="Q95" s="74"/>
    </row>
    <row r="96">
      <c r="A96" s="75" t="s">
        <v>320</v>
      </c>
      <c r="B96" s="76">
        <v>47.0</v>
      </c>
      <c r="C96" s="77" t="str">
        <f>C95</f>
        <v>Lawhorn et al., 2012</v>
      </c>
      <c r="D96" s="76" t="s">
        <v>334</v>
      </c>
      <c r="E96" s="76">
        <v>92.0</v>
      </c>
      <c r="F96" s="78">
        <v>32.5</v>
      </c>
      <c r="G96" s="78">
        <v>6.277900348594684</v>
      </c>
      <c r="H96" s="76">
        <v>70.0</v>
      </c>
      <c r="I96" s="76">
        <v>32.0</v>
      </c>
      <c r="J96" s="78">
        <v>24.0</v>
      </c>
      <c r="K96" s="78">
        <v>2.0</v>
      </c>
      <c r="L96" s="79" t="s">
        <v>324</v>
      </c>
      <c r="M96" s="73"/>
      <c r="N96" s="74"/>
      <c r="O96" s="74"/>
      <c r="P96" s="74"/>
      <c r="Q96" s="74"/>
    </row>
    <row r="97">
      <c r="A97" s="59"/>
      <c r="B97" s="15">
        <v>49.0</v>
      </c>
      <c r="C97" s="19" t="s">
        <v>93</v>
      </c>
      <c r="D97" s="15" t="s">
        <v>42</v>
      </c>
      <c r="E97" s="15">
        <v>40.0</v>
      </c>
      <c r="F97" s="70">
        <v>28.0</v>
      </c>
      <c r="G97" s="70">
        <v>8.347</v>
      </c>
      <c r="H97" s="15"/>
      <c r="I97" s="71"/>
      <c r="J97" s="71">
        <v>26.0</v>
      </c>
      <c r="K97" s="70">
        <v>2.2</v>
      </c>
      <c r="L97" s="72" t="s">
        <v>352</v>
      </c>
      <c r="M97" s="73"/>
      <c r="N97" s="74"/>
      <c r="O97" s="74"/>
      <c r="P97" s="74"/>
      <c r="Q97" s="74"/>
    </row>
    <row r="98">
      <c r="A98" s="59"/>
      <c r="B98" s="15">
        <v>49.0</v>
      </c>
      <c r="C98" s="19" t="s">
        <v>93</v>
      </c>
      <c r="D98" s="15" t="s">
        <v>84</v>
      </c>
      <c r="E98" s="15">
        <v>78.0</v>
      </c>
      <c r="F98" s="70">
        <v>25.0</v>
      </c>
      <c r="G98" s="70">
        <v>5.6</v>
      </c>
      <c r="H98" s="15"/>
      <c r="I98" s="71"/>
      <c r="J98" s="71">
        <v>26.0</v>
      </c>
      <c r="K98" s="70">
        <v>2.2</v>
      </c>
      <c r="L98" s="72" t="s">
        <v>352</v>
      </c>
      <c r="M98" s="73"/>
      <c r="N98" s="74"/>
      <c r="O98" s="74"/>
      <c r="P98" s="74"/>
      <c r="Q98" s="74"/>
    </row>
    <row r="99">
      <c r="A99" s="75" t="s">
        <v>320</v>
      </c>
      <c r="B99" s="76">
        <v>49.0</v>
      </c>
      <c r="C99" s="77" t="str">
        <f>C98</f>
        <v>Laxdal et al., 2005</v>
      </c>
      <c r="D99" s="76" t="s">
        <v>321</v>
      </c>
      <c r="E99" s="76">
        <v>118.0</v>
      </c>
      <c r="F99" s="78">
        <v>26.5</v>
      </c>
      <c r="G99" s="78">
        <v>8.930131846968038</v>
      </c>
      <c r="H99" s="76">
        <v>0.0</v>
      </c>
      <c r="I99" s="76">
        <v>0.0</v>
      </c>
      <c r="J99" s="78">
        <v>26.0</v>
      </c>
      <c r="K99" s="78">
        <v>2.2</v>
      </c>
      <c r="L99" s="79" t="s">
        <v>352</v>
      </c>
      <c r="M99" s="73"/>
      <c r="N99" s="74"/>
      <c r="O99" s="74"/>
      <c r="P99" s="74"/>
      <c r="Q99" s="74"/>
    </row>
    <row r="100">
      <c r="A100" s="59"/>
      <c r="B100" s="15">
        <v>51.0</v>
      </c>
      <c r="C100" s="19" t="s">
        <v>96</v>
      </c>
      <c r="D100" s="15" t="s">
        <v>84</v>
      </c>
      <c r="E100" s="15">
        <v>32.0</v>
      </c>
      <c r="F100" s="70">
        <v>29.8</v>
      </c>
      <c r="G100" s="70">
        <v>7.9</v>
      </c>
      <c r="H100" s="71">
        <v>17.0</v>
      </c>
      <c r="I100" s="71">
        <v>15.0</v>
      </c>
      <c r="J100" s="71">
        <v>69.6</v>
      </c>
      <c r="K100" s="70">
        <v>5.8</v>
      </c>
      <c r="L100" s="72" t="s">
        <v>350</v>
      </c>
      <c r="M100" s="73"/>
      <c r="N100" s="74"/>
      <c r="O100" s="74"/>
      <c r="P100" s="74"/>
      <c r="Q100" s="74"/>
    </row>
    <row r="101">
      <c r="A101" s="59"/>
      <c r="B101" s="15">
        <v>51.0</v>
      </c>
      <c r="C101" s="19" t="s">
        <v>96</v>
      </c>
      <c r="D101" s="15" t="s">
        <v>205</v>
      </c>
      <c r="E101" s="15">
        <v>32.0</v>
      </c>
      <c r="F101" s="70">
        <v>30.5</v>
      </c>
      <c r="G101" s="70">
        <v>6.1</v>
      </c>
      <c r="H101" s="71">
        <v>15.0</v>
      </c>
      <c r="I101" s="71">
        <v>17.0</v>
      </c>
      <c r="J101" s="71">
        <v>73.2</v>
      </c>
      <c r="K101" s="70">
        <v>6.1</v>
      </c>
      <c r="L101" s="72" t="s">
        <v>350</v>
      </c>
      <c r="M101" s="73"/>
      <c r="N101" s="74"/>
      <c r="O101" s="74"/>
      <c r="P101" s="74"/>
      <c r="Q101" s="74"/>
    </row>
    <row r="102">
      <c r="A102" s="75" t="s">
        <v>320</v>
      </c>
      <c r="B102" s="76">
        <v>51.0</v>
      </c>
      <c r="C102" s="77" t="str">
        <f>C101</f>
        <v>Li et al., 2015</v>
      </c>
      <c r="D102" s="76" t="s">
        <v>334</v>
      </c>
      <c r="E102" s="76">
        <v>64.0</v>
      </c>
      <c r="F102" s="78">
        <v>30.15</v>
      </c>
      <c r="G102" s="78">
        <v>8.335449732251496</v>
      </c>
      <c r="H102" s="76">
        <v>32.0</v>
      </c>
      <c r="I102" s="76">
        <v>32.0</v>
      </c>
      <c r="J102" s="78">
        <v>71.4</v>
      </c>
      <c r="K102" s="78">
        <v>5.949999999999999</v>
      </c>
      <c r="L102" s="79" t="s">
        <v>350</v>
      </c>
      <c r="M102" s="73"/>
      <c r="N102" s="74"/>
      <c r="O102" s="74"/>
      <c r="P102" s="74"/>
      <c r="Q102" s="74"/>
    </row>
    <row r="103">
      <c r="A103" s="59"/>
      <c r="B103" s="15">
        <v>52.0</v>
      </c>
      <c r="C103" s="19" t="s">
        <v>98</v>
      </c>
      <c r="D103" s="15" t="s">
        <v>42</v>
      </c>
      <c r="E103" s="9">
        <v>34.0</v>
      </c>
      <c r="F103" s="70">
        <v>28.0</v>
      </c>
      <c r="G103" s="70">
        <v>8.368</v>
      </c>
      <c r="H103" s="71">
        <v>23.0</v>
      </c>
      <c r="I103" s="71">
        <v>11.0</v>
      </c>
      <c r="J103" s="70">
        <v>87.1061817315874</v>
      </c>
      <c r="K103" s="70">
        <v>7.3</v>
      </c>
      <c r="L103" s="72" t="s">
        <v>353</v>
      </c>
      <c r="M103" s="73"/>
      <c r="N103" s="74"/>
      <c r="O103" s="74"/>
      <c r="P103" s="74"/>
      <c r="Q103" s="74"/>
    </row>
    <row r="104">
      <c r="A104" s="59"/>
      <c r="B104" s="15">
        <v>52.0</v>
      </c>
      <c r="C104" s="19" t="s">
        <v>98</v>
      </c>
      <c r="D104" s="15" t="s">
        <v>84</v>
      </c>
      <c r="E104" s="9">
        <v>37.0</v>
      </c>
      <c r="F104" s="70">
        <v>29.0</v>
      </c>
      <c r="G104" s="70">
        <v>10.351</v>
      </c>
      <c r="H104" s="71">
        <v>26.0</v>
      </c>
      <c r="I104" s="71">
        <v>11.0</v>
      </c>
      <c r="J104" s="70">
        <v>87.05251670815825</v>
      </c>
      <c r="K104" s="70">
        <v>7.3</v>
      </c>
      <c r="L104" s="72" t="s">
        <v>353</v>
      </c>
      <c r="M104" s="73"/>
      <c r="N104" s="74"/>
      <c r="O104" s="74"/>
      <c r="P104" s="74"/>
      <c r="Q104" s="74"/>
    </row>
    <row r="105">
      <c r="A105" s="75" t="s">
        <v>320</v>
      </c>
      <c r="B105" s="76">
        <v>52.0</v>
      </c>
      <c r="C105" s="77" t="str">
        <f>C104</f>
        <v>Lidén et al., 2007</v>
      </c>
      <c r="D105" s="76" t="s">
        <v>321</v>
      </c>
      <c r="E105" s="76">
        <v>71.0</v>
      </c>
      <c r="F105" s="78">
        <v>28.5</v>
      </c>
      <c r="G105" s="78">
        <v>6.774707899020485</v>
      </c>
      <c r="H105" s="76">
        <v>49.0</v>
      </c>
      <c r="I105" s="76">
        <v>22.0</v>
      </c>
      <c r="J105" s="78">
        <v>87.07934921987282</v>
      </c>
      <c r="K105" s="78">
        <v>7.3</v>
      </c>
      <c r="L105" s="79" t="s">
        <v>353</v>
      </c>
      <c r="M105" s="73"/>
      <c r="N105" s="74"/>
      <c r="O105" s="74"/>
      <c r="P105" s="74"/>
      <c r="Q105" s="74"/>
    </row>
    <row r="106">
      <c r="A106" s="59"/>
      <c r="B106" s="15">
        <v>53.0</v>
      </c>
      <c r="C106" s="19" t="s">
        <v>102</v>
      </c>
      <c r="D106" s="15" t="s">
        <v>84</v>
      </c>
      <c r="E106" s="15">
        <v>49.0</v>
      </c>
      <c r="F106" s="70">
        <v>27.1</v>
      </c>
      <c r="G106" s="70">
        <v>6.1</v>
      </c>
      <c r="H106" s="71">
        <v>25.0</v>
      </c>
      <c r="I106" s="71">
        <v>24.0</v>
      </c>
      <c r="J106" s="71">
        <v>24.0</v>
      </c>
      <c r="K106" s="70">
        <v>2.0</v>
      </c>
      <c r="L106" s="72" t="s">
        <v>354</v>
      </c>
      <c r="M106" s="73"/>
      <c r="N106" s="74"/>
      <c r="O106" s="74"/>
      <c r="P106" s="74"/>
      <c r="Q106" s="74"/>
    </row>
    <row r="107">
      <c r="A107" s="59"/>
      <c r="B107" s="15">
        <v>53.0</v>
      </c>
      <c r="C107" s="19" t="s">
        <v>102</v>
      </c>
      <c r="D107" s="15" t="s">
        <v>200</v>
      </c>
      <c r="E107" s="15">
        <v>47.0</v>
      </c>
      <c r="F107" s="70">
        <v>27.2</v>
      </c>
      <c r="G107" s="70">
        <v>6.2</v>
      </c>
      <c r="H107" s="71">
        <v>29.0</v>
      </c>
      <c r="I107" s="71">
        <v>21.0</v>
      </c>
      <c r="J107" s="71">
        <v>24.0</v>
      </c>
      <c r="K107" s="70">
        <v>2.0</v>
      </c>
      <c r="L107" s="72" t="s">
        <v>354</v>
      </c>
      <c r="M107" s="73"/>
      <c r="N107" s="74"/>
      <c r="O107" s="74"/>
      <c r="P107" s="74"/>
      <c r="Q107" s="74"/>
    </row>
    <row r="108">
      <c r="A108" s="75" t="s">
        <v>320</v>
      </c>
      <c r="B108" s="76">
        <v>53.0</v>
      </c>
      <c r="C108" s="77" t="str">
        <f>C107</f>
        <v>Lind et al., 2020</v>
      </c>
      <c r="D108" s="76" t="s">
        <v>337</v>
      </c>
      <c r="E108" s="76">
        <v>96.0</v>
      </c>
      <c r="F108" s="78">
        <v>27.15</v>
      </c>
      <c r="G108" s="78">
        <v>7.010264583010367</v>
      </c>
      <c r="H108" s="76">
        <v>54.0</v>
      </c>
      <c r="I108" s="76">
        <v>45.0</v>
      </c>
      <c r="J108" s="78">
        <v>24.0</v>
      </c>
      <c r="K108" s="78">
        <v>2.0</v>
      </c>
      <c r="L108" s="79" t="s">
        <v>354</v>
      </c>
      <c r="M108" s="73"/>
      <c r="N108" s="74"/>
      <c r="O108" s="74"/>
      <c r="P108" s="74"/>
      <c r="Q108" s="74"/>
    </row>
    <row r="109">
      <c r="A109" s="59"/>
      <c r="B109" s="15">
        <v>54.0</v>
      </c>
      <c r="C109" s="19" t="s">
        <v>104</v>
      </c>
      <c r="D109" s="15" t="s">
        <v>42</v>
      </c>
      <c r="E109" s="15">
        <v>19.0</v>
      </c>
      <c r="F109" s="70">
        <v>52.8</v>
      </c>
      <c r="G109" s="70">
        <v>7.3</v>
      </c>
      <c r="H109" s="71"/>
      <c r="I109" s="71"/>
      <c r="J109" s="71">
        <v>240.0</v>
      </c>
      <c r="K109" s="70">
        <v>20.0</v>
      </c>
      <c r="L109" s="72" t="s">
        <v>355</v>
      </c>
      <c r="M109" s="73"/>
      <c r="N109" s="74"/>
      <c r="O109" s="74"/>
      <c r="P109" s="74"/>
      <c r="Q109" s="74"/>
    </row>
    <row r="110">
      <c r="A110" s="59"/>
      <c r="B110" s="15">
        <v>54.0</v>
      </c>
      <c r="C110" s="19" t="s">
        <v>104</v>
      </c>
      <c r="D110" s="15" t="s">
        <v>84</v>
      </c>
      <c r="E110" s="15">
        <v>20.0</v>
      </c>
      <c r="F110" s="70">
        <v>54.5</v>
      </c>
      <c r="G110" s="70">
        <v>7.5</v>
      </c>
      <c r="H110" s="15"/>
      <c r="I110" s="71"/>
      <c r="J110" s="71">
        <v>240.0</v>
      </c>
      <c r="K110" s="70">
        <v>20.0</v>
      </c>
      <c r="L110" s="72" t="s">
        <v>355</v>
      </c>
      <c r="M110" s="73"/>
      <c r="N110" s="74"/>
      <c r="O110" s="74"/>
      <c r="P110" s="74"/>
      <c r="Q110" s="74"/>
    </row>
    <row r="111">
      <c r="A111" s="75" t="s">
        <v>320</v>
      </c>
      <c r="B111" s="76">
        <v>54.0</v>
      </c>
      <c r="C111" s="77" t="str">
        <f>C110</f>
        <v>Lucidi et al., 2025</v>
      </c>
      <c r="D111" s="76" t="s">
        <v>321</v>
      </c>
      <c r="E111" s="76">
        <v>39.0</v>
      </c>
      <c r="F111" s="78">
        <v>53.65</v>
      </c>
      <c r="G111" s="78">
        <v>9.400339308358696</v>
      </c>
      <c r="H111" s="76">
        <v>0.0</v>
      </c>
      <c r="I111" s="76">
        <v>0.0</v>
      </c>
      <c r="J111" s="78">
        <v>240.0</v>
      </c>
      <c r="K111" s="78">
        <v>20.0</v>
      </c>
      <c r="L111" s="79" t="s">
        <v>355</v>
      </c>
      <c r="M111" s="73"/>
      <c r="N111" s="74"/>
      <c r="O111" s="74"/>
      <c r="P111" s="74"/>
      <c r="Q111" s="74"/>
    </row>
    <row r="112">
      <c r="A112" s="59"/>
      <c r="B112" s="15">
        <v>55.0</v>
      </c>
      <c r="C112" s="19" t="s">
        <v>106</v>
      </c>
      <c r="D112" s="15" t="s">
        <v>42</v>
      </c>
      <c r="E112" s="15">
        <v>14.0</v>
      </c>
      <c r="F112" s="70">
        <v>26.5</v>
      </c>
      <c r="G112" s="70">
        <v>5.0</v>
      </c>
      <c r="H112" s="71">
        <v>14.0</v>
      </c>
      <c r="I112" s="71">
        <v>0.0</v>
      </c>
      <c r="J112" s="71">
        <v>12.0</v>
      </c>
      <c r="K112" s="70">
        <v>1.0</v>
      </c>
      <c r="L112" s="72" t="s">
        <v>356</v>
      </c>
      <c r="M112" s="73"/>
      <c r="N112" s="74"/>
      <c r="O112" s="74"/>
      <c r="P112" s="74"/>
      <c r="Q112" s="74"/>
    </row>
    <row r="113">
      <c r="A113" s="59"/>
      <c r="B113" s="15">
        <v>55.0</v>
      </c>
      <c r="C113" s="80" t="s">
        <v>106</v>
      </c>
      <c r="D113" s="81" t="s">
        <v>238</v>
      </c>
      <c r="E113" s="81">
        <v>21.0</v>
      </c>
      <c r="F113" s="83">
        <v>23.2</v>
      </c>
      <c r="G113" s="83">
        <v>3.9</v>
      </c>
      <c r="H113" s="84">
        <v>21.0</v>
      </c>
      <c r="I113" s="84">
        <v>0.0</v>
      </c>
      <c r="J113" s="71">
        <v>12.0</v>
      </c>
      <c r="K113" s="70">
        <v>1.0</v>
      </c>
      <c r="L113" s="72" t="s">
        <v>356</v>
      </c>
      <c r="M113" s="73"/>
      <c r="N113" s="74"/>
      <c r="O113" s="74"/>
      <c r="P113" s="74"/>
      <c r="Q113" s="74"/>
    </row>
    <row r="114">
      <c r="A114" s="59"/>
      <c r="B114" s="15">
        <v>55.0</v>
      </c>
      <c r="C114" s="80" t="s">
        <v>106</v>
      </c>
      <c r="D114" s="81" t="s">
        <v>239</v>
      </c>
      <c r="E114" s="82">
        <v>17.0</v>
      </c>
      <c r="F114" s="83">
        <v>26.4</v>
      </c>
      <c r="G114" s="83">
        <v>4.9</v>
      </c>
      <c r="H114" s="84">
        <v>17.0</v>
      </c>
      <c r="I114" s="84">
        <v>0.0</v>
      </c>
      <c r="J114" s="71">
        <v>12.0</v>
      </c>
      <c r="K114" s="70">
        <v>1.0</v>
      </c>
      <c r="L114" s="72" t="s">
        <v>356</v>
      </c>
      <c r="M114" s="73"/>
      <c r="N114" s="74"/>
      <c r="O114" s="74"/>
      <c r="P114" s="74"/>
      <c r="Q114" s="74"/>
    </row>
    <row r="115">
      <c r="A115" s="59"/>
      <c r="B115" s="15">
        <v>55.0</v>
      </c>
      <c r="C115" s="19" t="s">
        <v>106</v>
      </c>
      <c r="D115" s="15" t="s">
        <v>84</v>
      </c>
      <c r="E115" s="15">
        <v>38.0</v>
      </c>
      <c r="F115" s="70">
        <v>24.63157894736842</v>
      </c>
      <c r="G115" s="70">
        <v>4.6048215191610415</v>
      </c>
      <c r="H115" s="71">
        <v>38.0</v>
      </c>
      <c r="I115" s="71">
        <v>0.0</v>
      </c>
      <c r="J115" s="71">
        <v>12.0</v>
      </c>
      <c r="K115" s="70">
        <v>1.0</v>
      </c>
      <c r="L115" s="72" t="s">
        <v>356</v>
      </c>
      <c r="M115" s="73"/>
      <c r="N115" s="74"/>
      <c r="O115" s="74"/>
      <c r="P115" s="74"/>
      <c r="Q115" s="74"/>
    </row>
    <row r="116">
      <c r="A116" s="75" t="s">
        <v>320</v>
      </c>
      <c r="B116" s="76">
        <v>55.0</v>
      </c>
      <c r="C116" s="77" t="str">
        <f>C115</f>
        <v>Lui et al., 2012</v>
      </c>
      <c r="D116" s="85" t="s">
        <v>321</v>
      </c>
      <c r="E116" s="76">
        <v>55.0</v>
      </c>
      <c r="F116" s="78">
        <v>25.515789473684208</v>
      </c>
      <c r="G116" s="78">
        <v>11.870317123301772</v>
      </c>
      <c r="H116" s="76">
        <v>55.0</v>
      </c>
      <c r="I116" s="76">
        <v>0.0</v>
      </c>
      <c r="J116" s="78">
        <v>12.0</v>
      </c>
      <c r="K116" s="78">
        <v>1.0</v>
      </c>
      <c r="L116" s="79" t="s">
        <v>356</v>
      </c>
      <c r="M116" s="73"/>
      <c r="N116" s="74"/>
      <c r="O116" s="74"/>
      <c r="P116" s="74"/>
      <c r="Q116" s="74"/>
    </row>
    <row r="117">
      <c r="A117" s="59"/>
      <c r="B117" s="15">
        <v>56.0</v>
      </c>
      <c r="C117" s="19" t="s">
        <v>110</v>
      </c>
      <c r="D117" s="15" t="s">
        <v>42</v>
      </c>
      <c r="E117" s="15">
        <v>18.0</v>
      </c>
      <c r="F117" s="70">
        <v>31.0</v>
      </c>
      <c r="G117" s="70">
        <v>8.0</v>
      </c>
      <c r="H117" s="71">
        <v>15.0</v>
      </c>
      <c r="I117" s="71">
        <v>3.0</v>
      </c>
      <c r="J117" s="71">
        <v>24.0</v>
      </c>
      <c r="K117" s="70">
        <v>2.0</v>
      </c>
      <c r="L117" s="72" t="s">
        <v>357</v>
      </c>
      <c r="M117" s="73"/>
      <c r="N117" s="74"/>
      <c r="O117" s="74"/>
      <c r="P117" s="74"/>
      <c r="Q117" s="74"/>
    </row>
    <row r="118">
      <c r="A118" s="59"/>
      <c r="B118" s="15">
        <v>56.0</v>
      </c>
      <c r="C118" s="19" t="s">
        <v>110</v>
      </c>
      <c r="D118" s="15" t="s">
        <v>200</v>
      </c>
      <c r="E118" s="15">
        <v>21.0</v>
      </c>
      <c r="F118" s="70">
        <v>30.0</v>
      </c>
      <c r="G118" s="70">
        <v>9.0</v>
      </c>
      <c r="H118" s="71">
        <v>17.0</v>
      </c>
      <c r="I118" s="71">
        <v>4.0</v>
      </c>
      <c r="J118" s="71">
        <v>24.0</v>
      </c>
      <c r="K118" s="70">
        <v>2.0</v>
      </c>
      <c r="L118" s="72" t="s">
        <v>357</v>
      </c>
      <c r="M118" s="73"/>
      <c r="N118" s="74"/>
      <c r="O118" s="74"/>
      <c r="P118" s="74"/>
      <c r="Q118" s="74"/>
    </row>
    <row r="119">
      <c r="A119" s="75" t="s">
        <v>320</v>
      </c>
      <c r="B119" s="76">
        <v>56.0</v>
      </c>
      <c r="C119" s="77" t="str">
        <f>C118</f>
        <v>Lund et al., 2014</v>
      </c>
      <c r="D119" s="76" t="s">
        <v>328</v>
      </c>
      <c r="E119" s="76">
        <v>39.0</v>
      </c>
      <c r="F119" s="78">
        <v>30.5</v>
      </c>
      <c r="G119" s="78">
        <v>14.726137773358197</v>
      </c>
      <c r="H119" s="76">
        <v>32.0</v>
      </c>
      <c r="I119" s="76">
        <v>7.0</v>
      </c>
      <c r="J119" s="78">
        <v>24.0</v>
      </c>
      <c r="K119" s="78">
        <v>2.0</v>
      </c>
      <c r="L119" s="79" t="s">
        <v>357</v>
      </c>
      <c r="M119" s="73"/>
      <c r="N119" s="74"/>
      <c r="O119" s="74"/>
      <c r="P119" s="74"/>
      <c r="Q119" s="74"/>
    </row>
    <row r="120">
      <c r="A120" s="59"/>
      <c r="B120" s="15">
        <v>58.0</v>
      </c>
      <c r="C120" s="19" t="s">
        <v>112</v>
      </c>
      <c r="D120" s="15" t="s">
        <v>84</v>
      </c>
      <c r="E120" s="15">
        <v>25.0</v>
      </c>
      <c r="F120" s="70">
        <v>28.12</v>
      </c>
      <c r="G120" s="70">
        <v>5.21</v>
      </c>
      <c r="H120" s="71">
        <v>18.0</v>
      </c>
      <c r="I120" s="71">
        <v>7.0</v>
      </c>
      <c r="J120" s="71">
        <v>6.0</v>
      </c>
      <c r="K120" s="70">
        <v>0.5</v>
      </c>
      <c r="L120" s="72" t="s">
        <v>358</v>
      </c>
      <c r="M120" s="73"/>
      <c r="N120" s="74"/>
      <c r="O120" s="74"/>
      <c r="P120" s="74"/>
      <c r="Q120" s="74"/>
    </row>
    <row r="121">
      <c r="A121" s="59"/>
      <c r="B121" s="15">
        <v>58.0</v>
      </c>
      <c r="C121" s="19" t="s">
        <v>112</v>
      </c>
      <c r="D121" s="15" t="s">
        <v>186</v>
      </c>
      <c r="E121" s="15">
        <v>25.0</v>
      </c>
      <c r="F121" s="70">
        <v>27.84</v>
      </c>
      <c r="G121" s="70">
        <v>4.92</v>
      </c>
      <c r="H121" s="71">
        <v>17.0</v>
      </c>
      <c r="I121" s="71">
        <v>8.0</v>
      </c>
      <c r="J121" s="71">
        <v>6.0</v>
      </c>
      <c r="K121" s="70">
        <v>0.5</v>
      </c>
      <c r="L121" s="72" t="s">
        <v>358</v>
      </c>
      <c r="M121" s="73"/>
      <c r="N121" s="74"/>
      <c r="O121" s="74"/>
      <c r="P121" s="74"/>
      <c r="Q121" s="74"/>
    </row>
    <row r="122">
      <c r="A122" s="75" t="s">
        <v>320</v>
      </c>
      <c r="B122" s="76">
        <v>58.0</v>
      </c>
      <c r="C122" s="77" t="str">
        <f>C121</f>
        <v>Malik et al., 2026</v>
      </c>
      <c r="D122" s="76" t="s">
        <v>331</v>
      </c>
      <c r="E122" s="76">
        <v>50.0</v>
      </c>
      <c r="F122" s="78">
        <v>27.98</v>
      </c>
      <c r="G122" s="78">
        <v>4.724745374643894</v>
      </c>
      <c r="H122" s="76">
        <v>35.0</v>
      </c>
      <c r="I122" s="76">
        <v>15.0</v>
      </c>
      <c r="J122" s="78">
        <v>6.0</v>
      </c>
      <c r="K122" s="78">
        <v>0.5</v>
      </c>
      <c r="L122" s="79" t="s">
        <v>358</v>
      </c>
      <c r="M122" s="73"/>
      <c r="N122" s="74"/>
      <c r="O122" s="74"/>
      <c r="P122" s="74"/>
      <c r="Q122" s="74"/>
    </row>
    <row r="123">
      <c r="A123" s="59"/>
      <c r="B123" s="15">
        <v>62.0</v>
      </c>
      <c r="C123" s="19" t="s">
        <v>114</v>
      </c>
      <c r="D123" s="15" t="s">
        <v>42</v>
      </c>
      <c r="E123" s="15">
        <v>37.0</v>
      </c>
      <c r="F123" s="70">
        <v>23.7</v>
      </c>
      <c r="G123" s="70">
        <v>7.7</v>
      </c>
      <c r="H123" s="71">
        <v>21.0</v>
      </c>
      <c r="I123" s="71">
        <v>16.0</v>
      </c>
      <c r="J123" s="71">
        <v>87.0</v>
      </c>
      <c r="K123" s="70">
        <v>7.3</v>
      </c>
      <c r="L123" s="72" t="s">
        <v>336</v>
      </c>
      <c r="M123" s="73"/>
      <c r="N123" s="74"/>
      <c r="O123" s="74"/>
      <c r="P123" s="74"/>
      <c r="Q123" s="74"/>
    </row>
    <row r="124">
      <c r="A124" s="59"/>
      <c r="B124" s="15">
        <v>62.0</v>
      </c>
      <c r="C124" s="19" t="s">
        <v>114</v>
      </c>
      <c r="D124" s="15" t="s">
        <v>84</v>
      </c>
      <c r="E124" s="15">
        <v>35.0</v>
      </c>
      <c r="F124" s="70">
        <v>24.4</v>
      </c>
      <c r="G124" s="70">
        <v>9.7</v>
      </c>
      <c r="H124" s="71">
        <v>20.0</v>
      </c>
      <c r="I124" s="71">
        <v>15.0</v>
      </c>
      <c r="J124" s="71">
        <v>80.7</v>
      </c>
      <c r="K124" s="70">
        <v>6.7</v>
      </c>
      <c r="L124" s="72" t="s">
        <v>336</v>
      </c>
      <c r="M124" s="73"/>
      <c r="N124" s="74"/>
      <c r="O124" s="74"/>
      <c r="P124" s="74"/>
      <c r="Q124" s="74"/>
    </row>
    <row r="125">
      <c r="A125" s="75" t="s">
        <v>320</v>
      </c>
      <c r="B125" s="76">
        <v>62.0</v>
      </c>
      <c r="C125" s="77" t="str">
        <f>C124</f>
        <v>Matsumoto et al., 2006</v>
      </c>
      <c r="D125" s="76" t="s">
        <v>321</v>
      </c>
      <c r="E125" s="76">
        <v>72.0</v>
      </c>
      <c r="F125" s="78">
        <v>24.049999999999997</v>
      </c>
      <c r="G125" s="78">
        <v>8.456844483817932</v>
      </c>
      <c r="H125" s="76">
        <v>41.0</v>
      </c>
      <c r="I125" s="76">
        <v>31.0</v>
      </c>
      <c r="J125" s="78">
        <v>83.85</v>
      </c>
      <c r="K125" s="78">
        <v>7.0</v>
      </c>
      <c r="L125" s="79" t="s">
        <v>336</v>
      </c>
      <c r="M125" s="73"/>
      <c r="N125" s="74"/>
      <c r="O125" s="74"/>
      <c r="P125" s="74"/>
      <c r="Q125" s="74"/>
    </row>
    <row r="126">
      <c r="A126" s="59"/>
      <c r="B126" s="15">
        <v>66.0</v>
      </c>
      <c r="C126" s="19" t="s">
        <v>116</v>
      </c>
      <c r="D126" s="15" t="s">
        <v>42</v>
      </c>
      <c r="E126" s="15">
        <v>110.0</v>
      </c>
      <c r="F126" s="70">
        <v>28.7</v>
      </c>
      <c r="G126" s="70">
        <v>9.9</v>
      </c>
      <c r="H126" s="71">
        <v>63.0</v>
      </c>
      <c r="I126" s="71">
        <v>47.0</v>
      </c>
      <c r="J126" s="71">
        <v>24.0</v>
      </c>
      <c r="K126" s="70">
        <v>2.0</v>
      </c>
      <c r="L126" s="72" t="s">
        <v>359</v>
      </c>
      <c r="M126" s="73"/>
      <c r="N126" s="74"/>
      <c r="O126" s="74"/>
      <c r="P126" s="74"/>
      <c r="Q126" s="74"/>
    </row>
    <row r="127">
      <c r="A127" s="59"/>
      <c r="B127" s="15">
        <v>66.0</v>
      </c>
      <c r="C127" s="80" t="s">
        <v>116</v>
      </c>
      <c r="D127" s="81" t="s">
        <v>243</v>
      </c>
      <c r="E127" s="82">
        <v>110.0</v>
      </c>
      <c r="F127" s="83">
        <v>28.3</v>
      </c>
      <c r="G127" s="83">
        <v>9.8</v>
      </c>
      <c r="H127" s="84">
        <v>61.0</v>
      </c>
      <c r="I127" s="84">
        <v>49.0</v>
      </c>
      <c r="J127" s="71">
        <v>24.0</v>
      </c>
      <c r="K127" s="70">
        <v>2.0</v>
      </c>
      <c r="L127" s="72" t="s">
        <v>359</v>
      </c>
      <c r="M127" s="73"/>
      <c r="N127" s="74"/>
      <c r="O127" s="74"/>
      <c r="P127" s="74"/>
      <c r="Q127" s="74"/>
    </row>
    <row r="128">
      <c r="A128" s="59"/>
      <c r="B128" s="15">
        <v>66.0</v>
      </c>
      <c r="C128" s="80" t="s">
        <v>116</v>
      </c>
      <c r="D128" s="81" t="s">
        <v>239</v>
      </c>
      <c r="E128" s="82">
        <v>110.0</v>
      </c>
      <c r="F128" s="83">
        <v>28.5</v>
      </c>
      <c r="G128" s="83">
        <v>9.9</v>
      </c>
      <c r="H128" s="84">
        <v>59.0</v>
      </c>
      <c r="I128" s="84">
        <v>51.0</v>
      </c>
      <c r="J128" s="71">
        <v>24.0</v>
      </c>
      <c r="K128" s="70">
        <v>2.0</v>
      </c>
      <c r="L128" s="72" t="s">
        <v>359</v>
      </c>
      <c r="M128" s="73"/>
      <c r="N128" s="74"/>
      <c r="O128" s="74"/>
      <c r="P128" s="74"/>
      <c r="Q128" s="74"/>
    </row>
    <row r="129">
      <c r="A129" s="59"/>
      <c r="B129" s="15">
        <v>66.0</v>
      </c>
      <c r="C129" s="19" t="s">
        <v>116</v>
      </c>
      <c r="D129" s="15" t="s">
        <v>84</v>
      </c>
      <c r="E129" s="15">
        <v>220.0</v>
      </c>
      <c r="F129" s="70">
        <v>28.4</v>
      </c>
      <c r="G129" s="70">
        <v>9.828123377960823</v>
      </c>
      <c r="H129" s="71">
        <v>120.0</v>
      </c>
      <c r="I129" s="71">
        <v>100.0</v>
      </c>
      <c r="J129" s="71">
        <v>24.0</v>
      </c>
      <c r="K129" s="70">
        <v>2.0</v>
      </c>
      <c r="L129" s="72" t="s">
        <v>359</v>
      </c>
      <c r="M129" s="73"/>
      <c r="N129" s="74"/>
      <c r="O129" s="74"/>
      <c r="P129" s="74"/>
      <c r="Q129" s="74"/>
    </row>
    <row r="130">
      <c r="A130" s="75" t="s">
        <v>320</v>
      </c>
      <c r="B130" s="76">
        <v>66.0</v>
      </c>
      <c r="C130" s="77" t="str">
        <f>C129</f>
        <v>Mohtadi et al., 2016</v>
      </c>
      <c r="D130" s="85" t="s">
        <v>321</v>
      </c>
      <c r="E130" s="76">
        <v>330.0</v>
      </c>
      <c r="F130" s="78">
        <v>28.45</v>
      </c>
      <c r="G130" s="78">
        <v>6.485948066207067</v>
      </c>
      <c r="H130" s="76">
        <v>179.0</v>
      </c>
      <c r="I130" s="76">
        <v>151.0</v>
      </c>
      <c r="J130" s="78">
        <v>24.0</v>
      </c>
      <c r="K130" s="78">
        <v>2.0</v>
      </c>
      <c r="L130" s="79" t="s">
        <v>359</v>
      </c>
      <c r="M130" s="73"/>
      <c r="N130" s="74"/>
      <c r="O130" s="74"/>
      <c r="P130" s="74"/>
      <c r="Q130" s="74"/>
    </row>
    <row r="131">
      <c r="A131" s="59"/>
      <c r="B131" s="15">
        <v>68.0</v>
      </c>
      <c r="C131" s="19" t="s">
        <v>119</v>
      </c>
      <c r="D131" s="15" t="s">
        <v>42</v>
      </c>
      <c r="E131" s="15">
        <v>6.0</v>
      </c>
      <c r="F131" s="70">
        <v>23.0</v>
      </c>
      <c r="G131" s="70">
        <v>2.0</v>
      </c>
      <c r="H131" s="71">
        <v>6.0</v>
      </c>
      <c r="I131" s="71">
        <v>0.0</v>
      </c>
      <c r="J131" s="71">
        <v>21.0</v>
      </c>
      <c r="K131" s="70">
        <v>1.8</v>
      </c>
      <c r="L131" s="72" t="s">
        <v>360</v>
      </c>
      <c r="M131" s="73"/>
      <c r="N131" s="74"/>
      <c r="O131" s="74"/>
      <c r="P131" s="74"/>
      <c r="Q131" s="74"/>
    </row>
    <row r="132">
      <c r="A132" s="59"/>
      <c r="B132" s="15">
        <v>68.0</v>
      </c>
      <c r="C132" s="19" t="s">
        <v>119</v>
      </c>
      <c r="D132" s="15" t="s">
        <v>84</v>
      </c>
      <c r="E132" s="15">
        <v>6.0</v>
      </c>
      <c r="F132" s="70">
        <v>24.0</v>
      </c>
      <c r="G132" s="70">
        <v>3.0</v>
      </c>
      <c r="H132" s="71">
        <v>6.0</v>
      </c>
      <c r="I132" s="71">
        <v>0.0</v>
      </c>
      <c r="J132" s="71">
        <v>25.0</v>
      </c>
      <c r="K132" s="70">
        <v>2.1</v>
      </c>
      <c r="L132" s="72" t="s">
        <v>360</v>
      </c>
      <c r="M132" s="73"/>
      <c r="N132" s="74"/>
      <c r="O132" s="74"/>
      <c r="P132" s="74"/>
      <c r="Q132" s="74"/>
    </row>
    <row r="133">
      <c r="A133" s="75" t="s">
        <v>320</v>
      </c>
      <c r="B133" s="76">
        <v>68.0</v>
      </c>
      <c r="C133" s="77" t="str">
        <f>C132</f>
        <v>Moraiti et al., 2010</v>
      </c>
      <c r="D133" s="76" t="s">
        <v>321</v>
      </c>
      <c r="E133" s="76">
        <v>12.0</v>
      </c>
      <c r="F133" s="78">
        <v>23.5</v>
      </c>
      <c r="G133" s="78">
        <v>9.606000279263293</v>
      </c>
      <c r="H133" s="76">
        <v>12.0</v>
      </c>
      <c r="I133" s="76">
        <v>0.0</v>
      </c>
      <c r="J133" s="78">
        <v>23.0</v>
      </c>
      <c r="K133" s="78">
        <v>1.9500000000000002</v>
      </c>
      <c r="L133" s="79" t="s">
        <v>360</v>
      </c>
      <c r="M133" s="73"/>
      <c r="N133" s="74"/>
      <c r="O133" s="74"/>
      <c r="P133" s="74"/>
      <c r="Q133" s="74"/>
    </row>
    <row r="134">
      <c r="A134" s="59"/>
      <c r="B134" s="15">
        <v>70.0</v>
      </c>
      <c r="C134" s="19" t="s">
        <v>121</v>
      </c>
      <c r="D134" s="15" t="s">
        <v>84</v>
      </c>
      <c r="E134" s="15">
        <v>33.0</v>
      </c>
      <c r="F134" s="70">
        <v>25.81397443424894</v>
      </c>
      <c r="G134" s="70">
        <v>7.455</v>
      </c>
      <c r="H134" s="71">
        <v>30.0</v>
      </c>
      <c r="I134" s="71">
        <v>3.0</v>
      </c>
      <c r="J134" s="71">
        <v>28.1</v>
      </c>
      <c r="K134" s="70">
        <v>2.3</v>
      </c>
      <c r="L134" s="72" t="s">
        <v>361</v>
      </c>
      <c r="M134" s="73"/>
      <c r="N134" s="74"/>
      <c r="O134" s="74"/>
      <c r="P134" s="74"/>
      <c r="Q134" s="74"/>
    </row>
    <row r="135">
      <c r="A135" s="59"/>
      <c r="B135" s="15">
        <v>70.0</v>
      </c>
      <c r="C135" s="19" t="s">
        <v>121</v>
      </c>
      <c r="D135" s="15" t="s">
        <v>246</v>
      </c>
      <c r="E135" s="15">
        <v>32.0</v>
      </c>
      <c r="F135" s="70">
        <v>25.55212460671509</v>
      </c>
      <c r="G135" s="70">
        <v>8.467</v>
      </c>
      <c r="H135" s="71">
        <v>26.0</v>
      </c>
      <c r="I135" s="71">
        <v>6.0</v>
      </c>
      <c r="J135" s="71">
        <v>31.6</v>
      </c>
      <c r="K135" s="70">
        <v>2.6</v>
      </c>
      <c r="L135" s="72" t="s">
        <v>361</v>
      </c>
      <c r="M135" s="73"/>
      <c r="N135" s="74"/>
      <c r="O135" s="74"/>
      <c r="P135" s="74"/>
      <c r="Q135" s="74"/>
    </row>
    <row r="136">
      <c r="A136" s="75" t="s">
        <v>320</v>
      </c>
      <c r="B136" s="76">
        <v>70.0</v>
      </c>
      <c r="C136" s="77" t="str">
        <f>C135</f>
        <v>Noh et al., 2011</v>
      </c>
      <c r="D136" s="76" t="s">
        <v>362</v>
      </c>
      <c r="E136" s="76">
        <v>65.0</v>
      </c>
      <c r="F136" s="78">
        <v>25.683049520482015</v>
      </c>
      <c r="G136" s="78">
        <v>9.83719653476676</v>
      </c>
      <c r="H136" s="76">
        <v>56.0</v>
      </c>
      <c r="I136" s="76">
        <v>9.0</v>
      </c>
      <c r="J136" s="78">
        <v>29.85</v>
      </c>
      <c r="K136" s="78">
        <v>2.45</v>
      </c>
      <c r="L136" s="79" t="s">
        <v>361</v>
      </c>
      <c r="M136" s="73"/>
      <c r="N136" s="74"/>
      <c r="O136" s="74"/>
      <c r="P136" s="74"/>
      <c r="Q136" s="74"/>
    </row>
    <row r="137">
      <c r="A137" s="59"/>
      <c r="B137" s="15">
        <v>73.0</v>
      </c>
      <c r="C137" s="19" t="s">
        <v>123</v>
      </c>
      <c r="D137" s="15" t="s">
        <v>42</v>
      </c>
      <c r="E137" s="15">
        <v>20.0</v>
      </c>
      <c r="F137" s="70">
        <v>24.7</v>
      </c>
      <c r="G137" s="70" t="s">
        <v>101</v>
      </c>
      <c r="H137" s="71">
        <v>0.0</v>
      </c>
      <c r="I137" s="71">
        <v>20.0</v>
      </c>
      <c r="J137" s="71">
        <v>6.0</v>
      </c>
      <c r="K137" s="70">
        <v>0.5</v>
      </c>
      <c r="L137" s="72" t="s">
        <v>349</v>
      </c>
      <c r="M137" s="73"/>
      <c r="N137" s="74"/>
      <c r="O137" s="74"/>
      <c r="P137" s="74"/>
      <c r="Q137" s="74"/>
    </row>
    <row r="138">
      <c r="A138" s="59"/>
      <c r="B138" s="15">
        <v>73.0</v>
      </c>
      <c r="C138" s="19" t="s">
        <v>123</v>
      </c>
      <c r="D138" s="15" t="s">
        <v>84</v>
      </c>
      <c r="E138" s="15">
        <v>20.0</v>
      </c>
      <c r="F138" s="70">
        <v>25.4</v>
      </c>
      <c r="G138" s="70" t="s">
        <v>101</v>
      </c>
      <c r="H138" s="71">
        <v>0.0</v>
      </c>
      <c r="I138" s="71">
        <v>20.0</v>
      </c>
      <c r="J138" s="71">
        <v>6.0</v>
      </c>
      <c r="K138" s="70">
        <v>0.5</v>
      </c>
      <c r="L138" s="72" t="s">
        <v>349</v>
      </c>
      <c r="M138" s="73"/>
      <c r="N138" s="74"/>
      <c r="O138" s="74"/>
      <c r="P138" s="74"/>
      <c r="Q138" s="74"/>
    </row>
    <row r="139">
      <c r="A139" s="75" t="s">
        <v>320</v>
      </c>
      <c r="B139" s="76">
        <v>73.0</v>
      </c>
      <c r="C139" s="77" t="str">
        <f>C138</f>
        <v>Papalia et al., 2015</v>
      </c>
      <c r="D139" s="76" t="s">
        <v>321</v>
      </c>
      <c r="E139" s="76">
        <v>40.0</v>
      </c>
      <c r="F139" s="78">
        <v>25.049999999999997</v>
      </c>
      <c r="G139" s="78">
        <v>2.486326242032244</v>
      </c>
      <c r="H139" s="76">
        <v>0.0</v>
      </c>
      <c r="I139" s="76">
        <v>40.0</v>
      </c>
      <c r="J139" s="78">
        <v>6.0</v>
      </c>
      <c r="K139" s="78">
        <v>0.5</v>
      </c>
      <c r="L139" s="79" t="s">
        <v>349</v>
      </c>
      <c r="M139" s="73"/>
      <c r="N139" s="74"/>
      <c r="O139" s="74"/>
      <c r="P139" s="74"/>
      <c r="Q139" s="74"/>
    </row>
    <row r="140">
      <c r="A140" s="59"/>
      <c r="B140" s="15">
        <v>76.0</v>
      </c>
      <c r="C140" s="19" t="s">
        <v>125</v>
      </c>
      <c r="D140" s="15" t="s">
        <v>42</v>
      </c>
      <c r="E140" s="15">
        <v>90.0</v>
      </c>
      <c r="F140" s="70">
        <v>25.0</v>
      </c>
      <c r="G140" s="70">
        <v>5.485</v>
      </c>
      <c r="H140" s="71">
        <v>48.0</v>
      </c>
      <c r="I140" s="71">
        <v>42.0</v>
      </c>
      <c r="J140" s="71">
        <v>120.0</v>
      </c>
      <c r="K140" s="70">
        <v>10.0</v>
      </c>
      <c r="L140" s="72" t="s">
        <v>326</v>
      </c>
      <c r="M140" s="73"/>
      <c r="N140" s="74"/>
      <c r="O140" s="74"/>
      <c r="P140" s="74"/>
      <c r="Q140" s="74"/>
    </row>
    <row r="141">
      <c r="A141" s="59"/>
      <c r="B141" s="15">
        <v>76.0</v>
      </c>
      <c r="C141" s="19" t="s">
        <v>125</v>
      </c>
      <c r="D141" s="15" t="s">
        <v>84</v>
      </c>
      <c r="E141" s="15">
        <v>90.0</v>
      </c>
      <c r="F141" s="70">
        <v>24.0</v>
      </c>
      <c r="G141" s="70">
        <v>7.923</v>
      </c>
      <c r="H141" s="71">
        <v>47.0</v>
      </c>
      <c r="I141" s="71">
        <v>43.0</v>
      </c>
      <c r="J141" s="71">
        <v>120.0</v>
      </c>
      <c r="K141" s="70">
        <v>10.0</v>
      </c>
      <c r="L141" s="72" t="s">
        <v>326</v>
      </c>
      <c r="M141" s="73"/>
      <c r="N141" s="74"/>
      <c r="O141" s="74"/>
      <c r="P141" s="74"/>
      <c r="Q141" s="74"/>
    </row>
    <row r="142">
      <c r="A142" s="75" t="s">
        <v>320</v>
      </c>
      <c r="B142" s="76">
        <v>76.0</v>
      </c>
      <c r="C142" s="77" t="str">
        <f>C141</f>
        <v>Pinczewski et al., 2007</v>
      </c>
      <c r="D142" s="76" t="s">
        <v>321</v>
      </c>
      <c r="E142" s="76">
        <v>180.0</v>
      </c>
      <c r="F142" s="78">
        <v>24.5</v>
      </c>
      <c r="G142" s="78">
        <v>7.907642152072637</v>
      </c>
      <c r="H142" s="76">
        <v>95.0</v>
      </c>
      <c r="I142" s="76">
        <v>85.0</v>
      </c>
      <c r="J142" s="78">
        <v>120.0</v>
      </c>
      <c r="K142" s="78">
        <v>10.0</v>
      </c>
      <c r="L142" s="79" t="s">
        <v>326</v>
      </c>
      <c r="M142" s="73"/>
      <c r="N142" s="74"/>
      <c r="O142" s="74"/>
      <c r="P142" s="74"/>
      <c r="Q142" s="74"/>
    </row>
    <row r="143">
      <c r="A143" s="59"/>
      <c r="B143" s="15">
        <v>77.0</v>
      </c>
      <c r="C143" s="19" t="s">
        <v>128</v>
      </c>
      <c r="D143" s="15" t="s">
        <v>42</v>
      </c>
      <c r="E143" s="15">
        <v>54.0</v>
      </c>
      <c r="F143" s="70">
        <v>27.0</v>
      </c>
      <c r="G143" s="70">
        <v>6.82</v>
      </c>
      <c r="H143" s="71" t="s">
        <v>363</v>
      </c>
      <c r="I143" s="71"/>
      <c r="J143" s="71">
        <v>228.0</v>
      </c>
      <c r="K143" s="70">
        <v>19.0</v>
      </c>
      <c r="L143" s="72" t="s">
        <v>364</v>
      </c>
      <c r="M143" s="73"/>
      <c r="N143" s="74"/>
      <c r="O143" s="74"/>
      <c r="P143" s="74"/>
      <c r="Q143" s="74"/>
    </row>
    <row r="144">
      <c r="A144" s="59"/>
      <c r="B144" s="15">
        <v>77.0</v>
      </c>
      <c r="C144" s="19" t="s">
        <v>128</v>
      </c>
      <c r="D144" s="15" t="s">
        <v>84</v>
      </c>
      <c r="E144" s="15">
        <v>90.0</v>
      </c>
      <c r="F144" s="70">
        <v>27.0</v>
      </c>
      <c r="G144" s="70">
        <v>6.298</v>
      </c>
      <c r="H144" s="15"/>
      <c r="I144" s="71" t="s">
        <v>101</v>
      </c>
      <c r="J144" s="71">
        <v>228.0</v>
      </c>
      <c r="K144" s="70">
        <v>19.0</v>
      </c>
      <c r="L144" s="72" t="s">
        <v>364</v>
      </c>
      <c r="M144" s="73"/>
      <c r="N144" s="74"/>
      <c r="O144" s="74"/>
      <c r="P144" s="74"/>
      <c r="Q144" s="74"/>
    </row>
    <row r="145">
      <c r="A145" s="75" t="s">
        <v>320</v>
      </c>
      <c r="B145" s="76">
        <v>77.0</v>
      </c>
      <c r="C145" s="77" t="str">
        <f>C144</f>
        <v>Popovic et al., 2024</v>
      </c>
      <c r="D145" s="76" t="s">
        <v>321</v>
      </c>
      <c r="E145" s="76">
        <v>144.0</v>
      </c>
      <c r="F145" s="78">
        <v>27.0</v>
      </c>
      <c r="G145" s="78">
        <v>0.3544587784792866</v>
      </c>
      <c r="H145" s="76">
        <v>0.0</v>
      </c>
      <c r="I145" s="76">
        <v>0.0</v>
      </c>
      <c r="J145" s="78">
        <v>228.0</v>
      </c>
      <c r="K145" s="78">
        <v>19.0</v>
      </c>
      <c r="L145" s="79" t="s">
        <v>364</v>
      </c>
      <c r="M145" s="73"/>
      <c r="N145" s="74"/>
      <c r="O145" s="74"/>
      <c r="P145" s="74"/>
      <c r="Q145" s="74"/>
    </row>
    <row r="146">
      <c r="A146" s="59"/>
      <c r="B146" s="15">
        <v>82.0</v>
      </c>
      <c r="C146" s="19" t="s">
        <v>130</v>
      </c>
      <c r="D146" s="15" t="s">
        <v>42</v>
      </c>
      <c r="E146" s="9">
        <v>24.0</v>
      </c>
      <c r="F146" s="70">
        <v>45.5</v>
      </c>
      <c r="G146" s="70">
        <v>8.7</v>
      </c>
      <c r="H146" s="71">
        <v>15.0</v>
      </c>
      <c r="I146" s="71">
        <v>9.0</v>
      </c>
      <c r="J146" s="71">
        <v>204.0</v>
      </c>
      <c r="K146" s="70">
        <v>17.0</v>
      </c>
      <c r="L146" s="72" t="s">
        <v>365</v>
      </c>
      <c r="M146" s="73"/>
      <c r="N146" s="74"/>
      <c r="O146" s="74"/>
      <c r="P146" s="74"/>
      <c r="Q146" s="74"/>
    </row>
    <row r="147">
      <c r="A147" s="59"/>
      <c r="B147" s="15">
        <v>82.0</v>
      </c>
      <c r="C147" s="19" t="s">
        <v>130</v>
      </c>
      <c r="D147" s="15" t="s">
        <v>84</v>
      </c>
      <c r="E147" s="9">
        <v>24.0</v>
      </c>
      <c r="F147" s="70">
        <v>42.5</v>
      </c>
      <c r="G147" s="70">
        <v>7.5</v>
      </c>
      <c r="H147" s="71">
        <v>13.0</v>
      </c>
      <c r="I147" s="71">
        <v>11.0</v>
      </c>
      <c r="J147" s="71">
        <v>204.0</v>
      </c>
      <c r="K147" s="70">
        <v>17.0</v>
      </c>
      <c r="L147" s="72" t="s">
        <v>365</v>
      </c>
      <c r="M147" s="73"/>
      <c r="N147" s="74"/>
      <c r="O147" s="74"/>
      <c r="P147" s="74"/>
      <c r="Q147" s="74"/>
    </row>
    <row r="148">
      <c r="A148" s="75" t="s">
        <v>320</v>
      </c>
      <c r="B148" s="76">
        <v>82.0</v>
      </c>
      <c r="C148" s="77" t="str">
        <f>C147</f>
        <v>Sajovic et al., 2018</v>
      </c>
      <c r="D148" s="76" t="s">
        <v>321</v>
      </c>
      <c r="E148" s="76">
        <v>48.0</v>
      </c>
      <c r="F148" s="78">
        <v>44.0</v>
      </c>
      <c r="G148" s="78">
        <v>6.813339161990459</v>
      </c>
      <c r="H148" s="76">
        <v>28.0</v>
      </c>
      <c r="I148" s="76">
        <v>20.0</v>
      </c>
      <c r="J148" s="78">
        <v>204.0</v>
      </c>
      <c r="K148" s="78">
        <v>17.0</v>
      </c>
      <c r="L148" s="79" t="s">
        <v>365</v>
      </c>
      <c r="M148" s="73"/>
      <c r="N148" s="74"/>
      <c r="O148" s="74"/>
      <c r="P148" s="74"/>
      <c r="Q148" s="74"/>
    </row>
    <row r="149">
      <c r="A149" s="60"/>
      <c r="B149" s="9">
        <v>84.0</v>
      </c>
      <c r="C149" s="19" t="s">
        <v>132</v>
      </c>
      <c r="D149" s="15" t="s">
        <v>84</v>
      </c>
      <c r="E149" s="9">
        <v>43.0</v>
      </c>
      <c r="F149" s="70">
        <v>28.3</v>
      </c>
      <c r="G149" s="70">
        <v>6.2</v>
      </c>
      <c r="H149" s="71">
        <v>23.0</v>
      </c>
      <c r="I149" s="71">
        <v>20.0</v>
      </c>
      <c r="J149" s="71">
        <v>12.5</v>
      </c>
      <c r="K149" s="70">
        <v>1.0</v>
      </c>
      <c r="L149" s="72" t="s">
        <v>220</v>
      </c>
      <c r="M149" s="73"/>
      <c r="N149" s="74"/>
      <c r="O149" s="74"/>
      <c r="P149" s="74"/>
      <c r="Q149" s="74"/>
    </row>
    <row r="150">
      <c r="A150" s="60"/>
      <c r="B150" s="9">
        <v>84.0</v>
      </c>
      <c r="C150" s="19" t="s">
        <v>132</v>
      </c>
      <c r="D150" s="15" t="s">
        <v>200</v>
      </c>
      <c r="E150" s="9">
        <v>42.0</v>
      </c>
      <c r="F150" s="70">
        <v>28.7</v>
      </c>
      <c r="G150" s="70">
        <v>6.4</v>
      </c>
      <c r="H150" s="71">
        <v>25.0</v>
      </c>
      <c r="I150" s="71">
        <v>17.0</v>
      </c>
      <c r="J150" s="71">
        <v>12.4</v>
      </c>
      <c r="K150" s="70">
        <v>1.0</v>
      </c>
      <c r="L150" s="72" t="s">
        <v>220</v>
      </c>
      <c r="M150" s="73"/>
      <c r="N150" s="74"/>
      <c r="O150" s="74"/>
      <c r="P150" s="74"/>
      <c r="Q150" s="74"/>
    </row>
    <row r="151">
      <c r="A151" s="75" t="s">
        <v>320</v>
      </c>
      <c r="B151" s="76">
        <v>84.0</v>
      </c>
      <c r="C151" s="77" t="str">
        <f>C150</f>
        <v>Sinding et al., 2020</v>
      </c>
      <c r="D151" s="76" t="s">
        <v>337</v>
      </c>
      <c r="E151" s="76">
        <v>85.0</v>
      </c>
      <c r="F151" s="78">
        <v>28.5</v>
      </c>
      <c r="G151" s="78">
        <v>6.474978605683261</v>
      </c>
      <c r="H151" s="76">
        <v>48.0</v>
      </c>
      <c r="I151" s="76">
        <v>37.0</v>
      </c>
      <c r="J151" s="78">
        <v>12.45</v>
      </c>
      <c r="K151" s="78">
        <v>1.0</v>
      </c>
      <c r="L151" s="79" t="s">
        <v>220</v>
      </c>
      <c r="M151" s="73"/>
      <c r="N151" s="74"/>
      <c r="O151" s="74"/>
      <c r="P151" s="74"/>
      <c r="Q151" s="74"/>
    </row>
    <row r="152">
      <c r="A152" s="59"/>
      <c r="B152" s="15">
        <v>85.0</v>
      </c>
      <c r="C152" s="19" t="s">
        <v>134</v>
      </c>
      <c r="D152" s="15" t="s">
        <v>42</v>
      </c>
      <c r="E152" s="15">
        <v>32.0</v>
      </c>
      <c r="F152" s="70">
        <v>17.7</v>
      </c>
      <c r="G152" s="70">
        <v>2.4</v>
      </c>
      <c r="H152" s="71">
        <v>15.0</v>
      </c>
      <c r="I152" s="71">
        <v>17.0</v>
      </c>
      <c r="J152" s="71">
        <v>24.0</v>
      </c>
      <c r="K152" s="70">
        <v>2.0</v>
      </c>
      <c r="L152" s="72" t="s">
        <v>366</v>
      </c>
      <c r="M152" s="73"/>
      <c r="N152" s="74"/>
      <c r="O152" s="74"/>
      <c r="P152" s="74"/>
      <c r="Q152" s="74"/>
    </row>
    <row r="153">
      <c r="A153" s="59"/>
      <c r="B153" s="15">
        <v>85.0</v>
      </c>
      <c r="C153" s="19" t="s">
        <v>134</v>
      </c>
      <c r="D153" s="15" t="s">
        <v>84</v>
      </c>
      <c r="E153" s="9">
        <v>32.0</v>
      </c>
      <c r="F153" s="70">
        <v>17.7</v>
      </c>
      <c r="G153" s="70">
        <v>2.4</v>
      </c>
      <c r="H153" s="71">
        <v>13.0</v>
      </c>
      <c r="I153" s="71">
        <v>19.0</v>
      </c>
      <c r="J153" s="71">
        <v>24.0</v>
      </c>
      <c r="K153" s="70">
        <v>2.0</v>
      </c>
      <c r="L153" s="72" t="s">
        <v>366</v>
      </c>
      <c r="M153" s="73"/>
      <c r="N153" s="74"/>
      <c r="O153" s="74"/>
      <c r="P153" s="74"/>
      <c r="Q153" s="74"/>
    </row>
    <row r="154">
      <c r="A154" s="75" t="s">
        <v>320</v>
      </c>
      <c r="B154" s="76">
        <v>85.0</v>
      </c>
      <c r="C154" s="77" t="str">
        <f>C153</f>
        <v>Smith et al., 2020</v>
      </c>
      <c r="D154" s="76" t="s">
        <v>321</v>
      </c>
      <c r="E154" s="76">
        <v>64.0</v>
      </c>
      <c r="F154" s="78">
        <v>17.7</v>
      </c>
      <c r="G154" s="78">
        <v>8.177056641551955</v>
      </c>
      <c r="H154" s="76">
        <v>28.0</v>
      </c>
      <c r="I154" s="76">
        <v>36.0</v>
      </c>
      <c r="J154" s="78">
        <v>24.0</v>
      </c>
      <c r="K154" s="78">
        <v>2.0</v>
      </c>
      <c r="L154" s="79" t="s">
        <v>366</v>
      </c>
      <c r="M154" s="73"/>
      <c r="N154" s="74"/>
      <c r="O154" s="74"/>
      <c r="P154" s="74"/>
      <c r="Q154" s="74"/>
    </row>
    <row r="155">
      <c r="A155" s="59"/>
      <c r="B155" s="15">
        <v>87.0</v>
      </c>
      <c r="C155" s="19" t="s">
        <v>255</v>
      </c>
      <c r="D155" s="15" t="s">
        <v>42</v>
      </c>
      <c r="E155" s="9">
        <v>283.0</v>
      </c>
      <c r="F155" s="70">
        <v>24.8</v>
      </c>
      <c r="G155" s="70">
        <v>4.4</v>
      </c>
      <c r="H155" s="71">
        <v>214.0</v>
      </c>
      <c r="I155" s="71">
        <v>69.0</v>
      </c>
      <c r="J155" s="71">
        <v>61.5</v>
      </c>
      <c r="K155" s="70">
        <v>5.1</v>
      </c>
      <c r="L155" s="72" t="s">
        <v>355</v>
      </c>
      <c r="M155" s="73"/>
      <c r="N155" s="74"/>
      <c r="O155" s="74"/>
      <c r="P155" s="74"/>
      <c r="Q155" s="74"/>
    </row>
    <row r="156">
      <c r="A156" s="59"/>
      <c r="B156" s="15">
        <v>87.0</v>
      </c>
      <c r="C156" s="19" t="s">
        <v>255</v>
      </c>
      <c r="D156" s="15" t="s">
        <v>84</v>
      </c>
      <c r="E156" s="15">
        <v>273.0</v>
      </c>
      <c r="F156" s="70">
        <v>25.2</v>
      </c>
      <c r="G156" s="70">
        <v>4.6</v>
      </c>
      <c r="H156" s="71">
        <v>233.0</v>
      </c>
      <c r="I156" s="71">
        <v>40.0</v>
      </c>
      <c r="J156" s="71">
        <v>63.9</v>
      </c>
      <c r="K156" s="70">
        <v>5.3</v>
      </c>
      <c r="L156" s="72" t="s">
        <v>355</v>
      </c>
      <c r="M156" s="73"/>
      <c r="N156" s="74"/>
      <c r="O156" s="74"/>
      <c r="P156" s="74"/>
      <c r="Q156" s="74"/>
    </row>
    <row r="157">
      <c r="A157" s="75" t="s">
        <v>320</v>
      </c>
      <c r="B157" s="76">
        <v>87.0</v>
      </c>
      <c r="C157" s="77" t="str">
        <f>C156</f>
        <v>Sonnery-Cottet et al., 2026</v>
      </c>
      <c r="D157" s="76" t="s">
        <v>321</v>
      </c>
      <c r="E157" s="76">
        <v>556.0</v>
      </c>
      <c r="F157" s="78">
        <v>25.0</v>
      </c>
      <c r="G157" s="78">
        <v>6.265209616654197</v>
      </c>
      <c r="H157" s="76">
        <v>447.0</v>
      </c>
      <c r="I157" s="76">
        <v>109.0</v>
      </c>
      <c r="J157" s="78">
        <v>62.7</v>
      </c>
      <c r="K157" s="78">
        <v>5.199999999999999</v>
      </c>
      <c r="L157" s="79" t="s">
        <v>355</v>
      </c>
      <c r="M157" s="73"/>
      <c r="N157" s="74"/>
      <c r="O157" s="74"/>
      <c r="P157" s="74"/>
      <c r="Q157" s="74"/>
    </row>
    <row r="158">
      <c r="A158" s="59"/>
      <c r="B158" s="15">
        <v>89.0</v>
      </c>
      <c r="C158" s="19" t="s">
        <v>139</v>
      </c>
      <c r="D158" s="15" t="s">
        <v>84</v>
      </c>
      <c r="E158" s="9">
        <v>16.0</v>
      </c>
      <c r="F158" s="70">
        <v>28.31</v>
      </c>
      <c r="G158" s="70">
        <v>8.55</v>
      </c>
      <c r="H158" s="71">
        <v>13.0</v>
      </c>
      <c r="I158" s="71">
        <v>3.0</v>
      </c>
      <c r="J158" s="71">
        <v>24.0</v>
      </c>
      <c r="K158" s="70">
        <v>2.0</v>
      </c>
      <c r="L158" s="72" t="s">
        <v>220</v>
      </c>
      <c r="M158" s="73"/>
      <c r="N158" s="74"/>
      <c r="O158" s="74"/>
      <c r="P158" s="74"/>
      <c r="Q158" s="74"/>
    </row>
    <row r="159">
      <c r="A159" s="59"/>
      <c r="B159" s="15">
        <v>89.0</v>
      </c>
      <c r="C159" s="19" t="s">
        <v>139</v>
      </c>
      <c r="D159" s="15" t="s">
        <v>200</v>
      </c>
      <c r="E159" s="9">
        <v>17.0</v>
      </c>
      <c r="F159" s="70">
        <v>28.06</v>
      </c>
      <c r="G159" s="70">
        <v>6.24</v>
      </c>
      <c r="H159" s="71">
        <v>17.0</v>
      </c>
      <c r="I159" s="71">
        <v>0.0</v>
      </c>
      <c r="J159" s="71">
        <v>24.0</v>
      </c>
      <c r="K159" s="70">
        <v>2.0</v>
      </c>
      <c r="L159" s="72" t="s">
        <v>220</v>
      </c>
      <c r="M159" s="73"/>
      <c r="N159" s="74"/>
      <c r="O159" s="74"/>
      <c r="P159" s="74"/>
      <c r="Q159" s="74"/>
    </row>
    <row r="160">
      <c r="A160" s="75" t="s">
        <v>320</v>
      </c>
      <c r="B160" s="76">
        <v>89.0</v>
      </c>
      <c r="C160" s="77" t="str">
        <f>C159</f>
        <v>Tang et al., 2023</v>
      </c>
      <c r="D160" s="76" t="s">
        <v>337</v>
      </c>
      <c r="E160" s="76">
        <v>33.0</v>
      </c>
      <c r="F160" s="78">
        <v>28.185</v>
      </c>
      <c r="G160" s="78">
        <v>2.380876189257104</v>
      </c>
      <c r="H160" s="76">
        <v>30.0</v>
      </c>
      <c r="I160" s="76">
        <v>3.0</v>
      </c>
      <c r="J160" s="78">
        <v>24.0</v>
      </c>
      <c r="K160" s="78">
        <v>2.0</v>
      </c>
      <c r="L160" s="79" t="s">
        <v>220</v>
      </c>
      <c r="M160" s="73"/>
      <c r="N160" s="74"/>
      <c r="O160" s="74"/>
      <c r="P160" s="74"/>
      <c r="Q160" s="74"/>
    </row>
    <row r="161">
      <c r="A161" s="59"/>
      <c r="B161" s="15">
        <v>90.0</v>
      </c>
      <c r="C161" s="19" t="s">
        <v>141</v>
      </c>
      <c r="D161" s="15" t="s">
        <v>42</v>
      </c>
      <c r="E161" s="9">
        <v>32.0</v>
      </c>
      <c r="F161" s="70">
        <v>21.7</v>
      </c>
      <c r="G161" s="70">
        <v>4.597</v>
      </c>
      <c r="H161" s="71">
        <v>25.0</v>
      </c>
      <c r="I161" s="71">
        <v>7.0</v>
      </c>
      <c r="J161" s="71">
        <v>32.400000000000006</v>
      </c>
      <c r="K161" s="70">
        <v>2.7</v>
      </c>
      <c r="L161" s="72" t="s">
        <v>342</v>
      </c>
      <c r="M161" s="73"/>
      <c r="N161" s="74"/>
      <c r="O161" s="74"/>
      <c r="P161" s="74"/>
      <c r="Q161" s="74"/>
    </row>
    <row r="162">
      <c r="A162" s="59"/>
      <c r="B162" s="15">
        <v>90.0</v>
      </c>
      <c r="C162" s="19" t="s">
        <v>141</v>
      </c>
      <c r="D162" s="15" t="s">
        <v>84</v>
      </c>
      <c r="E162" s="9">
        <v>32.0</v>
      </c>
      <c r="F162" s="70">
        <v>22.1</v>
      </c>
      <c r="G162" s="70">
        <v>6.532</v>
      </c>
      <c r="H162" s="71">
        <v>28.0</v>
      </c>
      <c r="I162" s="71">
        <v>4.0</v>
      </c>
      <c r="J162" s="71">
        <v>38.400000000000006</v>
      </c>
      <c r="K162" s="70">
        <v>3.2</v>
      </c>
      <c r="L162" s="72" t="s">
        <v>342</v>
      </c>
      <c r="M162" s="73"/>
      <c r="N162" s="74"/>
      <c r="O162" s="74"/>
      <c r="P162" s="74"/>
      <c r="Q162" s="74"/>
    </row>
    <row r="163">
      <c r="A163" s="75" t="s">
        <v>320</v>
      </c>
      <c r="B163" s="76">
        <v>90.0</v>
      </c>
      <c r="C163" s="77" t="str">
        <f>C162</f>
        <v>Taylor et al., 2009</v>
      </c>
      <c r="D163" s="76" t="s">
        <v>321</v>
      </c>
      <c r="E163" s="76">
        <v>64.0</v>
      </c>
      <c r="F163" s="78">
        <v>21.9</v>
      </c>
      <c r="G163" s="78">
        <v>4.499704255698192</v>
      </c>
      <c r="H163" s="76">
        <v>53.0</v>
      </c>
      <c r="I163" s="76">
        <v>11.0</v>
      </c>
      <c r="J163" s="78">
        <v>35.400000000000006</v>
      </c>
      <c r="K163" s="78">
        <v>2.95</v>
      </c>
      <c r="L163" s="79" t="s">
        <v>342</v>
      </c>
      <c r="M163" s="73"/>
      <c r="N163" s="74"/>
      <c r="O163" s="74"/>
      <c r="P163" s="74"/>
      <c r="Q163" s="74"/>
    </row>
    <row r="164">
      <c r="A164" s="59"/>
      <c r="B164" s="15">
        <v>93.0</v>
      </c>
      <c r="C164" s="19" t="s">
        <v>260</v>
      </c>
      <c r="D164" s="9" t="s">
        <v>84</v>
      </c>
      <c r="E164" s="9">
        <v>14.0</v>
      </c>
      <c r="F164" s="70">
        <v>24.4557</v>
      </c>
      <c r="G164" s="70">
        <v>8.2374</v>
      </c>
      <c r="H164" s="71">
        <v>12.0</v>
      </c>
      <c r="I164" s="71">
        <v>3.0</v>
      </c>
      <c r="J164" s="71">
        <v>12.0</v>
      </c>
      <c r="K164" s="70">
        <v>1.0</v>
      </c>
      <c r="L164" s="72" t="s">
        <v>352</v>
      </c>
      <c r="M164" s="73"/>
      <c r="N164" s="74"/>
      <c r="O164" s="74"/>
      <c r="P164" s="74"/>
      <c r="Q164" s="74"/>
    </row>
    <row r="165">
      <c r="A165" s="59"/>
      <c r="B165" s="15">
        <v>93.0</v>
      </c>
      <c r="C165" s="19" t="s">
        <v>260</v>
      </c>
      <c r="D165" s="15" t="s">
        <v>200</v>
      </c>
      <c r="E165" s="9">
        <v>14.0</v>
      </c>
      <c r="F165" s="70">
        <v>24.4557</v>
      </c>
      <c r="G165" s="70">
        <v>9.0612</v>
      </c>
      <c r="H165" s="71">
        <v>11.0</v>
      </c>
      <c r="I165" s="71">
        <v>3.0</v>
      </c>
      <c r="J165" s="71">
        <v>12.0</v>
      </c>
      <c r="K165" s="70">
        <v>1.0</v>
      </c>
      <c r="L165" s="72" t="s">
        <v>352</v>
      </c>
      <c r="M165" s="73"/>
      <c r="N165" s="74"/>
      <c r="O165" s="74"/>
      <c r="P165" s="74"/>
      <c r="Q165" s="74"/>
    </row>
    <row r="166">
      <c r="A166" s="75" t="s">
        <v>320</v>
      </c>
      <c r="B166" s="76">
        <v>93.0</v>
      </c>
      <c r="C166" s="77" t="str">
        <f>C165</f>
        <v>Vilchez-Cavazos et al., 2020</v>
      </c>
      <c r="D166" s="76" t="s">
        <v>337</v>
      </c>
      <c r="E166" s="76">
        <v>28.0</v>
      </c>
      <c r="F166" s="78">
        <v>24.4557</v>
      </c>
      <c r="G166" s="78">
        <v>7.3315547709778786</v>
      </c>
      <c r="H166" s="76">
        <v>23.0</v>
      </c>
      <c r="I166" s="76">
        <v>6.0</v>
      </c>
      <c r="J166" s="78">
        <v>12.0</v>
      </c>
      <c r="K166" s="78">
        <v>1.0</v>
      </c>
      <c r="L166" s="79" t="s">
        <v>352</v>
      </c>
      <c r="M166" s="73"/>
      <c r="N166" s="74"/>
      <c r="O166" s="74"/>
      <c r="P166" s="74"/>
      <c r="Q166" s="74"/>
    </row>
    <row r="167">
      <c r="A167" s="59"/>
      <c r="B167" s="15">
        <v>95.0</v>
      </c>
      <c r="C167" s="19" t="s">
        <v>145</v>
      </c>
      <c r="D167" s="15" t="s">
        <v>42</v>
      </c>
      <c r="E167" s="9">
        <v>28.0</v>
      </c>
      <c r="F167" s="70">
        <v>26.0</v>
      </c>
      <c r="G167" s="70">
        <v>6.3</v>
      </c>
      <c r="H167" s="71">
        <v>20.0</v>
      </c>
      <c r="I167" s="71">
        <v>8.0</v>
      </c>
      <c r="J167" s="71">
        <v>24.0</v>
      </c>
      <c r="K167" s="70">
        <v>2.0</v>
      </c>
      <c r="L167" s="72" t="s">
        <v>336</v>
      </c>
      <c r="M167" s="73"/>
      <c r="N167" s="74"/>
      <c r="O167" s="74"/>
      <c r="P167" s="74"/>
      <c r="Q167" s="74"/>
    </row>
    <row r="168">
      <c r="A168" s="59"/>
      <c r="B168" s="15">
        <v>95.0</v>
      </c>
      <c r="C168" s="19" t="s">
        <v>145</v>
      </c>
      <c r="D168" s="15" t="s">
        <v>84</v>
      </c>
      <c r="E168" s="9">
        <v>33.0</v>
      </c>
      <c r="F168" s="70">
        <v>27.0</v>
      </c>
      <c r="G168" s="70">
        <v>6.1</v>
      </c>
      <c r="H168" s="71">
        <v>23.0</v>
      </c>
      <c r="I168" s="71">
        <v>10.0</v>
      </c>
      <c r="J168" s="71">
        <v>24.0</v>
      </c>
      <c r="K168" s="70">
        <v>2.0</v>
      </c>
      <c r="L168" s="72" t="s">
        <v>336</v>
      </c>
      <c r="M168" s="73"/>
      <c r="N168" s="74"/>
      <c r="O168" s="74"/>
      <c r="P168" s="74"/>
      <c r="Q168" s="74"/>
    </row>
    <row r="169">
      <c r="A169" s="75" t="s">
        <v>320</v>
      </c>
      <c r="B169" s="76">
        <v>95.0</v>
      </c>
      <c r="C169" s="77" t="str">
        <f>C168</f>
        <v>Webster et al., 2001</v>
      </c>
      <c r="D169" s="76" t="s">
        <v>321</v>
      </c>
      <c r="E169" s="76">
        <v>61.0</v>
      </c>
      <c r="F169" s="78">
        <v>26.5</v>
      </c>
      <c r="G169" s="78">
        <v>5.606603848524143</v>
      </c>
      <c r="H169" s="76">
        <v>43.0</v>
      </c>
      <c r="I169" s="76">
        <v>18.0</v>
      </c>
      <c r="J169" s="78">
        <v>24.0</v>
      </c>
      <c r="K169" s="78">
        <v>2.0</v>
      </c>
      <c r="L169" s="79" t="s">
        <v>336</v>
      </c>
      <c r="M169" s="73"/>
      <c r="N169" s="74"/>
      <c r="O169" s="74"/>
      <c r="P169" s="74"/>
      <c r="Q169" s="74"/>
    </row>
    <row r="170">
      <c r="A170" s="59"/>
      <c r="B170" s="15">
        <v>96.0</v>
      </c>
      <c r="C170" s="19" t="s">
        <v>147</v>
      </c>
      <c r="D170" s="15" t="s">
        <v>42</v>
      </c>
      <c r="E170" s="9">
        <v>31.0</v>
      </c>
      <c r="F170" s="70">
        <v>29.87</v>
      </c>
      <c r="G170" s="70">
        <v>7.304</v>
      </c>
      <c r="H170" s="71">
        <v>19.0</v>
      </c>
      <c r="I170" s="71">
        <v>12.0</v>
      </c>
      <c r="J170" s="71">
        <v>108.0</v>
      </c>
      <c r="K170" s="70">
        <v>9.0</v>
      </c>
      <c r="L170" s="72" t="s">
        <v>367</v>
      </c>
      <c r="M170" s="73"/>
      <c r="N170" s="74"/>
      <c r="O170" s="74"/>
      <c r="P170" s="74"/>
      <c r="Q170" s="74"/>
    </row>
    <row r="171">
      <c r="A171" s="59"/>
      <c r="B171" s="15">
        <v>96.0</v>
      </c>
      <c r="C171" s="19" t="s">
        <v>147</v>
      </c>
      <c r="D171" s="15" t="s">
        <v>84</v>
      </c>
      <c r="E171" s="9">
        <v>31.0</v>
      </c>
      <c r="F171" s="70">
        <v>34.23</v>
      </c>
      <c r="G171" s="70">
        <v>9.251</v>
      </c>
      <c r="H171" s="71">
        <v>18.0</v>
      </c>
      <c r="I171" s="71">
        <v>13.0</v>
      </c>
      <c r="J171" s="71">
        <v>108.0</v>
      </c>
      <c r="K171" s="70">
        <v>9.0</v>
      </c>
      <c r="L171" s="72" t="s">
        <v>367</v>
      </c>
      <c r="M171" s="73"/>
      <c r="N171" s="74"/>
      <c r="O171" s="74"/>
      <c r="P171" s="74"/>
      <c r="Q171" s="74"/>
    </row>
    <row r="172">
      <c r="A172" s="75" t="s">
        <v>320</v>
      </c>
      <c r="B172" s="76">
        <v>96.0</v>
      </c>
      <c r="C172" s="77" t="str">
        <f>C171</f>
        <v>Wipfler et al., 2011</v>
      </c>
      <c r="D172" s="76" t="s">
        <v>321</v>
      </c>
      <c r="E172" s="76">
        <v>62.0</v>
      </c>
      <c r="F172" s="78">
        <v>32.05</v>
      </c>
      <c r="G172" s="78">
        <v>8.49723561714828</v>
      </c>
      <c r="H172" s="76">
        <v>37.0</v>
      </c>
      <c r="I172" s="76">
        <v>25.0</v>
      </c>
      <c r="J172" s="78">
        <v>108.0</v>
      </c>
      <c r="K172" s="78">
        <v>9.0</v>
      </c>
      <c r="L172" s="79" t="s">
        <v>367</v>
      </c>
      <c r="M172" s="73"/>
      <c r="N172" s="74"/>
      <c r="O172" s="74"/>
      <c r="P172" s="74"/>
      <c r="Q172" s="74"/>
    </row>
    <row r="173">
      <c r="A173" s="59"/>
      <c r="B173" s="15">
        <v>97.0</v>
      </c>
      <c r="C173" s="19" t="s">
        <v>149</v>
      </c>
      <c r="D173" s="15" t="s">
        <v>84</v>
      </c>
      <c r="E173" s="15">
        <v>36.0</v>
      </c>
      <c r="F173" s="70">
        <v>30.06</v>
      </c>
      <c r="G173" s="70">
        <v>8.87</v>
      </c>
      <c r="H173" s="71">
        <v>32.0</v>
      </c>
      <c r="I173" s="71">
        <v>4.0</v>
      </c>
      <c r="J173" s="71">
        <v>12.0</v>
      </c>
      <c r="K173" s="70">
        <v>1.0</v>
      </c>
      <c r="L173" s="72" t="s">
        <v>368</v>
      </c>
      <c r="M173" s="73"/>
      <c r="N173" s="74"/>
      <c r="O173" s="74"/>
      <c r="P173" s="74"/>
      <c r="Q173" s="74"/>
    </row>
    <row r="174">
      <c r="A174" s="59"/>
      <c r="B174" s="15">
        <v>97.0</v>
      </c>
      <c r="C174" s="19" t="s">
        <v>149</v>
      </c>
      <c r="D174" s="15" t="s">
        <v>200</v>
      </c>
      <c r="E174" s="15">
        <v>33.0</v>
      </c>
      <c r="F174" s="70">
        <v>28.73</v>
      </c>
      <c r="G174" s="70">
        <v>8.8</v>
      </c>
      <c r="H174" s="71">
        <v>30.0</v>
      </c>
      <c r="I174" s="71">
        <v>3.0</v>
      </c>
      <c r="J174" s="71">
        <v>12.0</v>
      </c>
      <c r="K174" s="70">
        <v>1.0</v>
      </c>
      <c r="L174" s="72" t="s">
        <v>368</v>
      </c>
      <c r="M174" s="73"/>
      <c r="N174" s="74"/>
      <c r="O174" s="74"/>
      <c r="P174" s="74"/>
      <c r="Q174" s="74"/>
    </row>
    <row r="175">
      <c r="A175" s="75" t="s">
        <v>320</v>
      </c>
      <c r="B175" s="76">
        <v>97.0</v>
      </c>
      <c r="C175" s="77" t="str">
        <f>C174</f>
        <v>Yadav et al., 2025</v>
      </c>
      <c r="D175" s="76" t="s">
        <v>337</v>
      </c>
      <c r="E175" s="76">
        <v>69.0</v>
      </c>
      <c r="F175" s="78">
        <v>29.395</v>
      </c>
      <c r="G175" s="78">
        <v>6.1610301370571765</v>
      </c>
      <c r="H175" s="76">
        <v>62.0</v>
      </c>
      <c r="I175" s="76">
        <v>7.0</v>
      </c>
      <c r="J175" s="78">
        <v>12.0</v>
      </c>
      <c r="K175" s="78">
        <v>1.0</v>
      </c>
      <c r="L175" s="79" t="s">
        <v>368</v>
      </c>
      <c r="M175" s="73"/>
      <c r="N175" s="74"/>
      <c r="O175" s="74"/>
      <c r="P175" s="74"/>
      <c r="Q175" s="74"/>
    </row>
    <row r="176">
      <c r="A176" s="59"/>
      <c r="B176" s="15">
        <v>98.0</v>
      </c>
      <c r="C176" s="19" t="s">
        <v>152</v>
      </c>
      <c r="D176" s="15" t="s">
        <v>84</v>
      </c>
      <c r="E176" s="15">
        <v>68.0</v>
      </c>
      <c r="F176" s="70">
        <v>30.0</v>
      </c>
      <c r="G176" s="70">
        <v>9.961</v>
      </c>
      <c r="H176" s="71">
        <v>61.0</v>
      </c>
      <c r="I176" s="71">
        <v>7.0</v>
      </c>
      <c r="J176" s="71">
        <v>32.8</v>
      </c>
      <c r="K176" s="70">
        <v>2.7</v>
      </c>
      <c r="L176" s="72" t="s">
        <v>369</v>
      </c>
      <c r="M176" s="73"/>
      <c r="N176" s="74"/>
      <c r="O176" s="74"/>
      <c r="P176" s="74"/>
      <c r="Q176" s="74"/>
    </row>
    <row r="177">
      <c r="A177" s="59"/>
      <c r="B177" s="15">
        <v>98.0</v>
      </c>
      <c r="C177" s="19" t="s">
        <v>152</v>
      </c>
      <c r="D177" s="15" t="s">
        <v>205</v>
      </c>
      <c r="E177" s="15">
        <v>64.0</v>
      </c>
      <c r="F177" s="70">
        <v>24.0</v>
      </c>
      <c r="G177" s="70">
        <v>8.345</v>
      </c>
      <c r="H177" s="71">
        <v>59.0</v>
      </c>
      <c r="I177" s="71">
        <v>5.0</v>
      </c>
      <c r="J177" s="71">
        <v>34.5</v>
      </c>
      <c r="K177" s="70">
        <v>2.9</v>
      </c>
      <c r="L177" s="72" t="s">
        <v>369</v>
      </c>
      <c r="M177" s="73"/>
      <c r="N177" s="74"/>
      <c r="O177" s="74"/>
      <c r="P177" s="74"/>
      <c r="Q177" s="74"/>
    </row>
    <row r="178">
      <c r="A178" s="75" t="s">
        <v>320</v>
      </c>
      <c r="B178" s="76">
        <v>98.0</v>
      </c>
      <c r="C178" s="77" t="str">
        <f>C177</f>
        <v>Yoo et al., 2017</v>
      </c>
      <c r="D178" s="76" t="s">
        <v>334</v>
      </c>
      <c r="E178" s="76">
        <v>132.0</v>
      </c>
      <c r="F178" s="78">
        <v>27.0</v>
      </c>
      <c r="G178" s="78">
        <v>8.553142754777719</v>
      </c>
      <c r="H178" s="76">
        <v>120.0</v>
      </c>
      <c r="I178" s="76">
        <v>12.0</v>
      </c>
      <c r="J178" s="78">
        <v>33.65</v>
      </c>
      <c r="K178" s="78">
        <v>2.8</v>
      </c>
      <c r="L178" s="79" t="s">
        <v>369</v>
      </c>
      <c r="M178" s="73"/>
      <c r="N178" s="74"/>
      <c r="O178" s="74"/>
      <c r="P178" s="74"/>
      <c r="Q178" s="74"/>
    </row>
    <row r="179">
      <c r="A179" s="59"/>
      <c r="B179" s="15">
        <v>100.0</v>
      </c>
      <c r="C179" s="19" t="s">
        <v>154</v>
      </c>
      <c r="D179" s="15" t="s">
        <v>42</v>
      </c>
      <c r="E179" s="9">
        <v>39.0</v>
      </c>
      <c r="F179" s="70">
        <v>26.0</v>
      </c>
      <c r="G179" s="70">
        <v>9.5</v>
      </c>
      <c r="H179" s="71">
        <v>20.0</v>
      </c>
      <c r="I179" s="71">
        <v>19.0</v>
      </c>
      <c r="J179" s="71">
        <v>103.19999999999999</v>
      </c>
      <c r="K179" s="70">
        <v>8.6</v>
      </c>
      <c r="L179" s="72" t="s">
        <v>336</v>
      </c>
      <c r="M179" s="73"/>
      <c r="N179" s="74"/>
      <c r="O179" s="74"/>
      <c r="P179" s="74"/>
      <c r="Q179" s="74"/>
    </row>
    <row r="180">
      <c r="A180" s="59"/>
      <c r="B180" s="15">
        <v>100.0</v>
      </c>
      <c r="C180" s="19" t="s">
        <v>154</v>
      </c>
      <c r="D180" s="15" t="s">
        <v>84</v>
      </c>
      <c r="E180" s="9">
        <v>40.0</v>
      </c>
      <c r="F180" s="70">
        <v>27.0</v>
      </c>
      <c r="G180" s="70">
        <v>9.0</v>
      </c>
      <c r="H180" s="71">
        <v>22.0</v>
      </c>
      <c r="I180" s="71">
        <v>18.0</v>
      </c>
      <c r="J180" s="71">
        <v>103.19999999999999</v>
      </c>
      <c r="K180" s="70">
        <v>8.6</v>
      </c>
      <c r="L180" s="72" t="s">
        <v>336</v>
      </c>
      <c r="M180" s="73"/>
      <c r="N180" s="74"/>
      <c r="O180" s="74"/>
      <c r="P180" s="74"/>
      <c r="Q180" s="74"/>
    </row>
    <row r="181">
      <c r="A181" s="75" t="s">
        <v>320</v>
      </c>
      <c r="B181" s="76">
        <v>100.0</v>
      </c>
      <c r="C181" s="77" t="str">
        <f>C180</f>
        <v>Zaffagnini et al., 2011</v>
      </c>
      <c r="D181" s="76" t="s">
        <v>321</v>
      </c>
      <c r="E181" s="76">
        <v>79.0</v>
      </c>
      <c r="F181" s="78">
        <v>26.5</v>
      </c>
      <c r="G181" s="78">
        <v>8.796914017291602</v>
      </c>
      <c r="H181" s="76">
        <v>42.0</v>
      </c>
      <c r="I181" s="76">
        <v>37.0</v>
      </c>
      <c r="J181" s="78">
        <v>103.19999999999999</v>
      </c>
      <c r="K181" s="78">
        <v>8.6</v>
      </c>
      <c r="L181" s="79" t="s">
        <v>336</v>
      </c>
      <c r="M181" s="73"/>
      <c r="N181" s="74"/>
      <c r="O181" s="74"/>
      <c r="P181" s="74"/>
      <c r="Q181" s="74"/>
    </row>
    <row r="182">
      <c r="A182" s="74"/>
      <c r="B182" s="74"/>
      <c r="C182" s="12"/>
      <c r="D182" s="74"/>
      <c r="E182" s="74"/>
      <c r="F182" s="89"/>
      <c r="G182" s="89"/>
      <c r="H182" s="90"/>
      <c r="I182" s="90"/>
      <c r="J182" s="90"/>
      <c r="K182" s="90"/>
      <c r="L182" s="91"/>
      <c r="M182" s="73"/>
      <c r="N182" s="74"/>
      <c r="O182" s="74"/>
      <c r="P182" s="74"/>
      <c r="Q182" s="74"/>
    </row>
    <row r="183">
      <c r="A183" s="74"/>
      <c r="B183" s="74"/>
      <c r="C183" s="12"/>
      <c r="D183" s="74"/>
      <c r="E183" s="74"/>
      <c r="F183" s="89"/>
      <c r="G183" s="89"/>
      <c r="H183" s="90"/>
      <c r="I183" s="90"/>
      <c r="J183" s="90"/>
      <c r="K183" s="90"/>
      <c r="L183" s="91"/>
      <c r="M183" s="73"/>
      <c r="N183" s="74"/>
      <c r="O183" s="74"/>
      <c r="P183" s="74"/>
      <c r="Q183" s="74"/>
    </row>
    <row r="184">
      <c r="A184" s="74"/>
      <c r="B184" s="74"/>
      <c r="C184" s="12"/>
      <c r="D184" s="74"/>
      <c r="E184" s="74"/>
      <c r="F184" s="89"/>
      <c r="G184" s="89"/>
      <c r="H184" s="90"/>
      <c r="I184" s="90"/>
      <c r="J184" s="90"/>
      <c r="K184" s="90"/>
      <c r="L184" s="91"/>
      <c r="M184" s="73"/>
      <c r="N184" s="74"/>
      <c r="O184" s="74"/>
      <c r="P184" s="74"/>
      <c r="Q184" s="74"/>
    </row>
    <row r="185">
      <c r="A185" s="74"/>
      <c r="B185" s="74"/>
      <c r="C185" s="12"/>
      <c r="D185" s="74"/>
      <c r="E185" s="74"/>
      <c r="F185" s="89"/>
      <c r="G185" s="89"/>
      <c r="H185" s="90"/>
      <c r="I185" s="90"/>
      <c r="J185" s="90"/>
      <c r="K185" s="90"/>
      <c r="L185" s="91"/>
      <c r="M185" s="73"/>
      <c r="N185" s="74"/>
      <c r="O185" s="74"/>
      <c r="P185" s="74"/>
      <c r="Q185" s="74"/>
    </row>
    <row r="186">
      <c r="A186" s="74"/>
      <c r="B186" s="74"/>
      <c r="C186" s="12"/>
      <c r="D186" s="74"/>
      <c r="E186" s="74"/>
      <c r="F186" s="89"/>
      <c r="G186" s="89"/>
      <c r="H186" s="90"/>
      <c r="I186" s="90"/>
      <c r="J186" s="90"/>
      <c r="K186" s="90"/>
      <c r="L186" s="91"/>
      <c r="M186" s="73"/>
      <c r="N186" s="74"/>
      <c r="O186" s="74"/>
      <c r="P186" s="74"/>
      <c r="Q186" s="74"/>
    </row>
    <row r="187">
      <c r="A187" s="74"/>
      <c r="B187" s="74"/>
      <c r="C187" s="12"/>
      <c r="D187" s="74"/>
      <c r="E187" s="74"/>
      <c r="F187" s="89"/>
      <c r="G187" s="89"/>
      <c r="H187" s="90"/>
      <c r="I187" s="90"/>
      <c r="J187" s="90"/>
      <c r="K187" s="90"/>
      <c r="L187" s="91"/>
      <c r="M187" s="73"/>
      <c r="N187" s="74"/>
      <c r="O187" s="74"/>
      <c r="P187" s="74"/>
      <c r="Q187" s="74"/>
    </row>
    <row r="188">
      <c r="A188" s="74"/>
      <c r="B188" s="74"/>
      <c r="C188" s="12"/>
      <c r="D188" s="74"/>
      <c r="E188" s="74"/>
      <c r="F188" s="89"/>
      <c r="G188" s="89"/>
      <c r="H188" s="90"/>
      <c r="I188" s="90"/>
      <c r="J188" s="90"/>
      <c r="K188" s="90"/>
      <c r="L188" s="91"/>
      <c r="M188" s="73"/>
      <c r="N188" s="74"/>
      <c r="O188" s="74"/>
      <c r="P188" s="74"/>
      <c r="Q188" s="74"/>
    </row>
    <row r="189">
      <c r="A189" s="74"/>
      <c r="B189" s="74"/>
      <c r="C189" s="12"/>
      <c r="D189" s="74"/>
      <c r="E189" s="74"/>
      <c r="F189" s="89"/>
      <c r="G189" s="89"/>
      <c r="H189" s="90"/>
      <c r="I189" s="90"/>
      <c r="J189" s="90"/>
      <c r="K189" s="90"/>
      <c r="L189" s="91"/>
      <c r="M189" s="73"/>
      <c r="N189" s="74"/>
      <c r="O189" s="74"/>
      <c r="P189" s="74"/>
      <c r="Q189" s="74"/>
    </row>
    <row r="190">
      <c r="A190" s="74"/>
      <c r="B190" s="74"/>
      <c r="C190" s="12"/>
      <c r="D190" s="74"/>
      <c r="E190" s="74"/>
      <c r="F190" s="89"/>
      <c r="G190" s="89"/>
      <c r="H190" s="90"/>
      <c r="I190" s="90"/>
      <c r="J190" s="90"/>
      <c r="K190" s="90"/>
      <c r="L190" s="91"/>
      <c r="M190" s="73"/>
      <c r="N190" s="74"/>
      <c r="O190" s="74"/>
      <c r="P190" s="74"/>
      <c r="Q190" s="74"/>
    </row>
    <row r="191">
      <c r="A191" s="74"/>
      <c r="B191" s="74"/>
      <c r="C191" s="12"/>
      <c r="D191" s="74"/>
      <c r="E191" s="74"/>
      <c r="F191" s="89"/>
      <c r="G191" s="89"/>
      <c r="H191" s="90"/>
      <c r="I191" s="90"/>
      <c r="J191" s="90"/>
      <c r="K191" s="90"/>
      <c r="L191" s="91"/>
      <c r="M191" s="73"/>
      <c r="N191" s="74"/>
      <c r="O191" s="74"/>
      <c r="P191" s="74"/>
      <c r="Q191" s="74"/>
    </row>
    <row r="192">
      <c r="A192" s="74"/>
      <c r="B192" s="74"/>
      <c r="C192" s="12"/>
      <c r="D192" s="74"/>
      <c r="E192" s="74"/>
      <c r="F192" s="89"/>
      <c r="G192" s="89"/>
      <c r="H192" s="90"/>
      <c r="I192" s="90"/>
      <c r="J192" s="90"/>
      <c r="K192" s="90"/>
      <c r="L192" s="91"/>
      <c r="M192" s="73"/>
      <c r="N192" s="74"/>
      <c r="O192" s="74"/>
      <c r="P192" s="74"/>
      <c r="Q192" s="74"/>
    </row>
    <row r="193">
      <c r="A193" s="74"/>
      <c r="B193" s="74"/>
      <c r="C193" s="12"/>
      <c r="D193" s="74"/>
      <c r="E193" s="74"/>
      <c r="F193" s="89"/>
      <c r="G193" s="89"/>
      <c r="H193" s="90"/>
      <c r="I193" s="90"/>
      <c r="J193" s="90"/>
      <c r="K193" s="90"/>
      <c r="L193" s="91"/>
      <c r="M193" s="73"/>
      <c r="N193" s="74"/>
      <c r="O193" s="74"/>
      <c r="P193" s="74"/>
      <c r="Q193" s="74"/>
    </row>
    <row r="194">
      <c r="A194" s="74"/>
      <c r="B194" s="74"/>
      <c r="C194" s="12"/>
      <c r="D194" s="74"/>
      <c r="E194" s="74"/>
      <c r="F194" s="89"/>
      <c r="G194" s="89"/>
      <c r="H194" s="90"/>
      <c r="I194" s="90"/>
      <c r="J194" s="90"/>
      <c r="K194" s="90"/>
      <c r="L194" s="91"/>
      <c r="M194" s="73"/>
      <c r="N194" s="74"/>
      <c r="O194" s="74"/>
      <c r="P194" s="74"/>
      <c r="Q194" s="74"/>
    </row>
    <row r="195">
      <c r="A195" s="74"/>
      <c r="B195" s="74"/>
      <c r="C195" s="12"/>
      <c r="D195" s="74"/>
      <c r="E195" s="74"/>
      <c r="F195" s="89"/>
      <c r="G195" s="89"/>
      <c r="H195" s="90"/>
      <c r="I195" s="90"/>
      <c r="J195" s="90"/>
      <c r="K195" s="90"/>
      <c r="L195" s="91"/>
      <c r="M195" s="73"/>
      <c r="N195" s="74"/>
      <c r="O195" s="74"/>
      <c r="P195" s="74"/>
      <c r="Q195" s="74"/>
    </row>
    <row r="196">
      <c r="A196" s="74"/>
      <c r="B196" s="74"/>
      <c r="C196" s="12"/>
      <c r="D196" s="74"/>
      <c r="E196" s="74"/>
      <c r="F196" s="89"/>
      <c r="G196" s="89"/>
      <c r="H196" s="90"/>
      <c r="I196" s="90"/>
      <c r="J196" s="90"/>
      <c r="K196" s="90"/>
      <c r="L196" s="91"/>
      <c r="M196" s="73"/>
      <c r="N196" s="74"/>
      <c r="O196" s="74"/>
      <c r="P196" s="74"/>
      <c r="Q196" s="74"/>
    </row>
    <row r="197">
      <c r="A197" s="74"/>
      <c r="B197" s="74"/>
      <c r="C197" s="12"/>
      <c r="D197" s="74"/>
      <c r="E197" s="74"/>
      <c r="F197" s="89"/>
      <c r="G197" s="89"/>
      <c r="H197" s="90"/>
      <c r="I197" s="90"/>
      <c r="J197" s="90"/>
      <c r="K197" s="90"/>
      <c r="L197" s="91"/>
      <c r="M197" s="73"/>
      <c r="N197" s="74"/>
      <c r="O197" s="74"/>
      <c r="P197" s="74"/>
      <c r="Q197" s="74"/>
    </row>
    <row r="198">
      <c r="A198" s="74"/>
      <c r="B198" s="74"/>
      <c r="C198" s="12"/>
      <c r="D198" s="74"/>
      <c r="E198" s="74"/>
      <c r="F198" s="89"/>
      <c r="G198" s="89"/>
      <c r="H198" s="90"/>
      <c r="I198" s="90"/>
      <c r="J198" s="90"/>
      <c r="K198" s="90"/>
      <c r="L198" s="91"/>
      <c r="M198" s="73"/>
      <c r="N198" s="74"/>
      <c r="O198" s="74"/>
      <c r="P198" s="74"/>
      <c r="Q198" s="74"/>
    </row>
    <row r="199">
      <c r="A199" s="74"/>
      <c r="B199" s="74"/>
      <c r="C199" s="12"/>
      <c r="D199" s="74"/>
      <c r="E199" s="74"/>
      <c r="F199" s="89"/>
      <c r="G199" s="89"/>
      <c r="H199" s="90"/>
      <c r="I199" s="90"/>
      <c r="J199" s="90"/>
      <c r="K199" s="90"/>
      <c r="L199" s="91"/>
      <c r="M199" s="73"/>
      <c r="N199" s="74"/>
      <c r="O199" s="74"/>
      <c r="P199" s="74"/>
      <c r="Q199" s="74"/>
    </row>
    <row r="200">
      <c r="A200" s="74"/>
      <c r="B200" s="74"/>
      <c r="C200" s="12"/>
      <c r="D200" s="74"/>
      <c r="E200" s="74"/>
      <c r="F200" s="89"/>
      <c r="G200" s="89"/>
      <c r="H200" s="90"/>
      <c r="I200" s="90"/>
      <c r="J200" s="90"/>
      <c r="K200" s="90"/>
      <c r="L200" s="91"/>
      <c r="M200" s="73"/>
      <c r="N200" s="74"/>
      <c r="O200" s="74"/>
      <c r="P200" s="74"/>
      <c r="Q200" s="74"/>
    </row>
    <row r="201">
      <c r="A201" s="74"/>
      <c r="B201" s="74"/>
      <c r="C201" s="12"/>
      <c r="D201" s="74"/>
      <c r="E201" s="74"/>
      <c r="F201" s="89"/>
      <c r="G201" s="89"/>
      <c r="H201" s="90"/>
      <c r="I201" s="90"/>
      <c r="J201" s="90"/>
      <c r="K201" s="90"/>
      <c r="L201" s="91"/>
      <c r="M201" s="73"/>
      <c r="N201" s="74"/>
      <c r="O201" s="74"/>
      <c r="P201" s="74"/>
      <c r="Q201" s="74"/>
    </row>
    <row r="202">
      <c r="A202" s="74"/>
      <c r="B202" s="74"/>
      <c r="C202" s="12"/>
      <c r="D202" s="74"/>
      <c r="E202" s="74"/>
      <c r="F202" s="89"/>
      <c r="G202" s="89"/>
      <c r="H202" s="90"/>
      <c r="I202" s="90"/>
      <c r="J202" s="90"/>
      <c r="K202" s="90"/>
      <c r="L202" s="91"/>
      <c r="M202" s="73"/>
      <c r="N202" s="74"/>
      <c r="O202" s="74"/>
      <c r="P202" s="74"/>
      <c r="Q202" s="74"/>
    </row>
    <row r="203">
      <c r="A203" s="74"/>
      <c r="B203" s="74"/>
      <c r="C203" s="12"/>
      <c r="D203" s="74"/>
      <c r="E203" s="74"/>
      <c r="F203" s="89"/>
      <c r="G203" s="89"/>
      <c r="H203" s="90"/>
      <c r="I203" s="90"/>
      <c r="J203" s="90"/>
      <c r="K203" s="90"/>
      <c r="L203" s="91"/>
      <c r="M203" s="73"/>
      <c r="N203" s="74"/>
      <c r="O203" s="74"/>
      <c r="P203" s="74"/>
      <c r="Q203" s="74"/>
    </row>
    <row r="204">
      <c r="A204" s="74"/>
      <c r="B204" s="74"/>
      <c r="C204" s="12"/>
      <c r="D204" s="74"/>
      <c r="E204" s="74"/>
      <c r="F204" s="89"/>
      <c r="G204" s="89"/>
      <c r="H204" s="90"/>
      <c r="I204" s="90"/>
      <c r="J204" s="90"/>
      <c r="K204" s="90"/>
      <c r="L204" s="91"/>
      <c r="M204" s="73"/>
      <c r="N204" s="74"/>
      <c r="O204" s="74"/>
      <c r="P204" s="74"/>
      <c r="Q204" s="74"/>
    </row>
    <row r="205">
      <c r="A205" s="74"/>
      <c r="B205" s="74"/>
      <c r="C205" s="12"/>
      <c r="D205" s="74"/>
      <c r="E205" s="74"/>
      <c r="F205" s="89"/>
      <c r="G205" s="89"/>
      <c r="H205" s="90"/>
      <c r="I205" s="90"/>
      <c r="J205" s="90"/>
      <c r="K205" s="90"/>
      <c r="L205" s="91"/>
      <c r="M205" s="73"/>
      <c r="N205" s="74"/>
      <c r="O205" s="74"/>
      <c r="P205" s="74"/>
      <c r="Q205" s="74"/>
    </row>
    <row r="206">
      <c r="A206" s="74"/>
      <c r="B206" s="74"/>
      <c r="C206" s="12"/>
      <c r="D206" s="74"/>
      <c r="E206" s="74"/>
      <c r="F206" s="89"/>
      <c r="G206" s="89"/>
      <c r="H206" s="90"/>
      <c r="I206" s="90"/>
      <c r="J206" s="90"/>
      <c r="K206" s="90"/>
      <c r="L206" s="91"/>
      <c r="M206" s="73"/>
      <c r="N206" s="74"/>
      <c r="O206" s="74"/>
      <c r="P206" s="74"/>
      <c r="Q206" s="74"/>
    </row>
    <row r="207">
      <c r="A207" s="74"/>
      <c r="B207" s="74"/>
      <c r="C207" s="12"/>
      <c r="D207" s="74"/>
      <c r="E207" s="74"/>
      <c r="F207" s="89"/>
      <c r="G207" s="89"/>
      <c r="H207" s="90"/>
      <c r="I207" s="90"/>
      <c r="J207" s="90"/>
      <c r="K207" s="90"/>
      <c r="L207" s="91"/>
      <c r="M207" s="73"/>
      <c r="N207" s="74"/>
      <c r="O207" s="74"/>
      <c r="P207" s="74"/>
      <c r="Q207" s="74"/>
    </row>
    <row r="208">
      <c r="A208" s="74"/>
      <c r="B208" s="74"/>
      <c r="C208" s="12"/>
      <c r="D208" s="74"/>
      <c r="E208" s="74"/>
      <c r="F208" s="89"/>
      <c r="G208" s="89"/>
      <c r="H208" s="90"/>
      <c r="I208" s="90"/>
      <c r="J208" s="90"/>
      <c r="K208" s="90"/>
      <c r="L208" s="91"/>
      <c r="M208" s="73"/>
      <c r="N208" s="74"/>
      <c r="O208" s="74"/>
      <c r="P208" s="74"/>
      <c r="Q208" s="74"/>
    </row>
    <row r="209">
      <c r="A209" s="74"/>
      <c r="B209" s="74"/>
      <c r="C209" s="12"/>
      <c r="D209" s="74"/>
      <c r="E209" s="74"/>
      <c r="F209" s="89"/>
      <c r="G209" s="89"/>
      <c r="H209" s="90"/>
      <c r="I209" s="90"/>
      <c r="J209" s="90"/>
      <c r="K209" s="90"/>
      <c r="L209" s="91"/>
      <c r="M209" s="73"/>
      <c r="N209" s="74"/>
      <c r="O209" s="74"/>
      <c r="P209" s="74"/>
      <c r="Q209" s="74"/>
    </row>
    <row r="210">
      <c r="A210" s="74"/>
      <c r="B210" s="74"/>
      <c r="C210" s="12"/>
      <c r="D210" s="74"/>
      <c r="E210" s="74"/>
      <c r="F210" s="89"/>
      <c r="G210" s="89"/>
      <c r="H210" s="90"/>
      <c r="I210" s="90"/>
      <c r="J210" s="90"/>
      <c r="K210" s="90"/>
      <c r="L210" s="91"/>
      <c r="M210" s="73"/>
      <c r="N210" s="74"/>
      <c r="O210" s="74"/>
      <c r="P210" s="74"/>
      <c r="Q210" s="74"/>
    </row>
    <row r="211">
      <c r="A211" s="74"/>
      <c r="B211" s="74"/>
      <c r="C211" s="12"/>
      <c r="D211" s="74"/>
      <c r="E211" s="74"/>
      <c r="F211" s="89"/>
      <c r="G211" s="89"/>
      <c r="H211" s="90"/>
      <c r="I211" s="90"/>
      <c r="J211" s="90"/>
      <c r="K211" s="90"/>
      <c r="L211" s="91"/>
      <c r="M211" s="73"/>
      <c r="N211" s="74"/>
      <c r="O211" s="74"/>
      <c r="P211" s="74"/>
      <c r="Q211" s="74"/>
    </row>
    <row r="212">
      <c r="A212" s="74"/>
      <c r="B212" s="74"/>
      <c r="C212" s="12"/>
      <c r="D212" s="74"/>
      <c r="E212" s="74"/>
      <c r="F212" s="89"/>
      <c r="G212" s="89"/>
      <c r="H212" s="90"/>
      <c r="I212" s="90"/>
      <c r="J212" s="90"/>
      <c r="K212" s="90"/>
      <c r="L212" s="91"/>
      <c r="M212" s="73"/>
      <c r="N212" s="74"/>
      <c r="O212" s="74"/>
      <c r="P212" s="74"/>
      <c r="Q212" s="74"/>
    </row>
    <row r="213">
      <c r="A213" s="74"/>
      <c r="B213" s="74"/>
      <c r="C213" s="12"/>
      <c r="D213" s="74"/>
      <c r="E213" s="74"/>
      <c r="F213" s="89"/>
      <c r="G213" s="89"/>
      <c r="H213" s="90"/>
      <c r="I213" s="90"/>
      <c r="J213" s="90"/>
      <c r="K213" s="90"/>
      <c r="L213" s="91"/>
      <c r="M213" s="73"/>
      <c r="N213" s="74"/>
      <c r="O213" s="74"/>
      <c r="P213" s="74"/>
      <c r="Q213" s="74"/>
    </row>
    <row r="214">
      <c r="A214" s="74"/>
      <c r="B214" s="74"/>
      <c r="C214" s="12"/>
      <c r="D214" s="74"/>
      <c r="E214" s="74"/>
      <c r="F214" s="89"/>
      <c r="G214" s="89"/>
      <c r="H214" s="90"/>
      <c r="I214" s="90"/>
      <c r="J214" s="90"/>
      <c r="K214" s="90"/>
      <c r="L214" s="91"/>
      <c r="M214" s="73"/>
      <c r="N214" s="74"/>
      <c r="O214" s="74"/>
      <c r="P214" s="74"/>
      <c r="Q214" s="74"/>
    </row>
    <row r="215">
      <c r="A215" s="74"/>
      <c r="B215" s="74"/>
      <c r="C215" s="12"/>
      <c r="D215" s="74"/>
      <c r="E215" s="74"/>
      <c r="F215" s="89"/>
      <c r="G215" s="89"/>
      <c r="H215" s="90"/>
      <c r="I215" s="90"/>
      <c r="J215" s="90"/>
      <c r="K215" s="90"/>
      <c r="L215" s="91"/>
      <c r="M215" s="73"/>
      <c r="N215" s="74"/>
      <c r="O215" s="74"/>
      <c r="P215" s="74"/>
      <c r="Q215" s="74"/>
    </row>
    <row r="216">
      <c r="A216" s="74"/>
      <c r="B216" s="74"/>
      <c r="C216" s="12"/>
      <c r="D216" s="74"/>
      <c r="E216" s="74"/>
      <c r="F216" s="89"/>
      <c r="G216" s="89"/>
      <c r="H216" s="90"/>
      <c r="I216" s="90"/>
      <c r="J216" s="90"/>
      <c r="K216" s="90"/>
      <c r="L216" s="91"/>
      <c r="M216" s="73"/>
      <c r="N216" s="74"/>
      <c r="O216" s="74"/>
      <c r="P216" s="74"/>
      <c r="Q216" s="74"/>
    </row>
    <row r="217">
      <c r="A217" s="74"/>
      <c r="B217" s="74"/>
      <c r="C217" s="12"/>
      <c r="D217" s="74"/>
      <c r="E217" s="74"/>
      <c r="F217" s="89"/>
      <c r="G217" s="89"/>
      <c r="H217" s="90"/>
      <c r="I217" s="90"/>
      <c r="J217" s="90"/>
      <c r="K217" s="90"/>
      <c r="L217" s="91"/>
      <c r="M217" s="73"/>
      <c r="N217" s="74"/>
      <c r="O217" s="74"/>
      <c r="P217" s="74"/>
      <c r="Q217" s="74"/>
    </row>
    <row r="218">
      <c r="A218" s="74"/>
      <c r="B218" s="74"/>
      <c r="C218" s="12"/>
      <c r="D218" s="74"/>
      <c r="E218" s="74"/>
      <c r="F218" s="89"/>
      <c r="G218" s="89"/>
      <c r="H218" s="90"/>
      <c r="I218" s="90"/>
      <c r="J218" s="90"/>
      <c r="K218" s="90"/>
      <c r="L218" s="91"/>
      <c r="M218" s="73"/>
      <c r="N218" s="74"/>
      <c r="O218" s="74"/>
      <c r="P218" s="74"/>
      <c r="Q218" s="74"/>
    </row>
    <row r="219">
      <c r="A219" s="74"/>
      <c r="B219" s="74"/>
      <c r="C219" s="12"/>
      <c r="D219" s="74"/>
      <c r="E219" s="74"/>
      <c r="F219" s="89"/>
      <c r="G219" s="89"/>
      <c r="H219" s="90"/>
      <c r="I219" s="90"/>
      <c r="J219" s="90"/>
      <c r="K219" s="90"/>
      <c r="L219" s="91"/>
      <c r="M219" s="73"/>
      <c r="N219" s="74"/>
      <c r="O219" s="74"/>
      <c r="P219" s="74"/>
      <c r="Q219" s="74"/>
    </row>
    <row r="220">
      <c r="A220" s="74"/>
      <c r="B220" s="74"/>
      <c r="C220" s="12"/>
      <c r="D220" s="74"/>
      <c r="E220" s="74"/>
      <c r="F220" s="89"/>
      <c r="G220" s="89"/>
      <c r="H220" s="90"/>
      <c r="I220" s="90"/>
      <c r="J220" s="90"/>
      <c r="K220" s="90"/>
      <c r="L220" s="91"/>
      <c r="M220" s="73"/>
      <c r="N220" s="74"/>
      <c r="O220" s="74"/>
      <c r="P220" s="74"/>
      <c r="Q220" s="74"/>
    </row>
    <row r="221">
      <c r="A221" s="74"/>
      <c r="B221" s="74"/>
      <c r="C221" s="12"/>
      <c r="D221" s="74"/>
      <c r="E221" s="74"/>
      <c r="F221" s="89"/>
      <c r="G221" s="89"/>
      <c r="H221" s="90"/>
      <c r="I221" s="90"/>
      <c r="J221" s="90"/>
      <c r="K221" s="90"/>
      <c r="L221" s="91"/>
      <c r="M221" s="73"/>
      <c r="N221" s="74"/>
      <c r="O221" s="74"/>
      <c r="P221" s="74"/>
      <c r="Q221" s="74"/>
    </row>
    <row r="222">
      <c r="A222" s="74"/>
      <c r="B222" s="74"/>
      <c r="C222" s="12"/>
      <c r="D222" s="74"/>
      <c r="E222" s="74"/>
      <c r="F222" s="89"/>
      <c r="G222" s="89"/>
      <c r="H222" s="90"/>
      <c r="I222" s="90"/>
      <c r="J222" s="90"/>
      <c r="K222" s="90"/>
      <c r="L222" s="91"/>
      <c r="M222" s="73"/>
      <c r="N222" s="74"/>
      <c r="O222" s="74"/>
      <c r="P222" s="74"/>
      <c r="Q222" s="74"/>
    </row>
    <row r="223">
      <c r="A223" s="74"/>
      <c r="B223" s="74"/>
      <c r="C223" s="12"/>
      <c r="D223" s="74"/>
      <c r="E223" s="74"/>
      <c r="F223" s="89"/>
      <c r="G223" s="89"/>
      <c r="H223" s="90"/>
      <c r="I223" s="90"/>
      <c r="J223" s="90"/>
      <c r="K223" s="90"/>
      <c r="L223" s="91"/>
      <c r="M223" s="73"/>
      <c r="N223" s="74"/>
      <c r="O223" s="74"/>
      <c r="P223" s="74"/>
      <c r="Q223" s="74"/>
    </row>
    <row r="224">
      <c r="A224" s="74"/>
      <c r="B224" s="74"/>
      <c r="C224" s="12"/>
      <c r="D224" s="74"/>
      <c r="E224" s="74"/>
      <c r="F224" s="89"/>
      <c r="G224" s="89"/>
      <c r="H224" s="90"/>
      <c r="I224" s="90"/>
      <c r="J224" s="90"/>
      <c r="K224" s="90"/>
      <c r="L224" s="91"/>
      <c r="M224" s="73"/>
      <c r="N224" s="74"/>
      <c r="O224" s="74"/>
      <c r="P224" s="74"/>
      <c r="Q224" s="74"/>
    </row>
    <row r="225">
      <c r="A225" s="74"/>
      <c r="B225" s="74"/>
      <c r="C225" s="12"/>
      <c r="D225" s="74"/>
      <c r="E225" s="74"/>
      <c r="F225" s="89"/>
      <c r="G225" s="89"/>
      <c r="H225" s="90"/>
      <c r="I225" s="90"/>
      <c r="J225" s="90"/>
      <c r="K225" s="90"/>
      <c r="L225" s="91"/>
      <c r="M225" s="73"/>
      <c r="N225" s="74"/>
      <c r="O225" s="74"/>
      <c r="P225" s="74"/>
      <c r="Q225" s="74"/>
    </row>
    <row r="226">
      <c r="A226" s="74"/>
      <c r="B226" s="74"/>
      <c r="C226" s="12"/>
      <c r="D226" s="74"/>
      <c r="E226" s="74"/>
      <c r="F226" s="89"/>
      <c r="G226" s="89"/>
      <c r="H226" s="90"/>
      <c r="I226" s="90"/>
      <c r="J226" s="90"/>
      <c r="K226" s="90"/>
      <c r="L226" s="91"/>
      <c r="M226" s="73"/>
      <c r="N226" s="74"/>
      <c r="O226" s="74"/>
      <c r="P226" s="74"/>
      <c r="Q226" s="74"/>
    </row>
    <row r="227">
      <c r="A227" s="74"/>
      <c r="B227" s="74"/>
      <c r="C227" s="12"/>
      <c r="D227" s="74"/>
      <c r="E227" s="74"/>
      <c r="F227" s="89"/>
      <c r="G227" s="89"/>
      <c r="H227" s="90"/>
      <c r="I227" s="90"/>
      <c r="J227" s="90"/>
      <c r="K227" s="90"/>
      <c r="L227" s="91"/>
      <c r="M227" s="73"/>
      <c r="N227" s="74"/>
      <c r="O227" s="74"/>
      <c r="P227" s="74"/>
      <c r="Q227" s="74"/>
    </row>
    <row r="228">
      <c r="A228" s="74"/>
      <c r="B228" s="74"/>
      <c r="C228" s="12"/>
      <c r="D228" s="74"/>
      <c r="E228" s="74"/>
      <c r="F228" s="89"/>
      <c r="G228" s="89"/>
      <c r="H228" s="90"/>
      <c r="I228" s="90"/>
      <c r="J228" s="90"/>
      <c r="K228" s="90"/>
      <c r="L228" s="91"/>
      <c r="M228" s="73"/>
      <c r="N228" s="74"/>
      <c r="O228" s="74"/>
      <c r="P228" s="74"/>
      <c r="Q228" s="74"/>
    </row>
    <row r="229">
      <c r="A229" s="74"/>
      <c r="B229" s="74"/>
      <c r="C229" s="12"/>
      <c r="D229" s="74"/>
      <c r="E229" s="74"/>
      <c r="F229" s="89"/>
      <c r="G229" s="89"/>
      <c r="H229" s="90"/>
      <c r="I229" s="90"/>
      <c r="J229" s="90"/>
      <c r="K229" s="90"/>
      <c r="L229" s="91"/>
      <c r="M229" s="73"/>
      <c r="N229" s="74"/>
      <c r="O229" s="74"/>
      <c r="P229" s="74"/>
      <c r="Q229" s="74"/>
    </row>
    <row r="230">
      <c r="A230" s="74"/>
      <c r="B230" s="74"/>
      <c r="C230" s="12"/>
      <c r="D230" s="74"/>
      <c r="E230" s="74"/>
      <c r="F230" s="89"/>
      <c r="G230" s="89"/>
      <c r="H230" s="90"/>
      <c r="I230" s="90"/>
      <c r="J230" s="90"/>
      <c r="K230" s="90"/>
      <c r="L230" s="91"/>
      <c r="M230" s="73"/>
      <c r="N230" s="74"/>
      <c r="O230" s="74"/>
      <c r="P230" s="74"/>
      <c r="Q230" s="74"/>
    </row>
    <row r="231">
      <c r="A231" s="74"/>
      <c r="B231" s="74"/>
      <c r="C231" s="12"/>
      <c r="D231" s="74"/>
      <c r="E231" s="74"/>
      <c r="F231" s="89"/>
      <c r="G231" s="89"/>
      <c r="H231" s="90"/>
      <c r="I231" s="90"/>
      <c r="J231" s="90"/>
      <c r="K231" s="90"/>
      <c r="L231" s="91"/>
      <c r="M231" s="73"/>
      <c r="N231" s="74"/>
      <c r="O231" s="74"/>
      <c r="P231" s="74"/>
      <c r="Q231" s="74"/>
    </row>
    <row r="232">
      <c r="A232" s="74"/>
      <c r="B232" s="74"/>
      <c r="C232" s="12"/>
      <c r="D232" s="74"/>
      <c r="E232" s="74"/>
      <c r="F232" s="89"/>
      <c r="G232" s="89"/>
      <c r="H232" s="90"/>
      <c r="I232" s="90"/>
      <c r="J232" s="90"/>
      <c r="K232" s="90"/>
      <c r="L232" s="91"/>
      <c r="M232" s="73"/>
      <c r="N232" s="74"/>
      <c r="O232" s="74"/>
      <c r="P232" s="74"/>
      <c r="Q232" s="74"/>
    </row>
    <row r="233">
      <c r="A233" s="74"/>
      <c r="B233" s="74"/>
      <c r="C233" s="12"/>
      <c r="D233" s="74"/>
      <c r="E233" s="74"/>
      <c r="F233" s="89"/>
      <c r="G233" s="89"/>
      <c r="H233" s="90"/>
      <c r="I233" s="90"/>
      <c r="J233" s="90"/>
      <c r="K233" s="90"/>
      <c r="L233" s="91"/>
      <c r="M233" s="73"/>
      <c r="N233" s="74"/>
      <c r="O233" s="74"/>
      <c r="P233" s="74"/>
      <c r="Q233" s="74"/>
    </row>
    <row r="234">
      <c r="A234" s="74"/>
      <c r="B234" s="74"/>
      <c r="C234" s="12"/>
      <c r="D234" s="74"/>
      <c r="E234" s="74"/>
      <c r="F234" s="89"/>
      <c r="G234" s="89"/>
      <c r="H234" s="90"/>
      <c r="I234" s="90"/>
      <c r="J234" s="90"/>
      <c r="K234" s="90"/>
      <c r="L234" s="91"/>
      <c r="M234" s="73"/>
      <c r="N234" s="74"/>
      <c r="O234" s="74"/>
      <c r="P234" s="74"/>
      <c r="Q234" s="74"/>
    </row>
    <row r="235">
      <c r="A235" s="74"/>
      <c r="B235" s="74"/>
      <c r="C235" s="12"/>
      <c r="D235" s="74"/>
      <c r="E235" s="74"/>
      <c r="F235" s="89"/>
      <c r="G235" s="89"/>
      <c r="H235" s="90"/>
      <c r="I235" s="90"/>
      <c r="J235" s="90"/>
      <c r="K235" s="90"/>
      <c r="L235" s="91"/>
      <c r="M235" s="73"/>
      <c r="N235" s="74"/>
      <c r="O235" s="74"/>
      <c r="P235" s="74"/>
      <c r="Q235" s="74"/>
    </row>
    <row r="236">
      <c r="A236" s="74"/>
      <c r="B236" s="74"/>
      <c r="C236" s="12"/>
      <c r="D236" s="74"/>
      <c r="E236" s="74"/>
      <c r="F236" s="89"/>
      <c r="G236" s="89"/>
      <c r="H236" s="90"/>
      <c r="I236" s="90"/>
      <c r="J236" s="90"/>
      <c r="K236" s="90"/>
      <c r="L236" s="91"/>
      <c r="M236" s="73"/>
      <c r="N236" s="74"/>
      <c r="O236" s="74"/>
      <c r="P236" s="74"/>
      <c r="Q236" s="74"/>
    </row>
    <row r="237">
      <c r="A237" s="74"/>
      <c r="B237" s="74"/>
      <c r="C237" s="12"/>
      <c r="D237" s="74"/>
      <c r="E237" s="74"/>
      <c r="F237" s="89"/>
      <c r="G237" s="89"/>
      <c r="H237" s="90"/>
      <c r="I237" s="90"/>
      <c r="J237" s="90"/>
      <c r="K237" s="90"/>
      <c r="L237" s="91"/>
      <c r="M237" s="73"/>
      <c r="N237" s="74"/>
      <c r="O237" s="74"/>
      <c r="P237" s="74"/>
      <c r="Q237" s="74"/>
    </row>
    <row r="238">
      <c r="A238" s="74"/>
      <c r="B238" s="74"/>
      <c r="C238" s="12"/>
      <c r="D238" s="74"/>
      <c r="E238" s="74"/>
      <c r="F238" s="89"/>
      <c r="G238" s="89"/>
      <c r="H238" s="90"/>
      <c r="I238" s="90"/>
      <c r="J238" s="90"/>
      <c r="K238" s="90"/>
      <c r="L238" s="91"/>
      <c r="M238" s="73"/>
      <c r="N238" s="74"/>
      <c r="O238" s="74"/>
      <c r="P238" s="74"/>
      <c r="Q238" s="74"/>
    </row>
    <row r="239">
      <c r="A239" s="74"/>
      <c r="B239" s="74"/>
      <c r="C239" s="12"/>
      <c r="D239" s="74"/>
      <c r="E239" s="74"/>
      <c r="F239" s="89"/>
      <c r="G239" s="89"/>
      <c r="H239" s="90"/>
      <c r="I239" s="90"/>
      <c r="J239" s="90"/>
      <c r="K239" s="90"/>
      <c r="L239" s="91"/>
      <c r="M239" s="73"/>
      <c r="N239" s="74"/>
      <c r="O239" s="74"/>
      <c r="P239" s="74"/>
      <c r="Q239" s="74"/>
    </row>
    <row r="240">
      <c r="A240" s="74"/>
      <c r="B240" s="74"/>
      <c r="C240" s="12"/>
      <c r="D240" s="74"/>
      <c r="E240" s="74"/>
      <c r="F240" s="89"/>
      <c r="G240" s="89"/>
      <c r="H240" s="90"/>
      <c r="I240" s="90"/>
      <c r="J240" s="90"/>
      <c r="K240" s="90"/>
      <c r="L240" s="91"/>
      <c r="M240" s="73"/>
      <c r="N240" s="74"/>
      <c r="O240" s="74"/>
      <c r="P240" s="74"/>
      <c r="Q240" s="74"/>
    </row>
    <row r="241">
      <c r="A241" s="74"/>
      <c r="B241" s="74"/>
      <c r="C241" s="12"/>
      <c r="D241" s="74"/>
      <c r="E241" s="74"/>
      <c r="F241" s="89"/>
      <c r="G241" s="89"/>
      <c r="H241" s="90"/>
      <c r="I241" s="90"/>
      <c r="J241" s="90"/>
      <c r="K241" s="90"/>
      <c r="L241" s="91"/>
      <c r="M241" s="73"/>
      <c r="N241" s="74"/>
      <c r="O241" s="74"/>
      <c r="P241" s="74"/>
      <c r="Q241" s="74"/>
    </row>
    <row r="242">
      <c r="A242" s="74"/>
      <c r="B242" s="74"/>
      <c r="C242" s="12"/>
      <c r="D242" s="74"/>
      <c r="E242" s="74"/>
      <c r="F242" s="89"/>
      <c r="G242" s="89"/>
      <c r="H242" s="90"/>
      <c r="I242" s="90"/>
      <c r="J242" s="90"/>
      <c r="K242" s="90"/>
      <c r="L242" s="91"/>
      <c r="M242" s="73"/>
      <c r="N242" s="74"/>
      <c r="O242" s="74"/>
      <c r="P242" s="74"/>
      <c r="Q242" s="74"/>
    </row>
    <row r="243">
      <c r="A243" s="74"/>
      <c r="B243" s="74"/>
      <c r="C243" s="12"/>
      <c r="D243" s="74"/>
      <c r="E243" s="74"/>
      <c r="F243" s="89"/>
      <c r="G243" s="89"/>
      <c r="H243" s="90"/>
      <c r="I243" s="90"/>
      <c r="J243" s="90"/>
      <c r="K243" s="90"/>
      <c r="L243" s="91"/>
      <c r="M243" s="73"/>
      <c r="N243" s="74"/>
      <c r="O243" s="74"/>
      <c r="P243" s="74"/>
      <c r="Q243" s="74"/>
    </row>
    <row r="244">
      <c r="A244" s="74"/>
      <c r="B244" s="74"/>
      <c r="C244" s="12"/>
      <c r="D244" s="74"/>
      <c r="E244" s="74"/>
      <c r="F244" s="89"/>
      <c r="G244" s="89"/>
      <c r="H244" s="90"/>
      <c r="I244" s="90"/>
      <c r="J244" s="90"/>
      <c r="K244" s="90"/>
      <c r="L244" s="91"/>
      <c r="M244" s="73"/>
      <c r="N244" s="74"/>
      <c r="O244" s="74"/>
      <c r="P244" s="74"/>
      <c r="Q244" s="74"/>
    </row>
    <row r="245">
      <c r="A245" s="74"/>
      <c r="B245" s="74"/>
      <c r="C245" s="12"/>
      <c r="D245" s="74"/>
      <c r="E245" s="74"/>
      <c r="F245" s="89"/>
      <c r="G245" s="89"/>
      <c r="H245" s="90"/>
      <c r="I245" s="90"/>
      <c r="J245" s="90"/>
      <c r="K245" s="90"/>
      <c r="L245" s="91"/>
      <c r="M245" s="73"/>
      <c r="N245" s="74"/>
      <c r="O245" s="74"/>
      <c r="P245" s="74"/>
      <c r="Q245" s="74"/>
    </row>
    <row r="246">
      <c r="A246" s="74"/>
      <c r="B246" s="74"/>
      <c r="C246" s="12"/>
      <c r="D246" s="74"/>
      <c r="E246" s="74"/>
      <c r="F246" s="89"/>
      <c r="G246" s="89"/>
      <c r="H246" s="90"/>
      <c r="I246" s="90"/>
      <c r="J246" s="90"/>
      <c r="K246" s="90"/>
      <c r="L246" s="91"/>
      <c r="M246" s="73"/>
      <c r="N246" s="74"/>
      <c r="O246" s="74"/>
      <c r="P246" s="74"/>
      <c r="Q246" s="74"/>
    </row>
    <row r="247">
      <c r="A247" s="74"/>
      <c r="B247" s="74"/>
      <c r="C247" s="12"/>
      <c r="D247" s="74"/>
      <c r="E247" s="74"/>
      <c r="F247" s="89"/>
      <c r="G247" s="89"/>
      <c r="H247" s="90"/>
      <c r="I247" s="90"/>
      <c r="J247" s="90"/>
      <c r="K247" s="90"/>
      <c r="L247" s="91"/>
      <c r="M247" s="73"/>
      <c r="N247" s="74"/>
      <c r="O247" s="74"/>
      <c r="P247" s="74"/>
      <c r="Q247" s="74"/>
    </row>
    <row r="248">
      <c r="A248" s="74"/>
      <c r="B248" s="74"/>
      <c r="C248" s="12"/>
      <c r="D248" s="74"/>
      <c r="E248" s="74"/>
      <c r="F248" s="89"/>
      <c r="G248" s="89"/>
      <c r="H248" s="90"/>
      <c r="I248" s="90"/>
      <c r="J248" s="90"/>
      <c r="K248" s="90"/>
      <c r="L248" s="91"/>
      <c r="M248" s="73"/>
      <c r="N248" s="74"/>
      <c r="O248" s="74"/>
      <c r="P248" s="74"/>
      <c r="Q248" s="74"/>
    </row>
    <row r="249">
      <c r="A249" s="74"/>
      <c r="B249" s="74"/>
      <c r="C249" s="12"/>
      <c r="D249" s="74"/>
      <c r="E249" s="74"/>
      <c r="F249" s="89"/>
      <c r="G249" s="89"/>
      <c r="H249" s="90"/>
      <c r="I249" s="90"/>
      <c r="J249" s="90"/>
      <c r="K249" s="90"/>
      <c r="L249" s="91"/>
      <c r="M249" s="73"/>
      <c r="N249" s="74"/>
      <c r="O249" s="74"/>
      <c r="P249" s="74"/>
      <c r="Q249" s="74"/>
    </row>
    <row r="250">
      <c r="A250" s="74"/>
      <c r="B250" s="74"/>
      <c r="C250" s="12"/>
      <c r="D250" s="74"/>
      <c r="E250" s="74"/>
      <c r="F250" s="89"/>
      <c r="G250" s="89"/>
      <c r="H250" s="90"/>
      <c r="I250" s="90"/>
      <c r="J250" s="90"/>
      <c r="K250" s="90"/>
      <c r="L250" s="91"/>
      <c r="M250" s="73"/>
      <c r="N250" s="74"/>
      <c r="O250" s="74"/>
      <c r="P250" s="74"/>
      <c r="Q250" s="74"/>
    </row>
    <row r="251">
      <c r="A251" s="74"/>
      <c r="B251" s="74"/>
      <c r="C251" s="12"/>
      <c r="D251" s="74"/>
      <c r="E251" s="74"/>
      <c r="F251" s="89"/>
      <c r="G251" s="89"/>
      <c r="H251" s="90"/>
      <c r="I251" s="90"/>
      <c r="J251" s="90"/>
      <c r="K251" s="90"/>
      <c r="L251" s="91"/>
      <c r="M251" s="73"/>
      <c r="N251" s="74"/>
      <c r="O251" s="74"/>
      <c r="P251" s="74"/>
      <c r="Q251" s="74"/>
    </row>
    <row r="252">
      <c r="A252" s="74"/>
      <c r="B252" s="74"/>
      <c r="C252" s="12"/>
      <c r="D252" s="74"/>
      <c r="E252" s="74"/>
      <c r="F252" s="89"/>
      <c r="G252" s="89"/>
      <c r="H252" s="90"/>
      <c r="I252" s="90"/>
      <c r="J252" s="90"/>
      <c r="K252" s="90"/>
      <c r="L252" s="91"/>
      <c r="M252" s="73"/>
      <c r="N252" s="74"/>
      <c r="O252" s="74"/>
      <c r="P252" s="74"/>
      <c r="Q252" s="74"/>
    </row>
    <row r="253">
      <c r="A253" s="74"/>
      <c r="B253" s="74"/>
      <c r="C253" s="12"/>
      <c r="D253" s="74"/>
      <c r="E253" s="74"/>
      <c r="F253" s="89"/>
      <c r="G253" s="89"/>
      <c r="H253" s="90"/>
      <c r="I253" s="90"/>
      <c r="J253" s="90"/>
      <c r="K253" s="90"/>
      <c r="L253" s="91"/>
      <c r="M253" s="73"/>
      <c r="N253" s="74"/>
      <c r="O253" s="74"/>
      <c r="P253" s="74"/>
      <c r="Q253" s="74"/>
    </row>
    <row r="254">
      <c r="A254" s="74"/>
      <c r="B254" s="74"/>
      <c r="C254" s="12"/>
      <c r="D254" s="74"/>
      <c r="E254" s="74"/>
      <c r="F254" s="89"/>
      <c r="G254" s="89"/>
      <c r="H254" s="90"/>
      <c r="I254" s="90"/>
      <c r="J254" s="90"/>
      <c r="K254" s="90"/>
      <c r="L254" s="91"/>
      <c r="M254" s="73"/>
      <c r="N254" s="74"/>
      <c r="O254" s="74"/>
      <c r="P254" s="74"/>
      <c r="Q254" s="74"/>
    </row>
    <row r="255">
      <c r="A255" s="74"/>
      <c r="B255" s="74"/>
      <c r="C255" s="12"/>
      <c r="D255" s="74"/>
      <c r="E255" s="74"/>
      <c r="F255" s="89"/>
      <c r="G255" s="89"/>
      <c r="H255" s="90"/>
      <c r="I255" s="90"/>
      <c r="J255" s="90"/>
      <c r="K255" s="90"/>
      <c r="L255" s="91"/>
      <c r="M255" s="73"/>
      <c r="N255" s="74"/>
      <c r="O255" s="74"/>
      <c r="P255" s="74"/>
      <c r="Q255" s="74"/>
    </row>
    <row r="256">
      <c r="A256" s="74"/>
      <c r="B256" s="74"/>
      <c r="C256" s="12"/>
      <c r="D256" s="74"/>
      <c r="E256" s="74"/>
      <c r="F256" s="89"/>
      <c r="G256" s="89"/>
      <c r="H256" s="90"/>
      <c r="I256" s="90"/>
      <c r="J256" s="90"/>
      <c r="K256" s="90"/>
      <c r="L256" s="91"/>
      <c r="M256" s="73"/>
      <c r="N256" s="74"/>
      <c r="O256" s="74"/>
      <c r="P256" s="74"/>
      <c r="Q256" s="74"/>
    </row>
    <row r="257">
      <c r="A257" s="74"/>
      <c r="B257" s="74"/>
      <c r="C257" s="12"/>
      <c r="D257" s="74"/>
      <c r="E257" s="74"/>
      <c r="F257" s="89"/>
      <c r="G257" s="89"/>
      <c r="H257" s="90"/>
      <c r="I257" s="90"/>
      <c r="J257" s="90"/>
      <c r="K257" s="90"/>
      <c r="L257" s="91"/>
      <c r="M257" s="73"/>
      <c r="N257" s="74"/>
      <c r="O257" s="74"/>
      <c r="P257" s="74"/>
      <c r="Q257" s="74"/>
    </row>
    <row r="258">
      <c r="A258" s="74"/>
      <c r="B258" s="74"/>
      <c r="C258" s="12"/>
      <c r="D258" s="74"/>
      <c r="E258" s="74"/>
      <c r="F258" s="89"/>
      <c r="G258" s="89"/>
      <c r="H258" s="90"/>
      <c r="I258" s="90"/>
      <c r="J258" s="90"/>
      <c r="K258" s="90"/>
      <c r="L258" s="91"/>
      <c r="M258" s="73"/>
      <c r="N258" s="74"/>
      <c r="O258" s="74"/>
      <c r="P258" s="74"/>
      <c r="Q258" s="74"/>
    </row>
    <row r="259">
      <c r="A259" s="74"/>
      <c r="B259" s="74"/>
      <c r="C259" s="12"/>
      <c r="D259" s="74"/>
      <c r="E259" s="74"/>
      <c r="F259" s="89"/>
      <c r="G259" s="89"/>
      <c r="H259" s="90"/>
      <c r="I259" s="90"/>
      <c r="J259" s="90"/>
      <c r="K259" s="90"/>
      <c r="L259" s="91"/>
      <c r="M259" s="73"/>
      <c r="N259" s="74"/>
      <c r="O259" s="74"/>
      <c r="P259" s="74"/>
      <c r="Q259" s="74"/>
    </row>
    <row r="260">
      <c r="A260" s="74"/>
      <c r="B260" s="74"/>
      <c r="C260" s="12"/>
      <c r="D260" s="74"/>
      <c r="E260" s="74"/>
      <c r="F260" s="89"/>
      <c r="G260" s="89"/>
      <c r="H260" s="90"/>
      <c r="I260" s="90"/>
      <c r="J260" s="90"/>
      <c r="K260" s="90"/>
      <c r="L260" s="91"/>
      <c r="M260" s="73"/>
      <c r="N260" s="74"/>
      <c r="O260" s="74"/>
      <c r="P260" s="74"/>
      <c r="Q260" s="74"/>
    </row>
    <row r="261">
      <c r="A261" s="74"/>
      <c r="B261" s="74"/>
      <c r="C261" s="12"/>
      <c r="D261" s="74"/>
      <c r="E261" s="74"/>
      <c r="F261" s="89"/>
      <c r="G261" s="89"/>
      <c r="H261" s="90"/>
      <c r="I261" s="90"/>
      <c r="J261" s="90"/>
      <c r="K261" s="90"/>
      <c r="L261" s="91"/>
      <c r="M261" s="73"/>
      <c r="N261" s="74"/>
      <c r="O261" s="74"/>
      <c r="P261" s="74"/>
      <c r="Q261" s="74"/>
    </row>
    <row r="262">
      <c r="A262" s="74"/>
      <c r="B262" s="74"/>
      <c r="C262" s="12"/>
      <c r="D262" s="74"/>
      <c r="E262" s="74"/>
      <c r="F262" s="89"/>
      <c r="G262" s="89"/>
      <c r="H262" s="90"/>
      <c r="I262" s="90"/>
      <c r="J262" s="90"/>
      <c r="K262" s="90"/>
      <c r="L262" s="91"/>
      <c r="M262" s="73"/>
      <c r="N262" s="74"/>
      <c r="O262" s="74"/>
      <c r="P262" s="74"/>
      <c r="Q262" s="74"/>
    </row>
    <row r="263">
      <c r="A263" s="74"/>
      <c r="B263" s="74"/>
      <c r="C263" s="12"/>
      <c r="D263" s="74"/>
      <c r="E263" s="74"/>
      <c r="F263" s="89"/>
      <c r="G263" s="89"/>
      <c r="H263" s="90"/>
      <c r="I263" s="90"/>
      <c r="J263" s="90"/>
      <c r="K263" s="90"/>
      <c r="L263" s="91"/>
      <c r="M263" s="73"/>
      <c r="N263" s="74"/>
      <c r="O263" s="74"/>
      <c r="P263" s="74"/>
      <c r="Q263" s="74"/>
    </row>
    <row r="264">
      <c r="A264" s="74"/>
      <c r="B264" s="74"/>
      <c r="C264" s="12"/>
      <c r="D264" s="74"/>
      <c r="E264" s="74"/>
      <c r="F264" s="89"/>
      <c r="G264" s="89"/>
      <c r="H264" s="90"/>
      <c r="I264" s="90"/>
      <c r="J264" s="90"/>
      <c r="K264" s="90"/>
      <c r="L264" s="91"/>
      <c r="M264" s="73"/>
      <c r="N264" s="74"/>
      <c r="O264" s="74"/>
      <c r="P264" s="74"/>
      <c r="Q264" s="74"/>
    </row>
    <row r="265">
      <c r="A265" s="74"/>
      <c r="B265" s="74"/>
      <c r="C265" s="12"/>
      <c r="D265" s="74"/>
      <c r="E265" s="74"/>
      <c r="F265" s="89"/>
      <c r="G265" s="89"/>
      <c r="H265" s="90"/>
      <c r="I265" s="90"/>
      <c r="J265" s="90"/>
      <c r="K265" s="90"/>
      <c r="L265" s="91"/>
      <c r="M265" s="73"/>
      <c r="N265" s="74"/>
      <c r="O265" s="74"/>
      <c r="P265" s="74"/>
      <c r="Q265" s="74"/>
    </row>
    <row r="266">
      <c r="A266" s="74"/>
      <c r="B266" s="74"/>
      <c r="C266" s="12"/>
      <c r="D266" s="74"/>
      <c r="E266" s="74"/>
      <c r="F266" s="89"/>
      <c r="G266" s="89"/>
      <c r="H266" s="90"/>
      <c r="I266" s="90"/>
      <c r="J266" s="90"/>
      <c r="K266" s="90"/>
      <c r="L266" s="91"/>
      <c r="M266" s="73"/>
      <c r="N266" s="74"/>
      <c r="O266" s="74"/>
      <c r="P266" s="74"/>
      <c r="Q266" s="74"/>
    </row>
    <row r="267">
      <c r="A267" s="74"/>
      <c r="B267" s="74"/>
      <c r="C267" s="12"/>
      <c r="D267" s="74"/>
      <c r="E267" s="74"/>
      <c r="F267" s="89"/>
      <c r="G267" s="89"/>
      <c r="H267" s="90"/>
      <c r="I267" s="90"/>
      <c r="J267" s="90"/>
      <c r="K267" s="90"/>
      <c r="L267" s="91"/>
      <c r="M267" s="73"/>
      <c r="N267" s="74"/>
      <c r="O267" s="74"/>
      <c r="P267" s="74"/>
      <c r="Q267" s="74"/>
    </row>
    <row r="268">
      <c r="A268" s="74"/>
      <c r="B268" s="74"/>
      <c r="C268" s="12"/>
      <c r="D268" s="74"/>
      <c r="E268" s="74"/>
      <c r="F268" s="89"/>
      <c r="G268" s="89"/>
      <c r="H268" s="90"/>
      <c r="I268" s="90"/>
      <c r="J268" s="90"/>
      <c r="K268" s="90"/>
      <c r="L268" s="91"/>
      <c r="M268" s="73"/>
      <c r="N268" s="74"/>
      <c r="O268" s="74"/>
      <c r="P268" s="74"/>
      <c r="Q268" s="74"/>
    </row>
    <row r="269">
      <c r="A269" s="74"/>
      <c r="B269" s="74"/>
      <c r="C269" s="12"/>
      <c r="D269" s="74"/>
      <c r="E269" s="74"/>
      <c r="F269" s="89"/>
      <c r="G269" s="89"/>
      <c r="H269" s="90"/>
      <c r="I269" s="90"/>
      <c r="J269" s="90"/>
      <c r="K269" s="90"/>
      <c r="L269" s="91"/>
      <c r="M269" s="73"/>
      <c r="N269" s="74"/>
      <c r="O269" s="74"/>
      <c r="P269" s="74"/>
      <c r="Q269" s="74"/>
    </row>
    <row r="270">
      <c r="A270" s="74"/>
      <c r="B270" s="74"/>
      <c r="C270" s="12"/>
      <c r="D270" s="74"/>
      <c r="E270" s="74"/>
      <c r="F270" s="89"/>
      <c r="G270" s="89"/>
      <c r="H270" s="90"/>
      <c r="I270" s="90"/>
      <c r="J270" s="90"/>
      <c r="K270" s="90"/>
      <c r="L270" s="91"/>
      <c r="M270" s="73"/>
      <c r="N270" s="74"/>
      <c r="O270" s="74"/>
      <c r="P270" s="74"/>
      <c r="Q270" s="74"/>
    </row>
    <row r="271">
      <c r="A271" s="74"/>
      <c r="B271" s="74"/>
      <c r="C271" s="12"/>
      <c r="D271" s="74"/>
      <c r="E271" s="74"/>
      <c r="F271" s="89"/>
      <c r="G271" s="89"/>
      <c r="H271" s="90"/>
      <c r="I271" s="90"/>
      <c r="J271" s="90"/>
      <c r="K271" s="90"/>
      <c r="L271" s="91"/>
      <c r="M271" s="73"/>
      <c r="N271" s="74"/>
      <c r="O271" s="74"/>
      <c r="P271" s="74"/>
      <c r="Q271" s="74"/>
    </row>
    <row r="272">
      <c r="A272" s="74"/>
      <c r="B272" s="74"/>
      <c r="C272" s="12"/>
      <c r="D272" s="74"/>
      <c r="E272" s="74"/>
      <c r="F272" s="89"/>
      <c r="G272" s="89"/>
      <c r="H272" s="90"/>
      <c r="I272" s="90"/>
      <c r="J272" s="90"/>
      <c r="K272" s="90"/>
      <c r="L272" s="91"/>
      <c r="M272" s="73"/>
      <c r="N272" s="74"/>
      <c r="O272" s="74"/>
      <c r="P272" s="74"/>
      <c r="Q272" s="74"/>
    </row>
    <row r="273">
      <c r="A273" s="74"/>
      <c r="B273" s="74"/>
      <c r="C273" s="12"/>
      <c r="D273" s="74"/>
      <c r="E273" s="74"/>
      <c r="F273" s="89"/>
      <c r="G273" s="89"/>
      <c r="H273" s="90"/>
      <c r="I273" s="90"/>
      <c r="J273" s="90"/>
      <c r="K273" s="90"/>
      <c r="L273" s="91"/>
      <c r="M273" s="73"/>
      <c r="N273" s="74"/>
      <c r="O273" s="74"/>
      <c r="P273" s="74"/>
      <c r="Q273" s="74"/>
    </row>
    <row r="274">
      <c r="A274" s="74"/>
      <c r="B274" s="74"/>
      <c r="C274" s="12"/>
      <c r="D274" s="74"/>
      <c r="E274" s="74"/>
      <c r="F274" s="89"/>
      <c r="G274" s="89"/>
      <c r="H274" s="90"/>
      <c r="I274" s="90"/>
      <c r="J274" s="90"/>
      <c r="K274" s="90"/>
      <c r="L274" s="91"/>
      <c r="M274" s="73"/>
      <c r="N274" s="74"/>
      <c r="O274" s="74"/>
      <c r="P274" s="74"/>
      <c r="Q274" s="74"/>
    </row>
    <row r="275">
      <c r="A275" s="74"/>
      <c r="B275" s="74"/>
      <c r="C275" s="12"/>
      <c r="D275" s="74"/>
      <c r="E275" s="74"/>
      <c r="F275" s="89"/>
      <c r="G275" s="89"/>
      <c r="H275" s="90"/>
      <c r="I275" s="90"/>
      <c r="J275" s="90"/>
      <c r="K275" s="90"/>
      <c r="L275" s="91"/>
      <c r="M275" s="73"/>
      <c r="N275" s="74"/>
      <c r="O275" s="74"/>
      <c r="P275" s="74"/>
      <c r="Q275" s="74"/>
    </row>
    <row r="276">
      <c r="A276" s="74"/>
      <c r="B276" s="74"/>
      <c r="C276" s="12"/>
      <c r="D276" s="74"/>
      <c r="E276" s="74"/>
      <c r="F276" s="89"/>
      <c r="G276" s="89"/>
      <c r="H276" s="90"/>
      <c r="I276" s="90"/>
      <c r="J276" s="90"/>
      <c r="K276" s="90"/>
      <c r="L276" s="91"/>
      <c r="M276" s="73"/>
      <c r="N276" s="74"/>
      <c r="O276" s="74"/>
      <c r="P276" s="74"/>
      <c r="Q276" s="74"/>
    </row>
    <row r="277">
      <c r="A277" s="74"/>
      <c r="B277" s="74"/>
      <c r="C277" s="12"/>
      <c r="D277" s="74"/>
      <c r="E277" s="74"/>
      <c r="F277" s="89"/>
      <c r="G277" s="89"/>
      <c r="H277" s="90"/>
      <c r="I277" s="90"/>
      <c r="J277" s="90"/>
      <c r="K277" s="90"/>
      <c r="L277" s="91"/>
      <c r="M277" s="73"/>
      <c r="N277" s="74"/>
      <c r="O277" s="74"/>
      <c r="P277" s="74"/>
      <c r="Q277" s="74"/>
    </row>
    <row r="278">
      <c r="A278" s="74"/>
      <c r="B278" s="74"/>
      <c r="C278" s="12"/>
      <c r="D278" s="74"/>
      <c r="E278" s="74"/>
      <c r="F278" s="89"/>
      <c r="G278" s="89"/>
      <c r="H278" s="90"/>
      <c r="I278" s="90"/>
      <c r="J278" s="90"/>
      <c r="K278" s="90"/>
      <c r="L278" s="91"/>
      <c r="M278" s="73"/>
      <c r="N278" s="74"/>
      <c r="O278" s="74"/>
      <c r="P278" s="74"/>
      <c r="Q278" s="74"/>
    </row>
    <row r="279">
      <c r="A279" s="74"/>
      <c r="B279" s="74"/>
      <c r="C279" s="12"/>
      <c r="D279" s="74"/>
      <c r="E279" s="74"/>
      <c r="F279" s="89"/>
      <c r="G279" s="89"/>
      <c r="H279" s="90"/>
      <c r="I279" s="90"/>
      <c r="J279" s="90"/>
      <c r="K279" s="90"/>
      <c r="L279" s="91"/>
      <c r="M279" s="73"/>
      <c r="N279" s="74"/>
      <c r="O279" s="74"/>
      <c r="P279" s="74"/>
      <c r="Q279" s="74"/>
    </row>
    <row r="280">
      <c r="A280" s="74"/>
      <c r="B280" s="74"/>
      <c r="C280" s="12"/>
      <c r="D280" s="74"/>
      <c r="E280" s="74"/>
      <c r="F280" s="89"/>
      <c r="G280" s="89"/>
      <c r="H280" s="90"/>
      <c r="I280" s="90"/>
      <c r="J280" s="90"/>
      <c r="K280" s="90"/>
      <c r="L280" s="91"/>
      <c r="M280" s="73"/>
      <c r="N280" s="74"/>
      <c r="O280" s="74"/>
      <c r="P280" s="74"/>
      <c r="Q280" s="74"/>
    </row>
    <row r="281">
      <c r="A281" s="74"/>
      <c r="B281" s="74"/>
      <c r="C281" s="12"/>
      <c r="D281" s="74"/>
      <c r="E281" s="74"/>
      <c r="F281" s="89"/>
      <c r="G281" s="89"/>
      <c r="H281" s="90"/>
      <c r="I281" s="90"/>
      <c r="J281" s="90"/>
      <c r="K281" s="90"/>
      <c r="L281" s="91"/>
      <c r="M281" s="73"/>
      <c r="N281" s="74"/>
      <c r="O281" s="74"/>
      <c r="P281" s="74"/>
      <c r="Q281" s="74"/>
    </row>
    <row r="282">
      <c r="A282" s="74"/>
      <c r="B282" s="74"/>
      <c r="C282" s="12"/>
      <c r="D282" s="74"/>
      <c r="E282" s="74"/>
      <c r="F282" s="89"/>
      <c r="G282" s="89"/>
      <c r="H282" s="90"/>
      <c r="I282" s="90"/>
      <c r="J282" s="90"/>
      <c r="K282" s="90"/>
      <c r="L282" s="91"/>
      <c r="M282" s="73"/>
      <c r="N282" s="74"/>
      <c r="O282" s="74"/>
      <c r="P282" s="74"/>
      <c r="Q282" s="74"/>
    </row>
    <row r="283">
      <c r="A283" s="74"/>
      <c r="B283" s="74"/>
      <c r="C283" s="12"/>
      <c r="D283" s="74"/>
      <c r="E283" s="74"/>
      <c r="F283" s="89"/>
      <c r="G283" s="89"/>
      <c r="H283" s="90"/>
      <c r="I283" s="90"/>
      <c r="J283" s="90"/>
      <c r="K283" s="90"/>
      <c r="L283" s="91"/>
      <c r="M283" s="73"/>
      <c r="N283" s="74"/>
      <c r="O283" s="74"/>
      <c r="P283" s="74"/>
      <c r="Q283" s="74"/>
    </row>
    <row r="284">
      <c r="A284" s="74"/>
      <c r="B284" s="74"/>
      <c r="C284" s="12"/>
      <c r="D284" s="74"/>
      <c r="E284" s="74"/>
      <c r="F284" s="89"/>
      <c r="G284" s="89"/>
      <c r="H284" s="90"/>
      <c r="I284" s="90"/>
      <c r="J284" s="90"/>
      <c r="K284" s="90"/>
      <c r="L284" s="91"/>
      <c r="M284" s="73"/>
      <c r="N284" s="74"/>
      <c r="O284" s="74"/>
      <c r="P284" s="74"/>
      <c r="Q284" s="74"/>
    </row>
    <row r="285">
      <c r="A285" s="74"/>
      <c r="B285" s="74"/>
      <c r="C285" s="12"/>
      <c r="D285" s="74"/>
      <c r="E285" s="74"/>
      <c r="F285" s="89"/>
      <c r="G285" s="89"/>
      <c r="H285" s="90"/>
      <c r="I285" s="90"/>
      <c r="J285" s="90"/>
      <c r="K285" s="90"/>
      <c r="L285" s="91"/>
      <c r="M285" s="73"/>
      <c r="N285" s="74"/>
      <c r="O285" s="74"/>
      <c r="P285" s="74"/>
      <c r="Q285" s="74"/>
    </row>
    <row r="286">
      <c r="A286" s="74"/>
      <c r="B286" s="74"/>
      <c r="C286" s="12"/>
      <c r="D286" s="74"/>
      <c r="E286" s="74"/>
      <c r="F286" s="89"/>
      <c r="G286" s="89"/>
      <c r="H286" s="90"/>
      <c r="I286" s="90"/>
      <c r="J286" s="90"/>
      <c r="K286" s="90"/>
      <c r="L286" s="91"/>
      <c r="M286" s="73"/>
      <c r="N286" s="74"/>
      <c r="O286" s="74"/>
      <c r="P286" s="74"/>
      <c r="Q286" s="74"/>
    </row>
    <row r="287">
      <c r="A287" s="74"/>
      <c r="B287" s="74"/>
      <c r="C287" s="12"/>
      <c r="D287" s="74"/>
      <c r="E287" s="74"/>
      <c r="F287" s="89"/>
      <c r="G287" s="89"/>
      <c r="H287" s="90"/>
      <c r="I287" s="90"/>
      <c r="J287" s="90"/>
      <c r="K287" s="90"/>
      <c r="L287" s="91"/>
      <c r="M287" s="73"/>
      <c r="N287" s="74"/>
      <c r="O287" s="74"/>
      <c r="P287" s="74"/>
      <c r="Q287" s="74"/>
    </row>
    <row r="288">
      <c r="A288" s="74"/>
      <c r="B288" s="74"/>
      <c r="C288" s="12"/>
      <c r="D288" s="74"/>
      <c r="E288" s="74"/>
      <c r="F288" s="89"/>
      <c r="G288" s="89"/>
      <c r="H288" s="90"/>
      <c r="I288" s="90"/>
      <c r="J288" s="90"/>
      <c r="K288" s="90"/>
      <c r="L288" s="91"/>
      <c r="M288" s="73"/>
      <c r="N288" s="74"/>
      <c r="O288" s="74"/>
      <c r="P288" s="74"/>
      <c r="Q288" s="74"/>
    </row>
    <row r="289">
      <c r="A289" s="74"/>
      <c r="B289" s="74"/>
      <c r="C289" s="12"/>
      <c r="D289" s="74"/>
      <c r="E289" s="74"/>
      <c r="F289" s="89"/>
      <c r="G289" s="89"/>
      <c r="H289" s="90"/>
      <c r="I289" s="90"/>
      <c r="J289" s="90"/>
      <c r="K289" s="90"/>
      <c r="L289" s="91"/>
      <c r="M289" s="73"/>
      <c r="N289" s="74"/>
      <c r="O289" s="74"/>
      <c r="P289" s="74"/>
      <c r="Q289" s="74"/>
    </row>
    <row r="290">
      <c r="A290" s="74"/>
      <c r="B290" s="74"/>
      <c r="C290" s="12"/>
      <c r="D290" s="74"/>
      <c r="E290" s="74"/>
      <c r="F290" s="89"/>
      <c r="G290" s="89"/>
      <c r="H290" s="90"/>
      <c r="I290" s="90"/>
      <c r="J290" s="90"/>
      <c r="K290" s="90"/>
      <c r="L290" s="91"/>
      <c r="M290" s="73"/>
      <c r="N290" s="74"/>
      <c r="O290" s="74"/>
      <c r="P290" s="74"/>
      <c r="Q290" s="74"/>
    </row>
    <row r="291">
      <c r="A291" s="74"/>
      <c r="B291" s="74"/>
      <c r="C291" s="12"/>
      <c r="D291" s="74"/>
      <c r="E291" s="74"/>
      <c r="F291" s="89"/>
      <c r="G291" s="89"/>
      <c r="H291" s="90"/>
      <c r="I291" s="90"/>
      <c r="J291" s="90"/>
      <c r="K291" s="90"/>
      <c r="L291" s="91"/>
      <c r="M291" s="73"/>
      <c r="N291" s="74"/>
      <c r="O291" s="74"/>
      <c r="P291" s="74"/>
      <c r="Q291" s="74"/>
    </row>
    <row r="292">
      <c r="A292" s="74"/>
      <c r="B292" s="74"/>
      <c r="C292" s="12"/>
      <c r="D292" s="74"/>
      <c r="E292" s="74"/>
      <c r="F292" s="89"/>
      <c r="G292" s="89"/>
      <c r="H292" s="90"/>
      <c r="I292" s="90"/>
      <c r="J292" s="90"/>
      <c r="K292" s="90"/>
      <c r="L292" s="91"/>
      <c r="M292" s="73"/>
      <c r="N292" s="74"/>
      <c r="O292" s="74"/>
      <c r="P292" s="74"/>
      <c r="Q292" s="74"/>
    </row>
    <row r="293">
      <c r="A293" s="74"/>
      <c r="B293" s="74"/>
      <c r="C293" s="12"/>
      <c r="D293" s="74"/>
      <c r="E293" s="74"/>
      <c r="F293" s="89"/>
      <c r="G293" s="89"/>
      <c r="H293" s="90"/>
      <c r="I293" s="90"/>
      <c r="J293" s="90"/>
      <c r="K293" s="90"/>
      <c r="L293" s="91"/>
      <c r="M293" s="73"/>
      <c r="N293" s="74"/>
      <c r="O293" s="74"/>
      <c r="P293" s="74"/>
      <c r="Q293" s="74"/>
    </row>
    <row r="294">
      <c r="A294" s="74"/>
      <c r="B294" s="74"/>
      <c r="C294" s="12"/>
      <c r="D294" s="74"/>
      <c r="E294" s="74"/>
      <c r="F294" s="89"/>
      <c r="G294" s="89"/>
      <c r="H294" s="90"/>
      <c r="I294" s="90"/>
      <c r="J294" s="90"/>
      <c r="K294" s="90"/>
      <c r="L294" s="91"/>
      <c r="M294" s="73"/>
      <c r="N294" s="74"/>
      <c r="O294" s="74"/>
      <c r="P294" s="74"/>
      <c r="Q294" s="74"/>
    </row>
    <row r="295">
      <c r="A295" s="74"/>
      <c r="B295" s="74"/>
      <c r="C295" s="12"/>
      <c r="D295" s="74"/>
      <c r="E295" s="74"/>
      <c r="F295" s="89"/>
      <c r="G295" s="89"/>
      <c r="H295" s="90"/>
      <c r="I295" s="90"/>
      <c r="J295" s="90"/>
      <c r="K295" s="90"/>
      <c r="L295" s="91"/>
      <c r="M295" s="73"/>
      <c r="N295" s="74"/>
      <c r="O295" s="74"/>
      <c r="P295" s="74"/>
      <c r="Q295" s="74"/>
    </row>
    <row r="296">
      <c r="A296" s="74"/>
      <c r="B296" s="74"/>
      <c r="C296" s="12"/>
      <c r="D296" s="74"/>
      <c r="E296" s="74"/>
      <c r="F296" s="89"/>
      <c r="G296" s="89"/>
      <c r="H296" s="90"/>
      <c r="I296" s="90"/>
      <c r="J296" s="90"/>
      <c r="K296" s="90"/>
      <c r="L296" s="91"/>
      <c r="M296" s="73"/>
      <c r="N296" s="74"/>
      <c r="O296" s="74"/>
      <c r="P296" s="74"/>
      <c r="Q296" s="74"/>
    </row>
    <row r="297">
      <c r="A297" s="74"/>
      <c r="B297" s="74"/>
      <c r="C297" s="12"/>
      <c r="D297" s="74"/>
      <c r="E297" s="74"/>
      <c r="F297" s="89"/>
      <c r="G297" s="89"/>
      <c r="H297" s="90"/>
      <c r="I297" s="90"/>
      <c r="J297" s="90"/>
      <c r="K297" s="90"/>
      <c r="L297" s="91"/>
      <c r="M297" s="73"/>
      <c r="N297" s="74"/>
      <c r="O297" s="74"/>
      <c r="P297" s="74"/>
      <c r="Q297" s="74"/>
    </row>
    <row r="298">
      <c r="A298" s="74"/>
      <c r="B298" s="74"/>
      <c r="C298" s="12"/>
      <c r="D298" s="74"/>
      <c r="E298" s="74"/>
      <c r="F298" s="89"/>
      <c r="G298" s="89"/>
      <c r="H298" s="90"/>
      <c r="I298" s="90"/>
      <c r="J298" s="90"/>
      <c r="K298" s="90"/>
      <c r="L298" s="91"/>
      <c r="M298" s="73"/>
      <c r="N298" s="74"/>
      <c r="O298" s="74"/>
      <c r="P298" s="74"/>
      <c r="Q298" s="74"/>
    </row>
    <row r="299">
      <c r="A299" s="74"/>
      <c r="B299" s="74"/>
      <c r="C299" s="12"/>
      <c r="D299" s="74"/>
      <c r="E299" s="74"/>
      <c r="F299" s="89"/>
      <c r="G299" s="89"/>
      <c r="H299" s="90"/>
      <c r="I299" s="90"/>
      <c r="J299" s="90"/>
      <c r="K299" s="90"/>
      <c r="L299" s="91"/>
      <c r="M299" s="73"/>
      <c r="N299" s="74"/>
      <c r="O299" s="74"/>
      <c r="P299" s="74"/>
      <c r="Q299" s="74"/>
    </row>
    <row r="300">
      <c r="A300" s="74"/>
      <c r="B300" s="74"/>
      <c r="C300" s="12"/>
      <c r="D300" s="74"/>
      <c r="E300" s="74"/>
      <c r="F300" s="89"/>
      <c r="G300" s="89"/>
      <c r="H300" s="90"/>
      <c r="I300" s="90"/>
      <c r="J300" s="90"/>
      <c r="K300" s="90"/>
      <c r="L300" s="91"/>
      <c r="M300" s="73"/>
      <c r="N300" s="74"/>
      <c r="O300" s="74"/>
      <c r="P300" s="74"/>
      <c r="Q300" s="74"/>
    </row>
    <row r="301">
      <c r="A301" s="74"/>
      <c r="B301" s="74"/>
      <c r="C301" s="12"/>
      <c r="D301" s="74"/>
      <c r="E301" s="74"/>
      <c r="F301" s="89"/>
      <c r="G301" s="89"/>
      <c r="H301" s="90"/>
      <c r="I301" s="90"/>
      <c r="J301" s="90"/>
      <c r="K301" s="90"/>
      <c r="L301" s="91"/>
      <c r="M301" s="73"/>
      <c r="N301" s="74"/>
      <c r="O301" s="74"/>
      <c r="P301" s="74"/>
      <c r="Q301" s="74"/>
    </row>
    <row r="302">
      <c r="A302" s="74"/>
      <c r="B302" s="74"/>
      <c r="C302" s="12"/>
      <c r="D302" s="74"/>
      <c r="E302" s="74"/>
      <c r="F302" s="89"/>
      <c r="G302" s="89"/>
      <c r="H302" s="90"/>
      <c r="I302" s="90"/>
      <c r="J302" s="90"/>
      <c r="K302" s="90"/>
      <c r="L302" s="91"/>
      <c r="M302" s="73"/>
      <c r="N302" s="74"/>
      <c r="O302" s="74"/>
      <c r="P302" s="74"/>
      <c r="Q302" s="74"/>
    </row>
    <row r="303">
      <c r="A303" s="74"/>
      <c r="B303" s="74"/>
      <c r="C303" s="12"/>
      <c r="D303" s="74"/>
      <c r="E303" s="74"/>
      <c r="F303" s="89"/>
      <c r="G303" s="89"/>
      <c r="H303" s="90"/>
      <c r="I303" s="90"/>
      <c r="J303" s="90"/>
      <c r="K303" s="90"/>
      <c r="L303" s="91"/>
      <c r="M303" s="73"/>
      <c r="N303" s="74"/>
      <c r="O303" s="74"/>
      <c r="P303" s="74"/>
      <c r="Q303" s="74"/>
    </row>
    <row r="304">
      <c r="A304" s="74"/>
      <c r="B304" s="74"/>
      <c r="C304" s="12"/>
      <c r="D304" s="74"/>
      <c r="E304" s="74"/>
      <c r="F304" s="89"/>
      <c r="G304" s="89"/>
      <c r="H304" s="90"/>
      <c r="I304" s="90"/>
      <c r="J304" s="90"/>
      <c r="K304" s="90"/>
      <c r="L304" s="91"/>
      <c r="M304" s="73"/>
      <c r="N304" s="74"/>
      <c r="O304" s="74"/>
      <c r="P304" s="74"/>
      <c r="Q304" s="74"/>
    </row>
    <row r="305">
      <c r="A305" s="74"/>
      <c r="B305" s="74"/>
      <c r="C305" s="12"/>
      <c r="D305" s="74"/>
      <c r="E305" s="74"/>
      <c r="F305" s="89"/>
      <c r="G305" s="89"/>
      <c r="H305" s="90"/>
      <c r="I305" s="90"/>
      <c r="J305" s="90"/>
      <c r="K305" s="90"/>
      <c r="L305" s="91"/>
      <c r="M305" s="73"/>
      <c r="N305" s="74"/>
      <c r="O305" s="74"/>
      <c r="P305" s="74"/>
      <c r="Q305" s="74"/>
    </row>
    <row r="306">
      <c r="A306" s="74"/>
      <c r="B306" s="74"/>
      <c r="C306" s="12"/>
      <c r="D306" s="74"/>
      <c r="E306" s="74"/>
      <c r="F306" s="89"/>
      <c r="G306" s="89"/>
      <c r="H306" s="90"/>
      <c r="I306" s="90"/>
      <c r="J306" s="90"/>
      <c r="K306" s="90"/>
      <c r="L306" s="91"/>
      <c r="M306" s="73"/>
      <c r="N306" s="74"/>
      <c r="O306" s="74"/>
      <c r="P306" s="74"/>
      <c r="Q306" s="74"/>
    </row>
    <row r="307">
      <c r="A307" s="74"/>
      <c r="B307" s="74"/>
      <c r="C307" s="12"/>
      <c r="D307" s="74"/>
      <c r="E307" s="74"/>
      <c r="F307" s="89"/>
      <c r="G307" s="89"/>
      <c r="H307" s="90"/>
      <c r="I307" s="90"/>
      <c r="J307" s="90"/>
      <c r="K307" s="90"/>
      <c r="L307" s="91"/>
      <c r="M307" s="73"/>
      <c r="N307" s="74"/>
      <c r="O307" s="74"/>
      <c r="P307" s="74"/>
      <c r="Q307" s="74"/>
    </row>
    <row r="308">
      <c r="A308" s="74"/>
      <c r="B308" s="74"/>
      <c r="C308" s="12"/>
      <c r="D308" s="74"/>
      <c r="E308" s="74"/>
      <c r="F308" s="89"/>
      <c r="G308" s="89"/>
      <c r="H308" s="90"/>
      <c r="I308" s="90"/>
      <c r="J308" s="90"/>
      <c r="K308" s="90"/>
      <c r="L308" s="91"/>
      <c r="M308" s="73"/>
      <c r="N308" s="74"/>
      <c r="O308" s="74"/>
      <c r="P308" s="74"/>
      <c r="Q308" s="74"/>
    </row>
    <row r="309">
      <c r="A309" s="74"/>
      <c r="B309" s="74"/>
      <c r="C309" s="12"/>
      <c r="D309" s="74"/>
      <c r="E309" s="74"/>
      <c r="F309" s="89"/>
      <c r="G309" s="89"/>
      <c r="H309" s="90"/>
      <c r="I309" s="90"/>
      <c r="J309" s="90"/>
      <c r="K309" s="90"/>
      <c r="L309" s="91"/>
      <c r="M309" s="73"/>
      <c r="N309" s="74"/>
      <c r="O309" s="74"/>
      <c r="P309" s="74"/>
      <c r="Q309" s="74"/>
    </row>
    <row r="310">
      <c r="A310" s="74"/>
      <c r="B310" s="74"/>
      <c r="C310" s="12"/>
      <c r="D310" s="74"/>
      <c r="E310" s="74"/>
      <c r="F310" s="89"/>
      <c r="G310" s="89"/>
      <c r="H310" s="90"/>
      <c r="I310" s="90"/>
      <c r="J310" s="90"/>
      <c r="K310" s="90"/>
      <c r="L310" s="91"/>
      <c r="M310" s="73"/>
      <c r="N310" s="74"/>
      <c r="O310" s="74"/>
      <c r="P310" s="74"/>
      <c r="Q310" s="74"/>
    </row>
    <row r="311">
      <c r="A311" s="74"/>
      <c r="B311" s="74"/>
      <c r="C311" s="12"/>
      <c r="D311" s="74"/>
      <c r="E311" s="74"/>
      <c r="F311" s="89"/>
      <c r="G311" s="89"/>
      <c r="H311" s="90"/>
      <c r="I311" s="90"/>
      <c r="J311" s="90"/>
      <c r="K311" s="90"/>
      <c r="L311" s="91"/>
      <c r="M311" s="73"/>
      <c r="N311" s="74"/>
      <c r="O311" s="74"/>
      <c r="P311" s="74"/>
      <c r="Q311" s="74"/>
    </row>
    <row r="312">
      <c r="A312" s="74"/>
      <c r="B312" s="74"/>
      <c r="C312" s="12"/>
      <c r="D312" s="74"/>
      <c r="E312" s="74"/>
      <c r="F312" s="89"/>
      <c r="G312" s="89"/>
      <c r="H312" s="90"/>
      <c r="I312" s="90"/>
      <c r="J312" s="90"/>
      <c r="K312" s="90"/>
      <c r="L312" s="91"/>
      <c r="M312" s="73"/>
      <c r="N312" s="74"/>
      <c r="O312" s="74"/>
      <c r="P312" s="74"/>
      <c r="Q312" s="74"/>
    </row>
    <row r="313">
      <c r="A313" s="74"/>
      <c r="B313" s="74"/>
      <c r="C313" s="12"/>
      <c r="D313" s="74"/>
      <c r="E313" s="74"/>
      <c r="F313" s="89"/>
      <c r="G313" s="89"/>
      <c r="H313" s="90"/>
      <c r="I313" s="90"/>
      <c r="J313" s="90"/>
      <c r="K313" s="90"/>
      <c r="L313" s="91"/>
      <c r="M313" s="73"/>
      <c r="N313" s="74"/>
      <c r="O313" s="74"/>
      <c r="P313" s="74"/>
      <c r="Q313" s="74"/>
    </row>
    <row r="314">
      <c r="A314" s="74"/>
      <c r="B314" s="74"/>
      <c r="C314" s="12"/>
      <c r="D314" s="74"/>
      <c r="E314" s="74"/>
      <c r="F314" s="89"/>
      <c r="G314" s="89"/>
      <c r="H314" s="90"/>
      <c r="I314" s="90"/>
      <c r="J314" s="90"/>
      <c r="K314" s="90"/>
      <c r="L314" s="91"/>
      <c r="M314" s="73"/>
      <c r="N314" s="74"/>
      <c r="O314" s="74"/>
      <c r="P314" s="74"/>
      <c r="Q314" s="74"/>
    </row>
    <row r="315">
      <c r="A315" s="74"/>
      <c r="B315" s="74"/>
      <c r="C315" s="12"/>
      <c r="D315" s="74"/>
      <c r="E315" s="74"/>
      <c r="F315" s="89"/>
      <c r="G315" s="89"/>
      <c r="H315" s="90"/>
      <c r="I315" s="90"/>
      <c r="J315" s="90"/>
      <c r="K315" s="90"/>
      <c r="L315" s="91"/>
      <c r="M315" s="73"/>
      <c r="N315" s="74"/>
      <c r="O315" s="74"/>
      <c r="P315" s="74"/>
      <c r="Q315" s="74"/>
    </row>
    <row r="316">
      <c r="A316" s="74"/>
      <c r="B316" s="74"/>
      <c r="C316" s="12"/>
      <c r="D316" s="74"/>
      <c r="E316" s="74"/>
      <c r="F316" s="89"/>
      <c r="G316" s="89"/>
      <c r="H316" s="90"/>
      <c r="I316" s="90"/>
      <c r="J316" s="90"/>
      <c r="K316" s="90"/>
      <c r="L316" s="91"/>
      <c r="M316" s="73"/>
      <c r="N316" s="74"/>
      <c r="O316" s="74"/>
      <c r="P316" s="74"/>
      <c r="Q316" s="74"/>
    </row>
    <row r="317">
      <c r="A317" s="74"/>
      <c r="B317" s="74"/>
      <c r="C317" s="12"/>
      <c r="D317" s="74"/>
      <c r="E317" s="74"/>
      <c r="F317" s="89"/>
      <c r="G317" s="89"/>
      <c r="H317" s="90"/>
      <c r="I317" s="90"/>
      <c r="J317" s="90"/>
      <c r="K317" s="90"/>
      <c r="L317" s="91"/>
      <c r="M317" s="73"/>
      <c r="N317" s="74"/>
      <c r="O317" s="74"/>
      <c r="P317" s="74"/>
      <c r="Q317" s="74"/>
    </row>
    <row r="318">
      <c r="A318" s="74"/>
      <c r="B318" s="74"/>
      <c r="C318" s="12"/>
      <c r="D318" s="74"/>
      <c r="E318" s="74"/>
      <c r="F318" s="89"/>
      <c r="G318" s="89"/>
      <c r="H318" s="90"/>
      <c r="I318" s="90"/>
      <c r="J318" s="90"/>
      <c r="K318" s="90"/>
      <c r="L318" s="91"/>
      <c r="M318" s="73"/>
      <c r="N318" s="74"/>
      <c r="O318" s="74"/>
      <c r="P318" s="74"/>
      <c r="Q318" s="74"/>
    </row>
    <row r="319">
      <c r="A319" s="74"/>
      <c r="B319" s="74"/>
      <c r="C319" s="12"/>
      <c r="D319" s="74"/>
      <c r="E319" s="74"/>
      <c r="F319" s="89"/>
      <c r="G319" s="89"/>
      <c r="H319" s="90"/>
      <c r="I319" s="90"/>
      <c r="J319" s="90"/>
      <c r="K319" s="90"/>
      <c r="L319" s="91"/>
      <c r="M319" s="73"/>
      <c r="N319" s="74"/>
      <c r="O319" s="74"/>
      <c r="P319" s="74"/>
      <c r="Q319" s="74"/>
    </row>
    <row r="320">
      <c r="A320" s="74"/>
      <c r="B320" s="74"/>
      <c r="C320" s="12"/>
      <c r="D320" s="74"/>
      <c r="E320" s="74"/>
      <c r="F320" s="89"/>
      <c r="G320" s="89"/>
      <c r="H320" s="90"/>
      <c r="I320" s="90"/>
      <c r="J320" s="90"/>
      <c r="K320" s="90"/>
      <c r="L320" s="91"/>
      <c r="M320" s="73"/>
      <c r="N320" s="74"/>
      <c r="O320" s="74"/>
      <c r="P320" s="74"/>
      <c r="Q320" s="74"/>
    </row>
    <row r="321">
      <c r="A321" s="74"/>
      <c r="B321" s="74"/>
      <c r="C321" s="12"/>
      <c r="D321" s="74"/>
      <c r="E321" s="74"/>
      <c r="F321" s="89"/>
      <c r="G321" s="89"/>
      <c r="H321" s="90"/>
      <c r="I321" s="90"/>
      <c r="J321" s="90"/>
      <c r="K321" s="90"/>
      <c r="L321" s="91"/>
      <c r="M321" s="73"/>
      <c r="N321" s="74"/>
      <c r="O321" s="74"/>
      <c r="P321" s="74"/>
      <c r="Q321" s="74"/>
    </row>
    <row r="322">
      <c r="A322" s="74"/>
      <c r="B322" s="74"/>
      <c r="C322" s="12"/>
      <c r="D322" s="74"/>
      <c r="E322" s="74"/>
      <c r="F322" s="89"/>
      <c r="G322" s="89"/>
      <c r="H322" s="90"/>
      <c r="I322" s="90"/>
      <c r="J322" s="90"/>
      <c r="K322" s="90"/>
      <c r="L322" s="91"/>
      <c r="M322" s="73"/>
      <c r="N322" s="74"/>
      <c r="O322" s="74"/>
      <c r="P322" s="74"/>
      <c r="Q322" s="74"/>
    </row>
    <row r="323">
      <c r="A323" s="74"/>
      <c r="B323" s="74"/>
      <c r="C323" s="12"/>
      <c r="D323" s="74"/>
      <c r="E323" s="74"/>
      <c r="F323" s="89"/>
      <c r="G323" s="89"/>
      <c r="H323" s="90"/>
      <c r="I323" s="90"/>
      <c r="J323" s="90"/>
      <c r="K323" s="90"/>
      <c r="L323" s="91"/>
      <c r="M323" s="73"/>
      <c r="N323" s="74"/>
      <c r="O323" s="74"/>
      <c r="P323" s="74"/>
      <c r="Q323" s="74"/>
    </row>
    <row r="324">
      <c r="A324" s="74"/>
      <c r="B324" s="74"/>
      <c r="C324" s="12"/>
      <c r="D324" s="74"/>
      <c r="E324" s="74"/>
      <c r="F324" s="89"/>
      <c r="G324" s="89"/>
      <c r="H324" s="90"/>
      <c r="I324" s="90"/>
      <c r="J324" s="90"/>
      <c r="K324" s="90"/>
      <c r="L324" s="91"/>
      <c r="M324" s="73"/>
      <c r="N324" s="74"/>
      <c r="O324" s="74"/>
      <c r="P324" s="74"/>
      <c r="Q324" s="74"/>
    </row>
    <row r="325">
      <c r="A325" s="74"/>
      <c r="B325" s="74"/>
      <c r="C325" s="12"/>
      <c r="D325" s="74"/>
      <c r="E325" s="74"/>
      <c r="F325" s="89"/>
      <c r="G325" s="89"/>
      <c r="H325" s="90"/>
      <c r="I325" s="90"/>
      <c r="J325" s="90"/>
      <c r="K325" s="90"/>
      <c r="L325" s="91"/>
      <c r="M325" s="73"/>
      <c r="N325" s="74"/>
      <c r="O325" s="74"/>
      <c r="P325" s="74"/>
      <c r="Q325" s="74"/>
    </row>
    <row r="326">
      <c r="A326" s="74"/>
      <c r="B326" s="74"/>
      <c r="C326" s="12"/>
      <c r="D326" s="74"/>
      <c r="E326" s="74"/>
      <c r="F326" s="89"/>
      <c r="G326" s="89"/>
      <c r="H326" s="90"/>
      <c r="I326" s="90"/>
      <c r="J326" s="90"/>
      <c r="K326" s="90"/>
      <c r="L326" s="91"/>
      <c r="M326" s="73"/>
      <c r="N326" s="74"/>
      <c r="O326" s="74"/>
      <c r="P326" s="74"/>
      <c r="Q326" s="74"/>
    </row>
    <row r="327">
      <c r="A327" s="74"/>
      <c r="B327" s="74"/>
      <c r="C327" s="12"/>
      <c r="D327" s="74"/>
      <c r="E327" s="74"/>
      <c r="F327" s="89"/>
      <c r="G327" s="89"/>
      <c r="H327" s="90"/>
      <c r="I327" s="90"/>
      <c r="J327" s="90"/>
      <c r="K327" s="90"/>
      <c r="L327" s="91"/>
      <c r="M327" s="73"/>
      <c r="N327" s="74"/>
      <c r="O327" s="74"/>
      <c r="P327" s="74"/>
      <c r="Q327" s="74"/>
    </row>
    <row r="328">
      <c r="A328" s="74"/>
      <c r="B328" s="74"/>
      <c r="C328" s="12"/>
      <c r="D328" s="74"/>
      <c r="E328" s="74"/>
      <c r="F328" s="89"/>
      <c r="G328" s="89"/>
      <c r="H328" s="90"/>
      <c r="I328" s="90"/>
      <c r="J328" s="90"/>
      <c r="K328" s="90"/>
      <c r="L328" s="91"/>
      <c r="M328" s="73"/>
      <c r="N328" s="74"/>
      <c r="O328" s="74"/>
      <c r="P328" s="74"/>
      <c r="Q328" s="74"/>
    </row>
    <row r="329">
      <c r="A329" s="74"/>
      <c r="B329" s="74"/>
      <c r="C329" s="12"/>
      <c r="D329" s="74"/>
      <c r="E329" s="74"/>
      <c r="F329" s="89"/>
      <c r="G329" s="89"/>
      <c r="H329" s="90"/>
      <c r="I329" s="90"/>
      <c r="J329" s="90"/>
      <c r="K329" s="90"/>
      <c r="L329" s="91"/>
      <c r="M329" s="73"/>
      <c r="N329" s="74"/>
      <c r="O329" s="74"/>
      <c r="P329" s="74"/>
      <c r="Q329" s="74"/>
    </row>
    <row r="330">
      <c r="A330" s="74"/>
      <c r="B330" s="74"/>
      <c r="C330" s="12"/>
      <c r="D330" s="74"/>
      <c r="E330" s="74"/>
      <c r="F330" s="89"/>
      <c r="G330" s="89"/>
      <c r="H330" s="90"/>
      <c r="I330" s="90"/>
      <c r="J330" s="90"/>
      <c r="K330" s="90"/>
      <c r="L330" s="91"/>
      <c r="M330" s="73"/>
      <c r="N330" s="74"/>
      <c r="O330" s="74"/>
      <c r="P330" s="74"/>
      <c r="Q330" s="74"/>
    </row>
    <row r="331">
      <c r="A331" s="74"/>
      <c r="B331" s="74"/>
      <c r="C331" s="12"/>
      <c r="D331" s="74"/>
      <c r="E331" s="74"/>
      <c r="F331" s="89"/>
      <c r="G331" s="89"/>
      <c r="H331" s="90"/>
      <c r="I331" s="90"/>
      <c r="J331" s="90"/>
      <c r="K331" s="90"/>
      <c r="L331" s="91"/>
      <c r="M331" s="73"/>
      <c r="N331" s="74"/>
      <c r="O331" s="74"/>
      <c r="P331" s="74"/>
      <c r="Q331" s="74"/>
    </row>
    <row r="332">
      <c r="A332" s="74"/>
      <c r="B332" s="74"/>
      <c r="C332" s="12"/>
      <c r="D332" s="74"/>
      <c r="E332" s="74"/>
      <c r="F332" s="89"/>
      <c r="G332" s="89"/>
      <c r="H332" s="90"/>
      <c r="I332" s="90"/>
      <c r="J332" s="90"/>
      <c r="K332" s="90"/>
      <c r="L332" s="91"/>
      <c r="M332" s="73"/>
      <c r="N332" s="74"/>
      <c r="O332" s="74"/>
      <c r="P332" s="74"/>
      <c r="Q332" s="74"/>
    </row>
    <row r="333">
      <c r="A333" s="74"/>
      <c r="B333" s="74"/>
      <c r="C333" s="12"/>
      <c r="D333" s="74"/>
      <c r="E333" s="74"/>
      <c r="F333" s="89"/>
      <c r="G333" s="89"/>
      <c r="H333" s="90"/>
      <c r="I333" s="90"/>
      <c r="J333" s="90"/>
      <c r="K333" s="90"/>
      <c r="L333" s="91"/>
      <c r="M333" s="73"/>
      <c r="N333" s="74"/>
      <c r="O333" s="74"/>
      <c r="P333" s="74"/>
      <c r="Q333" s="74"/>
    </row>
    <row r="334">
      <c r="A334" s="74"/>
      <c r="B334" s="74"/>
      <c r="C334" s="12"/>
      <c r="D334" s="74"/>
      <c r="E334" s="74"/>
      <c r="F334" s="89"/>
      <c r="G334" s="89"/>
      <c r="H334" s="90"/>
      <c r="I334" s="90"/>
      <c r="J334" s="90"/>
      <c r="K334" s="90"/>
      <c r="L334" s="91"/>
      <c r="M334" s="73"/>
      <c r="N334" s="74"/>
      <c r="O334" s="74"/>
      <c r="P334" s="74"/>
      <c r="Q334" s="74"/>
    </row>
    <row r="335">
      <c r="A335" s="74"/>
      <c r="B335" s="74"/>
      <c r="C335" s="12"/>
      <c r="D335" s="74"/>
      <c r="E335" s="74"/>
      <c r="F335" s="89"/>
      <c r="G335" s="89"/>
      <c r="H335" s="90"/>
      <c r="I335" s="90"/>
      <c r="J335" s="90"/>
      <c r="K335" s="90"/>
      <c r="L335" s="91"/>
      <c r="M335" s="73"/>
      <c r="N335" s="74"/>
      <c r="O335" s="74"/>
      <c r="P335" s="74"/>
      <c r="Q335" s="74"/>
    </row>
    <row r="336">
      <c r="A336" s="74"/>
      <c r="B336" s="74"/>
      <c r="C336" s="12"/>
      <c r="D336" s="74"/>
      <c r="E336" s="74"/>
      <c r="F336" s="89"/>
      <c r="G336" s="89"/>
      <c r="H336" s="90"/>
      <c r="I336" s="90"/>
      <c r="J336" s="90"/>
      <c r="K336" s="90"/>
      <c r="L336" s="91"/>
      <c r="M336" s="73"/>
      <c r="N336" s="74"/>
      <c r="O336" s="74"/>
      <c r="P336" s="74"/>
      <c r="Q336" s="74"/>
    </row>
    <row r="337">
      <c r="A337" s="74"/>
      <c r="B337" s="74"/>
      <c r="C337" s="12"/>
      <c r="D337" s="74"/>
      <c r="E337" s="74"/>
      <c r="F337" s="89"/>
      <c r="G337" s="89"/>
      <c r="H337" s="90"/>
      <c r="I337" s="90"/>
      <c r="J337" s="90"/>
      <c r="K337" s="90"/>
      <c r="L337" s="91"/>
      <c r="M337" s="73"/>
      <c r="N337" s="74"/>
      <c r="O337" s="74"/>
      <c r="P337" s="74"/>
      <c r="Q337" s="74"/>
    </row>
    <row r="338">
      <c r="A338" s="74"/>
      <c r="B338" s="74"/>
      <c r="C338" s="12"/>
      <c r="D338" s="74"/>
      <c r="E338" s="74"/>
      <c r="F338" s="89"/>
      <c r="G338" s="89"/>
      <c r="H338" s="90"/>
      <c r="I338" s="90"/>
      <c r="J338" s="90"/>
      <c r="K338" s="90"/>
      <c r="L338" s="91"/>
      <c r="M338" s="73"/>
      <c r="N338" s="74"/>
      <c r="O338" s="74"/>
      <c r="P338" s="74"/>
      <c r="Q338" s="74"/>
    </row>
    <row r="339">
      <c r="A339" s="74"/>
      <c r="B339" s="74"/>
      <c r="C339" s="12"/>
      <c r="D339" s="74"/>
      <c r="E339" s="74"/>
      <c r="F339" s="89"/>
      <c r="G339" s="89"/>
      <c r="H339" s="90"/>
      <c r="I339" s="90"/>
      <c r="J339" s="90"/>
      <c r="K339" s="90"/>
      <c r="L339" s="91"/>
      <c r="M339" s="73"/>
      <c r="N339" s="74"/>
      <c r="O339" s="74"/>
      <c r="P339" s="74"/>
      <c r="Q339" s="74"/>
    </row>
    <row r="340">
      <c r="A340" s="74"/>
      <c r="B340" s="74"/>
      <c r="C340" s="12"/>
      <c r="D340" s="74"/>
      <c r="E340" s="74"/>
      <c r="F340" s="89"/>
      <c r="G340" s="89"/>
      <c r="H340" s="90"/>
      <c r="I340" s="90"/>
      <c r="J340" s="90"/>
      <c r="K340" s="90"/>
      <c r="L340" s="91"/>
      <c r="M340" s="73"/>
      <c r="N340" s="74"/>
      <c r="O340" s="74"/>
      <c r="P340" s="74"/>
      <c r="Q340" s="74"/>
    </row>
    <row r="341">
      <c r="A341" s="74"/>
      <c r="B341" s="74"/>
      <c r="C341" s="12"/>
      <c r="D341" s="74"/>
      <c r="E341" s="74"/>
      <c r="F341" s="89"/>
      <c r="G341" s="89"/>
      <c r="H341" s="90"/>
      <c r="I341" s="90"/>
      <c r="J341" s="90"/>
      <c r="K341" s="90"/>
      <c r="L341" s="91"/>
      <c r="M341" s="73"/>
      <c r="N341" s="74"/>
      <c r="O341" s="74"/>
      <c r="P341" s="74"/>
      <c r="Q341" s="74"/>
    </row>
    <row r="342">
      <c r="A342" s="74"/>
      <c r="B342" s="74"/>
      <c r="C342" s="12"/>
      <c r="D342" s="74"/>
      <c r="E342" s="74"/>
      <c r="F342" s="89"/>
      <c r="G342" s="89"/>
      <c r="H342" s="90"/>
      <c r="I342" s="90"/>
      <c r="J342" s="90"/>
      <c r="K342" s="90"/>
      <c r="L342" s="91"/>
      <c r="M342" s="73"/>
      <c r="N342" s="74"/>
      <c r="O342" s="74"/>
      <c r="P342" s="74"/>
      <c r="Q342" s="74"/>
    </row>
    <row r="343">
      <c r="A343" s="74"/>
      <c r="B343" s="74"/>
      <c r="C343" s="12"/>
      <c r="D343" s="74"/>
      <c r="E343" s="74"/>
      <c r="F343" s="89"/>
      <c r="G343" s="89"/>
      <c r="H343" s="90"/>
      <c r="I343" s="90"/>
      <c r="J343" s="90"/>
      <c r="K343" s="90"/>
      <c r="L343" s="91"/>
      <c r="M343" s="73"/>
      <c r="N343" s="74"/>
      <c r="O343" s="74"/>
      <c r="P343" s="74"/>
      <c r="Q343" s="74"/>
    </row>
    <row r="344">
      <c r="A344" s="74"/>
      <c r="B344" s="74"/>
      <c r="C344" s="12"/>
      <c r="D344" s="74"/>
      <c r="E344" s="74"/>
      <c r="F344" s="89"/>
      <c r="G344" s="89"/>
      <c r="H344" s="90"/>
      <c r="I344" s="90"/>
      <c r="J344" s="90"/>
      <c r="K344" s="90"/>
      <c r="L344" s="91"/>
      <c r="M344" s="73"/>
      <c r="N344" s="74"/>
      <c r="O344" s="74"/>
      <c r="P344" s="74"/>
      <c r="Q344" s="74"/>
    </row>
    <row r="345">
      <c r="A345" s="74"/>
      <c r="B345" s="74"/>
      <c r="C345" s="12"/>
      <c r="D345" s="74"/>
      <c r="E345" s="74"/>
      <c r="F345" s="89"/>
      <c r="G345" s="89"/>
      <c r="H345" s="90"/>
      <c r="I345" s="90"/>
      <c r="J345" s="90"/>
      <c r="K345" s="90"/>
      <c r="L345" s="91"/>
      <c r="M345" s="73"/>
      <c r="N345" s="74"/>
      <c r="O345" s="74"/>
      <c r="P345" s="74"/>
      <c r="Q345" s="74"/>
    </row>
    <row r="346">
      <c r="A346" s="74"/>
      <c r="B346" s="74"/>
      <c r="C346" s="12"/>
      <c r="D346" s="74"/>
      <c r="E346" s="74"/>
      <c r="F346" s="89"/>
      <c r="G346" s="89"/>
      <c r="H346" s="90"/>
      <c r="I346" s="90"/>
      <c r="J346" s="90"/>
      <c r="K346" s="90"/>
      <c r="L346" s="91"/>
      <c r="M346" s="73"/>
      <c r="N346" s="74"/>
      <c r="O346" s="74"/>
      <c r="P346" s="74"/>
      <c r="Q346" s="74"/>
    </row>
    <row r="347">
      <c r="A347" s="74"/>
      <c r="B347" s="74"/>
      <c r="C347" s="12"/>
      <c r="D347" s="74"/>
      <c r="E347" s="74"/>
      <c r="F347" s="89"/>
      <c r="G347" s="89"/>
      <c r="H347" s="90"/>
      <c r="I347" s="90"/>
      <c r="J347" s="90"/>
      <c r="K347" s="90"/>
      <c r="L347" s="91"/>
      <c r="M347" s="73"/>
      <c r="N347" s="74"/>
      <c r="O347" s="74"/>
      <c r="P347" s="74"/>
      <c r="Q347" s="74"/>
    </row>
    <row r="348">
      <c r="A348" s="74"/>
      <c r="B348" s="74"/>
      <c r="C348" s="12"/>
      <c r="D348" s="74"/>
      <c r="E348" s="74"/>
      <c r="F348" s="89"/>
      <c r="G348" s="89"/>
      <c r="H348" s="90"/>
      <c r="I348" s="90"/>
      <c r="J348" s="90"/>
      <c r="K348" s="90"/>
      <c r="L348" s="91"/>
      <c r="M348" s="73"/>
      <c r="N348" s="74"/>
      <c r="O348" s="74"/>
      <c r="P348" s="74"/>
      <c r="Q348" s="74"/>
    </row>
    <row r="349">
      <c r="A349" s="74"/>
      <c r="B349" s="74"/>
      <c r="C349" s="12"/>
      <c r="D349" s="74"/>
      <c r="E349" s="74"/>
      <c r="F349" s="89"/>
      <c r="G349" s="89"/>
      <c r="H349" s="90"/>
      <c r="I349" s="90"/>
      <c r="J349" s="90"/>
      <c r="K349" s="90"/>
      <c r="L349" s="91"/>
      <c r="M349" s="73"/>
      <c r="N349" s="74"/>
      <c r="O349" s="74"/>
      <c r="P349" s="74"/>
      <c r="Q349" s="74"/>
    </row>
    <row r="350">
      <c r="A350" s="74"/>
      <c r="B350" s="74"/>
      <c r="C350" s="12"/>
      <c r="D350" s="74"/>
      <c r="E350" s="74"/>
      <c r="F350" s="89"/>
      <c r="G350" s="89"/>
      <c r="H350" s="90"/>
      <c r="I350" s="90"/>
      <c r="J350" s="90"/>
      <c r="K350" s="90"/>
      <c r="L350" s="91"/>
      <c r="M350" s="73"/>
      <c r="N350" s="74"/>
      <c r="O350" s="74"/>
      <c r="P350" s="74"/>
      <c r="Q350" s="74"/>
    </row>
    <row r="351">
      <c r="A351" s="74"/>
      <c r="B351" s="74"/>
      <c r="C351" s="12"/>
      <c r="D351" s="74"/>
      <c r="E351" s="74"/>
      <c r="F351" s="89"/>
      <c r="G351" s="89"/>
      <c r="H351" s="90"/>
      <c r="I351" s="90"/>
      <c r="J351" s="90"/>
      <c r="K351" s="90"/>
      <c r="L351" s="91"/>
      <c r="M351" s="73"/>
      <c r="N351" s="74"/>
      <c r="O351" s="74"/>
      <c r="P351" s="74"/>
      <c r="Q351" s="74"/>
    </row>
    <row r="352">
      <c r="A352" s="74"/>
      <c r="B352" s="74"/>
      <c r="C352" s="12"/>
      <c r="D352" s="74"/>
      <c r="E352" s="74"/>
      <c r="F352" s="89"/>
      <c r="G352" s="89"/>
      <c r="H352" s="90"/>
      <c r="I352" s="90"/>
      <c r="J352" s="90"/>
      <c r="K352" s="90"/>
      <c r="L352" s="91"/>
      <c r="M352" s="73"/>
      <c r="N352" s="74"/>
      <c r="O352" s="74"/>
      <c r="P352" s="74"/>
      <c r="Q352" s="74"/>
    </row>
    <row r="353">
      <c r="A353" s="74"/>
      <c r="B353" s="74"/>
      <c r="C353" s="12"/>
      <c r="D353" s="74"/>
      <c r="E353" s="74"/>
      <c r="F353" s="89"/>
      <c r="G353" s="89"/>
      <c r="H353" s="90"/>
      <c r="I353" s="90"/>
      <c r="J353" s="90"/>
      <c r="K353" s="90"/>
      <c r="L353" s="91"/>
      <c r="M353" s="73"/>
      <c r="N353" s="74"/>
      <c r="O353" s="74"/>
      <c r="P353" s="74"/>
      <c r="Q353" s="74"/>
    </row>
    <row r="354">
      <c r="A354" s="74"/>
      <c r="B354" s="74"/>
      <c r="C354" s="12"/>
      <c r="D354" s="74"/>
      <c r="E354" s="74"/>
      <c r="F354" s="89"/>
      <c r="G354" s="89"/>
      <c r="H354" s="90"/>
      <c r="I354" s="90"/>
      <c r="J354" s="90"/>
      <c r="K354" s="90"/>
      <c r="L354" s="91"/>
      <c r="M354" s="73"/>
      <c r="N354" s="74"/>
      <c r="O354" s="74"/>
      <c r="P354" s="74"/>
      <c r="Q354" s="74"/>
    </row>
    <row r="355">
      <c r="A355" s="74"/>
      <c r="B355" s="74"/>
      <c r="C355" s="12"/>
      <c r="D355" s="74"/>
      <c r="E355" s="74"/>
      <c r="F355" s="89"/>
      <c r="G355" s="89"/>
      <c r="H355" s="90"/>
      <c r="I355" s="90"/>
      <c r="J355" s="90"/>
      <c r="K355" s="90"/>
      <c r="L355" s="91"/>
      <c r="M355" s="73"/>
      <c r="N355" s="74"/>
      <c r="O355" s="74"/>
      <c r="P355" s="74"/>
      <c r="Q355" s="74"/>
    </row>
    <row r="356">
      <c r="A356" s="74"/>
      <c r="B356" s="74"/>
      <c r="C356" s="12"/>
      <c r="D356" s="74"/>
      <c r="E356" s="74"/>
      <c r="F356" s="89"/>
      <c r="G356" s="89"/>
      <c r="H356" s="90"/>
      <c r="I356" s="90"/>
      <c r="J356" s="90"/>
      <c r="K356" s="90"/>
      <c r="L356" s="91"/>
      <c r="M356" s="73"/>
      <c r="N356" s="74"/>
      <c r="O356" s="74"/>
      <c r="P356" s="74"/>
      <c r="Q356" s="74"/>
    </row>
    <row r="357">
      <c r="A357" s="74"/>
      <c r="B357" s="74"/>
      <c r="C357" s="12"/>
      <c r="D357" s="74"/>
      <c r="E357" s="74"/>
      <c r="F357" s="89"/>
      <c r="G357" s="89"/>
      <c r="H357" s="90"/>
      <c r="I357" s="90"/>
      <c r="J357" s="90"/>
      <c r="K357" s="90"/>
      <c r="L357" s="91"/>
      <c r="M357" s="73"/>
      <c r="N357" s="74"/>
      <c r="O357" s="74"/>
      <c r="P357" s="74"/>
      <c r="Q357" s="74"/>
    </row>
    <row r="358">
      <c r="A358" s="74"/>
      <c r="B358" s="74"/>
      <c r="C358" s="12"/>
      <c r="D358" s="74"/>
      <c r="E358" s="74"/>
      <c r="F358" s="89"/>
      <c r="G358" s="89"/>
      <c r="H358" s="90"/>
      <c r="I358" s="90"/>
      <c r="J358" s="90"/>
      <c r="K358" s="90"/>
      <c r="L358" s="91"/>
      <c r="M358" s="73"/>
      <c r="N358" s="74"/>
      <c r="O358" s="74"/>
      <c r="P358" s="74"/>
      <c r="Q358" s="74"/>
    </row>
    <row r="359">
      <c r="A359" s="74"/>
      <c r="B359" s="74"/>
      <c r="C359" s="12"/>
      <c r="D359" s="74"/>
      <c r="E359" s="74"/>
      <c r="F359" s="89"/>
      <c r="G359" s="89"/>
      <c r="H359" s="90"/>
      <c r="I359" s="90"/>
      <c r="J359" s="90"/>
      <c r="K359" s="90"/>
      <c r="L359" s="91"/>
      <c r="M359" s="73"/>
      <c r="N359" s="74"/>
      <c r="O359" s="74"/>
      <c r="P359" s="74"/>
      <c r="Q359" s="74"/>
    </row>
    <row r="360">
      <c r="A360" s="74"/>
      <c r="B360" s="74"/>
      <c r="C360" s="12"/>
      <c r="D360" s="74"/>
      <c r="E360" s="74"/>
      <c r="F360" s="89"/>
      <c r="G360" s="89"/>
      <c r="H360" s="90"/>
      <c r="I360" s="90"/>
      <c r="J360" s="90"/>
      <c r="K360" s="90"/>
      <c r="L360" s="91"/>
      <c r="M360" s="73"/>
      <c r="N360" s="74"/>
      <c r="O360" s="74"/>
      <c r="P360" s="74"/>
      <c r="Q360" s="74"/>
    </row>
    <row r="361">
      <c r="A361" s="74"/>
      <c r="B361" s="74"/>
      <c r="C361" s="12"/>
      <c r="D361" s="74"/>
      <c r="E361" s="74"/>
      <c r="F361" s="89"/>
      <c r="G361" s="89"/>
      <c r="H361" s="90"/>
      <c r="I361" s="90"/>
      <c r="J361" s="90"/>
      <c r="K361" s="90"/>
      <c r="L361" s="91"/>
      <c r="M361" s="73"/>
      <c r="N361" s="74"/>
      <c r="O361" s="74"/>
      <c r="P361" s="74"/>
      <c r="Q361" s="74"/>
    </row>
    <row r="362">
      <c r="A362" s="74"/>
      <c r="B362" s="74"/>
      <c r="C362" s="12"/>
      <c r="D362" s="74"/>
      <c r="E362" s="74"/>
      <c r="F362" s="89"/>
      <c r="G362" s="89"/>
      <c r="H362" s="90"/>
      <c r="I362" s="90"/>
      <c r="J362" s="90"/>
      <c r="K362" s="90"/>
      <c r="L362" s="91"/>
      <c r="M362" s="73"/>
      <c r="N362" s="74"/>
      <c r="O362" s="74"/>
      <c r="P362" s="74"/>
      <c r="Q362" s="74"/>
    </row>
    <row r="363">
      <c r="A363" s="74"/>
      <c r="B363" s="74"/>
      <c r="C363" s="12"/>
      <c r="D363" s="74"/>
      <c r="E363" s="74"/>
      <c r="F363" s="89"/>
      <c r="G363" s="89"/>
      <c r="H363" s="90"/>
      <c r="I363" s="90"/>
      <c r="J363" s="90"/>
      <c r="K363" s="90"/>
      <c r="L363" s="91"/>
      <c r="M363" s="73"/>
      <c r="N363" s="74"/>
      <c r="O363" s="74"/>
      <c r="P363" s="74"/>
      <c r="Q363" s="74"/>
    </row>
    <row r="364">
      <c r="A364" s="74"/>
      <c r="B364" s="74"/>
      <c r="C364" s="12"/>
      <c r="D364" s="74"/>
      <c r="E364" s="74"/>
      <c r="F364" s="89"/>
      <c r="G364" s="89"/>
      <c r="H364" s="90"/>
      <c r="I364" s="90"/>
      <c r="J364" s="90"/>
      <c r="K364" s="90"/>
      <c r="L364" s="91"/>
      <c r="M364" s="73"/>
      <c r="N364" s="74"/>
      <c r="O364" s="74"/>
      <c r="P364" s="74"/>
      <c r="Q364" s="74"/>
    </row>
    <row r="365">
      <c r="A365" s="74"/>
      <c r="B365" s="74"/>
      <c r="C365" s="12"/>
      <c r="D365" s="74"/>
      <c r="E365" s="74"/>
      <c r="F365" s="89"/>
      <c r="G365" s="89"/>
      <c r="H365" s="90"/>
      <c r="I365" s="90"/>
      <c r="J365" s="90"/>
      <c r="K365" s="90"/>
      <c r="L365" s="91"/>
      <c r="M365" s="73"/>
      <c r="N365" s="74"/>
      <c r="O365" s="74"/>
      <c r="P365" s="74"/>
      <c r="Q365" s="74"/>
    </row>
    <row r="366">
      <c r="A366" s="74"/>
      <c r="B366" s="74"/>
      <c r="C366" s="12"/>
      <c r="D366" s="74"/>
      <c r="E366" s="74"/>
      <c r="F366" s="89"/>
      <c r="G366" s="89"/>
      <c r="H366" s="90"/>
      <c r="I366" s="90"/>
      <c r="J366" s="90"/>
      <c r="K366" s="90"/>
      <c r="L366" s="91"/>
      <c r="M366" s="73"/>
      <c r="N366" s="74"/>
      <c r="O366" s="74"/>
      <c r="P366" s="74"/>
      <c r="Q366" s="74"/>
    </row>
    <row r="367">
      <c r="A367" s="74"/>
      <c r="B367" s="74"/>
      <c r="C367" s="12"/>
      <c r="D367" s="74"/>
      <c r="E367" s="74"/>
      <c r="F367" s="89"/>
      <c r="G367" s="89"/>
      <c r="H367" s="90"/>
      <c r="I367" s="90"/>
      <c r="J367" s="90"/>
      <c r="K367" s="90"/>
      <c r="L367" s="91"/>
      <c r="M367" s="73"/>
      <c r="N367" s="74"/>
      <c r="O367" s="74"/>
      <c r="P367" s="74"/>
      <c r="Q367" s="74"/>
    </row>
    <row r="368">
      <c r="A368" s="74"/>
      <c r="B368" s="74"/>
      <c r="C368" s="12"/>
      <c r="D368" s="74"/>
      <c r="E368" s="74"/>
      <c r="F368" s="89"/>
      <c r="G368" s="89"/>
      <c r="H368" s="90"/>
      <c r="I368" s="90"/>
      <c r="J368" s="90"/>
      <c r="K368" s="90"/>
      <c r="L368" s="91"/>
      <c r="M368" s="73"/>
      <c r="N368" s="74"/>
      <c r="O368" s="74"/>
      <c r="P368" s="74"/>
      <c r="Q368" s="74"/>
    </row>
    <row r="369">
      <c r="A369" s="74"/>
      <c r="B369" s="74"/>
      <c r="C369" s="12"/>
      <c r="D369" s="74"/>
      <c r="E369" s="74"/>
      <c r="F369" s="89"/>
      <c r="G369" s="89"/>
      <c r="H369" s="90"/>
      <c r="I369" s="90"/>
      <c r="J369" s="90"/>
      <c r="K369" s="90"/>
      <c r="L369" s="91"/>
      <c r="M369" s="73"/>
      <c r="N369" s="74"/>
      <c r="O369" s="74"/>
      <c r="P369" s="74"/>
      <c r="Q369" s="74"/>
    </row>
    <row r="370">
      <c r="A370" s="74"/>
      <c r="B370" s="74"/>
      <c r="C370" s="12"/>
      <c r="D370" s="74"/>
      <c r="E370" s="74"/>
      <c r="F370" s="89"/>
      <c r="G370" s="89"/>
      <c r="H370" s="90"/>
      <c r="I370" s="90"/>
      <c r="J370" s="90"/>
      <c r="K370" s="90"/>
      <c r="L370" s="91"/>
      <c r="M370" s="73"/>
      <c r="N370" s="74"/>
      <c r="O370" s="74"/>
      <c r="P370" s="74"/>
      <c r="Q370" s="74"/>
    </row>
    <row r="371">
      <c r="A371" s="74"/>
      <c r="B371" s="74"/>
      <c r="C371" s="12"/>
      <c r="D371" s="74"/>
      <c r="E371" s="74"/>
      <c r="F371" s="89"/>
      <c r="G371" s="89"/>
      <c r="H371" s="90"/>
      <c r="I371" s="90"/>
      <c r="J371" s="90"/>
      <c r="K371" s="90"/>
      <c r="L371" s="91"/>
      <c r="M371" s="73"/>
      <c r="N371" s="74"/>
      <c r="O371" s="74"/>
      <c r="P371" s="74"/>
      <c r="Q371" s="74"/>
    </row>
    <row r="372">
      <c r="A372" s="74"/>
      <c r="B372" s="74"/>
      <c r="C372" s="12"/>
      <c r="D372" s="74"/>
      <c r="E372" s="74"/>
      <c r="F372" s="89"/>
      <c r="G372" s="89"/>
      <c r="H372" s="90"/>
      <c r="I372" s="90"/>
      <c r="J372" s="90"/>
      <c r="K372" s="90"/>
      <c r="L372" s="91"/>
      <c r="M372" s="73"/>
      <c r="N372" s="74"/>
      <c r="O372" s="74"/>
      <c r="P372" s="74"/>
      <c r="Q372" s="74"/>
    </row>
    <row r="373">
      <c r="A373" s="74"/>
      <c r="B373" s="74"/>
      <c r="C373" s="12"/>
      <c r="D373" s="74"/>
      <c r="E373" s="74"/>
      <c r="F373" s="89"/>
      <c r="G373" s="89"/>
      <c r="H373" s="90"/>
      <c r="I373" s="90"/>
      <c r="J373" s="90"/>
      <c r="K373" s="90"/>
      <c r="L373" s="91"/>
      <c r="M373" s="73"/>
      <c r="N373" s="74"/>
      <c r="O373" s="74"/>
      <c r="P373" s="74"/>
      <c r="Q373" s="74"/>
    </row>
    <row r="374">
      <c r="A374" s="74"/>
      <c r="B374" s="74"/>
      <c r="C374" s="12"/>
      <c r="D374" s="74"/>
      <c r="E374" s="74"/>
      <c r="F374" s="89"/>
      <c r="G374" s="89"/>
      <c r="H374" s="90"/>
      <c r="I374" s="90"/>
      <c r="J374" s="90"/>
      <c r="K374" s="90"/>
      <c r="L374" s="91"/>
      <c r="M374" s="73"/>
      <c r="N374" s="74"/>
      <c r="O374" s="74"/>
      <c r="P374" s="74"/>
      <c r="Q374" s="74"/>
    </row>
    <row r="375">
      <c r="A375" s="74"/>
      <c r="B375" s="74"/>
      <c r="C375" s="12"/>
      <c r="D375" s="74"/>
      <c r="E375" s="74"/>
      <c r="F375" s="89"/>
      <c r="G375" s="89"/>
      <c r="H375" s="90"/>
      <c r="I375" s="90"/>
      <c r="J375" s="90"/>
      <c r="K375" s="90"/>
      <c r="L375" s="91"/>
      <c r="M375" s="73"/>
      <c r="N375" s="74"/>
      <c r="O375" s="74"/>
      <c r="P375" s="74"/>
      <c r="Q375" s="74"/>
    </row>
    <row r="376">
      <c r="A376" s="74"/>
      <c r="B376" s="74"/>
      <c r="C376" s="12"/>
      <c r="D376" s="74"/>
      <c r="E376" s="74"/>
      <c r="F376" s="89"/>
      <c r="G376" s="89"/>
      <c r="H376" s="90"/>
      <c r="I376" s="90"/>
      <c r="J376" s="90"/>
      <c r="K376" s="90"/>
      <c r="L376" s="91"/>
      <c r="M376" s="73"/>
      <c r="N376" s="74"/>
      <c r="O376" s="74"/>
      <c r="P376" s="74"/>
      <c r="Q376" s="74"/>
    </row>
    <row r="377">
      <c r="A377" s="74"/>
      <c r="B377" s="74"/>
      <c r="C377" s="12"/>
      <c r="D377" s="74"/>
      <c r="E377" s="74"/>
      <c r="F377" s="89"/>
      <c r="G377" s="89"/>
      <c r="H377" s="90"/>
      <c r="I377" s="90"/>
      <c r="J377" s="90"/>
      <c r="K377" s="90"/>
      <c r="L377" s="91"/>
      <c r="M377" s="73"/>
      <c r="N377" s="74"/>
      <c r="O377" s="74"/>
      <c r="P377" s="74"/>
      <c r="Q377" s="74"/>
    </row>
    <row r="378">
      <c r="A378" s="74"/>
      <c r="B378" s="74"/>
      <c r="C378" s="12"/>
      <c r="D378" s="74"/>
      <c r="E378" s="74"/>
      <c r="F378" s="89"/>
      <c r="G378" s="89"/>
      <c r="H378" s="90"/>
      <c r="I378" s="90"/>
      <c r="J378" s="90"/>
      <c r="K378" s="90"/>
      <c r="L378" s="91"/>
      <c r="M378" s="73"/>
      <c r="N378" s="74"/>
      <c r="O378" s="74"/>
      <c r="P378" s="74"/>
      <c r="Q378" s="74"/>
    </row>
    <row r="379">
      <c r="A379" s="74"/>
      <c r="B379" s="74"/>
      <c r="C379" s="12"/>
      <c r="D379" s="74"/>
      <c r="E379" s="74"/>
      <c r="F379" s="89"/>
      <c r="G379" s="89"/>
      <c r="H379" s="90"/>
      <c r="I379" s="90"/>
      <c r="J379" s="90"/>
      <c r="K379" s="90"/>
      <c r="L379" s="91"/>
      <c r="M379" s="73"/>
      <c r="N379" s="74"/>
      <c r="O379" s="74"/>
      <c r="P379" s="74"/>
      <c r="Q379" s="74"/>
    </row>
    <row r="380">
      <c r="A380" s="74"/>
      <c r="B380" s="74"/>
      <c r="C380" s="12"/>
      <c r="D380" s="74"/>
      <c r="E380" s="74"/>
      <c r="F380" s="89"/>
      <c r="G380" s="89"/>
      <c r="H380" s="90"/>
      <c r="I380" s="90"/>
      <c r="J380" s="90"/>
      <c r="K380" s="90"/>
      <c r="L380" s="91"/>
      <c r="M380" s="73"/>
      <c r="N380" s="74"/>
      <c r="O380" s="74"/>
      <c r="P380" s="74"/>
      <c r="Q380" s="74"/>
    </row>
    <row r="381">
      <c r="A381" s="74"/>
      <c r="B381" s="74"/>
      <c r="C381" s="12"/>
      <c r="D381" s="74"/>
      <c r="E381" s="74"/>
      <c r="F381" s="89"/>
      <c r="G381" s="89"/>
      <c r="H381" s="90"/>
      <c r="I381" s="90"/>
      <c r="J381" s="90"/>
      <c r="K381" s="90"/>
      <c r="L381" s="91"/>
      <c r="M381" s="73"/>
      <c r="N381" s="74"/>
      <c r="O381" s="74"/>
      <c r="P381" s="74"/>
      <c r="Q381" s="74"/>
    </row>
    <row r="382">
      <c r="A382" s="74"/>
      <c r="B382" s="74"/>
      <c r="C382" s="12"/>
      <c r="D382" s="74"/>
      <c r="E382" s="74"/>
      <c r="F382" s="89"/>
      <c r="G382" s="89"/>
      <c r="H382" s="90"/>
      <c r="I382" s="90"/>
      <c r="J382" s="90"/>
      <c r="K382" s="90"/>
      <c r="L382" s="91"/>
      <c r="M382" s="73"/>
      <c r="N382" s="74"/>
      <c r="O382" s="74"/>
      <c r="P382" s="74"/>
      <c r="Q382" s="74"/>
    </row>
    <row r="383">
      <c r="A383" s="74"/>
      <c r="B383" s="74"/>
      <c r="C383" s="12"/>
      <c r="D383" s="74"/>
      <c r="E383" s="74"/>
      <c r="F383" s="89"/>
      <c r="G383" s="89"/>
      <c r="H383" s="90"/>
      <c r="I383" s="90"/>
      <c r="J383" s="90"/>
      <c r="K383" s="90"/>
      <c r="L383" s="91"/>
      <c r="M383" s="73"/>
      <c r="N383" s="74"/>
      <c r="O383" s="74"/>
      <c r="P383" s="74"/>
      <c r="Q383" s="74"/>
    </row>
    <row r="384">
      <c r="A384" s="74"/>
      <c r="B384" s="74"/>
      <c r="C384" s="12"/>
      <c r="D384" s="74"/>
      <c r="E384" s="74"/>
      <c r="F384" s="89"/>
      <c r="G384" s="89"/>
      <c r="H384" s="90"/>
      <c r="I384" s="90"/>
      <c r="J384" s="90"/>
      <c r="K384" s="90"/>
      <c r="L384" s="91"/>
      <c r="M384" s="73"/>
      <c r="N384" s="74"/>
      <c r="O384" s="74"/>
      <c r="P384" s="74"/>
      <c r="Q384" s="74"/>
    </row>
    <row r="385">
      <c r="A385" s="74"/>
      <c r="B385" s="74"/>
      <c r="C385" s="12"/>
      <c r="D385" s="74"/>
      <c r="E385" s="74"/>
      <c r="F385" s="89"/>
      <c r="G385" s="89"/>
      <c r="H385" s="90"/>
      <c r="I385" s="90"/>
      <c r="J385" s="90"/>
      <c r="K385" s="90"/>
      <c r="L385" s="91"/>
      <c r="M385" s="73"/>
      <c r="N385" s="74"/>
      <c r="O385" s="74"/>
      <c r="P385" s="74"/>
      <c r="Q385" s="74"/>
    </row>
    <row r="386">
      <c r="A386" s="74"/>
      <c r="B386" s="74"/>
      <c r="C386" s="12"/>
      <c r="D386" s="74"/>
      <c r="E386" s="74"/>
      <c r="F386" s="89"/>
      <c r="G386" s="89"/>
      <c r="H386" s="90"/>
      <c r="I386" s="90"/>
      <c r="J386" s="90"/>
      <c r="K386" s="90"/>
      <c r="L386" s="91"/>
      <c r="M386" s="73"/>
      <c r="N386" s="74"/>
      <c r="O386" s="74"/>
      <c r="P386" s="74"/>
      <c r="Q386" s="74"/>
    </row>
    <row r="387">
      <c r="A387" s="74"/>
      <c r="B387" s="74"/>
      <c r="C387" s="12"/>
      <c r="D387" s="74"/>
      <c r="E387" s="74"/>
      <c r="F387" s="89"/>
      <c r="G387" s="89"/>
      <c r="H387" s="90"/>
      <c r="I387" s="90"/>
      <c r="J387" s="90"/>
      <c r="K387" s="90"/>
      <c r="L387" s="91"/>
      <c r="M387" s="73"/>
      <c r="N387" s="74"/>
      <c r="O387" s="74"/>
      <c r="P387" s="74"/>
      <c r="Q387" s="74"/>
    </row>
    <row r="388">
      <c r="A388" s="74"/>
      <c r="B388" s="74"/>
      <c r="C388" s="12"/>
      <c r="D388" s="74"/>
      <c r="E388" s="74"/>
      <c r="F388" s="89"/>
      <c r="G388" s="89"/>
      <c r="H388" s="90"/>
      <c r="I388" s="90"/>
      <c r="J388" s="90"/>
      <c r="K388" s="90"/>
      <c r="L388" s="91"/>
      <c r="M388" s="73"/>
      <c r="N388" s="74"/>
      <c r="O388" s="74"/>
      <c r="P388" s="74"/>
      <c r="Q388" s="74"/>
    </row>
    <row r="389">
      <c r="A389" s="74"/>
      <c r="B389" s="74"/>
      <c r="C389" s="12"/>
      <c r="D389" s="74"/>
      <c r="E389" s="74"/>
      <c r="F389" s="89"/>
      <c r="G389" s="89"/>
      <c r="H389" s="90"/>
      <c r="I389" s="90"/>
      <c r="J389" s="90"/>
      <c r="K389" s="90"/>
      <c r="L389" s="91"/>
      <c r="M389" s="73"/>
      <c r="N389" s="74"/>
      <c r="O389" s="74"/>
      <c r="P389" s="74"/>
      <c r="Q389" s="74"/>
    </row>
    <row r="390">
      <c r="A390" s="74"/>
      <c r="B390" s="74"/>
      <c r="C390" s="12"/>
      <c r="D390" s="74"/>
      <c r="E390" s="74"/>
      <c r="F390" s="89"/>
      <c r="G390" s="89"/>
      <c r="H390" s="90"/>
      <c r="I390" s="90"/>
      <c r="J390" s="90"/>
      <c r="K390" s="90"/>
      <c r="L390" s="91"/>
      <c r="M390" s="73"/>
      <c r="N390" s="74"/>
      <c r="O390" s="74"/>
      <c r="P390" s="74"/>
      <c r="Q390" s="74"/>
    </row>
    <row r="391">
      <c r="A391" s="74"/>
      <c r="B391" s="74"/>
      <c r="C391" s="12"/>
      <c r="D391" s="74"/>
      <c r="E391" s="74"/>
      <c r="F391" s="89"/>
      <c r="G391" s="89"/>
      <c r="H391" s="90"/>
      <c r="I391" s="90"/>
      <c r="J391" s="90"/>
      <c r="K391" s="90"/>
      <c r="L391" s="91"/>
      <c r="M391" s="73"/>
      <c r="N391" s="74"/>
      <c r="O391" s="74"/>
      <c r="P391" s="74"/>
      <c r="Q391" s="74"/>
    </row>
    <row r="392">
      <c r="A392" s="74"/>
      <c r="B392" s="74"/>
      <c r="C392" s="12"/>
      <c r="D392" s="74"/>
      <c r="E392" s="74"/>
      <c r="F392" s="89"/>
      <c r="G392" s="89"/>
      <c r="H392" s="90"/>
      <c r="I392" s="90"/>
      <c r="J392" s="90"/>
      <c r="K392" s="90"/>
      <c r="L392" s="91"/>
      <c r="M392" s="73"/>
      <c r="N392" s="74"/>
      <c r="O392" s="74"/>
      <c r="P392" s="74"/>
      <c r="Q392" s="74"/>
    </row>
    <row r="393">
      <c r="A393" s="74"/>
      <c r="B393" s="74"/>
      <c r="C393" s="12"/>
      <c r="D393" s="74"/>
      <c r="E393" s="74"/>
      <c r="F393" s="89"/>
      <c r="G393" s="89"/>
      <c r="H393" s="90"/>
      <c r="I393" s="90"/>
      <c r="J393" s="90"/>
      <c r="K393" s="90"/>
      <c r="L393" s="91"/>
      <c r="M393" s="73"/>
      <c r="N393" s="74"/>
      <c r="O393" s="74"/>
      <c r="P393" s="74"/>
      <c r="Q393" s="74"/>
    </row>
    <row r="394">
      <c r="A394" s="74"/>
      <c r="B394" s="74"/>
      <c r="C394" s="12"/>
      <c r="D394" s="74"/>
      <c r="E394" s="74"/>
      <c r="F394" s="89"/>
      <c r="G394" s="89"/>
      <c r="H394" s="90"/>
      <c r="I394" s="90"/>
      <c r="J394" s="90"/>
      <c r="K394" s="90"/>
      <c r="L394" s="91"/>
      <c r="M394" s="73"/>
      <c r="N394" s="74"/>
      <c r="O394" s="74"/>
      <c r="P394" s="74"/>
      <c r="Q394" s="74"/>
    </row>
    <row r="395">
      <c r="A395" s="74"/>
      <c r="B395" s="74"/>
      <c r="C395" s="12"/>
      <c r="D395" s="74"/>
      <c r="E395" s="74"/>
      <c r="F395" s="89"/>
      <c r="G395" s="89"/>
      <c r="H395" s="90"/>
      <c r="I395" s="90"/>
      <c r="J395" s="90"/>
      <c r="K395" s="90"/>
      <c r="L395" s="91"/>
      <c r="M395" s="73"/>
      <c r="N395" s="74"/>
      <c r="O395" s="74"/>
      <c r="P395" s="74"/>
      <c r="Q395" s="74"/>
    </row>
    <row r="396">
      <c r="A396" s="74"/>
      <c r="B396" s="74"/>
      <c r="C396" s="12"/>
      <c r="D396" s="74"/>
      <c r="E396" s="74"/>
      <c r="F396" s="89"/>
      <c r="G396" s="89"/>
      <c r="H396" s="90"/>
      <c r="I396" s="90"/>
      <c r="J396" s="90"/>
      <c r="K396" s="90"/>
      <c r="L396" s="91"/>
      <c r="M396" s="73"/>
      <c r="N396" s="74"/>
      <c r="O396" s="74"/>
      <c r="P396" s="74"/>
      <c r="Q396" s="74"/>
    </row>
    <row r="397">
      <c r="A397" s="74"/>
      <c r="B397" s="74"/>
      <c r="C397" s="12"/>
      <c r="D397" s="74"/>
      <c r="E397" s="74"/>
      <c r="F397" s="89"/>
      <c r="G397" s="89"/>
      <c r="H397" s="90"/>
      <c r="I397" s="90"/>
      <c r="J397" s="90"/>
      <c r="K397" s="90"/>
      <c r="L397" s="91"/>
      <c r="M397" s="73"/>
      <c r="N397" s="74"/>
      <c r="O397" s="74"/>
      <c r="P397" s="74"/>
      <c r="Q397" s="74"/>
    </row>
    <row r="398">
      <c r="A398" s="74"/>
      <c r="B398" s="74"/>
      <c r="C398" s="12"/>
      <c r="D398" s="74"/>
      <c r="E398" s="74"/>
      <c r="F398" s="89"/>
      <c r="G398" s="89"/>
      <c r="H398" s="90"/>
      <c r="I398" s="90"/>
      <c r="J398" s="90"/>
      <c r="K398" s="90"/>
      <c r="L398" s="91"/>
      <c r="M398" s="73"/>
      <c r="N398" s="74"/>
      <c r="O398" s="74"/>
      <c r="P398" s="74"/>
      <c r="Q398" s="74"/>
    </row>
    <row r="399">
      <c r="A399" s="74"/>
      <c r="B399" s="74"/>
      <c r="C399" s="12"/>
      <c r="D399" s="74"/>
      <c r="E399" s="74"/>
      <c r="F399" s="89"/>
      <c r="G399" s="89"/>
      <c r="H399" s="90"/>
      <c r="I399" s="90"/>
      <c r="J399" s="90"/>
      <c r="K399" s="90"/>
      <c r="L399" s="91"/>
      <c r="M399" s="73"/>
      <c r="N399" s="74"/>
      <c r="O399" s="74"/>
      <c r="P399" s="74"/>
      <c r="Q399" s="74"/>
    </row>
    <row r="400">
      <c r="A400" s="74"/>
      <c r="B400" s="74"/>
      <c r="C400" s="12"/>
      <c r="D400" s="74"/>
      <c r="E400" s="74"/>
      <c r="F400" s="89"/>
      <c r="G400" s="89"/>
      <c r="H400" s="90"/>
      <c r="I400" s="90"/>
      <c r="J400" s="90"/>
      <c r="K400" s="90"/>
      <c r="L400" s="91"/>
      <c r="M400" s="73"/>
      <c r="N400" s="74"/>
      <c r="O400" s="74"/>
      <c r="P400" s="74"/>
      <c r="Q400" s="74"/>
    </row>
    <row r="401">
      <c r="A401" s="74"/>
      <c r="B401" s="74"/>
      <c r="C401" s="12"/>
      <c r="D401" s="74"/>
      <c r="E401" s="74"/>
      <c r="F401" s="89"/>
      <c r="G401" s="89"/>
      <c r="H401" s="90"/>
      <c r="I401" s="90"/>
      <c r="J401" s="90"/>
      <c r="K401" s="90"/>
      <c r="L401" s="91"/>
      <c r="M401" s="73"/>
      <c r="N401" s="74"/>
      <c r="O401" s="74"/>
      <c r="P401" s="74"/>
      <c r="Q401" s="74"/>
    </row>
    <row r="402">
      <c r="A402" s="74"/>
      <c r="B402" s="74"/>
      <c r="C402" s="12"/>
      <c r="D402" s="74"/>
      <c r="E402" s="74"/>
      <c r="F402" s="89"/>
      <c r="G402" s="89"/>
      <c r="H402" s="90"/>
      <c r="I402" s="90"/>
      <c r="J402" s="90"/>
      <c r="K402" s="90"/>
      <c r="L402" s="91"/>
      <c r="M402" s="73"/>
      <c r="N402" s="74"/>
      <c r="O402" s="74"/>
      <c r="P402" s="74"/>
      <c r="Q402" s="74"/>
    </row>
    <row r="403">
      <c r="A403" s="74"/>
      <c r="B403" s="74"/>
      <c r="C403" s="12"/>
      <c r="D403" s="74"/>
      <c r="E403" s="74"/>
      <c r="F403" s="89"/>
      <c r="G403" s="89"/>
      <c r="H403" s="90"/>
      <c r="I403" s="90"/>
      <c r="J403" s="90"/>
      <c r="K403" s="90"/>
      <c r="L403" s="91"/>
      <c r="M403" s="73"/>
      <c r="N403" s="74"/>
      <c r="O403" s="74"/>
      <c r="P403" s="74"/>
      <c r="Q403" s="74"/>
    </row>
    <row r="404">
      <c r="A404" s="74"/>
      <c r="B404" s="74"/>
      <c r="C404" s="12"/>
      <c r="D404" s="74"/>
      <c r="E404" s="74"/>
      <c r="F404" s="89"/>
      <c r="G404" s="89"/>
      <c r="H404" s="90"/>
      <c r="I404" s="90"/>
      <c r="J404" s="90"/>
      <c r="K404" s="90"/>
      <c r="L404" s="91"/>
      <c r="M404" s="73"/>
      <c r="N404" s="74"/>
      <c r="O404" s="74"/>
      <c r="P404" s="74"/>
      <c r="Q404" s="74"/>
    </row>
    <row r="405">
      <c r="A405" s="74"/>
      <c r="B405" s="74"/>
      <c r="C405" s="12"/>
      <c r="D405" s="74"/>
      <c r="E405" s="74"/>
      <c r="F405" s="89"/>
      <c r="G405" s="89"/>
      <c r="H405" s="90"/>
      <c r="I405" s="90"/>
      <c r="J405" s="90"/>
      <c r="K405" s="90"/>
      <c r="L405" s="91"/>
      <c r="M405" s="73"/>
      <c r="N405" s="74"/>
      <c r="O405" s="74"/>
      <c r="P405" s="74"/>
      <c r="Q405" s="74"/>
    </row>
    <row r="406">
      <c r="A406" s="74"/>
      <c r="B406" s="74"/>
      <c r="C406" s="12"/>
      <c r="D406" s="74"/>
      <c r="E406" s="74"/>
      <c r="F406" s="89"/>
      <c r="G406" s="89"/>
      <c r="H406" s="90"/>
      <c r="I406" s="90"/>
      <c r="J406" s="90"/>
      <c r="K406" s="90"/>
      <c r="L406" s="91"/>
      <c r="M406" s="73"/>
      <c r="N406" s="74"/>
      <c r="O406" s="74"/>
      <c r="P406" s="74"/>
      <c r="Q406" s="74"/>
    </row>
    <row r="407">
      <c r="A407" s="74"/>
      <c r="B407" s="74"/>
      <c r="C407" s="12"/>
      <c r="D407" s="74"/>
      <c r="E407" s="74"/>
      <c r="F407" s="89"/>
      <c r="G407" s="89"/>
      <c r="H407" s="90"/>
      <c r="I407" s="90"/>
      <c r="J407" s="90"/>
      <c r="K407" s="90"/>
      <c r="L407" s="91"/>
      <c r="M407" s="73"/>
      <c r="N407" s="74"/>
      <c r="O407" s="74"/>
      <c r="P407" s="74"/>
      <c r="Q407" s="74"/>
    </row>
    <row r="408">
      <c r="A408" s="74"/>
      <c r="B408" s="74"/>
      <c r="C408" s="12"/>
      <c r="D408" s="74"/>
      <c r="E408" s="74"/>
      <c r="F408" s="89"/>
      <c r="G408" s="89"/>
      <c r="H408" s="90"/>
      <c r="I408" s="90"/>
      <c r="J408" s="90"/>
      <c r="K408" s="90"/>
      <c r="L408" s="91"/>
      <c r="M408" s="73"/>
      <c r="N408" s="74"/>
      <c r="O408" s="74"/>
      <c r="P408" s="74"/>
      <c r="Q408" s="74"/>
    </row>
    <row r="409">
      <c r="A409" s="74"/>
      <c r="B409" s="74"/>
      <c r="C409" s="12"/>
      <c r="D409" s="74"/>
      <c r="E409" s="74"/>
      <c r="F409" s="89"/>
      <c r="G409" s="89"/>
      <c r="H409" s="90"/>
      <c r="I409" s="90"/>
      <c r="J409" s="90"/>
      <c r="K409" s="90"/>
      <c r="L409" s="91"/>
      <c r="M409" s="73"/>
      <c r="N409" s="74"/>
      <c r="O409" s="74"/>
      <c r="P409" s="74"/>
      <c r="Q409" s="74"/>
    </row>
    <row r="410">
      <c r="A410" s="74"/>
      <c r="B410" s="74"/>
      <c r="C410" s="12"/>
      <c r="D410" s="74"/>
      <c r="E410" s="74"/>
      <c r="F410" s="89"/>
      <c r="G410" s="89"/>
      <c r="H410" s="90"/>
      <c r="I410" s="90"/>
      <c r="J410" s="90"/>
      <c r="K410" s="90"/>
      <c r="L410" s="91"/>
      <c r="M410" s="73"/>
      <c r="N410" s="74"/>
      <c r="O410" s="74"/>
      <c r="P410" s="74"/>
      <c r="Q410" s="74"/>
    </row>
    <row r="411">
      <c r="A411" s="74"/>
      <c r="B411" s="74"/>
      <c r="C411" s="12"/>
      <c r="D411" s="74"/>
      <c r="E411" s="74"/>
      <c r="F411" s="89"/>
      <c r="G411" s="89"/>
      <c r="H411" s="90"/>
      <c r="I411" s="90"/>
      <c r="J411" s="90"/>
      <c r="K411" s="90"/>
      <c r="L411" s="91"/>
      <c r="M411" s="73"/>
      <c r="N411" s="74"/>
      <c r="O411" s="74"/>
      <c r="P411" s="74"/>
      <c r="Q411" s="74"/>
    </row>
    <row r="412">
      <c r="A412" s="74"/>
      <c r="B412" s="74"/>
      <c r="C412" s="12"/>
      <c r="D412" s="74"/>
      <c r="E412" s="74"/>
      <c r="F412" s="89"/>
      <c r="G412" s="89"/>
      <c r="H412" s="90"/>
      <c r="I412" s="90"/>
      <c r="J412" s="90"/>
      <c r="K412" s="90"/>
      <c r="L412" s="91"/>
      <c r="M412" s="73"/>
      <c r="N412" s="74"/>
      <c r="O412" s="74"/>
      <c r="P412" s="74"/>
      <c r="Q412" s="74"/>
    </row>
    <row r="413">
      <c r="A413" s="74"/>
      <c r="B413" s="74"/>
      <c r="C413" s="12"/>
      <c r="D413" s="74"/>
      <c r="E413" s="74"/>
      <c r="F413" s="89"/>
      <c r="G413" s="89"/>
      <c r="H413" s="90"/>
      <c r="I413" s="90"/>
      <c r="J413" s="90"/>
      <c r="K413" s="90"/>
      <c r="L413" s="91"/>
      <c r="M413" s="73"/>
      <c r="N413" s="74"/>
      <c r="O413" s="74"/>
      <c r="P413" s="74"/>
      <c r="Q413" s="74"/>
    </row>
    <row r="414">
      <c r="A414" s="74"/>
      <c r="B414" s="74"/>
      <c r="C414" s="12"/>
      <c r="D414" s="74"/>
      <c r="E414" s="74"/>
      <c r="F414" s="89"/>
      <c r="G414" s="89"/>
      <c r="H414" s="90"/>
      <c r="I414" s="90"/>
      <c r="J414" s="90"/>
      <c r="K414" s="90"/>
      <c r="L414" s="91"/>
      <c r="M414" s="73"/>
      <c r="N414" s="74"/>
      <c r="O414" s="74"/>
      <c r="P414" s="74"/>
      <c r="Q414" s="74"/>
    </row>
    <row r="415">
      <c r="A415" s="74"/>
      <c r="B415" s="74"/>
      <c r="C415" s="12"/>
      <c r="D415" s="74"/>
      <c r="E415" s="74"/>
      <c r="F415" s="89"/>
      <c r="G415" s="89"/>
      <c r="H415" s="90"/>
      <c r="I415" s="90"/>
      <c r="J415" s="90"/>
      <c r="K415" s="90"/>
      <c r="L415" s="91"/>
      <c r="M415" s="73"/>
      <c r="N415" s="74"/>
      <c r="O415" s="74"/>
      <c r="P415" s="74"/>
      <c r="Q415" s="74"/>
    </row>
    <row r="416">
      <c r="A416" s="74"/>
      <c r="B416" s="74"/>
      <c r="C416" s="12"/>
      <c r="D416" s="74"/>
      <c r="E416" s="74"/>
      <c r="F416" s="89"/>
      <c r="G416" s="89"/>
      <c r="H416" s="90"/>
      <c r="I416" s="90"/>
      <c r="J416" s="90"/>
      <c r="K416" s="90"/>
      <c r="L416" s="91"/>
      <c r="M416" s="73"/>
      <c r="N416" s="74"/>
      <c r="O416" s="74"/>
      <c r="P416" s="74"/>
      <c r="Q416" s="74"/>
    </row>
    <row r="417">
      <c r="A417" s="74"/>
      <c r="B417" s="74"/>
      <c r="C417" s="12"/>
      <c r="D417" s="74"/>
      <c r="E417" s="74"/>
      <c r="F417" s="89"/>
      <c r="G417" s="89"/>
      <c r="H417" s="90"/>
      <c r="I417" s="90"/>
      <c r="J417" s="90"/>
      <c r="K417" s="90"/>
      <c r="L417" s="91"/>
      <c r="M417" s="73"/>
      <c r="N417" s="74"/>
      <c r="O417" s="74"/>
      <c r="P417" s="74"/>
      <c r="Q417" s="74"/>
    </row>
    <row r="418">
      <c r="A418" s="74"/>
      <c r="B418" s="74"/>
      <c r="C418" s="12"/>
      <c r="D418" s="74"/>
      <c r="E418" s="74"/>
      <c r="F418" s="89"/>
      <c r="G418" s="89"/>
      <c r="H418" s="90"/>
      <c r="I418" s="90"/>
      <c r="J418" s="90"/>
      <c r="K418" s="90"/>
      <c r="L418" s="91"/>
      <c r="M418" s="73"/>
      <c r="N418" s="74"/>
      <c r="O418" s="74"/>
      <c r="P418" s="74"/>
      <c r="Q418" s="74"/>
    </row>
    <row r="419">
      <c r="A419" s="74"/>
      <c r="B419" s="74"/>
      <c r="C419" s="12"/>
      <c r="D419" s="74"/>
      <c r="E419" s="74"/>
      <c r="F419" s="89"/>
      <c r="G419" s="89"/>
      <c r="H419" s="90"/>
      <c r="I419" s="90"/>
      <c r="J419" s="90"/>
      <c r="K419" s="90"/>
      <c r="L419" s="91"/>
      <c r="M419" s="73"/>
      <c r="N419" s="74"/>
      <c r="O419" s="74"/>
      <c r="P419" s="74"/>
      <c r="Q419" s="74"/>
    </row>
    <row r="420">
      <c r="A420" s="74"/>
      <c r="B420" s="74"/>
      <c r="C420" s="12"/>
      <c r="D420" s="74"/>
      <c r="E420" s="74"/>
      <c r="F420" s="89"/>
      <c r="G420" s="89"/>
      <c r="H420" s="90"/>
      <c r="I420" s="90"/>
      <c r="J420" s="90"/>
      <c r="K420" s="90"/>
      <c r="L420" s="91"/>
      <c r="M420" s="73"/>
      <c r="N420" s="74"/>
      <c r="O420" s="74"/>
      <c r="P420" s="74"/>
      <c r="Q420" s="74"/>
    </row>
    <row r="421">
      <c r="A421" s="74"/>
      <c r="B421" s="74"/>
      <c r="C421" s="12"/>
      <c r="D421" s="74"/>
      <c r="E421" s="74"/>
      <c r="F421" s="89"/>
      <c r="G421" s="89"/>
      <c r="H421" s="90"/>
      <c r="I421" s="90"/>
      <c r="J421" s="90"/>
      <c r="K421" s="90"/>
      <c r="L421" s="91"/>
      <c r="M421" s="73"/>
      <c r="N421" s="74"/>
      <c r="O421" s="74"/>
      <c r="P421" s="74"/>
      <c r="Q421" s="74"/>
    </row>
    <row r="422">
      <c r="A422" s="74"/>
      <c r="B422" s="74"/>
      <c r="C422" s="12"/>
      <c r="D422" s="74"/>
      <c r="E422" s="74"/>
      <c r="F422" s="89"/>
      <c r="G422" s="89"/>
      <c r="H422" s="90"/>
      <c r="I422" s="90"/>
      <c r="J422" s="90"/>
      <c r="K422" s="90"/>
      <c r="L422" s="91"/>
      <c r="M422" s="73"/>
      <c r="N422" s="74"/>
      <c r="O422" s="74"/>
      <c r="P422" s="74"/>
      <c r="Q422" s="74"/>
    </row>
    <row r="423">
      <c r="A423" s="74"/>
      <c r="B423" s="74"/>
      <c r="C423" s="12"/>
      <c r="D423" s="74"/>
      <c r="E423" s="74"/>
      <c r="F423" s="89"/>
      <c r="G423" s="89"/>
      <c r="H423" s="90"/>
      <c r="I423" s="90"/>
      <c r="J423" s="90"/>
      <c r="K423" s="90"/>
      <c r="L423" s="91"/>
      <c r="M423" s="73"/>
      <c r="N423" s="74"/>
      <c r="O423" s="74"/>
      <c r="P423" s="74"/>
      <c r="Q423" s="74"/>
    </row>
    <row r="424">
      <c r="A424" s="74"/>
      <c r="B424" s="74"/>
      <c r="C424" s="12"/>
      <c r="D424" s="74"/>
      <c r="E424" s="74"/>
      <c r="F424" s="89"/>
      <c r="G424" s="89"/>
      <c r="H424" s="90"/>
      <c r="I424" s="90"/>
      <c r="J424" s="90"/>
      <c r="K424" s="90"/>
      <c r="L424" s="91"/>
      <c r="M424" s="73"/>
      <c r="N424" s="74"/>
      <c r="O424" s="74"/>
      <c r="P424" s="74"/>
      <c r="Q424" s="74"/>
    </row>
    <row r="425">
      <c r="A425" s="74"/>
      <c r="B425" s="74"/>
      <c r="C425" s="12"/>
      <c r="D425" s="74"/>
      <c r="E425" s="74"/>
      <c r="F425" s="89"/>
      <c r="G425" s="89"/>
      <c r="H425" s="90"/>
      <c r="I425" s="90"/>
      <c r="J425" s="90"/>
      <c r="K425" s="90"/>
      <c r="L425" s="91"/>
      <c r="M425" s="73"/>
      <c r="N425" s="74"/>
      <c r="O425" s="74"/>
      <c r="P425" s="74"/>
      <c r="Q425" s="74"/>
    </row>
    <row r="426">
      <c r="A426" s="74"/>
      <c r="B426" s="74"/>
      <c r="C426" s="12"/>
      <c r="D426" s="74"/>
      <c r="E426" s="74"/>
      <c r="F426" s="89"/>
      <c r="G426" s="89"/>
      <c r="H426" s="90"/>
      <c r="I426" s="90"/>
      <c r="J426" s="90"/>
      <c r="K426" s="90"/>
      <c r="L426" s="91"/>
      <c r="M426" s="73"/>
      <c r="N426" s="74"/>
      <c r="O426" s="74"/>
      <c r="P426" s="74"/>
      <c r="Q426" s="74"/>
    </row>
    <row r="427">
      <c r="A427" s="74"/>
      <c r="B427" s="74"/>
      <c r="C427" s="12"/>
      <c r="D427" s="74"/>
      <c r="E427" s="74"/>
      <c r="F427" s="89"/>
      <c r="G427" s="89"/>
      <c r="H427" s="90"/>
      <c r="I427" s="90"/>
      <c r="J427" s="90"/>
      <c r="K427" s="90"/>
      <c r="L427" s="91"/>
      <c r="M427" s="73"/>
      <c r="N427" s="74"/>
      <c r="O427" s="74"/>
      <c r="P427" s="74"/>
      <c r="Q427" s="74"/>
    </row>
    <row r="428">
      <c r="A428" s="74"/>
      <c r="B428" s="74"/>
      <c r="C428" s="12"/>
      <c r="D428" s="74"/>
      <c r="E428" s="74"/>
      <c r="F428" s="89"/>
      <c r="G428" s="89"/>
      <c r="H428" s="90"/>
      <c r="I428" s="90"/>
      <c r="J428" s="90"/>
      <c r="K428" s="90"/>
      <c r="L428" s="91"/>
      <c r="M428" s="73"/>
      <c r="N428" s="74"/>
      <c r="O428" s="74"/>
      <c r="P428" s="74"/>
      <c r="Q428" s="74"/>
    </row>
    <row r="429">
      <c r="A429" s="74"/>
      <c r="B429" s="74"/>
      <c r="C429" s="12"/>
      <c r="D429" s="74"/>
      <c r="E429" s="74"/>
      <c r="F429" s="89"/>
      <c r="G429" s="89"/>
      <c r="H429" s="90"/>
      <c r="I429" s="90"/>
      <c r="J429" s="90"/>
      <c r="K429" s="90"/>
      <c r="L429" s="91"/>
      <c r="M429" s="73"/>
      <c r="N429" s="74"/>
      <c r="O429" s="74"/>
      <c r="P429" s="74"/>
      <c r="Q429" s="74"/>
    </row>
    <row r="430">
      <c r="A430" s="74"/>
      <c r="B430" s="74"/>
      <c r="C430" s="12"/>
      <c r="D430" s="74"/>
      <c r="E430" s="74"/>
      <c r="F430" s="89"/>
      <c r="G430" s="89"/>
      <c r="H430" s="90"/>
      <c r="I430" s="90"/>
      <c r="J430" s="90"/>
      <c r="K430" s="90"/>
      <c r="L430" s="91"/>
      <c r="M430" s="73"/>
      <c r="N430" s="74"/>
      <c r="O430" s="74"/>
      <c r="P430" s="74"/>
      <c r="Q430" s="74"/>
    </row>
    <row r="431">
      <c r="A431" s="74"/>
      <c r="B431" s="74"/>
      <c r="C431" s="12"/>
      <c r="D431" s="74"/>
      <c r="E431" s="74"/>
      <c r="F431" s="89"/>
      <c r="G431" s="89"/>
      <c r="H431" s="90"/>
      <c r="I431" s="90"/>
      <c r="J431" s="90"/>
      <c r="K431" s="90"/>
      <c r="L431" s="91"/>
      <c r="M431" s="73"/>
      <c r="N431" s="74"/>
      <c r="O431" s="74"/>
      <c r="P431" s="74"/>
      <c r="Q431" s="74"/>
    </row>
    <row r="432">
      <c r="A432" s="74"/>
      <c r="B432" s="74"/>
      <c r="C432" s="12"/>
      <c r="D432" s="74"/>
      <c r="E432" s="74"/>
      <c r="F432" s="89"/>
      <c r="G432" s="89"/>
      <c r="H432" s="90"/>
      <c r="I432" s="90"/>
      <c r="J432" s="90"/>
      <c r="K432" s="90"/>
      <c r="L432" s="91"/>
      <c r="M432" s="73"/>
      <c r="N432" s="74"/>
      <c r="O432" s="74"/>
      <c r="P432" s="74"/>
      <c r="Q432" s="74"/>
    </row>
    <row r="433">
      <c r="A433" s="74"/>
      <c r="B433" s="74"/>
      <c r="C433" s="12"/>
      <c r="D433" s="74"/>
      <c r="E433" s="74"/>
      <c r="F433" s="89"/>
      <c r="G433" s="89"/>
      <c r="H433" s="90"/>
      <c r="I433" s="90"/>
      <c r="J433" s="90"/>
      <c r="K433" s="90"/>
      <c r="L433" s="91"/>
      <c r="M433" s="73"/>
      <c r="N433" s="74"/>
      <c r="O433" s="74"/>
      <c r="P433" s="74"/>
      <c r="Q433" s="74"/>
    </row>
    <row r="434">
      <c r="A434" s="74"/>
      <c r="B434" s="74"/>
      <c r="C434" s="12"/>
      <c r="D434" s="74"/>
      <c r="E434" s="74"/>
      <c r="F434" s="89"/>
      <c r="G434" s="89"/>
      <c r="H434" s="90"/>
      <c r="I434" s="90"/>
      <c r="J434" s="90"/>
      <c r="K434" s="90"/>
      <c r="L434" s="91"/>
      <c r="M434" s="73"/>
      <c r="N434" s="74"/>
      <c r="O434" s="74"/>
      <c r="P434" s="74"/>
      <c r="Q434" s="74"/>
    </row>
    <row r="435">
      <c r="A435" s="74"/>
      <c r="B435" s="74"/>
      <c r="C435" s="12"/>
      <c r="D435" s="74"/>
      <c r="E435" s="74"/>
      <c r="F435" s="89"/>
      <c r="G435" s="89"/>
      <c r="H435" s="90"/>
      <c r="I435" s="90"/>
      <c r="J435" s="90"/>
      <c r="K435" s="90"/>
      <c r="L435" s="91"/>
      <c r="M435" s="73"/>
      <c r="N435" s="74"/>
      <c r="O435" s="74"/>
      <c r="P435" s="74"/>
      <c r="Q435" s="74"/>
    </row>
    <row r="436">
      <c r="A436" s="74"/>
      <c r="B436" s="74"/>
      <c r="C436" s="12"/>
      <c r="D436" s="74"/>
      <c r="E436" s="74"/>
      <c r="F436" s="89"/>
      <c r="G436" s="89"/>
      <c r="H436" s="90"/>
      <c r="I436" s="90"/>
      <c r="J436" s="90"/>
      <c r="K436" s="90"/>
      <c r="L436" s="91"/>
      <c r="M436" s="73"/>
      <c r="N436" s="74"/>
      <c r="O436" s="74"/>
      <c r="P436" s="74"/>
      <c r="Q436" s="74"/>
    </row>
    <row r="437">
      <c r="A437" s="74"/>
      <c r="B437" s="74"/>
      <c r="C437" s="12"/>
      <c r="D437" s="74"/>
      <c r="E437" s="74"/>
      <c r="F437" s="89"/>
      <c r="G437" s="89"/>
      <c r="H437" s="90"/>
      <c r="I437" s="90"/>
      <c r="J437" s="90"/>
      <c r="K437" s="90"/>
      <c r="L437" s="91"/>
      <c r="M437" s="73"/>
      <c r="N437" s="74"/>
      <c r="O437" s="74"/>
      <c r="P437" s="74"/>
      <c r="Q437" s="74"/>
    </row>
    <row r="438">
      <c r="A438" s="74"/>
      <c r="B438" s="74"/>
      <c r="C438" s="12"/>
      <c r="D438" s="74"/>
      <c r="E438" s="74"/>
      <c r="F438" s="89"/>
      <c r="G438" s="89"/>
      <c r="H438" s="90"/>
      <c r="I438" s="90"/>
      <c r="J438" s="90"/>
      <c r="K438" s="90"/>
      <c r="L438" s="91"/>
      <c r="M438" s="73"/>
      <c r="N438" s="74"/>
      <c r="O438" s="74"/>
      <c r="P438" s="74"/>
      <c r="Q438" s="74"/>
    </row>
    <row r="439">
      <c r="A439" s="74"/>
      <c r="B439" s="74"/>
      <c r="C439" s="12"/>
      <c r="D439" s="74"/>
      <c r="E439" s="74"/>
      <c r="F439" s="89"/>
      <c r="G439" s="89"/>
      <c r="H439" s="90"/>
      <c r="I439" s="90"/>
      <c r="J439" s="90"/>
      <c r="K439" s="90"/>
      <c r="L439" s="91"/>
      <c r="M439" s="73"/>
      <c r="N439" s="74"/>
      <c r="O439" s="74"/>
      <c r="P439" s="74"/>
      <c r="Q439" s="74"/>
    </row>
    <row r="440">
      <c r="A440" s="74"/>
      <c r="B440" s="74"/>
      <c r="C440" s="12"/>
      <c r="D440" s="74"/>
      <c r="E440" s="74"/>
      <c r="F440" s="89"/>
      <c r="G440" s="89"/>
      <c r="H440" s="90"/>
      <c r="I440" s="90"/>
      <c r="J440" s="90"/>
      <c r="K440" s="90"/>
      <c r="L440" s="91"/>
      <c r="M440" s="73"/>
      <c r="N440" s="74"/>
      <c r="O440" s="74"/>
      <c r="P440" s="74"/>
      <c r="Q440" s="74"/>
    </row>
    <row r="441">
      <c r="A441" s="74"/>
      <c r="B441" s="74"/>
      <c r="C441" s="12"/>
      <c r="D441" s="74"/>
      <c r="E441" s="74"/>
      <c r="F441" s="89"/>
      <c r="G441" s="89"/>
      <c r="H441" s="90"/>
      <c r="I441" s="90"/>
      <c r="J441" s="90"/>
      <c r="K441" s="90"/>
      <c r="L441" s="91"/>
      <c r="M441" s="73"/>
      <c r="N441" s="74"/>
      <c r="O441" s="74"/>
      <c r="P441" s="74"/>
      <c r="Q441" s="74"/>
    </row>
    <row r="442">
      <c r="A442" s="74"/>
      <c r="B442" s="74"/>
      <c r="C442" s="12"/>
      <c r="D442" s="74"/>
      <c r="E442" s="74"/>
      <c r="F442" s="89"/>
      <c r="G442" s="89"/>
      <c r="H442" s="90"/>
      <c r="I442" s="90"/>
      <c r="J442" s="90"/>
      <c r="K442" s="90"/>
      <c r="L442" s="91"/>
      <c r="M442" s="73"/>
      <c r="N442" s="74"/>
      <c r="O442" s="74"/>
      <c r="P442" s="74"/>
      <c r="Q442" s="74"/>
    </row>
    <row r="443">
      <c r="A443" s="74"/>
      <c r="B443" s="74"/>
      <c r="C443" s="12"/>
      <c r="D443" s="74"/>
      <c r="E443" s="74"/>
      <c r="F443" s="89"/>
      <c r="G443" s="89"/>
      <c r="H443" s="90"/>
      <c r="I443" s="90"/>
      <c r="J443" s="90"/>
      <c r="K443" s="90"/>
      <c r="L443" s="91"/>
      <c r="M443" s="73"/>
      <c r="N443" s="74"/>
      <c r="O443" s="74"/>
      <c r="P443" s="74"/>
      <c r="Q443" s="74"/>
    </row>
    <row r="444">
      <c r="A444" s="74"/>
      <c r="B444" s="74"/>
      <c r="C444" s="12"/>
      <c r="D444" s="74"/>
      <c r="E444" s="74"/>
      <c r="F444" s="89"/>
      <c r="G444" s="89"/>
      <c r="H444" s="90"/>
      <c r="I444" s="90"/>
      <c r="J444" s="90"/>
      <c r="K444" s="90"/>
      <c r="L444" s="91"/>
      <c r="M444" s="73"/>
      <c r="N444" s="74"/>
      <c r="O444" s="74"/>
      <c r="P444" s="74"/>
      <c r="Q444" s="74"/>
    </row>
    <row r="445">
      <c r="A445" s="74"/>
      <c r="B445" s="74"/>
      <c r="C445" s="12"/>
      <c r="D445" s="74"/>
      <c r="E445" s="74"/>
      <c r="F445" s="89"/>
      <c r="G445" s="89"/>
      <c r="H445" s="90"/>
      <c r="I445" s="90"/>
      <c r="J445" s="90"/>
      <c r="K445" s="90"/>
      <c r="L445" s="91"/>
      <c r="M445" s="73"/>
      <c r="N445" s="74"/>
      <c r="O445" s="74"/>
      <c r="P445" s="74"/>
      <c r="Q445" s="74"/>
    </row>
    <row r="446">
      <c r="A446" s="74"/>
      <c r="B446" s="74"/>
      <c r="C446" s="12"/>
      <c r="D446" s="74"/>
      <c r="E446" s="74"/>
      <c r="F446" s="89"/>
      <c r="G446" s="89"/>
      <c r="H446" s="90"/>
      <c r="I446" s="90"/>
      <c r="J446" s="90"/>
      <c r="K446" s="90"/>
      <c r="L446" s="91"/>
      <c r="M446" s="73"/>
      <c r="N446" s="74"/>
      <c r="O446" s="74"/>
      <c r="P446" s="74"/>
      <c r="Q446" s="74"/>
    </row>
    <row r="447">
      <c r="A447" s="74"/>
      <c r="B447" s="74"/>
      <c r="C447" s="12"/>
      <c r="D447" s="74"/>
      <c r="E447" s="74"/>
      <c r="F447" s="89"/>
      <c r="G447" s="89"/>
      <c r="H447" s="90"/>
      <c r="I447" s="90"/>
      <c r="J447" s="90"/>
      <c r="K447" s="90"/>
      <c r="L447" s="91"/>
      <c r="M447" s="73"/>
      <c r="N447" s="74"/>
      <c r="O447" s="74"/>
      <c r="P447" s="74"/>
      <c r="Q447" s="74"/>
    </row>
    <row r="448">
      <c r="A448" s="74"/>
      <c r="B448" s="74"/>
      <c r="C448" s="12"/>
      <c r="D448" s="74"/>
      <c r="E448" s="74"/>
      <c r="F448" s="89"/>
      <c r="G448" s="89"/>
      <c r="H448" s="90"/>
      <c r="I448" s="90"/>
      <c r="J448" s="90"/>
      <c r="K448" s="90"/>
      <c r="L448" s="91"/>
      <c r="M448" s="73"/>
      <c r="N448" s="74"/>
      <c r="O448" s="74"/>
      <c r="P448" s="74"/>
      <c r="Q448" s="74"/>
    </row>
    <row r="449">
      <c r="A449" s="74"/>
      <c r="B449" s="74"/>
      <c r="C449" s="12"/>
      <c r="D449" s="74"/>
      <c r="E449" s="74"/>
      <c r="F449" s="89"/>
      <c r="G449" s="89"/>
      <c r="H449" s="90"/>
      <c r="I449" s="90"/>
      <c r="J449" s="90"/>
      <c r="K449" s="90"/>
      <c r="L449" s="91"/>
      <c r="M449" s="73"/>
      <c r="N449" s="74"/>
      <c r="O449" s="74"/>
      <c r="P449" s="74"/>
      <c r="Q449" s="74"/>
    </row>
    <row r="450">
      <c r="A450" s="74"/>
      <c r="B450" s="74"/>
      <c r="C450" s="12"/>
      <c r="D450" s="74"/>
      <c r="E450" s="74"/>
      <c r="F450" s="89"/>
      <c r="G450" s="89"/>
      <c r="H450" s="90"/>
      <c r="I450" s="90"/>
      <c r="J450" s="90"/>
      <c r="K450" s="90"/>
      <c r="L450" s="91"/>
      <c r="M450" s="73"/>
      <c r="N450" s="74"/>
      <c r="O450" s="74"/>
      <c r="P450" s="74"/>
      <c r="Q450" s="74"/>
    </row>
    <row r="451">
      <c r="A451" s="74"/>
      <c r="B451" s="74"/>
      <c r="C451" s="12"/>
      <c r="D451" s="74"/>
      <c r="E451" s="74"/>
      <c r="F451" s="89"/>
      <c r="G451" s="89"/>
      <c r="H451" s="90"/>
      <c r="I451" s="90"/>
      <c r="J451" s="90"/>
      <c r="K451" s="90"/>
      <c r="L451" s="91"/>
      <c r="M451" s="73"/>
      <c r="N451" s="74"/>
      <c r="O451" s="74"/>
      <c r="P451" s="74"/>
      <c r="Q451" s="74"/>
    </row>
    <row r="452">
      <c r="A452" s="74"/>
      <c r="B452" s="74"/>
      <c r="C452" s="12"/>
      <c r="D452" s="74"/>
      <c r="E452" s="74"/>
      <c r="F452" s="89"/>
      <c r="G452" s="89"/>
      <c r="H452" s="90"/>
      <c r="I452" s="90"/>
      <c r="J452" s="90"/>
      <c r="K452" s="90"/>
      <c r="L452" s="91"/>
      <c r="M452" s="73"/>
      <c r="N452" s="74"/>
      <c r="O452" s="74"/>
      <c r="P452" s="74"/>
      <c r="Q452" s="74"/>
    </row>
    <row r="453">
      <c r="A453" s="74"/>
      <c r="B453" s="74"/>
      <c r="C453" s="12"/>
      <c r="D453" s="74"/>
      <c r="E453" s="74"/>
      <c r="F453" s="89"/>
      <c r="G453" s="89"/>
      <c r="H453" s="90"/>
      <c r="I453" s="90"/>
      <c r="J453" s="90"/>
      <c r="K453" s="90"/>
      <c r="L453" s="91"/>
      <c r="M453" s="73"/>
      <c r="N453" s="74"/>
      <c r="O453" s="74"/>
      <c r="P453" s="74"/>
      <c r="Q453" s="74"/>
    </row>
    <row r="454">
      <c r="A454" s="74"/>
      <c r="B454" s="74"/>
      <c r="C454" s="12"/>
      <c r="D454" s="74"/>
      <c r="E454" s="74"/>
      <c r="F454" s="89"/>
      <c r="G454" s="89"/>
      <c r="H454" s="90"/>
      <c r="I454" s="90"/>
      <c r="J454" s="90"/>
      <c r="K454" s="90"/>
      <c r="L454" s="91"/>
      <c r="M454" s="73"/>
      <c r="N454" s="74"/>
      <c r="O454" s="74"/>
      <c r="P454" s="74"/>
      <c r="Q454" s="74"/>
    </row>
    <row r="455">
      <c r="A455" s="74"/>
      <c r="B455" s="74"/>
      <c r="C455" s="12"/>
      <c r="D455" s="74"/>
      <c r="E455" s="74"/>
      <c r="F455" s="89"/>
      <c r="G455" s="89"/>
      <c r="H455" s="90"/>
      <c r="I455" s="90"/>
      <c r="J455" s="90"/>
      <c r="K455" s="90"/>
      <c r="L455" s="91"/>
      <c r="M455" s="73"/>
      <c r="N455" s="74"/>
      <c r="O455" s="74"/>
      <c r="P455" s="74"/>
      <c r="Q455" s="74"/>
    </row>
    <row r="456">
      <c r="A456" s="74"/>
      <c r="B456" s="74"/>
      <c r="C456" s="12"/>
      <c r="D456" s="74"/>
      <c r="E456" s="74"/>
      <c r="F456" s="89"/>
      <c r="G456" s="89"/>
      <c r="H456" s="90"/>
      <c r="I456" s="90"/>
      <c r="J456" s="90"/>
      <c r="K456" s="90"/>
      <c r="L456" s="91"/>
      <c r="M456" s="73"/>
      <c r="N456" s="74"/>
      <c r="O456" s="74"/>
      <c r="P456" s="74"/>
      <c r="Q456" s="74"/>
    </row>
    <row r="457">
      <c r="A457" s="74"/>
      <c r="B457" s="74"/>
      <c r="C457" s="12"/>
      <c r="D457" s="74"/>
      <c r="E457" s="74"/>
      <c r="F457" s="89"/>
      <c r="G457" s="89"/>
      <c r="H457" s="90"/>
      <c r="I457" s="90"/>
      <c r="J457" s="90"/>
      <c r="K457" s="90"/>
      <c r="L457" s="91"/>
      <c r="M457" s="73"/>
      <c r="N457" s="74"/>
      <c r="O457" s="74"/>
      <c r="P457" s="74"/>
      <c r="Q457" s="74"/>
    </row>
    <row r="458">
      <c r="A458" s="74"/>
      <c r="B458" s="74"/>
      <c r="C458" s="12"/>
      <c r="D458" s="74"/>
      <c r="E458" s="74"/>
      <c r="F458" s="89"/>
      <c r="G458" s="89"/>
      <c r="H458" s="90"/>
      <c r="I458" s="90"/>
      <c r="J458" s="90"/>
      <c r="K458" s="90"/>
      <c r="L458" s="91"/>
      <c r="M458" s="73"/>
      <c r="N458" s="74"/>
      <c r="O458" s="74"/>
      <c r="P458" s="74"/>
      <c r="Q458" s="74"/>
    </row>
    <row r="459">
      <c r="A459" s="74"/>
      <c r="B459" s="74"/>
      <c r="C459" s="12"/>
      <c r="D459" s="74"/>
      <c r="E459" s="74"/>
      <c r="F459" s="89"/>
      <c r="G459" s="89"/>
      <c r="H459" s="90"/>
      <c r="I459" s="90"/>
      <c r="J459" s="90"/>
      <c r="K459" s="90"/>
      <c r="L459" s="91"/>
      <c r="M459" s="73"/>
      <c r="N459" s="74"/>
      <c r="O459" s="74"/>
      <c r="P459" s="74"/>
      <c r="Q459" s="74"/>
    </row>
    <row r="460">
      <c r="A460" s="74"/>
      <c r="B460" s="74"/>
      <c r="C460" s="12"/>
      <c r="D460" s="74"/>
      <c r="E460" s="74"/>
      <c r="F460" s="89"/>
      <c r="G460" s="89"/>
      <c r="H460" s="90"/>
      <c r="I460" s="90"/>
      <c r="J460" s="90"/>
      <c r="K460" s="90"/>
      <c r="L460" s="91"/>
      <c r="M460" s="73"/>
      <c r="N460" s="74"/>
      <c r="O460" s="74"/>
      <c r="P460" s="74"/>
      <c r="Q460" s="74"/>
    </row>
    <row r="461">
      <c r="A461" s="74"/>
      <c r="B461" s="74"/>
      <c r="C461" s="12"/>
      <c r="D461" s="74"/>
      <c r="E461" s="74"/>
      <c r="F461" s="89"/>
      <c r="G461" s="89"/>
      <c r="H461" s="90"/>
      <c r="I461" s="90"/>
      <c r="J461" s="90"/>
      <c r="K461" s="90"/>
      <c r="L461" s="91"/>
      <c r="M461" s="73"/>
      <c r="N461" s="74"/>
      <c r="O461" s="74"/>
      <c r="P461" s="74"/>
      <c r="Q461" s="74"/>
    </row>
    <row r="462">
      <c r="A462" s="74"/>
      <c r="B462" s="74"/>
      <c r="C462" s="12"/>
      <c r="D462" s="74"/>
      <c r="E462" s="74"/>
      <c r="F462" s="89"/>
      <c r="G462" s="89"/>
      <c r="H462" s="90"/>
      <c r="I462" s="90"/>
      <c r="J462" s="90"/>
      <c r="K462" s="90"/>
      <c r="L462" s="91"/>
      <c r="M462" s="73"/>
      <c r="N462" s="74"/>
      <c r="O462" s="74"/>
      <c r="P462" s="74"/>
      <c r="Q462" s="74"/>
    </row>
    <row r="463">
      <c r="A463" s="74"/>
      <c r="B463" s="74"/>
      <c r="C463" s="12"/>
      <c r="D463" s="74"/>
      <c r="E463" s="74"/>
      <c r="F463" s="89"/>
      <c r="G463" s="89"/>
      <c r="H463" s="90"/>
      <c r="I463" s="90"/>
      <c r="J463" s="90"/>
      <c r="K463" s="90"/>
      <c r="L463" s="91"/>
      <c r="M463" s="73"/>
      <c r="N463" s="74"/>
      <c r="O463" s="74"/>
      <c r="P463" s="74"/>
      <c r="Q463" s="74"/>
    </row>
    <row r="464">
      <c r="A464" s="74"/>
      <c r="B464" s="74"/>
      <c r="C464" s="12"/>
      <c r="D464" s="74"/>
      <c r="E464" s="74"/>
      <c r="F464" s="89"/>
      <c r="G464" s="89"/>
      <c r="H464" s="90"/>
      <c r="I464" s="90"/>
      <c r="J464" s="90"/>
      <c r="K464" s="90"/>
      <c r="L464" s="91"/>
      <c r="M464" s="73"/>
      <c r="N464" s="74"/>
      <c r="O464" s="74"/>
      <c r="P464" s="74"/>
      <c r="Q464" s="74"/>
    </row>
    <row r="465">
      <c r="A465" s="74"/>
      <c r="B465" s="74"/>
      <c r="C465" s="12"/>
      <c r="D465" s="74"/>
      <c r="E465" s="74"/>
      <c r="F465" s="89"/>
      <c r="G465" s="89"/>
      <c r="H465" s="90"/>
      <c r="I465" s="90"/>
      <c r="J465" s="90"/>
      <c r="K465" s="90"/>
      <c r="L465" s="91"/>
      <c r="M465" s="73"/>
      <c r="N465" s="74"/>
      <c r="O465" s="74"/>
      <c r="P465" s="74"/>
      <c r="Q465" s="74"/>
    </row>
    <row r="466">
      <c r="A466" s="74"/>
      <c r="B466" s="74"/>
      <c r="C466" s="12"/>
      <c r="D466" s="74"/>
      <c r="E466" s="74"/>
      <c r="F466" s="89"/>
      <c r="G466" s="89"/>
      <c r="H466" s="90"/>
      <c r="I466" s="90"/>
      <c r="J466" s="90"/>
      <c r="K466" s="90"/>
      <c r="L466" s="91"/>
      <c r="M466" s="73"/>
      <c r="N466" s="74"/>
      <c r="O466" s="74"/>
      <c r="P466" s="74"/>
      <c r="Q466" s="74"/>
    </row>
    <row r="467">
      <c r="A467" s="74"/>
      <c r="B467" s="74"/>
      <c r="C467" s="12"/>
      <c r="D467" s="74"/>
      <c r="E467" s="74"/>
      <c r="F467" s="89"/>
      <c r="G467" s="89"/>
      <c r="H467" s="90"/>
      <c r="I467" s="90"/>
      <c r="J467" s="90"/>
      <c r="K467" s="90"/>
      <c r="L467" s="91"/>
      <c r="M467" s="73"/>
      <c r="N467" s="74"/>
      <c r="O467" s="74"/>
      <c r="P467" s="74"/>
      <c r="Q467" s="74"/>
    </row>
    <row r="468">
      <c r="A468" s="74"/>
      <c r="B468" s="74"/>
      <c r="C468" s="12"/>
      <c r="D468" s="74"/>
      <c r="E468" s="74"/>
      <c r="F468" s="89"/>
      <c r="G468" s="89"/>
      <c r="H468" s="90"/>
      <c r="I468" s="90"/>
      <c r="J468" s="90"/>
      <c r="K468" s="90"/>
      <c r="L468" s="91"/>
      <c r="M468" s="73"/>
      <c r="N468" s="74"/>
      <c r="O468" s="74"/>
      <c r="P468" s="74"/>
      <c r="Q468" s="74"/>
    </row>
    <row r="469">
      <c r="A469" s="74"/>
      <c r="B469" s="74"/>
      <c r="C469" s="12"/>
      <c r="D469" s="74"/>
      <c r="E469" s="74"/>
      <c r="F469" s="89"/>
      <c r="G469" s="89"/>
      <c r="H469" s="90"/>
      <c r="I469" s="90"/>
      <c r="J469" s="90"/>
      <c r="K469" s="90"/>
      <c r="L469" s="91"/>
      <c r="M469" s="73"/>
      <c r="N469" s="74"/>
      <c r="O469" s="74"/>
      <c r="P469" s="74"/>
      <c r="Q469" s="74"/>
    </row>
    <row r="470">
      <c r="A470" s="74"/>
      <c r="B470" s="74"/>
      <c r="C470" s="12"/>
      <c r="D470" s="74"/>
      <c r="E470" s="74"/>
      <c r="F470" s="89"/>
      <c r="G470" s="89"/>
      <c r="H470" s="90"/>
      <c r="I470" s="90"/>
      <c r="J470" s="90"/>
      <c r="K470" s="90"/>
      <c r="L470" s="91"/>
      <c r="M470" s="73"/>
      <c r="N470" s="74"/>
      <c r="O470" s="74"/>
      <c r="P470" s="74"/>
      <c r="Q470" s="74"/>
    </row>
    <row r="471">
      <c r="A471" s="74"/>
      <c r="B471" s="74"/>
      <c r="C471" s="12"/>
      <c r="D471" s="74"/>
      <c r="E471" s="74"/>
      <c r="F471" s="89"/>
      <c r="G471" s="89"/>
      <c r="H471" s="90"/>
      <c r="I471" s="90"/>
      <c r="J471" s="90"/>
      <c r="K471" s="90"/>
      <c r="L471" s="91"/>
      <c r="M471" s="73"/>
      <c r="N471" s="74"/>
      <c r="O471" s="74"/>
      <c r="P471" s="74"/>
      <c r="Q471" s="74"/>
    </row>
    <row r="472">
      <c r="A472" s="74"/>
      <c r="B472" s="74"/>
      <c r="C472" s="12"/>
      <c r="D472" s="74"/>
      <c r="E472" s="74"/>
      <c r="F472" s="89"/>
      <c r="G472" s="89"/>
      <c r="H472" s="90"/>
      <c r="I472" s="90"/>
      <c r="J472" s="90"/>
      <c r="K472" s="90"/>
      <c r="L472" s="91"/>
      <c r="M472" s="73"/>
      <c r="N472" s="74"/>
      <c r="O472" s="74"/>
      <c r="P472" s="74"/>
      <c r="Q472" s="74"/>
    </row>
    <row r="473">
      <c r="A473" s="74"/>
      <c r="B473" s="74"/>
      <c r="C473" s="12"/>
      <c r="D473" s="74"/>
      <c r="E473" s="74"/>
      <c r="F473" s="89"/>
      <c r="G473" s="89"/>
      <c r="H473" s="90"/>
      <c r="I473" s="90"/>
      <c r="J473" s="90"/>
      <c r="K473" s="90"/>
      <c r="L473" s="91"/>
      <c r="M473" s="73"/>
      <c r="N473" s="74"/>
      <c r="O473" s="74"/>
      <c r="P473" s="74"/>
      <c r="Q473" s="74"/>
    </row>
    <row r="474">
      <c r="A474" s="74"/>
      <c r="B474" s="74"/>
      <c r="C474" s="12"/>
      <c r="D474" s="74"/>
      <c r="E474" s="74"/>
      <c r="F474" s="89"/>
      <c r="G474" s="89"/>
      <c r="H474" s="90"/>
      <c r="I474" s="90"/>
      <c r="J474" s="90"/>
      <c r="K474" s="90"/>
      <c r="L474" s="91"/>
      <c r="M474" s="73"/>
      <c r="N474" s="74"/>
      <c r="O474" s="74"/>
      <c r="P474" s="74"/>
      <c r="Q474" s="74"/>
    </row>
    <row r="475">
      <c r="A475" s="74"/>
      <c r="B475" s="74"/>
      <c r="C475" s="12"/>
      <c r="D475" s="74"/>
      <c r="E475" s="74"/>
      <c r="F475" s="89"/>
      <c r="G475" s="89"/>
      <c r="H475" s="90"/>
      <c r="I475" s="90"/>
      <c r="J475" s="90"/>
      <c r="K475" s="90"/>
      <c r="L475" s="91"/>
      <c r="M475" s="73"/>
      <c r="N475" s="74"/>
      <c r="O475" s="74"/>
      <c r="P475" s="74"/>
      <c r="Q475" s="74"/>
    </row>
    <row r="476">
      <c r="A476" s="74"/>
      <c r="B476" s="74"/>
      <c r="C476" s="12"/>
      <c r="D476" s="74"/>
      <c r="E476" s="74"/>
      <c r="F476" s="89"/>
      <c r="G476" s="89"/>
      <c r="H476" s="90"/>
      <c r="I476" s="90"/>
      <c r="J476" s="90"/>
      <c r="K476" s="90"/>
      <c r="L476" s="91"/>
      <c r="M476" s="73"/>
      <c r="N476" s="74"/>
      <c r="O476" s="74"/>
      <c r="P476" s="74"/>
      <c r="Q476" s="74"/>
    </row>
    <row r="477">
      <c r="A477" s="74"/>
      <c r="B477" s="74"/>
      <c r="C477" s="12"/>
      <c r="D477" s="74"/>
      <c r="E477" s="74"/>
      <c r="F477" s="89"/>
      <c r="G477" s="89"/>
      <c r="H477" s="90"/>
      <c r="I477" s="90"/>
      <c r="J477" s="90"/>
      <c r="K477" s="90"/>
      <c r="L477" s="91"/>
      <c r="M477" s="73"/>
      <c r="N477" s="74"/>
      <c r="O477" s="74"/>
      <c r="P477" s="74"/>
      <c r="Q477" s="74"/>
    </row>
    <row r="478">
      <c r="A478" s="74"/>
      <c r="B478" s="74"/>
      <c r="C478" s="12"/>
      <c r="D478" s="74"/>
      <c r="E478" s="74"/>
      <c r="F478" s="89"/>
      <c r="G478" s="89"/>
      <c r="H478" s="90"/>
      <c r="I478" s="90"/>
      <c r="J478" s="90"/>
      <c r="K478" s="90"/>
      <c r="L478" s="91"/>
      <c r="M478" s="73"/>
      <c r="N478" s="74"/>
      <c r="O478" s="74"/>
      <c r="P478" s="74"/>
      <c r="Q478" s="74"/>
    </row>
    <row r="479">
      <c r="A479" s="74"/>
      <c r="B479" s="74"/>
      <c r="C479" s="12"/>
      <c r="D479" s="74"/>
      <c r="E479" s="74"/>
      <c r="F479" s="89"/>
      <c r="G479" s="89"/>
      <c r="H479" s="90"/>
      <c r="I479" s="90"/>
      <c r="J479" s="90"/>
      <c r="K479" s="90"/>
      <c r="L479" s="91"/>
      <c r="M479" s="73"/>
      <c r="N479" s="74"/>
      <c r="O479" s="74"/>
      <c r="P479" s="74"/>
      <c r="Q479" s="74"/>
    </row>
    <row r="480">
      <c r="A480" s="74"/>
      <c r="B480" s="74"/>
      <c r="C480" s="12"/>
      <c r="D480" s="74"/>
      <c r="E480" s="74"/>
      <c r="F480" s="89"/>
      <c r="G480" s="89"/>
      <c r="H480" s="90"/>
      <c r="I480" s="90"/>
      <c r="J480" s="90"/>
      <c r="K480" s="90"/>
      <c r="L480" s="91"/>
      <c r="M480" s="73"/>
      <c r="N480" s="74"/>
      <c r="O480" s="74"/>
      <c r="P480" s="74"/>
      <c r="Q480" s="74"/>
    </row>
    <row r="481">
      <c r="A481" s="74"/>
      <c r="B481" s="74"/>
      <c r="C481" s="12"/>
      <c r="D481" s="74"/>
      <c r="E481" s="74"/>
      <c r="F481" s="89"/>
      <c r="G481" s="89"/>
      <c r="H481" s="90"/>
      <c r="I481" s="90"/>
      <c r="J481" s="90"/>
      <c r="K481" s="90"/>
      <c r="L481" s="91"/>
      <c r="M481" s="73"/>
      <c r="N481" s="74"/>
      <c r="O481" s="74"/>
      <c r="P481" s="74"/>
      <c r="Q481" s="74"/>
    </row>
    <row r="482">
      <c r="A482" s="74"/>
      <c r="B482" s="74"/>
      <c r="C482" s="12"/>
      <c r="D482" s="74"/>
      <c r="E482" s="74"/>
      <c r="F482" s="89"/>
      <c r="G482" s="89"/>
      <c r="H482" s="90"/>
      <c r="I482" s="90"/>
      <c r="J482" s="90"/>
      <c r="K482" s="90"/>
      <c r="L482" s="91"/>
      <c r="M482" s="73"/>
      <c r="N482" s="74"/>
      <c r="O482" s="74"/>
      <c r="P482" s="74"/>
      <c r="Q482" s="74"/>
    </row>
    <row r="483">
      <c r="A483" s="74"/>
      <c r="B483" s="74"/>
      <c r="C483" s="12"/>
      <c r="D483" s="74"/>
      <c r="E483" s="74"/>
      <c r="F483" s="89"/>
      <c r="G483" s="89"/>
      <c r="H483" s="90"/>
      <c r="I483" s="90"/>
      <c r="J483" s="90"/>
      <c r="K483" s="90"/>
      <c r="L483" s="91"/>
      <c r="M483" s="73"/>
      <c r="N483" s="74"/>
      <c r="O483" s="74"/>
      <c r="P483" s="74"/>
      <c r="Q483" s="74"/>
    </row>
    <row r="484">
      <c r="A484" s="74"/>
      <c r="B484" s="74"/>
      <c r="C484" s="12"/>
      <c r="D484" s="74"/>
      <c r="E484" s="74"/>
      <c r="F484" s="89"/>
      <c r="G484" s="89"/>
      <c r="H484" s="90"/>
      <c r="I484" s="90"/>
      <c r="J484" s="90"/>
      <c r="K484" s="90"/>
      <c r="L484" s="91"/>
      <c r="M484" s="73"/>
      <c r="N484" s="74"/>
      <c r="O484" s="74"/>
      <c r="P484" s="74"/>
      <c r="Q484" s="74"/>
    </row>
    <row r="485">
      <c r="A485" s="74"/>
      <c r="B485" s="74"/>
      <c r="C485" s="12"/>
      <c r="D485" s="74"/>
      <c r="E485" s="74"/>
      <c r="F485" s="89"/>
      <c r="G485" s="89"/>
      <c r="H485" s="90"/>
      <c r="I485" s="90"/>
      <c r="J485" s="90"/>
      <c r="K485" s="90"/>
      <c r="L485" s="91"/>
      <c r="M485" s="73"/>
      <c r="N485" s="74"/>
      <c r="O485" s="74"/>
      <c r="P485" s="74"/>
      <c r="Q485" s="74"/>
    </row>
    <row r="486">
      <c r="A486" s="74"/>
      <c r="B486" s="74"/>
      <c r="C486" s="12"/>
      <c r="D486" s="74"/>
      <c r="E486" s="74"/>
      <c r="F486" s="89"/>
      <c r="G486" s="89"/>
      <c r="H486" s="90"/>
      <c r="I486" s="90"/>
      <c r="J486" s="90"/>
      <c r="K486" s="90"/>
      <c r="L486" s="91"/>
      <c r="M486" s="73"/>
      <c r="N486" s="74"/>
      <c r="O486" s="74"/>
      <c r="P486" s="74"/>
      <c r="Q486" s="74"/>
    </row>
    <row r="487">
      <c r="A487" s="74"/>
      <c r="B487" s="74"/>
      <c r="C487" s="12"/>
      <c r="D487" s="74"/>
      <c r="E487" s="74"/>
      <c r="F487" s="89"/>
      <c r="G487" s="89"/>
      <c r="H487" s="90"/>
      <c r="I487" s="90"/>
      <c r="J487" s="90"/>
      <c r="K487" s="90"/>
      <c r="L487" s="91"/>
      <c r="M487" s="73"/>
      <c r="N487" s="74"/>
      <c r="O487" s="74"/>
      <c r="P487" s="74"/>
      <c r="Q487" s="74"/>
    </row>
    <row r="488">
      <c r="A488" s="74"/>
      <c r="B488" s="74"/>
      <c r="C488" s="12"/>
      <c r="D488" s="74"/>
      <c r="E488" s="74"/>
      <c r="F488" s="89"/>
      <c r="G488" s="89"/>
      <c r="H488" s="90"/>
      <c r="I488" s="90"/>
      <c r="J488" s="90"/>
      <c r="K488" s="90"/>
      <c r="L488" s="91"/>
      <c r="M488" s="73"/>
      <c r="N488" s="74"/>
      <c r="O488" s="74"/>
      <c r="P488" s="74"/>
      <c r="Q488" s="74"/>
    </row>
    <row r="489">
      <c r="A489" s="74"/>
      <c r="B489" s="74"/>
      <c r="C489" s="12"/>
      <c r="D489" s="74"/>
      <c r="E489" s="74"/>
      <c r="F489" s="89"/>
      <c r="G489" s="89"/>
      <c r="H489" s="90"/>
      <c r="I489" s="90"/>
      <c r="J489" s="90"/>
      <c r="K489" s="90"/>
      <c r="L489" s="91"/>
      <c r="M489" s="73"/>
      <c r="N489" s="74"/>
      <c r="O489" s="74"/>
      <c r="P489" s="74"/>
      <c r="Q489" s="74"/>
    </row>
    <row r="490">
      <c r="A490" s="74"/>
      <c r="B490" s="74"/>
      <c r="C490" s="12"/>
      <c r="D490" s="74"/>
      <c r="E490" s="74"/>
      <c r="F490" s="89"/>
      <c r="G490" s="89"/>
      <c r="H490" s="90"/>
      <c r="I490" s="90"/>
      <c r="J490" s="90"/>
      <c r="K490" s="90"/>
      <c r="L490" s="91"/>
      <c r="M490" s="73"/>
      <c r="N490" s="74"/>
      <c r="O490" s="74"/>
      <c r="P490" s="74"/>
      <c r="Q490" s="74"/>
    </row>
    <row r="491">
      <c r="A491" s="74"/>
      <c r="B491" s="74"/>
      <c r="C491" s="12"/>
      <c r="D491" s="74"/>
      <c r="E491" s="74"/>
      <c r="F491" s="89"/>
      <c r="G491" s="89"/>
      <c r="H491" s="90"/>
      <c r="I491" s="90"/>
      <c r="J491" s="90"/>
      <c r="K491" s="90"/>
      <c r="L491" s="91"/>
      <c r="M491" s="73"/>
      <c r="N491" s="74"/>
      <c r="O491" s="74"/>
      <c r="P491" s="74"/>
      <c r="Q491" s="74"/>
    </row>
    <row r="492">
      <c r="A492" s="74"/>
      <c r="B492" s="74"/>
      <c r="C492" s="12"/>
      <c r="D492" s="74"/>
      <c r="E492" s="74"/>
      <c r="F492" s="89"/>
      <c r="G492" s="89"/>
      <c r="H492" s="90"/>
      <c r="I492" s="90"/>
      <c r="J492" s="90"/>
      <c r="K492" s="90"/>
      <c r="L492" s="91"/>
      <c r="M492" s="73"/>
      <c r="N492" s="74"/>
      <c r="O492" s="74"/>
      <c r="P492" s="74"/>
      <c r="Q492" s="74"/>
    </row>
    <row r="493">
      <c r="A493" s="74"/>
      <c r="B493" s="74"/>
      <c r="C493" s="12"/>
      <c r="D493" s="74"/>
      <c r="E493" s="74"/>
      <c r="F493" s="89"/>
      <c r="G493" s="89"/>
      <c r="H493" s="90"/>
      <c r="I493" s="90"/>
      <c r="J493" s="90"/>
      <c r="K493" s="90"/>
      <c r="L493" s="91"/>
      <c r="M493" s="73"/>
      <c r="N493" s="74"/>
      <c r="O493" s="74"/>
      <c r="P493" s="74"/>
      <c r="Q493" s="74"/>
    </row>
    <row r="494">
      <c r="A494" s="74"/>
      <c r="B494" s="74"/>
      <c r="C494" s="12"/>
      <c r="D494" s="74"/>
      <c r="E494" s="74"/>
      <c r="F494" s="89"/>
      <c r="G494" s="89"/>
      <c r="H494" s="90"/>
      <c r="I494" s="90"/>
      <c r="J494" s="90"/>
      <c r="K494" s="90"/>
      <c r="L494" s="91"/>
      <c r="M494" s="73"/>
      <c r="N494" s="74"/>
      <c r="O494" s="74"/>
      <c r="P494" s="74"/>
      <c r="Q494" s="74"/>
    </row>
    <row r="495">
      <c r="A495" s="74"/>
      <c r="B495" s="74"/>
      <c r="C495" s="12"/>
      <c r="D495" s="74"/>
      <c r="E495" s="74"/>
      <c r="F495" s="89"/>
      <c r="G495" s="89"/>
      <c r="H495" s="90"/>
      <c r="I495" s="90"/>
      <c r="J495" s="90"/>
      <c r="K495" s="90"/>
      <c r="L495" s="91"/>
      <c r="M495" s="73"/>
      <c r="N495" s="74"/>
      <c r="O495" s="74"/>
      <c r="P495" s="74"/>
      <c r="Q495" s="74"/>
    </row>
    <row r="496">
      <c r="A496" s="74"/>
      <c r="B496" s="74"/>
      <c r="C496" s="12"/>
      <c r="D496" s="74"/>
      <c r="E496" s="74"/>
      <c r="F496" s="89"/>
      <c r="G496" s="89"/>
      <c r="H496" s="90"/>
      <c r="I496" s="90"/>
      <c r="J496" s="90"/>
      <c r="K496" s="90"/>
      <c r="L496" s="91"/>
      <c r="M496" s="73"/>
      <c r="N496" s="74"/>
      <c r="O496" s="74"/>
      <c r="P496" s="74"/>
      <c r="Q496" s="74"/>
    </row>
    <row r="497">
      <c r="A497" s="74"/>
      <c r="B497" s="74"/>
      <c r="C497" s="12"/>
      <c r="D497" s="74"/>
      <c r="E497" s="74"/>
      <c r="F497" s="89"/>
      <c r="G497" s="89"/>
      <c r="H497" s="90"/>
      <c r="I497" s="90"/>
      <c r="J497" s="90"/>
      <c r="K497" s="90"/>
      <c r="L497" s="91"/>
      <c r="M497" s="73"/>
      <c r="N497" s="74"/>
      <c r="O497" s="74"/>
      <c r="P497" s="74"/>
      <c r="Q497" s="74"/>
    </row>
    <row r="498">
      <c r="A498" s="74"/>
      <c r="B498" s="74"/>
      <c r="C498" s="12"/>
      <c r="D498" s="74"/>
      <c r="E498" s="74"/>
      <c r="F498" s="89"/>
      <c r="G498" s="89"/>
      <c r="H498" s="90"/>
      <c r="I498" s="90"/>
      <c r="J498" s="90"/>
      <c r="K498" s="90"/>
      <c r="L498" s="91"/>
      <c r="M498" s="73"/>
      <c r="N498" s="74"/>
      <c r="O498" s="74"/>
      <c r="P498" s="74"/>
      <c r="Q498" s="74"/>
    </row>
    <row r="499">
      <c r="A499" s="74"/>
      <c r="B499" s="74"/>
      <c r="C499" s="12"/>
      <c r="D499" s="74"/>
      <c r="E499" s="74"/>
      <c r="F499" s="89"/>
      <c r="G499" s="89"/>
      <c r="H499" s="90"/>
      <c r="I499" s="90"/>
      <c r="J499" s="90"/>
      <c r="K499" s="90"/>
      <c r="L499" s="91"/>
      <c r="M499" s="73"/>
      <c r="N499" s="74"/>
      <c r="O499" s="74"/>
      <c r="P499" s="74"/>
      <c r="Q499" s="74"/>
    </row>
    <row r="500">
      <c r="A500" s="74"/>
      <c r="B500" s="74"/>
      <c r="C500" s="12"/>
      <c r="D500" s="74"/>
      <c r="E500" s="74"/>
      <c r="F500" s="89"/>
      <c r="G500" s="89"/>
      <c r="H500" s="90"/>
      <c r="I500" s="90"/>
      <c r="J500" s="90"/>
      <c r="K500" s="90"/>
      <c r="L500" s="91"/>
      <c r="M500" s="73"/>
      <c r="N500" s="74"/>
      <c r="O500" s="74"/>
      <c r="P500" s="74"/>
      <c r="Q500" s="74"/>
    </row>
    <row r="501">
      <c r="A501" s="74"/>
      <c r="B501" s="74"/>
      <c r="C501" s="12"/>
      <c r="D501" s="74"/>
      <c r="E501" s="74"/>
      <c r="F501" s="89"/>
      <c r="G501" s="89"/>
      <c r="H501" s="90"/>
      <c r="I501" s="90"/>
      <c r="J501" s="90"/>
      <c r="K501" s="90"/>
      <c r="L501" s="91"/>
      <c r="M501" s="73"/>
      <c r="N501" s="74"/>
      <c r="O501" s="74"/>
      <c r="P501" s="74"/>
      <c r="Q501" s="74"/>
    </row>
    <row r="502">
      <c r="A502" s="74"/>
      <c r="B502" s="74"/>
      <c r="C502" s="12"/>
      <c r="D502" s="74"/>
      <c r="E502" s="74"/>
      <c r="F502" s="89"/>
      <c r="G502" s="89"/>
      <c r="H502" s="90"/>
      <c r="I502" s="90"/>
      <c r="J502" s="90"/>
      <c r="K502" s="90"/>
      <c r="L502" s="91"/>
      <c r="M502" s="73"/>
      <c r="N502" s="74"/>
      <c r="O502" s="74"/>
      <c r="P502" s="74"/>
      <c r="Q502" s="74"/>
    </row>
    <row r="503">
      <c r="A503" s="74"/>
      <c r="B503" s="74"/>
      <c r="C503" s="12"/>
      <c r="D503" s="74"/>
      <c r="E503" s="74"/>
      <c r="F503" s="89"/>
      <c r="G503" s="89"/>
      <c r="H503" s="90"/>
      <c r="I503" s="90"/>
      <c r="J503" s="90"/>
      <c r="K503" s="90"/>
      <c r="L503" s="91"/>
      <c r="M503" s="73"/>
      <c r="N503" s="74"/>
      <c r="O503" s="74"/>
      <c r="P503" s="74"/>
      <c r="Q503" s="74"/>
    </row>
    <row r="504">
      <c r="A504" s="74"/>
      <c r="B504" s="74"/>
      <c r="C504" s="12"/>
      <c r="D504" s="74"/>
      <c r="E504" s="74"/>
      <c r="F504" s="89"/>
      <c r="G504" s="89"/>
      <c r="H504" s="90"/>
      <c r="I504" s="90"/>
      <c r="J504" s="90"/>
      <c r="K504" s="90"/>
      <c r="L504" s="91"/>
      <c r="M504" s="73"/>
      <c r="N504" s="74"/>
      <c r="O504" s="74"/>
      <c r="P504" s="74"/>
      <c r="Q504" s="74"/>
    </row>
    <row r="505">
      <c r="A505" s="74"/>
      <c r="B505" s="74"/>
      <c r="C505" s="12"/>
      <c r="D505" s="74"/>
      <c r="E505" s="74"/>
      <c r="F505" s="89"/>
      <c r="G505" s="89"/>
      <c r="H505" s="90"/>
      <c r="I505" s="90"/>
      <c r="J505" s="90"/>
      <c r="K505" s="90"/>
      <c r="L505" s="91"/>
      <c r="M505" s="73"/>
      <c r="N505" s="74"/>
      <c r="O505" s="74"/>
      <c r="P505" s="74"/>
      <c r="Q505" s="74"/>
    </row>
    <row r="506">
      <c r="A506" s="74"/>
      <c r="B506" s="74"/>
      <c r="C506" s="12"/>
      <c r="D506" s="74"/>
      <c r="E506" s="74"/>
      <c r="F506" s="89"/>
      <c r="G506" s="89"/>
      <c r="H506" s="90"/>
      <c r="I506" s="90"/>
      <c r="J506" s="90"/>
      <c r="K506" s="90"/>
      <c r="L506" s="91"/>
      <c r="M506" s="73"/>
      <c r="N506" s="74"/>
      <c r="O506" s="74"/>
      <c r="P506" s="74"/>
      <c r="Q506" s="74"/>
    </row>
    <row r="507">
      <c r="A507" s="74"/>
      <c r="B507" s="74"/>
      <c r="C507" s="12"/>
      <c r="D507" s="74"/>
      <c r="E507" s="74"/>
      <c r="F507" s="89"/>
      <c r="G507" s="89"/>
      <c r="H507" s="90"/>
      <c r="I507" s="90"/>
      <c r="J507" s="90"/>
      <c r="K507" s="90"/>
      <c r="L507" s="91"/>
      <c r="M507" s="73"/>
      <c r="N507" s="74"/>
      <c r="O507" s="74"/>
      <c r="P507" s="74"/>
      <c r="Q507" s="74"/>
    </row>
    <row r="508">
      <c r="A508" s="74"/>
      <c r="B508" s="74"/>
      <c r="C508" s="12"/>
      <c r="D508" s="74"/>
      <c r="E508" s="74"/>
      <c r="F508" s="89"/>
      <c r="G508" s="89"/>
      <c r="H508" s="90"/>
      <c r="I508" s="90"/>
      <c r="J508" s="90"/>
      <c r="K508" s="90"/>
      <c r="L508" s="91"/>
      <c r="M508" s="73"/>
      <c r="N508" s="74"/>
      <c r="O508" s="74"/>
      <c r="P508" s="74"/>
      <c r="Q508" s="74"/>
    </row>
    <row r="509">
      <c r="A509" s="74"/>
      <c r="B509" s="74"/>
      <c r="C509" s="12"/>
      <c r="D509" s="74"/>
      <c r="E509" s="74"/>
      <c r="F509" s="89"/>
      <c r="G509" s="89"/>
      <c r="H509" s="90"/>
      <c r="I509" s="90"/>
      <c r="J509" s="90"/>
      <c r="K509" s="90"/>
      <c r="L509" s="91"/>
      <c r="M509" s="73"/>
      <c r="N509" s="74"/>
      <c r="O509" s="74"/>
      <c r="P509" s="74"/>
      <c r="Q509" s="74"/>
    </row>
    <row r="510">
      <c r="A510" s="74"/>
      <c r="B510" s="74"/>
      <c r="C510" s="12"/>
      <c r="D510" s="74"/>
      <c r="E510" s="74"/>
      <c r="F510" s="89"/>
      <c r="G510" s="89"/>
      <c r="H510" s="90"/>
      <c r="I510" s="90"/>
      <c r="J510" s="90"/>
      <c r="K510" s="90"/>
      <c r="L510" s="91"/>
      <c r="M510" s="73"/>
      <c r="N510" s="74"/>
      <c r="O510" s="74"/>
      <c r="P510" s="74"/>
      <c r="Q510" s="74"/>
    </row>
    <row r="511">
      <c r="A511" s="74"/>
      <c r="B511" s="74"/>
      <c r="C511" s="12"/>
      <c r="D511" s="74"/>
      <c r="E511" s="74"/>
      <c r="F511" s="89"/>
      <c r="G511" s="89"/>
      <c r="H511" s="90"/>
      <c r="I511" s="90"/>
      <c r="J511" s="90"/>
      <c r="K511" s="90"/>
      <c r="L511" s="91"/>
      <c r="M511" s="73"/>
      <c r="N511" s="74"/>
      <c r="O511" s="74"/>
      <c r="P511" s="74"/>
      <c r="Q511" s="74"/>
    </row>
    <row r="512">
      <c r="A512" s="74"/>
      <c r="B512" s="74"/>
      <c r="C512" s="12"/>
      <c r="D512" s="74"/>
      <c r="E512" s="74"/>
      <c r="F512" s="89"/>
      <c r="G512" s="89"/>
      <c r="H512" s="90"/>
      <c r="I512" s="90"/>
      <c r="J512" s="90"/>
      <c r="K512" s="90"/>
      <c r="L512" s="91"/>
      <c r="M512" s="73"/>
      <c r="N512" s="74"/>
      <c r="O512" s="74"/>
      <c r="P512" s="74"/>
      <c r="Q512" s="74"/>
    </row>
    <row r="513">
      <c r="A513" s="74"/>
      <c r="B513" s="74"/>
      <c r="C513" s="12"/>
      <c r="D513" s="74"/>
      <c r="E513" s="74"/>
      <c r="F513" s="89"/>
      <c r="G513" s="89"/>
      <c r="H513" s="90"/>
      <c r="I513" s="90"/>
      <c r="J513" s="90"/>
      <c r="K513" s="90"/>
      <c r="L513" s="91"/>
      <c r="M513" s="73"/>
      <c r="N513" s="74"/>
      <c r="O513" s="74"/>
      <c r="P513" s="74"/>
      <c r="Q513" s="74"/>
    </row>
    <row r="514">
      <c r="A514" s="74"/>
      <c r="B514" s="74"/>
      <c r="C514" s="12"/>
      <c r="D514" s="74"/>
      <c r="E514" s="74"/>
      <c r="F514" s="89"/>
      <c r="G514" s="89"/>
      <c r="H514" s="90"/>
      <c r="I514" s="90"/>
      <c r="J514" s="90"/>
      <c r="K514" s="90"/>
      <c r="L514" s="91"/>
      <c r="M514" s="73"/>
      <c r="N514" s="74"/>
      <c r="O514" s="74"/>
      <c r="P514" s="74"/>
      <c r="Q514" s="74"/>
    </row>
    <row r="515">
      <c r="A515" s="74"/>
      <c r="B515" s="74"/>
      <c r="C515" s="12"/>
      <c r="D515" s="74"/>
      <c r="E515" s="74"/>
      <c r="F515" s="89"/>
      <c r="G515" s="89"/>
      <c r="H515" s="90"/>
      <c r="I515" s="90"/>
      <c r="J515" s="90"/>
      <c r="K515" s="90"/>
      <c r="L515" s="91"/>
      <c r="M515" s="73"/>
      <c r="N515" s="74"/>
      <c r="O515" s="74"/>
      <c r="P515" s="74"/>
      <c r="Q515" s="74"/>
    </row>
    <row r="516">
      <c r="A516" s="74"/>
      <c r="B516" s="74"/>
      <c r="C516" s="12"/>
      <c r="D516" s="74"/>
      <c r="E516" s="74"/>
      <c r="F516" s="89"/>
      <c r="G516" s="89"/>
      <c r="H516" s="90"/>
      <c r="I516" s="90"/>
      <c r="J516" s="90"/>
      <c r="K516" s="90"/>
      <c r="L516" s="91"/>
      <c r="M516" s="73"/>
      <c r="N516" s="74"/>
      <c r="O516" s="74"/>
      <c r="P516" s="74"/>
      <c r="Q516" s="74"/>
    </row>
    <row r="517">
      <c r="A517" s="74"/>
      <c r="B517" s="74"/>
      <c r="C517" s="12"/>
      <c r="D517" s="74"/>
      <c r="E517" s="74"/>
      <c r="F517" s="89"/>
      <c r="G517" s="89"/>
      <c r="H517" s="90"/>
      <c r="I517" s="90"/>
      <c r="J517" s="90"/>
      <c r="K517" s="90"/>
      <c r="L517" s="91"/>
      <c r="M517" s="73"/>
      <c r="N517" s="74"/>
      <c r="O517" s="74"/>
      <c r="P517" s="74"/>
      <c r="Q517" s="74"/>
    </row>
    <row r="518">
      <c r="A518" s="74"/>
      <c r="B518" s="74"/>
      <c r="C518" s="12"/>
      <c r="D518" s="74"/>
      <c r="E518" s="74"/>
      <c r="F518" s="89"/>
      <c r="G518" s="89"/>
      <c r="H518" s="90"/>
      <c r="I518" s="90"/>
      <c r="J518" s="90"/>
      <c r="K518" s="90"/>
      <c r="L518" s="91"/>
      <c r="M518" s="73"/>
      <c r="N518" s="74"/>
      <c r="O518" s="74"/>
      <c r="P518" s="74"/>
      <c r="Q518" s="74"/>
    </row>
    <row r="519">
      <c r="A519" s="74"/>
      <c r="B519" s="74"/>
      <c r="C519" s="12"/>
      <c r="D519" s="74"/>
      <c r="E519" s="74"/>
      <c r="F519" s="89"/>
      <c r="G519" s="89"/>
      <c r="H519" s="90"/>
      <c r="I519" s="90"/>
      <c r="J519" s="90"/>
      <c r="K519" s="90"/>
      <c r="L519" s="91"/>
      <c r="M519" s="73"/>
      <c r="N519" s="74"/>
      <c r="O519" s="74"/>
      <c r="P519" s="74"/>
      <c r="Q519" s="74"/>
    </row>
    <row r="520">
      <c r="A520" s="74"/>
      <c r="B520" s="74"/>
      <c r="C520" s="12"/>
      <c r="D520" s="74"/>
      <c r="E520" s="74"/>
      <c r="F520" s="89"/>
      <c r="G520" s="89"/>
      <c r="H520" s="90"/>
      <c r="I520" s="90"/>
      <c r="J520" s="90"/>
      <c r="K520" s="90"/>
      <c r="L520" s="91"/>
      <c r="M520" s="73"/>
      <c r="N520" s="74"/>
      <c r="O520" s="74"/>
      <c r="P520" s="74"/>
      <c r="Q520" s="74"/>
    </row>
    <row r="521">
      <c r="A521" s="74"/>
      <c r="B521" s="74"/>
      <c r="C521" s="12"/>
      <c r="D521" s="74"/>
      <c r="E521" s="74"/>
      <c r="F521" s="89"/>
      <c r="G521" s="89"/>
      <c r="H521" s="90"/>
      <c r="I521" s="90"/>
      <c r="J521" s="90"/>
      <c r="K521" s="90"/>
      <c r="L521" s="91"/>
      <c r="M521" s="73"/>
      <c r="N521" s="74"/>
      <c r="O521" s="74"/>
      <c r="P521" s="74"/>
      <c r="Q521" s="74"/>
    </row>
    <row r="522">
      <c r="A522" s="74"/>
      <c r="B522" s="74"/>
      <c r="C522" s="12"/>
      <c r="D522" s="74"/>
      <c r="E522" s="74"/>
      <c r="F522" s="89"/>
      <c r="G522" s="89"/>
      <c r="H522" s="90"/>
      <c r="I522" s="90"/>
      <c r="J522" s="90"/>
      <c r="K522" s="90"/>
      <c r="L522" s="91"/>
      <c r="M522" s="73"/>
      <c r="N522" s="74"/>
      <c r="O522" s="74"/>
      <c r="P522" s="74"/>
      <c r="Q522" s="74"/>
    </row>
    <row r="523">
      <c r="A523" s="74"/>
      <c r="B523" s="74"/>
      <c r="C523" s="12"/>
      <c r="D523" s="74"/>
      <c r="E523" s="74"/>
      <c r="F523" s="89"/>
      <c r="G523" s="89"/>
      <c r="H523" s="90"/>
      <c r="I523" s="90"/>
      <c r="J523" s="90"/>
      <c r="K523" s="90"/>
      <c r="L523" s="91"/>
      <c r="M523" s="73"/>
      <c r="N523" s="74"/>
      <c r="O523" s="74"/>
      <c r="P523" s="74"/>
      <c r="Q523" s="74"/>
    </row>
    <row r="524">
      <c r="A524" s="74"/>
      <c r="B524" s="74"/>
      <c r="C524" s="12"/>
      <c r="D524" s="74"/>
      <c r="E524" s="74"/>
      <c r="F524" s="89"/>
      <c r="G524" s="89"/>
      <c r="H524" s="90"/>
      <c r="I524" s="90"/>
      <c r="J524" s="90"/>
      <c r="K524" s="90"/>
      <c r="L524" s="91"/>
      <c r="M524" s="73"/>
      <c r="N524" s="74"/>
      <c r="O524" s="74"/>
      <c r="P524" s="74"/>
      <c r="Q524" s="74"/>
    </row>
    <row r="525">
      <c r="A525" s="74"/>
      <c r="B525" s="74"/>
      <c r="C525" s="12"/>
      <c r="D525" s="74"/>
      <c r="E525" s="74"/>
      <c r="F525" s="89"/>
      <c r="G525" s="89"/>
      <c r="H525" s="90"/>
      <c r="I525" s="90"/>
      <c r="J525" s="90"/>
      <c r="K525" s="90"/>
      <c r="L525" s="91"/>
      <c r="M525" s="73"/>
      <c r="N525" s="74"/>
      <c r="O525" s="74"/>
      <c r="P525" s="74"/>
      <c r="Q525" s="74"/>
    </row>
    <row r="526">
      <c r="A526" s="74"/>
      <c r="B526" s="74"/>
      <c r="C526" s="12"/>
      <c r="D526" s="74"/>
      <c r="E526" s="74"/>
      <c r="F526" s="89"/>
      <c r="G526" s="89"/>
      <c r="H526" s="90"/>
      <c r="I526" s="90"/>
      <c r="J526" s="90"/>
      <c r="K526" s="90"/>
      <c r="L526" s="91"/>
      <c r="M526" s="73"/>
      <c r="N526" s="74"/>
      <c r="O526" s="74"/>
      <c r="P526" s="74"/>
      <c r="Q526" s="74"/>
    </row>
    <row r="527">
      <c r="A527" s="74"/>
      <c r="B527" s="74"/>
      <c r="C527" s="12"/>
      <c r="D527" s="74"/>
      <c r="E527" s="74"/>
      <c r="F527" s="89"/>
      <c r="G527" s="89"/>
      <c r="H527" s="90"/>
      <c r="I527" s="90"/>
      <c r="J527" s="90"/>
      <c r="K527" s="90"/>
      <c r="L527" s="91"/>
      <c r="M527" s="73"/>
      <c r="N527" s="74"/>
      <c r="O527" s="74"/>
      <c r="P527" s="74"/>
      <c r="Q527" s="74"/>
    </row>
    <row r="528">
      <c r="A528" s="74"/>
      <c r="B528" s="74"/>
      <c r="C528" s="12"/>
      <c r="D528" s="74"/>
      <c r="E528" s="74"/>
      <c r="F528" s="89"/>
      <c r="G528" s="89"/>
      <c r="H528" s="90"/>
      <c r="I528" s="90"/>
      <c r="J528" s="90"/>
      <c r="K528" s="90"/>
      <c r="L528" s="91"/>
      <c r="M528" s="73"/>
      <c r="N528" s="74"/>
      <c r="O528" s="74"/>
      <c r="P528" s="74"/>
      <c r="Q528" s="74"/>
    </row>
    <row r="529">
      <c r="A529" s="74"/>
      <c r="B529" s="74"/>
      <c r="C529" s="12"/>
      <c r="D529" s="74"/>
      <c r="E529" s="74"/>
      <c r="F529" s="89"/>
      <c r="G529" s="89"/>
      <c r="H529" s="90"/>
      <c r="I529" s="90"/>
      <c r="J529" s="90"/>
      <c r="K529" s="90"/>
      <c r="L529" s="91"/>
      <c r="M529" s="73"/>
      <c r="N529" s="74"/>
      <c r="O529" s="74"/>
      <c r="P529" s="74"/>
      <c r="Q529" s="74"/>
    </row>
    <row r="530">
      <c r="A530" s="74"/>
      <c r="B530" s="74"/>
      <c r="C530" s="12"/>
      <c r="D530" s="74"/>
      <c r="E530" s="74"/>
      <c r="F530" s="89"/>
      <c r="G530" s="89"/>
      <c r="H530" s="90"/>
      <c r="I530" s="90"/>
      <c r="J530" s="90"/>
      <c r="K530" s="90"/>
      <c r="L530" s="91"/>
      <c r="M530" s="73"/>
      <c r="N530" s="74"/>
      <c r="O530" s="74"/>
      <c r="P530" s="74"/>
      <c r="Q530" s="74"/>
    </row>
    <row r="531">
      <c r="A531" s="74"/>
      <c r="B531" s="74"/>
      <c r="C531" s="12"/>
      <c r="D531" s="74"/>
      <c r="E531" s="74"/>
      <c r="F531" s="89"/>
      <c r="G531" s="89"/>
      <c r="H531" s="90"/>
      <c r="I531" s="90"/>
      <c r="J531" s="90"/>
      <c r="K531" s="90"/>
      <c r="L531" s="91"/>
      <c r="M531" s="73"/>
      <c r="N531" s="74"/>
      <c r="O531" s="74"/>
      <c r="P531" s="74"/>
      <c r="Q531" s="74"/>
    </row>
    <row r="532">
      <c r="A532" s="74"/>
      <c r="B532" s="74"/>
      <c r="C532" s="12"/>
      <c r="D532" s="74"/>
      <c r="E532" s="74"/>
      <c r="F532" s="89"/>
      <c r="G532" s="89"/>
      <c r="H532" s="90"/>
      <c r="I532" s="90"/>
      <c r="J532" s="90"/>
      <c r="K532" s="90"/>
      <c r="L532" s="91"/>
      <c r="M532" s="73"/>
      <c r="N532" s="74"/>
      <c r="O532" s="74"/>
      <c r="P532" s="74"/>
      <c r="Q532" s="74"/>
    </row>
    <row r="533">
      <c r="A533" s="74"/>
      <c r="B533" s="74"/>
      <c r="C533" s="12"/>
      <c r="D533" s="74"/>
      <c r="E533" s="74"/>
      <c r="F533" s="89"/>
      <c r="G533" s="89"/>
      <c r="H533" s="90"/>
      <c r="I533" s="90"/>
      <c r="J533" s="90"/>
      <c r="K533" s="90"/>
      <c r="L533" s="91"/>
      <c r="M533" s="73"/>
      <c r="N533" s="74"/>
      <c r="O533" s="74"/>
      <c r="P533" s="74"/>
      <c r="Q533" s="74"/>
    </row>
    <row r="534">
      <c r="A534" s="74"/>
      <c r="B534" s="74"/>
      <c r="C534" s="12"/>
      <c r="D534" s="74"/>
      <c r="E534" s="74"/>
      <c r="F534" s="89"/>
      <c r="G534" s="89"/>
      <c r="H534" s="90"/>
      <c r="I534" s="90"/>
      <c r="J534" s="90"/>
      <c r="K534" s="90"/>
      <c r="L534" s="91"/>
      <c r="M534" s="73"/>
      <c r="N534" s="74"/>
      <c r="O534" s="74"/>
      <c r="P534" s="74"/>
      <c r="Q534" s="74"/>
    </row>
    <row r="535">
      <c r="A535" s="74"/>
      <c r="B535" s="74"/>
      <c r="C535" s="12"/>
      <c r="D535" s="74"/>
      <c r="E535" s="74"/>
      <c r="F535" s="89"/>
      <c r="G535" s="89"/>
      <c r="H535" s="90"/>
      <c r="I535" s="90"/>
      <c r="J535" s="90"/>
      <c r="K535" s="90"/>
      <c r="L535" s="91"/>
      <c r="M535" s="73"/>
      <c r="N535" s="74"/>
      <c r="O535" s="74"/>
      <c r="P535" s="74"/>
      <c r="Q535" s="74"/>
    </row>
    <row r="536">
      <c r="A536" s="74"/>
      <c r="B536" s="74"/>
      <c r="C536" s="12"/>
      <c r="D536" s="74"/>
      <c r="E536" s="74"/>
      <c r="F536" s="89"/>
      <c r="G536" s="89"/>
      <c r="H536" s="90"/>
      <c r="I536" s="90"/>
      <c r="J536" s="90"/>
      <c r="K536" s="90"/>
      <c r="L536" s="91"/>
      <c r="M536" s="73"/>
      <c r="N536" s="74"/>
      <c r="O536" s="74"/>
      <c r="P536" s="74"/>
      <c r="Q536" s="74"/>
    </row>
    <row r="537">
      <c r="A537" s="74"/>
      <c r="B537" s="74"/>
      <c r="C537" s="12"/>
      <c r="D537" s="74"/>
      <c r="E537" s="74"/>
      <c r="F537" s="89"/>
      <c r="G537" s="89"/>
      <c r="H537" s="90"/>
      <c r="I537" s="90"/>
      <c r="J537" s="90"/>
      <c r="K537" s="90"/>
      <c r="L537" s="91"/>
      <c r="M537" s="73"/>
      <c r="N537" s="74"/>
      <c r="O537" s="74"/>
      <c r="P537" s="74"/>
      <c r="Q537" s="74"/>
    </row>
    <row r="538">
      <c r="A538" s="74"/>
      <c r="B538" s="74"/>
      <c r="C538" s="12"/>
      <c r="D538" s="74"/>
      <c r="E538" s="74"/>
      <c r="F538" s="89"/>
      <c r="G538" s="89"/>
      <c r="H538" s="90"/>
      <c r="I538" s="90"/>
      <c r="J538" s="90"/>
      <c r="K538" s="90"/>
      <c r="L538" s="91"/>
      <c r="M538" s="73"/>
      <c r="N538" s="74"/>
      <c r="O538" s="74"/>
      <c r="P538" s="74"/>
      <c r="Q538" s="74"/>
    </row>
    <row r="539">
      <c r="A539" s="74"/>
      <c r="B539" s="74"/>
      <c r="C539" s="12"/>
      <c r="D539" s="74"/>
      <c r="E539" s="74"/>
      <c r="F539" s="89"/>
      <c r="G539" s="89"/>
      <c r="H539" s="90"/>
      <c r="I539" s="90"/>
      <c r="J539" s="90"/>
      <c r="K539" s="90"/>
      <c r="L539" s="91"/>
      <c r="M539" s="73"/>
      <c r="N539" s="74"/>
      <c r="O539" s="74"/>
      <c r="P539" s="74"/>
      <c r="Q539" s="74"/>
    </row>
    <row r="540">
      <c r="A540" s="74"/>
      <c r="B540" s="74"/>
      <c r="C540" s="12"/>
      <c r="D540" s="74"/>
      <c r="E540" s="74"/>
      <c r="F540" s="89"/>
      <c r="G540" s="89"/>
      <c r="H540" s="90"/>
      <c r="I540" s="90"/>
      <c r="J540" s="90"/>
      <c r="K540" s="90"/>
      <c r="L540" s="91"/>
      <c r="M540" s="73"/>
      <c r="N540" s="74"/>
      <c r="O540" s="74"/>
      <c r="P540" s="74"/>
      <c r="Q540" s="74"/>
    </row>
    <row r="541">
      <c r="A541" s="74"/>
      <c r="B541" s="74"/>
      <c r="C541" s="12"/>
      <c r="D541" s="74"/>
      <c r="E541" s="74"/>
      <c r="F541" s="89"/>
      <c r="G541" s="89"/>
      <c r="H541" s="90"/>
      <c r="I541" s="90"/>
      <c r="J541" s="90"/>
      <c r="K541" s="90"/>
      <c r="L541" s="91"/>
      <c r="M541" s="73"/>
      <c r="N541" s="74"/>
      <c r="O541" s="74"/>
      <c r="P541" s="74"/>
      <c r="Q541" s="74"/>
    </row>
    <row r="542">
      <c r="A542" s="74"/>
      <c r="B542" s="74"/>
      <c r="C542" s="12"/>
      <c r="D542" s="74"/>
      <c r="E542" s="74"/>
      <c r="F542" s="89"/>
      <c r="G542" s="89"/>
      <c r="H542" s="90"/>
      <c r="I542" s="90"/>
      <c r="J542" s="90"/>
      <c r="K542" s="90"/>
      <c r="L542" s="91"/>
      <c r="M542" s="73"/>
      <c r="N542" s="74"/>
      <c r="O542" s="74"/>
      <c r="P542" s="74"/>
      <c r="Q542" s="74"/>
    </row>
    <row r="543">
      <c r="A543" s="74"/>
      <c r="B543" s="74"/>
      <c r="C543" s="12"/>
      <c r="D543" s="74"/>
      <c r="E543" s="74"/>
      <c r="F543" s="89"/>
      <c r="G543" s="89"/>
      <c r="H543" s="90"/>
      <c r="I543" s="90"/>
      <c r="J543" s="90"/>
      <c r="K543" s="90"/>
      <c r="L543" s="91"/>
      <c r="M543" s="73"/>
      <c r="N543" s="74"/>
      <c r="O543" s="74"/>
      <c r="P543" s="74"/>
      <c r="Q543" s="74"/>
    </row>
    <row r="544">
      <c r="A544" s="74"/>
      <c r="B544" s="74"/>
      <c r="C544" s="12"/>
      <c r="D544" s="74"/>
      <c r="E544" s="74"/>
      <c r="F544" s="89"/>
      <c r="G544" s="89"/>
      <c r="H544" s="90"/>
      <c r="I544" s="90"/>
      <c r="J544" s="90"/>
      <c r="K544" s="90"/>
      <c r="L544" s="91"/>
      <c r="M544" s="73"/>
      <c r="N544" s="74"/>
      <c r="O544" s="74"/>
      <c r="P544" s="74"/>
      <c r="Q544" s="74"/>
    </row>
    <row r="545">
      <c r="A545" s="74"/>
      <c r="B545" s="74"/>
      <c r="C545" s="12"/>
      <c r="D545" s="74"/>
      <c r="E545" s="74"/>
      <c r="F545" s="89"/>
      <c r="G545" s="89"/>
      <c r="H545" s="90"/>
      <c r="I545" s="90"/>
      <c r="J545" s="90"/>
      <c r="K545" s="90"/>
      <c r="L545" s="91"/>
      <c r="M545" s="73"/>
      <c r="N545" s="74"/>
      <c r="O545" s="74"/>
      <c r="P545" s="74"/>
      <c r="Q545" s="74"/>
    </row>
    <row r="546">
      <c r="A546" s="74"/>
      <c r="B546" s="74"/>
      <c r="C546" s="12"/>
      <c r="D546" s="74"/>
      <c r="E546" s="74"/>
      <c r="F546" s="89"/>
      <c r="G546" s="89"/>
      <c r="H546" s="90"/>
      <c r="I546" s="90"/>
      <c r="J546" s="90"/>
      <c r="K546" s="90"/>
      <c r="L546" s="91"/>
      <c r="M546" s="73"/>
      <c r="N546" s="74"/>
      <c r="O546" s="74"/>
      <c r="P546" s="74"/>
      <c r="Q546" s="74"/>
    </row>
    <row r="547">
      <c r="A547" s="74"/>
      <c r="B547" s="74"/>
      <c r="C547" s="12"/>
      <c r="D547" s="74"/>
      <c r="E547" s="74"/>
      <c r="F547" s="89"/>
      <c r="G547" s="89"/>
      <c r="H547" s="90"/>
      <c r="I547" s="90"/>
      <c r="J547" s="90"/>
      <c r="K547" s="90"/>
      <c r="L547" s="91"/>
      <c r="M547" s="73"/>
      <c r="N547" s="74"/>
      <c r="O547" s="74"/>
      <c r="P547" s="74"/>
      <c r="Q547" s="74"/>
    </row>
    <row r="548">
      <c r="A548" s="74"/>
      <c r="B548" s="74"/>
      <c r="C548" s="12"/>
      <c r="D548" s="74"/>
      <c r="E548" s="74"/>
      <c r="F548" s="89"/>
      <c r="G548" s="89"/>
      <c r="H548" s="90"/>
      <c r="I548" s="90"/>
      <c r="J548" s="90"/>
      <c r="K548" s="90"/>
      <c r="L548" s="91"/>
      <c r="M548" s="73"/>
      <c r="N548" s="74"/>
      <c r="O548" s="74"/>
      <c r="P548" s="74"/>
      <c r="Q548" s="74"/>
    </row>
    <row r="549">
      <c r="A549" s="74"/>
      <c r="B549" s="74"/>
      <c r="C549" s="12"/>
      <c r="D549" s="74"/>
      <c r="E549" s="74"/>
      <c r="F549" s="89"/>
      <c r="G549" s="89"/>
      <c r="H549" s="90"/>
      <c r="I549" s="90"/>
      <c r="J549" s="90"/>
      <c r="K549" s="90"/>
      <c r="L549" s="91"/>
      <c r="M549" s="73"/>
      <c r="N549" s="74"/>
      <c r="O549" s="74"/>
      <c r="P549" s="74"/>
      <c r="Q549" s="74"/>
    </row>
    <row r="550">
      <c r="A550" s="74"/>
      <c r="B550" s="74"/>
      <c r="C550" s="12"/>
      <c r="D550" s="74"/>
      <c r="E550" s="74"/>
      <c r="F550" s="89"/>
      <c r="G550" s="89"/>
      <c r="H550" s="90"/>
      <c r="I550" s="90"/>
      <c r="J550" s="90"/>
      <c r="K550" s="90"/>
      <c r="L550" s="91"/>
      <c r="M550" s="73"/>
      <c r="N550" s="74"/>
      <c r="O550" s="74"/>
      <c r="P550" s="74"/>
      <c r="Q550" s="74"/>
    </row>
    <row r="551">
      <c r="A551" s="74"/>
      <c r="B551" s="74"/>
      <c r="C551" s="12"/>
      <c r="D551" s="74"/>
      <c r="E551" s="74"/>
      <c r="F551" s="89"/>
      <c r="G551" s="89"/>
      <c r="H551" s="90"/>
      <c r="I551" s="90"/>
      <c r="J551" s="90"/>
      <c r="K551" s="90"/>
      <c r="L551" s="91"/>
      <c r="M551" s="73"/>
      <c r="N551" s="74"/>
      <c r="O551" s="74"/>
      <c r="P551" s="74"/>
      <c r="Q551" s="74"/>
    </row>
    <row r="552">
      <c r="A552" s="74"/>
      <c r="B552" s="74"/>
      <c r="C552" s="12"/>
      <c r="D552" s="74"/>
      <c r="E552" s="74"/>
      <c r="F552" s="89"/>
      <c r="G552" s="89"/>
      <c r="H552" s="90"/>
      <c r="I552" s="90"/>
      <c r="J552" s="90"/>
      <c r="K552" s="90"/>
      <c r="L552" s="91"/>
      <c r="M552" s="73"/>
      <c r="N552" s="74"/>
      <c r="O552" s="74"/>
      <c r="P552" s="74"/>
      <c r="Q552" s="74"/>
    </row>
    <row r="553">
      <c r="A553" s="74"/>
      <c r="B553" s="74"/>
      <c r="C553" s="12"/>
      <c r="D553" s="74"/>
      <c r="E553" s="74"/>
      <c r="F553" s="89"/>
      <c r="G553" s="89"/>
      <c r="H553" s="90"/>
      <c r="I553" s="90"/>
      <c r="J553" s="90"/>
      <c r="K553" s="90"/>
      <c r="L553" s="91"/>
      <c r="M553" s="73"/>
      <c r="N553" s="74"/>
      <c r="O553" s="74"/>
      <c r="P553" s="74"/>
      <c r="Q553" s="74"/>
    </row>
    <row r="554">
      <c r="A554" s="74"/>
      <c r="B554" s="74"/>
      <c r="C554" s="12"/>
      <c r="D554" s="74"/>
      <c r="E554" s="74"/>
      <c r="F554" s="89"/>
      <c r="G554" s="89"/>
      <c r="H554" s="90"/>
      <c r="I554" s="90"/>
      <c r="J554" s="90"/>
      <c r="K554" s="90"/>
      <c r="L554" s="91"/>
      <c r="M554" s="73"/>
      <c r="N554" s="74"/>
      <c r="O554" s="74"/>
      <c r="P554" s="74"/>
      <c r="Q554" s="74"/>
    </row>
    <row r="555">
      <c r="A555" s="74"/>
      <c r="B555" s="74"/>
      <c r="C555" s="12"/>
      <c r="D555" s="74"/>
      <c r="E555" s="74"/>
      <c r="F555" s="89"/>
      <c r="G555" s="89"/>
      <c r="H555" s="90"/>
      <c r="I555" s="90"/>
      <c r="J555" s="90"/>
      <c r="K555" s="90"/>
      <c r="L555" s="91"/>
      <c r="M555" s="73"/>
      <c r="N555" s="74"/>
      <c r="O555" s="74"/>
      <c r="P555" s="74"/>
      <c r="Q555" s="74"/>
    </row>
    <row r="556">
      <c r="A556" s="74"/>
      <c r="B556" s="74"/>
      <c r="C556" s="12"/>
      <c r="D556" s="74"/>
      <c r="E556" s="74"/>
      <c r="F556" s="89"/>
      <c r="G556" s="89"/>
      <c r="H556" s="90"/>
      <c r="I556" s="90"/>
      <c r="J556" s="90"/>
      <c r="K556" s="90"/>
      <c r="L556" s="91"/>
      <c r="M556" s="73"/>
      <c r="N556" s="74"/>
      <c r="O556" s="74"/>
      <c r="P556" s="74"/>
      <c r="Q556" s="74"/>
    </row>
    <row r="557">
      <c r="A557" s="74"/>
      <c r="B557" s="74"/>
      <c r="C557" s="12"/>
      <c r="D557" s="74"/>
      <c r="E557" s="74"/>
      <c r="F557" s="89"/>
      <c r="G557" s="89"/>
      <c r="H557" s="90"/>
      <c r="I557" s="90"/>
      <c r="J557" s="90"/>
      <c r="K557" s="90"/>
      <c r="L557" s="91"/>
      <c r="M557" s="73"/>
      <c r="N557" s="74"/>
      <c r="O557" s="74"/>
      <c r="P557" s="74"/>
      <c r="Q557" s="74"/>
    </row>
    <row r="558">
      <c r="A558" s="74"/>
      <c r="B558" s="74"/>
      <c r="C558" s="12"/>
      <c r="D558" s="74"/>
      <c r="E558" s="74"/>
      <c r="F558" s="89"/>
      <c r="G558" s="89"/>
      <c r="H558" s="90"/>
      <c r="I558" s="90"/>
      <c r="J558" s="90"/>
      <c r="K558" s="90"/>
      <c r="L558" s="91"/>
      <c r="M558" s="73"/>
      <c r="N558" s="74"/>
      <c r="O558" s="74"/>
      <c r="P558" s="74"/>
      <c r="Q558" s="74"/>
    </row>
    <row r="559">
      <c r="A559" s="74"/>
      <c r="B559" s="74"/>
      <c r="C559" s="12"/>
      <c r="D559" s="74"/>
      <c r="E559" s="74"/>
      <c r="F559" s="89"/>
      <c r="G559" s="89"/>
      <c r="H559" s="90"/>
      <c r="I559" s="90"/>
      <c r="J559" s="90"/>
      <c r="K559" s="90"/>
      <c r="L559" s="91"/>
      <c r="M559" s="73"/>
      <c r="N559" s="74"/>
      <c r="O559" s="74"/>
      <c r="P559" s="74"/>
      <c r="Q559" s="74"/>
    </row>
    <row r="560">
      <c r="A560" s="74"/>
      <c r="B560" s="74"/>
      <c r="C560" s="12"/>
      <c r="D560" s="74"/>
      <c r="E560" s="74"/>
      <c r="F560" s="89"/>
      <c r="G560" s="89"/>
      <c r="H560" s="90"/>
      <c r="I560" s="90"/>
      <c r="J560" s="90"/>
      <c r="K560" s="90"/>
      <c r="L560" s="91"/>
      <c r="M560" s="73"/>
      <c r="N560" s="74"/>
      <c r="O560" s="74"/>
      <c r="P560" s="74"/>
      <c r="Q560" s="74"/>
    </row>
    <row r="561">
      <c r="A561" s="74"/>
      <c r="B561" s="74"/>
      <c r="C561" s="12"/>
      <c r="D561" s="74"/>
      <c r="E561" s="74"/>
      <c r="F561" s="89"/>
      <c r="G561" s="89"/>
      <c r="H561" s="90"/>
      <c r="I561" s="90"/>
      <c r="J561" s="90"/>
      <c r="K561" s="90"/>
      <c r="L561" s="91"/>
      <c r="M561" s="73"/>
      <c r="N561" s="74"/>
      <c r="O561" s="74"/>
      <c r="P561" s="74"/>
      <c r="Q561" s="74"/>
    </row>
    <row r="562">
      <c r="A562" s="74"/>
      <c r="B562" s="74"/>
      <c r="C562" s="12"/>
      <c r="D562" s="74"/>
      <c r="E562" s="74"/>
      <c r="F562" s="89"/>
      <c r="G562" s="89"/>
      <c r="H562" s="90"/>
      <c r="I562" s="90"/>
      <c r="J562" s="90"/>
      <c r="K562" s="90"/>
      <c r="L562" s="91"/>
      <c r="M562" s="73"/>
      <c r="N562" s="74"/>
      <c r="O562" s="74"/>
      <c r="P562" s="74"/>
      <c r="Q562" s="74"/>
    </row>
    <row r="563">
      <c r="A563" s="74"/>
      <c r="B563" s="74"/>
      <c r="C563" s="12"/>
      <c r="D563" s="74"/>
      <c r="E563" s="74"/>
      <c r="F563" s="89"/>
      <c r="G563" s="89"/>
      <c r="H563" s="90"/>
      <c r="I563" s="90"/>
      <c r="J563" s="90"/>
      <c r="K563" s="90"/>
      <c r="L563" s="91"/>
      <c r="M563" s="73"/>
      <c r="N563" s="74"/>
      <c r="O563" s="74"/>
      <c r="P563" s="74"/>
      <c r="Q563" s="74"/>
    </row>
    <row r="564">
      <c r="A564" s="74"/>
      <c r="B564" s="74"/>
      <c r="C564" s="12"/>
      <c r="D564" s="74"/>
      <c r="E564" s="74"/>
      <c r="F564" s="89"/>
      <c r="G564" s="89"/>
      <c r="H564" s="90"/>
      <c r="I564" s="90"/>
      <c r="J564" s="90"/>
      <c r="K564" s="90"/>
      <c r="L564" s="91"/>
      <c r="M564" s="73"/>
      <c r="N564" s="74"/>
      <c r="O564" s="74"/>
      <c r="P564" s="74"/>
      <c r="Q564" s="74"/>
    </row>
    <row r="565">
      <c r="A565" s="74"/>
      <c r="B565" s="74"/>
      <c r="C565" s="12"/>
      <c r="D565" s="74"/>
      <c r="E565" s="74"/>
      <c r="F565" s="89"/>
      <c r="G565" s="89"/>
      <c r="H565" s="90"/>
      <c r="I565" s="90"/>
      <c r="J565" s="90"/>
      <c r="K565" s="90"/>
      <c r="L565" s="91"/>
      <c r="M565" s="73"/>
      <c r="N565" s="74"/>
      <c r="O565" s="74"/>
      <c r="P565" s="74"/>
      <c r="Q565" s="74"/>
    </row>
    <row r="566">
      <c r="A566" s="74"/>
      <c r="B566" s="74"/>
      <c r="C566" s="12"/>
      <c r="D566" s="74"/>
      <c r="E566" s="74"/>
      <c r="F566" s="89"/>
      <c r="G566" s="89"/>
      <c r="H566" s="90"/>
      <c r="I566" s="90"/>
      <c r="J566" s="90"/>
      <c r="K566" s="90"/>
      <c r="L566" s="91"/>
      <c r="M566" s="73"/>
      <c r="N566" s="74"/>
      <c r="O566" s="74"/>
      <c r="P566" s="74"/>
      <c r="Q566" s="74"/>
    </row>
    <row r="567">
      <c r="A567" s="74"/>
      <c r="B567" s="74"/>
      <c r="C567" s="12"/>
      <c r="D567" s="74"/>
      <c r="E567" s="74"/>
      <c r="F567" s="89"/>
      <c r="G567" s="89"/>
      <c r="H567" s="90"/>
      <c r="I567" s="90"/>
      <c r="J567" s="90"/>
      <c r="K567" s="90"/>
      <c r="L567" s="91"/>
      <c r="M567" s="73"/>
      <c r="N567" s="74"/>
      <c r="O567" s="74"/>
      <c r="P567" s="74"/>
      <c r="Q567" s="74"/>
    </row>
    <row r="568">
      <c r="A568" s="74"/>
      <c r="B568" s="74"/>
      <c r="C568" s="12"/>
      <c r="D568" s="74"/>
      <c r="E568" s="74"/>
      <c r="F568" s="89"/>
      <c r="G568" s="89"/>
      <c r="H568" s="90"/>
      <c r="I568" s="90"/>
      <c r="J568" s="90"/>
      <c r="K568" s="90"/>
      <c r="L568" s="91"/>
      <c r="M568" s="73"/>
      <c r="N568" s="74"/>
      <c r="O568" s="74"/>
      <c r="P568" s="74"/>
      <c r="Q568" s="74"/>
    </row>
    <row r="569">
      <c r="A569" s="74"/>
      <c r="B569" s="74"/>
      <c r="C569" s="12"/>
      <c r="D569" s="74"/>
      <c r="E569" s="74"/>
      <c r="F569" s="89"/>
      <c r="G569" s="89"/>
      <c r="H569" s="90"/>
      <c r="I569" s="90"/>
      <c r="J569" s="90"/>
      <c r="K569" s="90"/>
      <c r="L569" s="91"/>
      <c r="M569" s="73"/>
      <c r="N569" s="74"/>
      <c r="O569" s="74"/>
      <c r="P569" s="74"/>
      <c r="Q569" s="74"/>
    </row>
    <row r="570">
      <c r="A570" s="74"/>
      <c r="B570" s="74"/>
      <c r="C570" s="12"/>
      <c r="D570" s="74"/>
      <c r="E570" s="74"/>
      <c r="F570" s="89"/>
      <c r="G570" s="89"/>
      <c r="H570" s="90"/>
      <c r="I570" s="90"/>
      <c r="J570" s="90"/>
      <c r="K570" s="90"/>
      <c r="L570" s="91"/>
      <c r="M570" s="73"/>
      <c r="N570" s="74"/>
      <c r="O570" s="74"/>
      <c r="P570" s="74"/>
      <c r="Q570" s="74"/>
    </row>
    <row r="571">
      <c r="A571" s="74"/>
      <c r="B571" s="74"/>
      <c r="C571" s="12"/>
      <c r="D571" s="74"/>
      <c r="E571" s="74"/>
      <c r="F571" s="89"/>
      <c r="G571" s="89"/>
      <c r="H571" s="90"/>
      <c r="I571" s="90"/>
      <c r="J571" s="90"/>
      <c r="K571" s="90"/>
      <c r="L571" s="91"/>
      <c r="M571" s="73"/>
      <c r="N571" s="74"/>
      <c r="O571" s="74"/>
      <c r="P571" s="74"/>
      <c r="Q571" s="74"/>
    </row>
    <row r="572">
      <c r="A572" s="74"/>
      <c r="B572" s="74"/>
      <c r="C572" s="12"/>
      <c r="D572" s="74"/>
      <c r="E572" s="74"/>
      <c r="F572" s="89"/>
      <c r="G572" s="89"/>
      <c r="H572" s="90"/>
      <c r="I572" s="90"/>
      <c r="J572" s="90"/>
      <c r="K572" s="90"/>
      <c r="L572" s="91"/>
      <c r="M572" s="73"/>
      <c r="N572" s="74"/>
      <c r="O572" s="74"/>
      <c r="P572" s="74"/>
      <c r="Q572" s="74"/>
    </row>
    <row r="573">
      <c r="A573" s="74"/>
      <c r="B573" s="74"/>
      <c r="C573" s="12"/>
      <c r="D573" s="74"/>
      <c r="E573" s="74"/>
      <c r="F573" s="89"/>
      <c r="G573" s="89"/>
      <c r="H573" s="90"/>
      <c r="I573" s="90"/>
      <c r="J573" s="90"/>
      <c r="K573" s="90"/>
      <c r="L573" s="91"/>
      <c r="M573" s="73"/>
      <c r="N573" s="74"/>
      <c r="O573" s="74"/>
      <c r="P573" s="74"/>
      <c r="Q573" s="74"/>
    </row>
    <row r="574">
      <c r="A574" s="74"/>
      <c r="B574" s="74"/>
      <c r="C574" s="12"/>
      <c r="D574" s="74"/>
      <c r="E574" s="74"/>
      <c r="F574" s="89"/>
      <c r="G574" s="89"/>
      <c r="H574" s="90"/>
      <c r="I574" s="90"/>
      <c r="J574" s="90"/>
      <c r="K574" s="90"/>
      <c r="L574" s="91"/>
      <c r="M574" s="73"/>
      <c r="N574" s="74"/>
      <c r="O574" s="74"/>
      <c r="P574" s="74"/>
      <c r="Q574" s="74"/>
    </row>
    <row r="575">
      <c r="A575" s="74"/>
      <c r="B575" s="74"/>
      <c r="C575" s="12"/>
      <c r="D575" s="74"/>
      <c r="E575" s="74"/>
      <c r="F575" s="89"/>
      <c r="G575" s="89"/>
      <c r="H575" s="90"/>
      <c r="I575" s="90"/>
      <c r="J575" s="90"/>
      <c r="K575" s="90"/>
      <c r="L575" s="91"/>
      <c r="M575" s="73"/>
      <c r="N575" s="74"/>
      <c r="O575" s="74"/>
      <c r="P575" s="74"/>
      <c r="Q575" s="74"/>
    </row>
    <row r="576">
      <c r="A576" s="74"/>
      <c r="B576" s="74"/>
      <c r="C576" s="12"/>
      <c r="D576" s="74"/>
      <c r="E576" s="74"/>
      <c r="F576" s="89"/>
      <c r="G576" s="89"/>
      <c r="H576" s="90"/>
      <c r="I576" s="90"/>
      <c r="J576" s="90"/>
      <c r="K576" s="90"/>
      <c r="L576" s="91"/>
      <c r="M576" s="73"/>
      <c r="N576" s="74"/>
      <c r="O576" s="74"/>
      <c r="P576" s="74"/>
      <c r="Q576" s="74"/>
    </row>
    <row r="577">
      <c r="A577" s="74"/>
      <c r="B577" s="74"/>
      <c r="C577" s="12"/>
      <c r="D577" s="74"/>
      <c r="E577" s="74"/>
      <c r="F577" s="89"/>
      <c r="G577" s="89"/>
      <c r="H577" s="90"/>
      <c r="I577" s="90"/>
      <c r="J577" s="90"/>
      <c r="K577" s="90"/>
      <c r="L577" s="91"/>
      <c r="M577" s="73"/>
      <c r="N577" s="74"/>
      <c r="O577" s="74"/>
      <c r="P577" s="74"/>
      <c r="Q577" s="74"/>
    </row>
    <row r="578">
      <c r="A578" s="74"/>
      <c r="B578" s="74"/>
      <c r="C578" s="12"/>
      <c r="D578" s="74"/>
      <c r="E578" s="74"/>
      <c r="F578" s="89"/>
      <c r="G578" s="89"/>
      <c r="H578" s="90"/>
      <c r="I578" s="90"/>
      <c r="J578" s="90"/>
      <c r="K578" s="90"/>
      <c r="L578" s="91"/>
      <c r="M578" s="73"/>
      <c r="N578" s="74"/>
      <c r="O578" s="74"/>
      <c r="P578" s="74"/>
      <c r="Q578" s="74"/>
    </row>
    <row r="579">
      <c r="A579" s="74"/>
      <c r="B579" s="74"/>
      <c r="C579" s="12"/>
      <c r="D579" s="74"/>
      <c r="E579" s="74"/>
      <c r="F579" s="89"/>
      <c r="G579" s="89"/>
      <c r="H579" s="90"/>
      <c r="I579" s="90"/>
      <c r="J579" s="90"/>
      <c r="K579" s="90"/>
      <c r="L579" s="91"/>
      <c r="M579" s="73"/>
      <c r="N579" s="74"/>
      <c r="O579" s="74"/>
      <c r="P579" s="74"/>
      <c r="Q579" s="74"/>
    </row>
    <row r="580">
      <c r="A580" s="74"/>
      <c r="B580" s="74"/>
      <c r="C580" s="12"/>
      <c r="D580" s="74"/>
      <c r="E580" s="74"/>
      <c r="F580" s="89"/>
      <c r="G580" s="89"/>
      <c r="H580" s="90"/>
      <c r="I580" s="90"/>
      <c r="J580" s="90"/>
      <c r="K580" s="90"/>
      <c r="L580" s="91"/>
      <c r="M580" s="73"/>
      <c r="N580" s="74"/>
      <c r="O580" s="74"/>
      <c r="P580" s="74"/>
      <c r="Q580" s="74"/>
    </row>
    <row r="581">
      <c r="A581" s="74"/>
      <c r="B581" s="74"/>
      <c r="C581" s="12"/>
      <c r="D581" s="74"/>
      <c r="E581" s="74"/>
      <c r="F581" s="89"/>
      <c r="G581" s="89"/>
      <c r="H581" s="90"/>
      <c r="I581" s="90"/>
      <c r="J581" s="90"/>
      <c r="K581" s="90"/>
      <c r="L581" s="91"/>
      <c r="M581" s="73"/>
      <c r="N581" s="74"/>
      <c r="O581" s="74"/>
      <c r="P581" s="74"/>
      <c r="Q581" s="74"/>
    </row>
    <row r="582">
      <c r="A582" s="74"/>
      <c r="B582" s="74"/>
      <c r="C582" s="12"/>
      <c r="D582" s="74"/>
      <c r="E582" s="74"/>
      <c r="F582" s="89"/>
      <c r="G582" s="89"/>
      <c r="H582" s="90"/>
      <c r="I582" s="90"/>
      <c r="J582" s="90"/>
      <c r="K582" s="90"/>
      <c r="L582" s="91"/>
      <c r="M582" s="73"/>
      <c r="N582" s="74"/>
      <c r="O582" s="74"/>
      <c r="P582" s="74"/>
      <c r="Q582" s="74"/>
    </row>
    <row r="583">
      <c r="A583" s="74"/>
      <c r="B583" s="74"/>
      <c r="C583" s="12"/>
      <c r="D583" s="74"/>
      <c r="E583" s="74"/>
      <c r="F583" s="89"/>
      <c r="G583" s="89"/>
      <c r="H583" s="90"/>
      <c r="I583" s="90"/>
      <c r="J583" s="90"/>
      <c r="K583" s="90"/>
      <c r="L583" s="91"/>
      <c r="M583" s="73"/>
      <c r="N583" s="74"/>
      <c r="O583" s="74"/>
      <c r="P583" s="74"/>
      <c r="Q583" s="74"/>
    </row>
    <row r="584">
      <c r="A584" s="74"/>
      <c r="B584" s="74"/>
      <c r="C584" s="12"/>
      <c r="D584" s="74"/>
      <c r="E584" s="74"/>
      <c r="F584" s="89"/>
      <c r="G584" s="89"/>
      <c r="H584" s="90"/>
      <c r="I584" s="90"/>
      <c r="J584" s="90"/>
      <c r="K584" s="90"/>
      <c r="L584" s="91"/>
      <c r="M584" s="73"/>
      <c r="N584" s="74"/>
      <c r="O584" s="74"/>
      <c r="P584" s="74"/>
      <c r="Q584" s="74"/>
    </row>
    <row r="585">
      <c r="A585" s="74"/>
      <c r="B585" s="74"/>
      <c r="C585" s="12"/>
      <c r="D585" s="74"/>
      <c r="E585" s="74"/>
      <c r="F585" s="89"/>
      <c r="G585" s="89"/>
      <c r="H585" s="90"/>
      <c r="I585" s="90"/>
      <c r="J585" s="90"/>
      <c r="K585" s="90"/>
      <c r="L585" s="91"/>
      <c r="M585" s="73"/>
      <c r="N585" s="74"/>
      <c r="O585" s="74"/>
      <c r="P585" s="74"/>
      <c r="Q585" s="74"/>
    </row>
    <row r="586">
      <c r="A586" s="74"/>
      <c r="B586" s="74"/>
      <c r="C586" s="12"/>
      <c r="D586" s="74"/>
      <c r="E586" s="74"/>
      <c r="F586" s="89"/>
      <c r="G586" s="89"/>
      <c r="H586" s="90"/>
      <c r="I586" s="90"/>
      <c r="J586" s="90"/>
      <c r="K586" s="90"/>
      <c r="L586" s="91"/>
      <c r="M586" s="73"/>
      <c r="N586" s="74"/>
      <c r="O586" s="74"/>
      <c r="P586" s="74"/>
      <c r="Q586" s="74"/>
    </row>
    <row r="587">
      <c r="A587" s="74"/>
      <c r="B587" s="74"/>
      <c r="C587" s="12"/>
      <c r="D587" s="74"/>
      <c r="E587" s="74"/>
      <c r="F587" s="89"/>
      <c r="G587" s="89"/>
      <c r="H587" s="90"/>
      <c r="I587" s="90"/>
      <c r="J587" s="90"/>
      <c r="K587" s="90"/>
      <c r="L587" s="91"/>
      <c r="M587" s="73"/>
      <c r="N587" s="74"/>
      <c r="O587" s="74"/>
      <c r="P587" s="74"/>
      <c r="Q587" s="74"/>
    </row>
    <row r="588">
      <c r="A588" s="74"/>
      <c r="B588" s="74"/>
      <c r="C588" s="12"/>
      <c r="D588" s="74"/>
      <c r="E588" s="74"/>
      <c r="F588" s="89"/>
      <c r="G588" s="89"/>
      <c r="H588" s="90"/>
      <c r="I588" s="90"/>
      <c r="J588" s="90"/>
      <c r="K588" s="90"/>
      <c r="L588" s="91"/>
      <c r="M588" s="73"/>
      <c r="N588" s="74"/>
      <c r="O588" s="74"/>
      <c r="P588" s="74"/>
      <c r="Q588" s="74"/>
    </row>
    <row r="589">
      <c r="A589" s="74"/>
      <c r="B589" s="74"/>
      <c r="C589" s="12"/>
      <c r="D589" s="74"/>
      <c r="E589" s="74"/>
      <c r="F589" s="89"/>
      <c r="G589" s="89"/>
      <c r="H589" s="90"/>
      <c r="I589" s="90"/>
      <c r="J589" s="90"/>
      <c r="K589" s="90"/>
      <c r="L589" s="91"/>
      <c r="M589" s="73"/>
      <c r="N589" s="74"/>
      <c r="O589" s="74"/>
      <c r="P589" s="74"/>
      <c r="Q589" s="74"/>
    </row>
    <row r="590">
      <c r="A590" s="74"/>
      <c r="B590" s="74"/>
      <c r="C590" s="12"/>
      <c r="D590" s="74"/>
      <c r="E590" s="74"/>
      <c r="F590" s="89"/>
      <c r="G590" s="89"/>
      <c r="H590" s="90"/>
      <c r="I590" s="90"/>
      <c r="J590" s="90"/>
      <c r="K590" s="90"/>
      <c r="L590" s="91"/>
      <c r="M590" s="73"/>
      <c r="N590" s="74"/>
      <c r="O590" s="74"/>
      <c r="P590" s="74"/>
      <c r="Q590" s="74"/>
    </row>
    <row r="591">
      <c r="A591" s="74"/>
      <c r="B591" s="74"/>
      <c r="C591" s="12"/>
      <c r="D591" s="74"/>
      <c r="E591" s="74"/>
      <c r="F591" s="89"/>
      <c r="G591" s="89"/>
      <c r="H591" s="90"/>
      <c r="I591" s="90"/>
      <c r="J591" s="90"/>
      <c r="K591" s="90"/>
      <c r="L591" s="91"/>
      <c r="M591" s="73"/>
      <c r="N591" s="74"/>
      <c r="O591" s="74"/>
      <c r="P591" s="74"/>
      <c r="Q591" s="74"/>
    </row>
    <row r="592">
      <c r="A592" s="74"/>
      <c r="B592" s="74"/>
      <c r="C592" s="12"/>
      <c r="D592" s="74"/>
      <c r="E592" s="74"/>
      <c r="F592" s="89"/>
      <c r="G592" s="89"/>
      <c r="H592" s="90"/>
      <c r="I592" s="90"/>
      <c r="J592" s="90"/>
      <c r="K592" s="90"/>
      <c r="L592" s="91"/>
      <c r="M592" s="73"/>
      <c r="N592" s="74"/>
      <c r="O592" s="74"/>
      <c r="P592" s="74"/>
      <c r="Q592" s="74"/>
    </row>
    <row r="593">
      <c r="A593" s="74"/>
      <c r="B593" s="74"/>
      <c r="C593" s="12"/>
      <c r="D593" s="74"/>
      <c r="E593" s="74"/>
      <c r="F593" s="89"/>
      <c r="G593" s="89"/>
      <c r="H593" s="90"/>
      <c r="I593" s="90"/>
      <c r="J593" s="90"/>
      <c r="K593" s="90"/>
      <c r="L593" s="91"/>
      <c r="M593" s="73"/>
      <c r="N593" s="74"/>
      <c r="O593" s="74"/>
      <c r="P593" s="74"/>
      <c r="Q593" s="74"/>
    </row>
    <row r="594">
      <c r="A594" s="74"/>
      <c r="B594" s="74"/>
      <c r="C594" s="12"/>
      <c r="D594" s="74"/>
      <c r="E594" s="74"/>
      <c r="F594" s="89"/>
      <c r="G594" s="89"/>
      <c r="H594" s="90"/>
      <c r="I594" s="90"/>
      <c r="J594" s="90"/>
      <c r="K594" s="90"/>
      <c r="L594" s="91"/>
      <c r="M594" s="73"/>
      <c r="N594" s="74"/>
      <c r="O594" s="74"/>
      <c r="P594" s="74"/>
      <c r="Q594" s="74"/>
    </row>
    <row r="595">
      <c r="A595" s="74"/>
      <c r="B595" s="74"/>
      <c r="C595" s="12"/>
      <c r="D595" s="74"/>
      <c r="E595" s="74"/>
      <c r="F595" s="89"/>
      <c r="G595" s="89"/>
      <c r="H595" s="90"/>
      <c r="I595" s="90"/>
      <c r="J595" s="90"/>
      <c r="K595" s="90"/>
      <c r="L595" s="91"/>
      <c r="M595" s="73"/>
      <c r="N595" s="74"/>
      <c r="O595" s="74"/>
      <c r="P595" s="74"/>
      <c r="Q595" s="74"/>
    </row>
    <row r="596">
      <c r="A596" s="74"/>
      <c r="B596" s="74"/>
      <c r="C596" s="12"/>
      <c r="D596" s="74"/>
      <c r="E596" s="74"/>
      <c r="F596" s="89"/>
      <c r="G596" s="89"/>
      <c r="H596" s="90"/>
      <c r="I596" s="90"/>
      <c r="J596" s="90"/>
      <c r="K596" s="90"/>
      <c r="L596" s="91"/>
      <c r="M596" s="73"/>
      <c r="N596" s="74"/>
      <c r="O596" s="74"/>
      <c r="P596" s="74"/>
      <c r="Q596" s="74"/>
    </row>
    <row r="597">
      <c r="A597" s="74"/>
      <c r="B597" s="74"/>
      <c r="C597" s="12"/>
      <c r="D597" s="74"/>
      <c r="E597" s="74"/>
      <c r="F597" s="89"/>
      <c r="G597" s="89"/>
      <c r="H597" s="90"/>
      <c r="I597" s="90"/>
      <c r="J597" s="90"/>
      <c r="K597" s="90"/>
      <c r="L597" s="91"/>
      <c r="M597" s="73"/>
      <c r="N597" s="74"/>
      <c r="O597" s="74"/>
      <c r="P597" s="74"/>
      <c r="Q597" s="74"/>
    </row>
    <row r="598">
      <c r="A598" s="74"/>
      <c r="B598" s="74"/>
      <c r="C598" s="12"/>
      <c r="D598" s="74"/>
      <c r="E598" s="74"/>
      <c r="F598" s="89"/>
      <c r="G598" s="89"/>
      <c r="H598" s="90"/>
      <c r="I598" s="90"/>
      <c r="J598" s="90"/>
      <c r="K598" s="90"/>
      <c r="L598" s="91"/>
      <c r="M598" s="73"/>
      <c r="N598" s="74"/>
      <c r="O598" s="74"/>
      <c r="P598" s="74"/>
      <c r="Q598" s="74"/>
    </row>
    <row r="599">
      <c r="A599" s="74"/>
      <c r="B599" s="74"/>
      <c r="C599" s="12"/>
      <c r="D599" s="74"/>
      <c r="E599" s="74"/>
      <c r="F599" s="89"/>
      <c r="G599" s="89"/>
      <c r="H599" s="90"/>
      <c r="I599" s="90"/>
      <c r="J599" s="90"/>
      <c r="K599" s="90"/>
      <c r="L599" s="91"/>
      <c r="M599" s="73"/>
      <c r="N599" s="74"/>
      <c r="O599" s="74"/>
      <c r="P599" s="74"/>
      <c r="Q599" s="74"/>
    </row>
    <row r="600">
      <c r="A600" s="74"/>
      <c r="B600" s="74"/>
      <c r="C600" s="12"/>
      <c r="D600" s="74"/>
      <c r="E600" s="74"/>
      <c r="F600" s="89"/>
      <c r="G600" s="89"/>
      <c r="H600" s="90"/>
      <c r="I600" s="90"/>
      <c r="J600" s="90"/>
      <c r="K600" s="90"/>
      <c r="L600" s="91"/>
      <c r="M600" s="73"/>
      <c r="N600" s="74"/>
      <c r="O600" s="74"/>
      <c r="P600" s="74"/>
      <c r="Q600" s="74"/>
    </row>
    <row r="601">
      <c r="A601" s="74"/>
      <c r="B601" s="74"/>
      <c r="C601" s="12"/>
      <c r="D601" s="74"/>
      <c r="E601" s="74"/>
      <c r="F601" s="89"/>
      <c r="G601" s="89"/>
      <c r="H601" s="90"/>
      <c r="I601" s="90"/>
      <c r="J601" s="90"/>
      <c r="K601" s="90"/>
      <c r="L601" s="91"/>
      <c r="M601" s="73"/>
      <c r="N601" s="74"/>
      <c r="O601" s="74"/>
      <c r="P601" s="74"/>
      <c r="Q601" s="74"/>
    </row>
    <row r="602">
      <c r="A602" s="74"/>
      <c r="B602" s="74"/>
      <c r="C602" s="12"/>
      <c r="D602" s="74"/>
      <c r="E602" s="74"/>
      <c r="F602" s="89"/>
      <c r="G602" s="89"/>
      <c r="H602" s="90"/>
      <c r="I602" s="90"/>
      <c r="J602" s="90"/>
      <c r="K602" s="90"/>
      <c r="L602" s="91"/>
      <c r="M602" s="73"/>
      <c r="N602" s="74"/>
      <c r="O602" s="74"/>
      <c r="P602" s="74"/>
      <c r="Q602" s="74"/>
    </row>
    <row r="603">
      <c r="A603" s="74"/>
      <c r="B603" s="74"/>
      <c r="C603" s="12"/>
      <c r="D603" s="74"/>
      <c r="E603" s="74"/>
      <c r="F603" s="89"/>
      <c r="G603" s="89"/>
      <c r="H603" s="90"/>
      <c r="I603" s="90"/>
      <c r="J603" s="90"/>
      <c r="K603" s="90"/>
      <c r="L603" s="91"/>
      <c r="M603" s="73"/>
      <c r="N603" s="74"/>
      <c r="O603" s="74"/>
      <c r="P603" s="74"/>
      <c r="Q603" s="74"/>
    </row>
    <row r="604">
      <c r="A604" s="74"/>
      <c r="B604" s="74"/>
      <c r="C604" s="12"/>
      <c r="D604" s="74"/>
      <c r="E604" s="74"/>
      <c r="F604" s="89"/>
      <c r="G604" s="89"/>
      <c r="H604" s="90"/>
      <c r="I604" s="90"/>
      <c r="J604" s="90"/>
      <c r="K604" s="90"/>
      <c r="L604" s="91"/>
      <c r="M604" s="73"/>
      <c r="N604" s="74"/>
      <c r="O604" s="74"/>
      <c r="P604" s="74"/>
      <c r="Q604" s="74"/>
    </row>
    <row r="605">
      <c r="A605" s="74"/>
      <c r="B605" s="74"/>
      <c r="C605" s="12"/>
      <c r="D605" s="74"/>
      <c r="E605" s="74"/>
      <c r="F605" s="89"/>
      <c r="G605" s="89"/>
      <c r="H605" s="90"/>
      <c r="I605" s="90"/>
      <c r="J605" s="90"/>
      <c r="K605" s="90"/>
      <c r="L605" s="91"/>
      <c r="M605" s="73"/>
      <c r="N605" s="74"/>
      <c r="O605" s="74"/>
      <c r="P605" s="74"/>
      <c r="Q605" s="74"/>
    </row>
    <row r="606">
      <c r="A606" s="74"/>
      <c r="B606" s="74"/>
      <c r="C606" s="12"/>
      <c r="D606" s="74"/>
      <c r="E606" s="74"/>
      <c r="F606" s="89"/>
      <c r="G606" s="89"/>
      <c r="H606" s="90"/>
      <c r="I606" s="90"/>
      <c r="J606" s="90"/>
      <c r="K606" s="90"/>
      <c r="L606" s="91"/>
      <c r="M606" s="73"/>
      <c r="N606" s="74"/>
      <c r="O606" s="74"/>
      <c r="P606" s="74"/>
      <c r="Q606" s="74"/>
    </row>
    <row r="607">
      <c r="A607" s="74"/>
      <c r="B607" s="74"/>
      <c r="C607" s="12"/>
      <c r="D607" s="74"/>
      <c r="E607" s="74"/>
      <c r="F607" s="89"/>
      <c r="G607" s="89"/>
      <c r="H607" s="90"/>
      <c r="I607" s="90"/>
      <c r="J607" s="90"/>
      <c r="K607" s="90"/>
      <c r="L607" s="91"/>
      <c r="M607" s="73"/>
      <c r="N607" s="74"/>
      <c r="O607" s="74"/>
      <c r="P607" s="74"/>
      <c r="Q607" s="74"/>
    </row>
    <row r="608">
      <c r="A608" s="74"/>
      <c r="B608" s="74"/>
      <c r="C608" s="12"/>
      <c r="D608" s="74"/>
      <c r="E608" s="74"/>
      <c r="F608" s="89"/>
      <c r="G608" s="89"/>
      <c r="H608" s="90"/>
      <c r="I608" s="90"/>
      <c r="J608" s="90"/>
      <c r="K608" s="90"/>
      <c r="L608" s="91"/>
      <c r="M608" s="73"/>
      <c r="N608" s="74"/>
      <c r="O608" s="74"/>
      <c r="P608" s="74"/>
      <c r="Q608" s="74"/>
    </row>
    <row r="609">
      <c r="A609" s="74"/>
      <c r="B609" s="74"/>
      <c r="C609" s="12"/>
      <c r="D609" s="74"/>
      <c r="E609" s="74"/>
      <c r="F609" s="89"/>
      <c r="G609" s="89"/>
      <c r="H609" s="90"/>
      <c r="I609" s="90"/>
      <c r="J609" s="90"/>
      <c r="K609" s="90"/>
      <c r="L609" s="91"/>
      <c r="M609" s="73"/>
      <c r="N609" s="74"/>
      <c r="O609" s="74"/>
      <c r="P609" s="74"/>
      <c r="Q609" s="74"/>
    </row>
    <row r="610">
      <c r="A610" s="74"/>
      <c r="B610" s="74"/>
      <c r="C610" s="12"/>
      <c r="D610" s="74"/>
      <c r="E610" s="74"/>
      <c r="F610" s="89"/>
      <c r="G610" s="89"/>
      <c r="H610" s="90"/>
      <c r="I610" s="90"/>
      <c r="J610" s="90"/>
      <c r="K610" s="90"/>
      <c r="L610" s="91"/>
      <c r="M610" s="73"/>
      <c r="N610" s="74"/>
      <c r="O610" s="74"/>
      <c r="P610" s="74"/>
      <c r="Q610" s="74"/>
    </row>
    <row r="611">
      <c r="A611" s="74"/>
      <c r="B611" s="74"/>
      <c r="C611" s="12"/>
      <c r="D611" s="74"/>
      <c r="E611" s="74"/>
      <c r="F611" s="89"/>
      <c r="G611" s="89"/>
      <c r="H611" s="90"/>
      <c r="I611" s="90"/>
      <c r="J611" s="90"/>
      <c r="K611" s="90"/>
      <c r="L611" s="91"/>
      <c r="M611" s="73"/>
      <c r="N611" s="74"/>
      <c r="O611" s="74"/>
      <c r="P611" s="74"/>
      <c r="Q611" s="74"/>
    </row>
    <row r="612">
      <c r="A612" s="74"/>
      <c r="B612" s="74"/>
      <c r="C612" s="12"/>
      <c r="D612" s="74"/>
      <c r="E612" s="74"/>
      <c r="F612" s="89"/>
      <c r="G612" s="89"/>
      <c r="H612" s="90"/>
      <c r="I612" s="90"/>
      <c r="J612" s="90"/>
      <c r="K612" s="90"/>
      <c r="L612" s="91"/>
      <c r="M612" s="73"/>
      <c r="N612" s="74"/>
      <c r="O612" s="74"/>
      <c r="P612" s="74"/>
      <c r="Q612" s="74"/>
    </row>
    <row r="613">
      <c r="A613" s="74"/>
      <c r="B613" s="74"/>
      <c r="C613" s="12"/>
      <c r="D613" s="74"/>
      <c r="E613" s="74"/>
      <c r="F613" s="89"/>
      <c r="G613" s="89"/>
      <c r="H613" s="90"/>
      <c r="I613" s="90"/>
      <c r="J613" s="90"/>
      <c r="K613" s="90"/>
      <c r="L613" s="91"/>
      <c r="M613" s="73"/>
      <c r="N613" s="74"/>
      <c r="O613" s="74"/>
      <c r="P613" s="74"/>
      <c r="Q613" s="74"/>
    </row>
    <row r="614">
      <c r="A614" s="74"/>
      <c r="B614" s="74"/>
      <c r="C614" s="12"/>
      <c r="D614" s="74"/>
      <c r="E614" s="74"/>
      <c r="F614" s="89"/>
      <c r="G614" s="89"/>
      <c r="H614" s="90"/>
      <c r="I614" s="90"/>
      <c r="J614" s="90"/>
      <c r="K614" s="90"/>
      <c r="L614" s="91"/>
      <c r="M614" s="73"/>
      <c r="N614" s="74"/>
      <c r="O614" s="74"/>
      <c r="P614" s="74"/>
      <c r="Q614" s="74"/>
    </row>
    <row r="615">
      <c r="A615" s="74"/>
      <c r="B615" s="74"/>
      <c r="C615" s="12"/>
      <c r="D615" s="74"/>
      <c r="E615" s="74"/>
      <c r="F615" s="89"/>
      <c r="G615" s="89"/>
      <c r="H615" s="90"/>
      <c r="I615" s="90"/>
      <c r="J615" s="90"/>
      <c r="K615" s="90"/>
      <c r="L615" s="91"/>
      <c r="M615" s="73"/>
      <c r="N615" s="74"/>
      <c r="O615" s="74"/>
      <c r="P615" s="74"/>
      <c r="Q615" s="74"/>
    </row>
    <row r="616">
      <c r="A616" s="74"/>
      <c r="B616" s="74"/>
      <c r="C616" s="12"/>
      <c r="D616" s="74"/>
      <c r="E616" s="74"/>
      <c r="F616" s="89"/>
      <c r="G616" s="89"/>
      <c r="H616" s="90"/>
      <c r="I616" s="90"/>
      <c r="J616" s="90"/>
      <c r="K616" s="90"/>
      <c r="L616" s="91"/>
      <c r="M616" s="73"/>
      <c r="N616" s="74"/>
      <c r="O616" s="74"/>
      <c r="P616" s="74"/>
      <c r="Q616" s="74"/>
    </row>
    <row r="617">
      <c r="A617" s="74"/>
      <c r="B617" s="74"/>
      <c r="C617" s="12"/>
      <c r="D617" s="74"/>
      <c r="E617" s="74"/>
      <c r="F617" s="89"/>
      <c r="G617" s="89"/>
      <c r="H617" s="90"/>
      <c r="I617" s="90"/>
      <c r="J617" s="90"/>
      <c r="K617" s="90"/>
      <c r="L617" s="91"/>
      <c r="M617" s="73"/>
      <c r="N617" s="74"/>
      <c r="O617" s="74"/>
      <c r="P617" s="74"/>
      <c r="Q617" s="74"/>
    </row>
    <row r="618">
      <c r="A618" s="74"/>
      <c r="B618" s="74"/>
      <c r="C618" s="12"/>
      <c r="D618" s="74"/>
      <c r="E618" s="74"/>
      <c r="F618" s="89"/>
      <c r="G618" s="89"/>
      <c r="H618" s="90"/>
      <c r="I618" s="90"/>
      <c r="J618" s="90"/>
      <c r="K618" s="90"/>
      <c r="L618" s="91"/>
      <c r="M618" s="73"/>
      <c r="N618" s="74"/>
      <c r="O618" s="74"/>
      <c r="P618" s="74"/>
      <c r="Q618" s="74"/>
    </row>
    <row r="619">
      <c r="A619" s="74"/>
      <c r="B619" s="74"/>
      <c r="C619" s="12"/>
      <c r="D619" s="74"/>
      <c r="E619" s="74"/>
      <c r="F619" s="89"/>
      <c r="G619" s="89"/>
      <c r="H619" s="90"/>
      <c r="I619" s="90"/>
      <c r="J619" s="90"/>
      <c r="K619" s="90"/>
      <c r="L619" s="91"/>
      <c r="M619" s="73"/>
      <c r="N619" s="74"/>
      <c r="O619" s="74"/>
      <c r="P619" s="74"/>
      <c r="Q619" s="74"/>
    </row>
    <row r="620">
      <c r="A620" s="74"/>
      <c r="B620" s="74"/>
      <c r="C620" s="12"/>
      <c r="D620" s="74"/>
      <c r="E620" s="74"/>
      <c r="F620" s="89"/>
      <c r="G620" s="89"/>
      <c r="H620" s="90"/>
      <c r="I620" s="90"/>
      <c r="J620" s="90"/>
      <c r="K620" s="90"/>
      <c r="L620" s="91"/>
      <c r="M620" s="73"/>
      <c r="N620" s="74"/>
      <c r="O620" s="74"/>
      <c r="P620" s="74"/>
      <c r="Q620" s="74"/>
    </row>
    <row r="621">
      <c r="A621" s="74"/>
      <c r="B621" s="74"/>
      <c r="C621" s="12"/>
      <c r="D621" s="74"/>
      <c r="E621" s="74"/>
      <c r="F621" s="89"/>
      <c r="G621" s="89"/>
      <c r="H621" s="90"/>
      <c r="I621" s="90"/>
      <c r="J621" s="90"/>
      <c r="K621" s="90"/>
      <c r="L621" s="91"/>
      <c r="M621" s="73"/>
      <c r="N621" s="74"/>
      <c r="O621" s="74"/>
      <c r="P621" s="74"/>
      <c r="Q621" s="74"/>
    </row>
    <row r="622">
      <c r="A622" s="74"/>
      <c r="B622" s="74"/>
      <c r="C622" s="12"/>
      <c r="D622" s="74"/>
      <c r="E622" s="74"/>
      <c r="F622" s="89"/>
      <c r="G622" s="89"/>
      <c r="H622" s="90"/>
      <c r="I622" s="90"/>
      <c r="J622" s="90"/>
      <c r="K622" s="90"/>
      <c r="L622" s="91"/>
      <c r="M622" s="73"/>
      <c r="N622" s="74"/>
      <c r="O622" s="74"/>
      <c r="P622" s="74"/>
      <c r="Q622" s="74"/>
    </row>
    <row r="623">
      <c r="A623" s="74"/>
      <c r="B623" s="74"/>
      <c r="C623" s="12"/>
      <c r="D623" s="74"/>
      <c r="E623" s="74"/>
      <c r="F623" s="89"/>
      <c r="G623" s="89"/>
      <c r="H623" s="90"/>
      <c r="I623" s="90"/>
      <c r="J623" s="90"/>
      <c r="K623" s="90"/>
      <c r="L623" s="91"/>
      <c r="M623" s="73"/>
      <c r="N623" s="74"/>
      <c r="O623" s="74"/>
      <c r="P623" s="74"/>
      <c r="Q623" s="74"/>
    </row>
    <row r="624">
      <c r="A624" s="74"/>
      <c r="B624" s="74"/>
      <c r="C624" s="12"/>
      <c r="D624" s="74"/>
      <c r="E624" s="74"/>
      <c r="F624" s="89"/>
      <c r="G624" s="89"/>
      <c r="H624" s="90"/>
      <c r="I624" s="90"/>
      <c r="J624" s="90"/>
      <c r="K624" s="90"/>
      <c r="L624" s="91"/>
      <c r="M624" s="73"/>
      <c r="N624" s="74"/>
      <c r="O624" s="74"/>
      <c r="P624" s="74"/>
      <c r="Q624" s="74"/>
    </row>
    <row r="625">
      <c r="A625" s="74"/>
      <c r="B625" s="74"/>
      <c r="C625" s="12"/>
      <c r="D625" s="74"/>
      <c r="E625" s="74"/>
      <c r="F625" s="89"/>
      <c r="G625" s="89"/>
      <c r="H625" s="90"/>
      <c r="I625" s="90"/>
      <c r="J625" s="90"/>
      <c r="K625" s="90"/>
      <c r="L625" s="91"/>
      <c r="M625" s="73"/>
      <c r="N625" s="74"/>
      <c r="O625" s="74"/>
      <c r="P625" s="74"/>
      <c r="Q625" s="74"/>
    </row>
    <row r="626">
      <c r="A626" s="74"/>
      <c r="B626" s="74"/>
      <c r="C626" s="12"/>
      <c r="D626" s="74"/>
      <c r="E626" s="74"/>
      <c r="F626" s="89"/>
      <c r="G626" s="89"/>
      <c r="H626" s="90"/>
      <c r="I626" s="90"/>
      <c r="J626" s="90"/>
      <c r="K626" s="90"/>
      <c r="L626" s="91"/>
      <c r="M626" s="73"/>
      <c r="N626" s="74"/>
      <c r="O626" s="74"/>
      <c r="P626" s="74"/>
      <c r="Q626" s="74"/>
    </row>
    <row r="627">
      <c r="A627" s="74"/>
      <c r="B627" s="74"/>
      <c r="C627" s="12"/>
      <c r="D627" s="74"/>
      <c r="E627" s="74"/>
      <c r="F627" s="89"/>
      <c r="G627" s="89"/>
      <c r="H627" s="90"/>
      <c r="I627" s="90"/>
      <c r="J627" s="90"/>
      <c r="K627" s="90"/>
      <c r="L627" s="91"/>
      <c r="M627" s="73"/>
      <c r="N627" s="74"/>
      <c r="O627" s="74"/>
      <c r="P627" s="74"/>
      <c r="Q627" s="74"/>
    </row>
    <row r="628">
      <c r="A628" s="74"/>
      <c r="B628" s="74"/>
      <c r="C628" s="12"/>
      <c r="D628" s="74"/>
      <c r="E628" s="74"/>
      <c r="F628" s="89"/>
      <c r="G628" s="89"/>
      <c r="H628" s="90"/>
      <c r="I628" s="90"/>
      <c r="J628" s="90"/>
      <c r="K628" s="90"/>
      <c r="L628" s="91"/>
      <c r="M628" s="73"/>
      <c r="N628" s="74"/>
      <c r="O628" s="74"/>
      <c r="P628" s="74"/>
      <c r="Q628" s="74"/>
    </row>
    <row r="629">
      <c r="A629" s="74"/>
      <c r="B629" s="74"/>
      <c r="C629" s="12"/>
      <c r="D629" s="74"/>
      <c r="E629" s="74"/>
      <c r="F629" s="89"/>
      <c r="G629" s="89"/>
      <c r="H629" s="90"/>
      <c r="I629" s="90"/>
      <c r="J629" s="90"/>
      <c r="K629" s="90"/>
      <c r="L629" s="91"/>
      <c r="M629" s="73"/>
      <c r="N629" s="74"/>
      <c r="O629" s="74"/>
      <c r="P629" s="74"/>
      <c r="Q629" s="74"/>
    </row>
    <row r="630">
      <c r="A630" s="74"/>
      <c r="B630" s="74"/>
      <c r="C630" s="12"/>
      <c r="D630" s="74"/>
      <c r="E630" s="74"/>
      <c r="F630" s="89"/>
      <c r="G630" s="89"/>
      <c r="H630" s="90"/>
      <c r="I630" s="90"/>
      <c r="J630" s="90"/>
      <c r="K630" s="90"/>
      <c r="L630" s="91"/>
      <c r="M630" s="73"/>
      <c r="N630" s="74"/>
      <c r="O630" s="74"/>
      <c r="P630" s="74"/>
      <c r="Q630" s="74"/>
    </row>
    <row r="631">
      <c r="A631" s="74"/>
      <c r="B631" s="74"/>
      <c r="C631" s="12"/>
      <c r="D631" s="74"/>
      <c r="E631" s="74"/>
      <c r="F631" s="89"/>
      <c r="G631" s="89"/>
      <c r="H631" s="90"/>
      <c r="I631" s="90"/>
      <c r="J631" s="90"/>
      <c r="K631" s="90"/>
      <c r="L631" s="91"/>
      <c r="M631" s="73"/>
      <c r="N631" s="74"/>
      <c r="O631" s="74"/>
      <c r="P631" s="74"/>
      <c r="Q631" s="74"/>
    </row>
    <row r="632">
      <c r="A632" s="74"/>
      <c r="B632" s="74"/>
      <c r="C632" s="12"/>
      <c r="D632" s="74"/>
      <c r="E632" s="74"/>
      <c r="F632" s="89"/>
      <c r="G632" s="89"/>
      <c r="H632" s="90"/>
      <c r="I632" s="90"/>
      <c r="J632" s="90"/>
      <c r="K632" s="90"/>
      <c r="L632" s="91"/>
      <c r="M632" s="73"/>
      <c r="N632" s="74"/>
      <c r="O632" s="74"/>
      <c r="P632" s="74"/>
      <c r="Q632" s="74"/>
    </row>
    <row r="633">
      <c r="A633" s="74"/>
      <c r="B633" s="74"/>
      <c r="C633" s="12"/>
      <c r="D633" s="74"/>
      <c r="E633" s="74"/>
      <c r="F633" s="89"/>
      <c r="G633" s="89"/>
      <c r="H633" s="90"/>
      <c r="I633" s="90"/>
      <c r="J633" s="90"/>
      <c r="K633" s="90"/>
      <c r="L633" s="91"/>
      <c r="M633" s="73"/>
      <c r="N633" s="74"/>
      <c r="O633" s="74"/>
      <c r="P633" s="74"/>
      <c r="Q633" s="74"/>
    </row>
    <row r="634">
      <c r="A634" s="74"/>
      <c r="B634" s="74"/>
      <c r="C634" s="12"/>
      <c r="D634" s="74"/>
      <c r="E634" s="74"/>
      <c r="F634" s="89"/>
      <c r="G634" s="89"/>
      <c r="H634" s="90"/>
      <c r="I634" s="90"/>
      <c r="J634" s="90"/>
      <c r="K634" s="90"/>
      <c r="L634" s="91"/>
      <c r="M634" s="73"/>
      <c r="N634" s="74"/>
      <c r="O634" s="74"/>
      <c r="P634" s="74"/>
      <c r="Q634" s="74"/>
    </row>
    <row r="635">
      <c r="A635" s="74"/>
      <c r="B635" s="74"/>
      <c r="C635" s="12"/>
      <c r="D635" s="74"/>
      <c r="E635" s="74"/>
      <c r="F635" s="89"/>
      <c r="G635" s="89"/>
      <c r="H635" s="90"/>
      <c r="I635" s="90"/>
      <c r="J635" s="90"/>
      <c r="K635" s="90"/>
      <c r="L635" s="91"/>
      <c r="M635" s="73"/>
      <c r="N635" s="74"/>
      <c r="O635" s="74"/>
      <c r="P635" s="74"/>
      <c r="Q635" s="74"/>
    </row>
    <row r="636">
      <c r="A636" s="74"/>
      <c r="B636" s="74"/>
      <c r="C636" s="12"/>
      <c r="D636" s="74"/>
      <c r="E636" s="74"/>
      <c r="F636" s="89"/>
      <c r="G636" s="89"/>
      <c r="H636" s="90"/>
      <c r="I636" s="90"/>
      <c r="J636" s="90"/>
      <c r="K636" s="90"/>
      <c r="L636" s="91"/>
      <c r="M636" s="73"/>
      <c r="N636" s="74"/>
      <c r="O636" s="74"/>
      <c r="P636" s="74"/>
      <c r="Q636" s="74"/>
    </row>
    <row r="637">
      <c r="A637" s="74"/>
      <c r="B637" s="74"/>
      <c r="C637" s="12"/>
      <c r="D637" s="74"/>
      <c r="E637" s="74"/>
      <c r="F637" s="89"/>
      <c r="G637" s="89"/>
      <c r="H637" s="90"/>
      <c r="I637" s="90"/>
      <c r="J637" s="90"/>
      <c r="K637" s="90"/>
      <c r="L637" s="91"/>
      <c r="M637" s="73"/>
      <c r="N637" s="74"/>
      <c r="O637" s="74"/>
      <c r="P637" s="74"/>
      <c r="Q637" s="74"/>
    </row>
    <row r="638">
      <c r="A638" s="74"/>
      <c r="B638" s="74"/>
      <c r="C638" s="12"/>
      <c r="D638" s="74"/>
      <c r="E638" s="74"/>
      <c r="F638" s="89"/>
      <c r="G638" s="89"/>
      <c r="H638" s="90"/>
      <c r="I638" s="90"/>
      <c r="J638" s="90"/>
      <c r="K638" s="90"/>
      <c r="L638" s="91"/>
      <c r="M638" s="73"/>
      <c r="N638" s="74"/>
      <c r="O638" s="74"/>
      <c r="P638" s="74"/>
      <c r="Q638" s="74"/>
    </row>
    <row r="639">
      <c r="A639" s="74"/>
      <c r="B639" s="74"/>
      <c r="C639" s="12"/>
      <c r="D639" s="74"/>
      <c r="E639" s="74"/>
      <c r="F639" s="89"/>
      <c r="G639" s="89"/>
      <c r="H639" s="90"/>
      <c r="I639" s="90"/>
      <c r="J639" s="90"/>
      <c r="K639" s="90"/>
      <c r="L639" s="91"/>
      <c r="M639" s="73"/>
      <c r="N639" s="74"/>
      <c r="O639" s="74"/>
      <c r="P639" s="74"/>
      <c r="Q639" s="74"/>
    </row>
    <row r="640">
      <c r="A640" s="74"/>
      <c r="B640" s="74"/>
      <c r="C640" s="12"/>
      <c r="D640" s="74"/>
      <c r="E640" s="74"/>
      <c r="F640" s="89"/>
      <c r="G640" s="89"/>
      <c r="H640" s="90"/>
      <c r="I640" s="90"/>
      <c r="J640" s="90"/>
      <c r="K640" s="90"/>
      <c r="L640" s="91"/>
      <c r="M640" s="73"/>
      <c r="N640" s="74"/>
      <c r="O640" s="74"/>
      <c r="P640" s="74"/>
      <c r="Q640" s="74"/>
    </row>
    <row r="641">
      <c r="A641" s="74"/>
      <c r="B641" s="74"/>
      <c r="C641" s="12"/>
      <c r="D641" s="74"/>
      <c r="E641" s="74"/>
      <c r="F641" s="89"/>
      <c r="G641" s="89"/>
      <c r="H641" s="90"/>
      <c r="I641" s="90"/>
      <c r="J641" s="90"/>
      <c r="K641" s="90"/>
      <c r="L641" s="91"/>
      <c r="M641" s="73"/>
      <c r="N641" s="74"/>
      <c r="O641" s="74"/>
      <c r="P641" s="74"/>
      <c r="Q641" s="74"/>
    </row>
    <row r="642">
      <c r="A642" s="74"/>
      <c r="B642" s="74"/>
      <c r="C642" s="12"/>
      <c r="D642" s="74"/>
      <c r="E642" s="74"/>
      <c r="F642" s="89"/>
      <c r="G642" s="89"/>
      <c r="H642" s="90"/>
      <c r="I642" s="90"/>
      <c r="J642" s="90"/>
      <c r="K642" s="90"/>
      <c r="L642" s="91"/>
      <c r="M642" s="73"/>
      <c r="N642" s="74"/>
      <c r="O642" s="74"/>
      <c r="P642" s="74"/>
      <c r="Q642" s="74"/>
    </row>
    <row r="643">
      <c r="A643" s="74"/>
      <c r="B643" s="74"/>
      <c r="C643" s="12"/>
      <c r="D643" s="74"/>
      <c r="E643" s="74"/>
      <c r="F643" s="89"/>
      <c r="G643" s="89"/>
      <c r="H643" s="90"/>
      <c r="I643" s="90"/>
      <c r="J643" s="90"/>
      <c r="K643" s="90"/>
      <c r="L643" s="91"/>
      <c r="M643" s="73"/>
      <c r="N643" s="74"/>
      <c r="O643" s="74"/>
      <c r="P643" s="74"/>
      <c r="Q643" s="74"/>
    </row>
    <row r="644">
      <c r="A644" s="74"/>
      <c r="B644" s="74"/>
      <c r="C644" s="12"/>
      <c r="D644" s="74"/>
      <c r="E644" s="74"/>
      <c r="F644" s="89"/>
      <c r="G644" s="89"/>
      <c r="H644" s="90"/>
      <c r="I644" s="90"/>
      <c r="J644" s="90"/>
      <c r="K644" s="90"/>
      <c r="L644" s="91"/>
      <c r="M644" s="73"/>
      <c r="N644" s="74"/>
      <c r="O644" s="74"/>
      <c r="P644" s="74"/>
      <c r="Q644" s="74"/>
    </row>
    <row r="645">
      <c r="A645" s="74"/>
      <c r="B645" s="74"/>
      <c r="C645" s="12"/>
      <c r="D645" s="74"/>
      <c r="E645" s="74"/>
      <c r="F645" s="89"/>
      <c r="G645" s="89"/>
      <c r="H645" s="90"/>
      <c r="I645" s="90"/>
      <c r="J645" s="90"/>
      <c r="K645" s="90"/>
      <c r="L645" s="91"/>
      <c r="M645" s="73"/>
      <c r="N645" s="74"/>
      <c r="O645" s="74"/>
      <c r="P645" s="74"/>
      <c r="Q645" s="74"/>
    </row>
    <row r="646">
      <c r="A646" s="74"/>
      <c r="B646" s="74"/>
      <c r="C646" s="12"/>
      <c r="D646" s="74"/>
      <c r="E646" s="74"/>
      <c r="F646" s="89"/>
      <c r="G646" s="89"/>
      <c r="H646" s="90"/>
      <c r="I646" s="90"/>
      <c r="J646" s="90"/>
      <c r="K646" s="90"/>
      <c r="L646" s="91"/>
      <c r="M646" s="73"/>
      <c r="N646" s="74"/>
      <c r="O646" s="74"/>
      <c r="P646" s="74"/>
      <c r="Q646" s="74"/>
    </row>
    <row r="647">
      <c r="A647" s="74"/>
      <c r="B647" s="74"/>
      <c r="C647" s="12"/>
      <c r="D647" s="74"/>
      <c r="E647" s="74"/>
      <c r="F647" s="89"/>
      <c r="G647" s="89"/>
      <c r="H647" s="90"/>
      <c r="I647" s="90"/>
      <c r="J647" s="90"/>
      <c r="K647" s="90"/>
      <c r="L647" s="91"/>
      <c r="M647" s="73"/>
      <c r="N647" s="74"/>
      <c r="O647" s="74"/>
      <c r="P647" s="74"/>
      <c r="Q647" s="74"/>
    </row>
    <row r="648">
      <c r="A648" s="74"/>
      <c r="B648" s="74"/>
      <c r="C648" s="12"/>
      <c r="D648" s="74"/>
      <c r="E648" s="74"/>
      <c r="F648" s="89"/>
      <c r="G648" s="89"/>
      <c r="H648" s="90"/>
      <c r="I648" s="90"/>
      <c r="J648" s="90"/>
      <c r="K648" s="90"/>
      <c r="L648" s="91"/>
      <c r="M648" s="73"/>
      <c r="N648" s="74"/>
      <c r="O648" s="74"/>
      <c r="P648" s="74"/>
      <c r="Q648" s="74"/>
    </row>
    <row r="649">
      <c r="A649" s="74"/>
      <c r="B649" s="74"/>
      <c r="C649" s="12"/>
      <c r="D649" s="74"/>
      <c r="E649" s="74"/>
      <c r="F649" s="89"/>
      <c r="G649" s="89"/>
      <c r="H649" s="90"/>
      <c r="I649" s="90"/>
      <c r="J649" s="90"/>
      <c r="K649" s="90"/>
      <c r="L649" s="91"/>
      <c r="M649" s="73"/>
      <c r="N649" s="74"/>
      <c r="O649" s="74"/>
      <c r="P649" s="74"/>
      <c r="Q649" s="74"/>
    </row>
    <row r="650">
      <c r="A650" s="74"/>
      <c r="B650" s="74"/>
      <c r="C650" s="12"/>
      <c r="D650" s="74"/>
      <c r="E650" s="74"/>
      <c r="F650" s="89"/>
      <c r="G650" s="89"/>
      <c r="H650" s="90"/>
      <c r="I650" s="90"/>
      <c r="J650" s="90"/>
      <c r="K650" s="90"/>
      <c r="L650" s="91"/>
      <c r="M650" s="73"/>
      <c r="N650" s="74"/>
      <c r="O650" s="74"/>
      <c r="P650" s="74"/>
      <c r="Q650" s="74"/>
    </row>
    <row r="651">
      <c r="A651" s="74"/>
      <c r="B651" s="74"/>
      <c r="C651" s="12"/>
      <c r="D651" s="74"/>
      <c r="E651" s="74"/>
      <c r="F651" s="89"/>
      <c r="G651" s="89"/>
      <c r="H651" s="90"/>
      <c r="I651" s="90"/>
      <c r="J651" s="90"/>
      <c r="K651" s="90"/>
      <c r="L651" s="91"/>
      <c r="M651" s="73"/>
      <c r="N651" s="74"/>
      <c r="O651" s="74"/>
      <c r="P651" s="74"/>
      <c r="Q651" s="74"/>
    </row>
    <row r="652">
      <c r="A652" s="74"/>
      <c r="B652" s="74"/>
      <c r="C652" s="12"/>
      <c r="D652" s="74"/>
      <c r="E652" s="74"/>
      <c r="F652" s="89"/>
      <c r="G652" s="89"/>
      <c r="H652" s="90"/>
      <c r="I652" s="90"/>
      <c r="J652" s="90"/>
      <c r="K652" s="90"/>
      <c r="L652" s="91"/>
      <c r="M652" s="73"/>
      <c r="N652" s="74"/>
      <c r="O652" s="74"/>
      <c r="P652" s="74"/>
      <c r="Q652" s="74"/>
    </row>
    <row r="653">
      <c r="A653" s="74"/>
      <c r="B653" s="74"/>
      <c r="C653" s="12"/>
      <c r="D653" s="74"/>
      <c r="E653" s="74"/>
      <c r="F653" s="89"/>
      <c r="G653" s="89"/>
      <c r="H653" s="90"/>
      <c r="I653" s="90"/>
      <c r="J653" s="90"/>
      <c r="K653" s="90"/>
      <c r="L653" s="91"/>
      <c r="M653" s="73"/>
      <c r="N653" s="74"/>
      <c r="O653" s="74"/>
      <c r="P653" s="74"/>
      <c r="Q653" s="74"/>
    </row>
    <row r="654">
      <c r="A654" s="74"/>
      <c r="B654" s="74"/>
      <c r="C654" s="12"/>
      <c r="D654" s="74"/>
      <c r="E654" s="74"/>
      <c r="F654" s="89"/>
      <c r="G654" s="89"/>
      <c r="H654" s="90"/>
      <c r="I654" s="90"/>
      <c r="J654" s="90"/>
      <c r="K654" s="90"/>
      <c r="L654" s="91"/>
      <c r="M654" s="73"/>
      <c r="N654" s="74"/>
      <c r="O654" s="74"/>
      <c r="P654" s="74"/>
      <c r="Q654" s="74"/>
    </row>
    <row r="655">
      <c r="A655" s="74"/>
      <c r="B655" s="74"/>
      <c r="C655" s="12"/>
      <c r="D655" s="74"/>
      <c r="E655" s="74"/>
      <c r="F655" s="89"/>
      <c r="G655" s="89"/>
      <c r="H655" s="90"/>
      <c r="I655" s="90"/>
      <c r="J655" s="90"/>
      <c r="K655" s="90"/>
      <c r="L655" s="91"/>
      <c r="M655" s="73"/>
      <c r="N655" s="74"/>
      <c r="O655" s="74"/>
      <c r="P655" s="74"/>
      <c r="Q655" s="74"/>
    </row>
    <row r="656">
      <c r="A656" s="74"/>
      <c r="B656" s="74"/>
      <c r="C656" s="12"/>
      <c r="D656" s="74"/>
      <c r="E656" s="74"/>
      <c r="F656" s="89"/>
      <c r="G656" s="89"/>
      <c r="H656" s="90"/>
      <c r="I656" s="90"/>
      <c r="J656" s="90"/>
      <c r="K656" s="90"/>
      <c r="L656" s="91"/>
      <c r="M656" s="73"/>
      <c r="N656" s="74"/>
      <c r="O656" s="74"/>
      <c r="P656" s="74"/>
      <c r="Q656" s="74"/>
    </row>
    <row r="657">
      <c r="A657" s="74"/>
      <c r="B657" s="74"/>
      <c r="C657" s="12"/>
      <c r="D657" s="74"/>
      <c r="E657" s="74"/>
      <c r="F657" s="89"/>
      <c r="G657" s="89"/>
      <c r="H657" s="90"/>
      <c r="I657" s="90"/>
      <c r="J657" s="90"/>
      <c r="K657" s="90"/>
      <c r="L657" s="91"/>
      <c r="M657" s="73"/>
      <c r="N657" s="74"/>
      <c r="O657" s="74"/>
      <c r="P657" s="74"/>
      <c r="Q657" s="74"/>
    </row>
    <row r="658">
      <c r="A658" s="74"/>
      <c r="B658" s="74"/>
      <c r="C658" s="12"/>
      <c r="D658" s="74"/>
      <c r="E658" s="74"/>
      <c r="F658" s="89"/>
      <c r="G658" s="89"/>
      <c r="H658" s="90"/>
      <c r="I658" s="90"/>
      <c r="J658" s="90"/>
      <c r="K658" s="90"/>
      <c r="L658" s="91"/>
      <c r="M658" s="73"/>
      <c r="N658" s="74"/>
      <c r="O658" s="74"/>
      <c r="P658" s="74"/>
      <c r="Q658" s="74"/>
    </row>
    <row r="659">
      <c r="A659" s="74"/>
      <c r="B659" s="74"/>
      <c r="C659" s="12"/>
      <c r="D659" s="74"/>
      <c r="E659" s="74"/>
      <c r="F659" s="89"/>
      <c r="G659" s="89"/>
      <c r="H659" s="90"/>
      <c r="I659" s="90"/>
      <c r="J659" s="90"/>
      <c r="K659" s="90"/>
      <c r="L659" s="91"/>
      <c r="M659" s="73"/>
      <c r="N659" s="74"/>
      <c r="O659" s="74"/>
      <c r="P659" s="74"/>
      <c r="Q659" s="74"/>
    </row>
    <row r="660">
      <c r="A660" s="74"/>
      <c r="B660" s="74"/>
      <c r="C660" s="12"/>
      <c r="D660" s="74"/>
      <c r="E660" s="74"/>
      <c r="F660" s="89"/>
      <c r="G660" s="89"/>
      <c r="H660" s="90"/>
      <c r="I660" s="90"/>
      <c r="J660" s="90"/>
      <c r="K660" s="90"/>
      <c r="L660" s="91"/>
      <c r="M660" s="73"/>
      <c r="N660" s="74"/>
      <c r="O660" s="74"/>
      <c r="P660" s="74"/>
      <c r="Q660" s="74"/>
    </row>
    <row r="661">
      <c r="A661" s="74"/>
      <c r="B661" s="74"/>
      <c r="C661" s="12"/>
      <c r="D661" s="74"/>
      <c r="E661" s="74"/>
      <c r="F661" s="89"/>
      <c r="G661" s="89"/>
      <c r="H661" s="90"/>
      <c r="I661" s="90"/>
      <c r="J661" s="90"/>
      <c r="K661" s="90"/>
      <c r="L661" s="91"/>
      <c r="M661" s="73"/>
      <c r="N661" s="74"/>
      <c r="O661" s="74"/>
      <c r="P661" s="74"/>
      <c r="Q661" s="74"/>
    </row>
    <row r="662">
      <c r="A662" s="74"/>
      <c r="B662" s="74"/>
      <c r="C662" s="12"/>
      <c r="D662" s="74"/>
      <c r="E662" s="74"/>
      <c r="F662" s="89"/>
      <c r="G662" s="89"/>
      <c r="H662" s="90"/>
      <c r="I662" s="90"/>
      <c r="J662" s="90"/>
      <c r="K662" s="90"/>
      <c r="L662" s="91"/>
      <c r="M662" s="73"/>
      <c r="N662" s="74"/>
      <c r="O662" s="74"/>
      <c r="P662" s="74"/>
      <c r="Q662" s="74"/>
    </row>
    <row r="663">
      <c r="A663" s="74"/>
      <c r="B663" s="74"/>
      <c r="C663" s="12"/>
      <c r="D663" s="74"/>
      <c r="E663" s="74"/>
      <c r="F663" s="89"/>
      <c r="G663" s="89"/>
      <c r="H663" s="90"/>
      <c r="I663" s="90"/>
      <c r="J663" s="90"/>
      <c r="K663" s="90"/>
      <c r="L663" s="91"/>
      <c r="M663" s="73"/>
      <c r="N663" s="74"/>
      <c r="O663" s="74"/>
      <c r="P663" s="74"/>
      <c r="Q663" s="74"/>
    </row>
    <row r="664">
      <c r="A664" s="74"/>
      <c r="B664" s="74"/>
      <c r="C664" s="12"/>
      <c r="D664" s="74"/>
      <c r="E664" s="74"/>
      <c r="F664" s="89"/>
      <c r="G664" s="89"/>
      <c r="H664" s="90"/>
      <c r="I664" s="90"/>
      <c r="J664" s="90"/>
      <c r="K664" s="90"/>
      <c r="L664" s="91"/>
      <c r="M664" s="73"/>
      <c r="N664" s="74"/>
      <c r="O664" s="74"/>
      <c r="P664" s="74"/>
      <c r="Q664" s="74"/>
    </row>
    <row r="665">
      <c r="A665" s="74"/>
      <c r="B665" s="74"/>
      <c r="C665" s="12"/>
      <c r="D665" s="74"/>
      <c r="E665" s="74"/>
      <c r="F665" s="89"/>
      <c r="G665" s="89"/>
      <c r="H665" s="90"/>
      <c r="I665" s="90"/>
      <c r="J665" s="90"/>
      <c r="K665" s="90"/>
      <c r="L665" s="91"/>
      <c r="M665" s="73"/>
      <c r="N665" s="74"/>
      <c r="O665" s="74"/>
      <c r="P665" s="74"/>
      <c r="Q665" s="74"/>
    </row>
    <row r="666">
      <c r="A666" s="74"/>
      <c r="B666" s="74"/>
      <c r="C666" s="12"/>
      <c r="D666" s="74"/>
      <c r="E666" s="74"/>
      <c r="F666" s="89"/>
      <c r="G666" s="89"/>
      <c r="H666" s="90"/>
      <c r="I666" s="90"/>
      <c r="J666" s="90"/>
      <c r="K666" s="90"/>
      <c r="L666" s="91"/>
      <c r="M666" s="73"/>
      <c r="N666" s="74"/>
      <c r="O666" s="74"/>
      <c r="P666" s="74"/>
      <c r="Q666" s="74"/>
    </row>
    <row r="667">
      <c r="A667" s="74"/>
      <c r="B667" s="74"/>
      <c r="C667" s="12"/>
      <c r="D667" s="74"/>
      <c r="E667" s="74"/>
      <c r="F667" s="89"/>
      <c r="G667" s="89"/>
      <c r="H667" s="90"/>
      <c r="I667" s="90"/>
      <c r="J667" s="90"/>
      <c r="K667" s="90"/>
      <c r="L667" s="91"/>
      <c r="M667" s="73"/>
      <c r="N667" s="74"/>
      <c r="O667" s="74"/>
      <c r="P667" s="74"/>
      <c r="Q667" s="74"/>
    </row>
    <row r="668">
      <c r="A668" s="74"/>
      <c r="B668" s="74"/>
      <c r="C668" s="12"/>
      <c r="D668" s="74"/>
      <c r="E668" s="74"/>
      <c r="F668" s="89"/>
      <c r="G668" s="89"/>
      <c r="H668" s="90"/>
      <c r="I668" s="90"/>
      <c r="J668" s="90"/>
      <c r="K668" s="90"/>
      <c r="L668" s="91"/>
      <c r="M668" s="73"/>
      <c r="N668" s="74"/>
      <c r="O668" s="74"/>
      <c r="P668" s="74"/>
      <c r="Q668" s="74"/>
    </row>
    <row r="669">
      <c r="A669" s="74"/>
      <c r="B669" s="74"/>
      <c r="C669" s="12"/>
      <c r="D669" s="74"/>
      <c r="E669" s="74"/>
      <c r="F669" s="89"/>
      <c r="G669" s="89"/>
      <c r="H669" s="90"/>
      <c r="I669" s="90"/>
      <c r="J669" s="90"/>
      <c r="K669" s="90"/>
      <c r="L669" s="91"/>
      <c r="M669" s="73"/>
      <c r="N669" s="74"/>
      <c r="O669" s="74"/>
      <c r="P669" s="74"/>
      <c r="Q669" s="74"/>
    </row>
    <row r="670">
      <c r="A670" s="74"/>
      <c r="B670" s="74"/>
      <c r="C670" s="12"/>
      <c r="D670" s="74"/>
      <c r="E670" s="74"/>
      <c r="F670" s="89"/>
      <c r="G670" s="89"/>
      <c r="H670" s="90"/>
      <c r="I670" s="90"/>
      <c r="J670" s="90"/>
      <c r="K670" s="90"/>
      <c r="L670" s="91"/>
      <c r="M670" s="73"/>
      <c r="N670" s="74"/>
      <c r="O670" s="74"/>
      <c r="P670" s="74"/>
      <c r="Q670" s="74"/>
    </row>
    <row r="671">
      <c r="A671" s="74"/>
      <c r="B671" s="74"/>
      <c r="C671" s="12"/>
      <c r="D671" s="74"/>
      <c r="E671" s="74"/>
      <c r="F671" s="89"/>
      <c r="G671" s="89"/>
      <c r="H671" s="90"/>
      <c r="I671" s="90"/>
      <c r="J671" s="90"/>
      <c r="K671" s="90"/>
      <c r="L671" s="91"/>
      <c r="M671" s="73"/>
      <c r="N671" s="74"/>
      <c r="O671" s="74"/>
      <c r="P671" s="74"/>
      <c r="Q671" s="74"/>
    </row>
    <row r="672">
      <c r="A672" s="74"/>
      <c r="B672" s="74"/>
      <c r="C672" s="12"/>
      <c r="D672" s="74"/>
      <c r="E672" s="74"/>
      <c r="F672" s="89"/>
      <c r="G672" s="89"/>
      <c r="H672" s="90"/>
      <c r="I672" s="90"/>
      <c r="J672" s="90"/>
      <c r="K672" s="90"/>
      <c r="L672" s="91"/>
      <c r="M672" s="73"/>
      <c r="N672" s="74"/>
      <c r="O672" s="74"/>
      <c r="P672" s="74"/>
      <c r="Q672" s="74"/>
    </row>
    <row r="673">
      <c r="A673" s="74"/>
      <c r="B673" s="74"/>
      <c r="C673" s="12"/>
      <c r="D673" s="74"/>
      <c r="E673" s="74"/>
      <c r="F673" s="89"/>
      <c r="G673" s="89"/>
      <c r="H673" s="90"/>
      <c r="I673" s="90"/>
      <c r="J673" s="90"/>
      <c r="K673" s="90"/>
      <c r="L673" s="91"/>
      <c r="M673" s="73"/>
      <c r="N673" s="74"/>
      <c r="O673" s="74"/>
      <c r="P673" s="74"/>
      <c r="Q673" s="74"/>
    </row>
    <row r="674">
      <c r="A674" s="74"/>
      <c r="B674" s="74"/>
      <c r="C674" s="12"/>
      <c r="D674" s="74"/>
      <c r="E674" s="74"/>
      <c r="F674" s="89"/>
      <c r="G674" s="89"/>
      <c r="H674" s="90"/>
      <c r="I674" s="90"/>
      <c r="J674" s="90"/>
      <c r="K674" s="90"/>
      <c r="L674" s="91"/>
      <c r="M674" s="73"/>
      <c r="N674" s="74"/>
      <c r="O674" s="74"/>
      <c r="P674" s="74"/>
      <c r="Q674" s="74"/>
    </row>
    <row r="675">
      <c r="A675" s="74"/>
      <c r="B675" s="74"/>
      <c r="C675" s="12"/>
      <c r="D675" s="74"/>
      <c r="E675" s="74"/>
      <c r="F675" s="89"/>
      <c r="G675" s="89"/>
      <c r="H675" s="90"/>
      <c r="I675" s="90"/>
      <c r="J675" s="90"/>
      <c r="K675" s="90"/>
      <c r="L675" s="91"/>
      <c r="M675" s="73"/>
      <c r="N675" s="74"/>
      <c r="O675" s="74"/>
      <c r="P675" s="74"/>
      <c r="Q675" s="74"/>
    </row>
    <row r="676">
      <c r="A676" s="74"/>
      <c r="B676" s="74"/>
      <c r="C676" s="12"/>
      <c r="D676" s="74"/>
      <c r="E676" s="74"/>
      <c r="F676" s="89"/>
      <c r="G676" s="89"/>
      <c r="H676" s="90"/>
      <c r="I676" s="90"/>
      <c r="J676" s="90"/>
      <c r="K676" s="90"/>
      <c r="L676" s="91"/>
      <c r="M676" s="73"/>
      <c r="N676" s="74"/>
      <c r="O676" s="74"/>
      <c r="P676" s="74"/>
      <c r="Q676" s="74"/>
    </row>
    <row r="677">
      <c r="A677" s="74"/>
      <c r="B677" s="74"/>
      <c r="C677" s="12"/>
      <c r="D677" s="74"/>
      <c r="E677" s="74"/>
      <c r="F677" s="89"/>
      <c r="G677" s="89"/>
      <c r="H677" s="90"/>
      <c r="I677" s="90"/>
      <c r="J677" s="90"/>
      <c r="K677" s="90"/>
      <c r="L677" s="91"/>
      <c r="M677" s="73"/>
      <c r="N677" s="74"/>
      <c r="O677" s="74"/>
      <c r="P677" s="74"/>
      <c r="Q677" s="74"/>
    </row>
    <row r="678">
      <c r="A678" s="74"/>
      <c r="B678" s="74"/>
      <c r="C678" s="12"/>
      <c r="D678" s="74"/>
      <c r="E678" s="74"/>
      <c r="F678" s="89"/>
      <c r="G678" s="89"/>
      <c r="H678" s="90"/>
      <c r="I678" s="90"/>
      <c r="J678" s="90"/>
      <c r="K678" s="90"/>
      <c r="L678" s="91"/>
      <c r="M678" s="73"/>
      <c r="N678" s="74"/>
      <c r="O678" s="74"/>
      <c r="P678" s="74"/>
      <c r="Q678" s="74"/>
    </row>
    <row r="679">
      <c r="A679" s="74"/>
      <c r="B679" s="74"/>
      <c r="C679" s="12"/>
      <c r="D679" s="74"/>
      <c r="E679" s="74"/>
      <c r="F679" s="89"/>
      <c r="G679" s="89"/>
      <c r="H679" s="90"/>
      <c r="I679" s="90"/>
      <c r="J679" s="90"/>
      <c r="K679" s="90"/>
      <c r="L679" s="91"/>
      <c r="M679" s="73"/>
      <c r="N679" s="74"/>
      <c r="O679" s="74"/>
      <c r="P679" s="74"/>
      <c r="Q679" s="74"/>
    </row>
    <row r="680">
      <c r="A680" s="74"/>
      <c r="B680" s="74"/>
      <c r="C680" s="12"/>
      <c r="D680" s="74"/>
      <c r="E680" s="74"/>
      <c r="F680" s="89"/>
      <c r="G680" s="89"/>
      <c r="H680" s="90"/>
      <c r="I680" s="90"/>
      <c r="J680" s="90"/>
      <c r="K680" s="90"/>
      <c r="L680" s="91"/>
      <c r="M680" s="73"/>
      <c r="N680" s="74"/>
      <c r="O680" s="74"/>
      <c r="P680" s="74"/>
      <c r="Q680" s="74"/>
    </row>
    <row r="681">
      <c r="A681" s="74"/>
      <c r="B681" s="74"/>
      <c r="C681" s="12"/>
      <c r="D681" s="74"/>
      <c r="E681" s="74"/>
      <c r="F681" s="89"/>
      <c r="G681" s="89"/>
      <c r="H681" s="90"/>
      <c r="I681" s="90"/>
      <c r="J681" s="90"/>
      <c r="K681" s="90"/>
      <c r="L681" s="91"/>
      <c r="M681" s="73"/>
      <c r="N681" s="74"/>
      <c r="O681" s="74"/>
      <c r="P681" s="74"/>
      <c r="Q681" s="74"/>
    </row>
    <row r="682">
      <c r="A682" s="74"/>
      <c r="B682" s="74"/>
      <c r="C682" s="12"/>
      <c r="D682" s="74"/>
      <c r="E682" s="74"/>
      <c r="F682" s="89"/>
      <c r="G682" s="89"/>
      <c r="H682" s="90"/>
      <c r="I682" s="90"/>
      <c r="J682" s="90"/>
      <c r="K682" s="90"/>
      <c r="L682" s="91"/>
      <c r="M682" s="73"/>
      <c r="N682" s="74"/>
      <c r="O682" s="74"/>
      <c r="P682" s="74"/>
      <c r="Q682" s="74"/>
    </row>
    <row r="683">
      <c r="A683" s="74"/>
      <c r="B683" s="74"/>
      <c r="C683" s="12"/>
      <c r="D683" s="74"/>
      <c r="E683" s="74"/>
      <c r="F683" s="89"/>
      <c r="G683" s="89"/>
      <c r="H683" s="90"/>
      <c r="I683" s="90"/>
      <c r="J683" s="90"/>
      <c r="K683" s="90"/>
      <c r="L683" s="91"/>
      <c r="M683" s="73"/>
      <c r="N683" s="74"/>
      <c r="O683" s="74"/>
      <c r="P683" s="74"/>
      <c r="Q683" s="74"/>
    </row>
    <row r="684">
      <c r="A684" s="74"/>
      <c r="B684" s="74"/>
      <c r="C684" s="12"/>
      <c r="D684" s="74"/>
      <c r="E684" s="74"/>
      <c r="F684" s="89"/>
      <c r="G684" s="89"/>
      <c r="H684" s="90"/>
      <c r="I684" s="90"/>
      <c r="J684" s="90"/>
      <c r="K684" s="90"/>
      <c r="L684" s="91"/>
      <c r="M684" s="73"/>
      <c r="N684" s="74"/>
      <c r="O684" s="74"/>
      <c r="P684" s="74"/>
      <c r="Q684" s="74"/>
    </row>
    <row r="685">
      <c r="A685" s="74"/>
      <c r="B685" s="74"/>
      <c r="C685" s="12"/>
      <c r="D685" s="74"/>
      <c r="E685" s="74"/>
      <c r="F685" s="89"/>
      <c r="G685" s="89"/>
      <c r="H685" s="90"/>
      <c r="I685" s="90"/>
      <c r="J685" s="90"/>
      <c r="K685" s="90"/>
      <c r="L685" s="91"/>
      <c r="M685" s="73"/>
      <c r="N685" s="74"/>
      <c r="O685" s="74"/>
      <c r="P685" s="74"/>
      <c r="Q685" s="74"/>
    </row>
    <row r="686">
      <c r="A686" s="74"/>
      <c r="B686" s="74"/>
      <c r="C686" s="12"/>
      <c r="D686" s="74"/>
      <c r="E686" s="74"/>
      <c r="F686" s="89"/>
      <c r="G686" s="89"/>
      <c r="H686" s="90"/>
      <c r="I686" s="90"/>
      <c r="J686" s="90"/>
      <c r="K686" s="90"/>
      <c r="L686" s="91"/>
      <c r="M686" s="73"/>
      <c r="N686" s="74"/>
      <c r="O686" s="74"/>
      <c r="P686" s="74"/>
      <c r="Q686" s="74"/>
    </row>
    <row r="687">
      <c r="A687" s="74"/>
      <c r="B687" s="74"/>
      <c r="C687" s="12"/>
      <c r="D687" s="74"/>
      <c r="E687" s="74"/>
      <c r="F687" s="89"/>
      <c r="G687" s="89"/>
      <c r="H687" s="90"/>
      <c r="I687" s="90"/>
      <c r="J687" s="90"/>
      <c r="K687" s="90"/>
      <c r="L687" s="91"/>
      <c r="M687" s="73"/>
      <c r="N687" s="74"/>
      <c r="O687" s="74"/>
      <c r="P687" s="74"/>
      <c r="Q687" s="74"/>
    </row>
    <row r="688">
      <c r="A688" s="74"/>
      <c r="B688" s="74"/>
      <c r="C688" s="12"/>
      <c r="D688" s="74"/>
      <c r="E688" s="74"/>
      <c r="F688" s="89"/>
      <c r="G688" s="89"/>
      <c r="H688" s="90"/>
      <c r="I688" s="90"/>
      <c r="J688" s="90"/>
      <c r="K688" s="90"/>
      <c r="L688" s="91"/>
      <c r="M688" s="73"/>
      <c r="N688" s="74"/>
      <c r="O688" s="74"/>
      <c r="P688" s="74"/>
      <c r="Q688" s="74"/>
    </row>
    <row r="689">
      <c r="A689" s="74"/>
      <c r="B689" s="74"/>
      <c r="C689" s="12"/>
      <c r="D689" s="74"/>
      <c r="E689" s="74"/>
      <c r="F689" s="89"/>
      <c r="G689" s="89"/>
      <c r="H689" s="90"/>
      <c r="I689" s="90"/>
      <c r="J689" s="90"/>
      <c r="K689" s="90"/>
      <c r="L689" s="91"/>
      <c r="M689" s="73"/>
      <c r="N689" s="74"/>
      <c r="O689" s="74"/>
      <c r="P689" s="74"/>
      <c r="Q689" s="74"/>
    </row>
    <row r="690">
      <c r="A690" s="74"/>
      <c r="B690" s="74"/>
      <c r="C690" s="12"/>
      <c r="D690" s="74"/>
      <c r="E690" s="74"/>
      <c r="F690" s="89"/>
      <c r="G690" s="89"/>
      <c r="H690" s="90"/>
      <c r="I690" s="90"/>
      <c r="J690" s="90"/>
      <c r="K690" s="90"/>
      <c r="L690" s="91"/>
      <c r="M690" s="73"/>
      <c r="N690" s="74"/>
      <c r="O690" s="74"/>
      <c r="P690" s="74"/>
      <c r="Q690" s="74"/>
    </row>
    <row r="691">
      <c r="A691" s="74"/>
      <c r="B691" s="74"/>
      <c r="C691" s="12"/>
      <c r="D691" s="74"/>
      <c r="E691" s="74"/>
      <c r="F691" s="89"/>
      <c r="G691" s="89"/>
      <c r="H691" s="90"/>
      <c r="I691" s="90"/>
      <c r="J691" s="90"/>
      <c r="K691" s="90"/>
      <c r="L691" s="91"/>
      <c r="M691" s="73"/>
      <c r="N691" s="74"/>
      <c r="O691" s="74"/>
      <c r="P691" s="74"/>
      <c r="Q691" s="74"/>
    </row>
    <row r="692">
      <c r="A692" s="74"/>
      <c r="B692" s="74"/>
      <c r="C692" s="12"/>
      <c r="D692" s="74"/>
      <c r="E692" s="74"/>
      <c r="F692" s="89"/>
      <c r="G692" s="89"/>
      <c r="H692" s="90"/>
      <c r="I692" s="90"/>
      <c r="J692" s="90"/>
      <c r="K692" s="90"/>
      <c r="L692" s="91"/>
      <c r="M692" s="73"/>
      <c r="N692" s="74"/>
      <c r="O692" s="74"/>
      <c r="P692" s="74"/>
      <c r="Q692" s="74"/>
    </row>
    <row r="693">
      <c r="A693" s="74"/>
      <c r="B693" s="74"/>
      <c r="C693" s="12"/>
      <c r="D693" s="74"/>
      <c r="E693" s="74"/>
      <c r="F693" s="89"/>
      <c r="G693" s="89"/>
      <c r="H693" s="90"/>
      <c r="I693" s="90"/>
      <c r="J693" s="90"/>
      <c r="K693" s="90"/>
      <c r="L693" s="91"/>
      <c r="M693" s="73"/>
      <c r="N693" s="74"/>
      <c r="O693" s="74"/>
      <c r="P693" s="74"/>
      <c r="Q693" s="74"/>
    </row>
    <row r="694">
      <c r="A694" s="74"/>
      <c r="B694" s="74"/>
      <c r="C694" s="12"/>
      <c r="D694" s="74"/>
      <c r="E694" s="74"/>
      <c r="F694" s="89"/>
      <c r="G694" s="89"/>
      <c r="H694" s="90"/>
      <c r="I694" s="90"/>
      <c r="J694" s="90"/>
      <c r="K694" s="90"/>
      <c r="L694" s="91"/>
      <c r="M694" s="73"/>
      <c r="N694" s="74"/>
      <c r="O694" s="74"/>
      <c r="P694" s="74"/>
      <c r="Q694" s="74"/>
    </row>
    <row r="695">
      <c r="A695" s="74"/>
      <c r="B695" s="74"/>
      <c r="C695" s="12"/>
      <c r="D695" s="74"/>
      <c r="E695" s="74"/>
      <c r="F695" s="89"/>
      <c r="G695" s="89"/>
      <c r="H695" s="90"/>
      <c r="I695" s="90"/>
      <c r="J695" s="90"/>
      <c r="K695" s="90"/>
      <c r="L695" s="91"/>
      <c r="M695" s="73"/>
      <c r="N695" s="74"/>
      <c r="O695" s="74"/>
      <c r="P695" s="74"/>
      <c r="Q695" s="74"/>
    </row>
    <row r="696">
      <c r="A696" s="74"/>
      <c r="B696" s="74"/>
      <c r="C696" s="12"/>
      <c r="D696" s="74"/>
      <c r="E696" s="74"/>
      <c r="F696" s="89"/>
      <c r="G696" s="89"/>
      <c r="H696" s="90"/>
      <c r="I696" s="90"/>
      <c r="J696" s="90"/>
      <c r="K696" s="90"/>
      <c r="L696" s="91"/>
      <c r="M696" s="73"/>
      <c r="N696" s="74"/>
      <c r="O696" s="74"/>
      <c r="P696" s="74"/>
      <c r="Q696" s="74"/>
    </row>
    <row r="697">
      <c r="A697" s="74"/>
      <c r="B697" s="74"/>
      <c r="C697" s="12"/>
      <c r="D697" s="74"/>
      <c r="E697" s="74"/>
      <c r="F697" s="89"/>
      <c r="G697" s="89"/>
      <c r="H697" s="90"/>
      <c r="I697" s="90"/>
      <c r="J697" s="90"/>
      <c r="K697" s="90"/>
      <c r="L697" s="91"/>
      <c r="M697" s="73"/>
      <c r="N697" s="74"/>
      <c r="O697" s="74"/>
      <c r="P697" s="74"/>
      <c r="Q697" s="74"/>
    </row>
    <row r="698">
      <c r="A698" s="74"/>
      <c r="B698" s="74"/>
      <c r="C698" s="12"/>
      <c r="D698" s="74"/>
      <c r="E698" s="74"/>
      <c r="F698" s="89"/>
      <c r="G698" s="89"/>
      <c r="H698" s="90"/>
      <c r="I698" s="90"/>
      <c r="J698" s="90"/>
      <c r="K698" s="90"/>
      <c r="L698" s="91"/>
      <c r="M698" s="73"/>
      <c r="N698" s="74"/>
      <c r="O698" s="74"/>
      <c r="P698" s="74"/>
      <c r="Q698" s="74"/>
    </row>
    <row r="699">
      <c r="A699" s="74"/>
      <c r="B699" s="74"/>
      <c r="C699" s="12"/>
      <c r="D699" s="74"/>
      <c r="E699" s="74"/>
      <c r="F699" s="89"/>
      <c r="G699" s="89"/>
      <c r="H699" s="90"/>
      <c r="I699" s="90"/>
      <c r="J699" s="90"/>
      <c r="K699" s="90"/>
      <c r="L699" s="91"/>
      <c r="M699" s="73"/>
      <c r="N699" s="74"/>
      <c r="O699" s="74"/>
      <c r="P699" s="74"/>
      <c r="Q699" s="74"/>
    </row>
    <row r="700">
      <c r="A700" s="74"/>
      <c r="B700" s="74"/>
      <c r="C700" s="12"/>
      <c r="D700" s="74"/>
      <c r="E700" s="74"/>
      <c r="F700" s="89"/>
      <c r="G700" s="89"/>
      <c r="H700" s="90"/>
      <c r="I700" s="90"/>
      <c r="J700" s="90"/>
      <c r="K700" s="90"/>
      <c r="L700" s="91"/>
      <c r="M700" s="73"/>
      <c r="N700" s="74"/>
      <c r="O700" s="74"/>
      <c r="P700" s="74"/>
      <c r="Q700" s="74"/>
    </row>
    <row r="701">
      <c r="A701" s="74"/>
      <c r="B701" s="74"/>
      <c r="C701" s="12"/>
      <c r="D701" s="74"/>
      <c r="E701" s="74"/>
      <c r="F701" s="89"/>
      <c r="G701" s="89"/>
      <c r="H701" s="90"/>
      <c r="I701" s="90"/>
      <c r="J701" s="90"/>
      <c r="K701" s="90"/>
      <c r="L701" s="91"/>
      <c r="M701" s="73"/>
      <c r="N701" s="74"/>
      <c r="O701" s="74"/>
      <c r="P701" s="74"/>
      <c r="Q701" s="74"/>
    </row>
    <row r="702">
      <c r="A702" s="74"/>
      <c r="B702" s="74"/>
      <c r="C702" s="12"/>
      <c r="D702" s="74"/>
      <c r="E702" s="74"/>
      <c r="F702" s="89"/>
      <c r="G702" s="89"/>
      <c r="H702" s="90"/>
      <c r="I702" s="90"/>
      <c r="J702" s="90"/>
      <c r="K702" s="90"/>
      <c r="L702" s="91"/>
      <c r="M702" s="73"/>
      <c r="N702" s="74"/>
      <c r="O702" s="74"/>
      <c r="P702" s="74"/>
      <c r="Q702" s="74"/>
    </row>
    <row r="703">
      <c r="A703" s="74"/>
      <c r="B703" s="74"/>
      <c r="C703" s="12"/>
      <c r="D703" s="74"/>
      <c r="E703" s="74"/>
      <c r="F703" s="89"/>
      <c r="G703" s="89"/>
      <c r="H703" s="90"/>
      <c r="I703" s="90"/>
      <c r="J703" s="90"/>
      <c r="K703" s="90"/>
      <c r="L703" s="91"/>
      <c r="M703" s="73"/>
      <c r="N703" s="74"/>
      <c r="O703" s="74"/>
      <c r="P703" s="74"/>
      <c r="Q703" s="74"/>
    </row>
    <row r="704">
      <c r="A704" s="74"/>
      <c r="B704" s="74"/>
      <c r="C704" s="12"/>
      <c r="D704" s="74"/>
      <c r="E704" s="74"/>
      <c r="F704" s="89"/>
      <c r="G704" s="89"/>
      <c r="H704" s="90"/>
      <c r="I704" s="90"/>
      <c r="J704" s="90"/>
      <c r="K704" s="90"/>
      <c r="L704" s="91"/>
      <c r="M704" s="73"/>
      <c r="N704" s="74"/>
      <c r="O704" s="74"/>
      <c r="P704" s="74"/>
      <c r="Q704" s="74"/>
    </row>
    <row r="705">
      <c r="A705" s="74"/>
      <c r="B705" s="74"/>
      <c r="C705" s="12"/>
      <c r="D705" s="74"/>
      <c r="E705" s="74"/>
      <c r="F705" s="89"/>
      <c r="G705" s="89"/>
      <c r="H705" s="90"/>
      <c r="I705" s="90"/>
      <c r="J705" s="90"/>
      <c r="K705" s="90"/>
      <c r="L705" s="91"/>
      <c r="M705" s="73"/>
      <c r="N705" s="74"/>
      <c r="O705" s="74"/>
      <c r="P705" s="74"/>
      <c r="Q705" s="74"/>
    </row>
    <row r="706">
      <c r="A706" s="74"/>
      <c r="B706" s="74"/>
      <c r="C706" s="12"/>
      <c r="D706" s="74"/>
      <c r="E706" s="74"/>
      <c r="F706" s="89"/>
      <c r="G706" s="89"/>
      <c r="H706" s="90"/>
      <c r="I706" s="90"/>
      <c r="J706" s="90"/>
      <c r="K706" s="90"/>
      <c r="L706" s="91"/>
      <c r="M706" s="73"/>
      <c r="N706" s="74"/>
      <c r="O706" s="74"/>
      <c r="P706" s="74"/>
      <c r="Q706" s="74"/>
    </row>
    <row r="707">
      <c r="A707" s="74"/>
      <c r="B707" s="74"/>
      <c r="C707" s="12"/>
      <c r="D707" s="74"/>
      <c r="E707" s="74"/>
      <c r="F707" s="89"/>
      <c r="G707" s="89"/>
      <c r="H707" s="90"/>
      <c r="I707" s="90"/>
      <c r="J707" s="90"/>
      <c r="K707" s="90"/>
      <c r="L707" s="91"/>
      <c r="M707" s="73"/>
      <c r="N707" s="74"/>
      <c r="O707" s="74"/>
      <c r="P707" s="74"/>
      <c r="Q707" s="74"/>
    </row>
    <row r="708">
      <c r="A708" s="74"/>
      <c r="B708" s="74"/>
      <c r="C708" s="12"/>
      <c r="D708" s="74"/>
      <c r="E708" s="74"/>
      <c r="F708" s="89"/>
      <c r="G708" s="89"/>
      <c r="H708" s="90"/>
      <c r="I708" s="90"/>
      <c r="J708" s="90"/>
      <c r="K708" s="90"/>
      <c r="L708" s="91"/>
      <c r="M708" s="73"/>
      <c r="N708" s="74"/>
      <c r="O708" s="74"/>
      <c r="P708" s="74"/>
      <c r="Q708" s="74"/>
    </row>
    <row r="709">
      <c r="A709" s="74"/>
      <c r="B709" s="74"/>
      <c r="C709" s="12"/>
      <c r="D709" s="74"/>
      <c r="E709" s="74"/>
      <c r="F709" s="89"/>
      <c r="G709" s="89"/>
      <c r="H709" s="90"/>
      <c r="I709" s="90"/>
      <c r="J709" s="90"/>
      <c r="K709" s="90"/>
      <c r="L709" s="91"/>
      <c r="M709" s="73"/>
      <c r="N709" s="74"/>
      <c r="O709" s="74"/>
      <c r="P709" s="74"/>
      <c r="Q709" s="74"/>
    </row>
    <row r="710">
      <c r="A710" s="74"/>
      <c r="B710" s="74"/>
      <c r="C710" s="12"/>
      <c r="D710" s="74"/>
      <c r="E710" s="74"/>
      <c r="F710" s="89"/>
      <c r="G710" s="89"/>
      <c r="H710" s="90"/>
      <c r="I710" s="90"/>
      <c r="J710" s="90"/>
      <c r="K710" s="90"/>
      <c r="L710" s="91"/>
      <c r="M710" s="73"/>
      <c r="N710" s="74"/>
      <c r="O710" s="74"/>
      <c r="P710" s="74"/>
      <c r="Q710" s="74"/>
    </row>
    <row r="711">
      <c r="A711" s="74"/>
      <c r="B711" s="74"/>
      <c r="C711" s="12"/>
      <c r="D711" s="74"/>
      <c r="E711" s="74"/>
      <c r="F711" s="89"/>
      <c r="G711" s="89"/>
      <c r="H711" s="90"/>
      <c r="I711" s="90"/>
      <c r="J711" s="90"/>
      <c r="K711" s="90"/>
      <c r="L711" s="91"/>
      <c r="M711" s="73"/>
      <c r="N711" s="74"/>
      <c r="O711" s="74"/>
      <c r="P711" s="74"/>
      <c r="Q711" s="74"/>
    </row>
    <row r="712">
      <c r="A712" s="74"/>
      <c r="B712" s="74"/>
      <c r="C712" s="12"/>
      <c r="D712" s="74"/>
      <c r="E712" s="74"/>
      <c r="F712" s="89"/>
      <c r="G712" s="89"/>
      <c r="H712" s="90"/>
      <c r="I712" s="90"/>
      <c r="J712" s="90"/>
      <c r="K712" s="90"/>
      <c r="L712" s="91"/>
      <c r="M712" s="73"/>
      <c r="N712" s="74"/>
      <c r="O712" s="74"/>
      <c r="P712" s="74"/>
      <c r="Q712" s="74"/>
    </row>
    <row r="713">
      <c r="A713" s="74"/>
      <c r="B713" s="74"/>
      <c r="C713" s="12"/>
      <c r="D713" s="74"/>
      <c r="E713" s="74"/>
      <c r="F713" s="89"/>
      <c r="G713" s="89"/>
      <c r="H713" s="90"/>
      <c r="I713" s="90"/>
      <c r="J713" s="90"/>
      <c r="K713" s="90"/>
      <c r="L713" s="91"/>
      <c r="M713" s="73"/>
      <c r="N713" s="74"/>
      <c r="O713" s="74"/>
      <c r="P713" s="74"/>
      <c r="Q713" s="74"/>
    </row>
    <row r="714">
      <c r="A714" s="74"/>
      <c r="B714" s="74"/>
      <c r="C714" s="12"/>
      <c r="D714" s="74"/>
      <c r="E714" s="74"/>
      <c r="F714" s="89"/>
      <c r="G714" s="89"/>
      <c r="H714" s="90"/>
      <c r="I714" s="90"/>
      <c r="J714" s="90"/>
      <c r="K714" s="90"/>
      <c r="L714" s="91"/>
      <c r="M714" s="73"/>
      <c r="N714" s="74"/>
      <c r="O714" s="74"/>
      <c r="P714" s="74"/>
      <c r="Q714" s="74"/>
    </row>
    <row r="715">
      <c r="A715" s="74"/>
      <c r="B715" s="74"/>
      <c r="C715" s="12"/>
      <c r="D715" s="74"/>
      <c r="E715" s="74"/>
      <c r="F715" s="89"/>
      <c r="G715" s="89"/>
      <c r="H715" s="90"/>
      <c r="I715" s="90"/>
      <c r="J715" s="90"/>
      <c r="K715" s="90"/>
      <c r="L715" s="91"/>
      <c r="M715" s="73"/>
      <c r="N715" s="74"/>
      <c r="O715" s="74"/>
      <c r="P715" s="74"/>
      <c r="Q715" s="74"/>
    </row>
    <row r="716">
      <c r="A716" s="74"/>
      <c r="B716" s="74"/>
      <c r="C716" s="12"/>
      <c r="D716" s="74"/>
      <c r="E716" s="74"/>
      <c r="F716" s="89"/>
      <c r="G716" s="89"/>
      <c r="H716" s="90"/>
      <c r="I716" s="90"/>
      <c r="J716" s="90"/>
      <c r="K716" s="90"/>
      <c r="L716" s="91"/>
      <c r="M716" s="73"/>
      <c r="N716" s="74"/>
      <c r="O716" s="74"/>
      <c r="P716" s="74"/>
      <c r="Q716" s="74"/>
    </row>
    <row r="717">
      <c r="A717" s="74"/>
      <c r="B717" s="74"/>
      <c r="C717" s="12"/>
      <c r="D717" s="74"/>
      <c r="E717" s="74"/>
      <c r="F717" s="89"/>
      <c r="G717" s="89"/>
      <c r="H717" s="90"/>
      <c r="I717" s="90"/>
      <c r="J717" s="90"/>
      <c r="K717" s="90"/>
      <c r="L717" s="91"/>
      <c r="M717" s="73"/>
      <c r="N717" s="74"/>
      <c r="O717" s="74"/>
      <c r="P717" s="74"/>
      <c r="Q717" s="74"/>
    </row>
    <row r="718">
      <c r="A718" s="74"/>
      <c r="B718" s="74"/>
      <c r="C718" s="12"/>
      <c r="D718" s="74"/>
      <c r="E718" s="74"/>
      <c r="F718" s="89"/>
      <c r="G718" s="89"/>
      <c r="H718" s="90"/>
      <c r="I718" s="90"/>
      <c r="J718" s="90"/>
      <c r="K718" s="90"/>
      <c r="L718" s="91"/>
      <c r="M718" s="73"/>
      <c r="N718" s="74"/>
      <c r="O718" s="74"/>
      <c r="P718" s="74"/>
      <c r="Q718" s="74"/>
    </row>
    <row r="719">
      <c r="A719" s="74"/>
      <c r="B719" s="74"/>
      <c r="C719" s="12"/>
      <c r="D719" s="74"/>
      <c r="E719" s="74"/>
      <c r="F719" s="89"/>
      <c r="G719" s="89"/>
      <c r="H719" s="90"/>
      <c r="I719" s="90"/>
      <c r="J719" s="90"/>
      <c r="K719" s="90"/>
      <c r="L719" s="91"/>
      <c r="M719" s="73"/>
      <c r="N719" s="74"/>
      <c r="O719" s="74"/>
      <c r="P719" s="74"/>
      <c r="Q719" s="74"/>
    </row>
    <row r="720">
      <c r="A720" s="74"/>
      <c r="B720" s="74"/>
      <c r="C720" s="12"/>
      <c r="D720" s="74"/>
      <c r="E720" s="74"/>
      <c r="F720" s="89"/>
      <c r="G720" s="89"/>
      <c r="H720" s="90"/>
      <c r="I720" s="90"/>
      <c r="J720" s="90"/>
      <c r="K720" s="90"/>
      <c r="L720" s="91"/>
      <c r="M720" s="73"/>
      <c r="N720" s="74"/>
      <c r="O720" s="74"/>
      <c r="P720" s="74"/>
      <c r="Q720" s="74"/>
    </row>
    <row r="721">
      <c r="A721" s="74"/>
      <c r="B721" s="74"/>
      <c r="C721" s="12"/>
      <c r="D721" s="74"/>
      <c r="E721" s="74"/>
      <c r="F721" s="89"/>
      <c r="G721" s="89"/>
      <c r="H721" s="90"/>
      <c r="I721" s="90"/>
      <c r="J721" s="90"/>
      <c r="K721" s="90"/>
      <c r="L721" s="91"/>
      <c r="M721" s="73"/>
      <c r="N721" s="74"/>
      <c r="O721" s="74"/>
      <c r="P721" s="74"/>
      <c r="Q721" s="74"/>
    </row>
    <row r="722">
      <c r="A722" s="74"/>
      <c r="B722" s="74"/>
      <c r="C722" s="12"/>
      <c r="D722" s="74"/>
      <c r="E722" s="74"/>
      <c r="F722" s="89"/>
      <c r="G722" s="89"/>
      <c r="H722" s="90"/>
      <c r="I722" s="90"/>
      <c r="J722" s="90"/>
      <c r="K722" s="90"/>
      <c r="L722" s="91"/>
      <c r="M722" s="73"/>
      <c r="N722" s="74"/>
      <c r="O722" s="74"/>
      <c r="P722" s="74"/>
      <c r="Q722" s="74"/>
    </row>
    <row r="723">
      <c r="A723" s="74"/>
      <c r="B723" s="74"/>
      <c r="C723" s="12"/>
      <c r="D723" s="74"/>
      <c r="E723" s="74"/>
      <c r="F723" s="89"/>
      <c r="G723" s="89"/>
      <c r="H723" s="90"/>
      <c r="I723" s="90"/>
      <c r="J723" s="90"/>
      <c r="K723" s="90"/>
      <c r="L723" s="91"/>
      <c r="M723" s="73"/>
      <c r="N723" s="74"/>
      <c r="O723" s="74"/>
      <c r="P723" s="74"/>
      <c r="Q723" s="74"/>
    </row>
    <row r="724">
      <c r="A724" s="74"/>
      <c r="B724" s="74"/>
      <c r="C724" s="12"/>
      <c r="D724" s="74"/>
      <c r="E724" s="74"/>
      <c r="F724" s="89"/>
      <c r="G724" s="89"/>
      <c r="H724" s="90"/>
      <c r="I724" s="90"/>
      <c r="J724" s="90"/>
      <c r="K724" s="90"/>
      <c r="L724" s="91"/>
      <c r="M724" s="73"/>
      <c r="N724" s="74"/>
      <c r="O724" s="74"/>
      <c r="P724" s="74"/>
      <c r="Q724" s="74"/>
    </row>
    <row r="725">
      <c r="A725" s="74"/>
      <c r="B725" s="74"/>
      <c r="C725" s="12"/>
      <c r="D725" s="74"/>
      <c r="E725" s="74"/>
      <c r="F725" s="89"/>
      <c r="G725" s="89"/>
      <c r="H725" s="90"/>
      <c r="I725" s="90"/>
      <c r="J725" s="90"/>
      <c r="K725" s="90"/>
      <c r="L725" s="91"/>
      <c r="M725" s="73"/>
      <c r="N725" s="74"/>
      <c r="O725" s="74"/>
      <c r="P725" s="74"/>
      <c r="Q725" s="74"/>
    </row>
    <row r="726">
      <c r="A726" s="74"/>
      <c r="B726" s="74"/>
      <c r="C726" s="12"/>
      <c r="D726" s="74"/>
      <c r="E726" s="74"/>
      <c r="F726" s="89"/>
      <c r="G726" s="89"/>
      <c r="H726" s="90"/>
      <c r="I726" s="90"/>
      <c r="J726" s="90"/>
      <c r="K726" s="90"/>
      <c r="L726" s="91"/>
      <c r="M726" s="73"/>
      <c r="N726" s="74"/>
      <c r="O726" s="74"/>
      <c r="P726" s="74"/>
      <c r="Q726" s="74"/>
    </row>
    <row r="727">
      <c r="A727" s="74"/>
      <c r="B727" s="74"/>
      <c r="C727" s="12"/>
      <c r="D727" s="74"/>
      <c r="E727" s="74"/>
      <c r="F727" s="89"/>
      <c r="G727" s="89"/>
      <c r="H727" s="90"/>
      <c r="I727" s="90"/>
      <c r="J727" s="90"/>
      <c r="K727" s="90"/>
      <c r="L727" s="91"/>
      <c r="M727" s="73"/>
      <c r="N727" s="74"/>
      <c r="O727" s="74"/>
      <c r="P727" s="74"/>
      <c r="Q727" s="74"/>
    </row>
    <row r="728">
      <c r="A728" s="74"/>
      <c r="B728" s="74"/>
      <c r="C728" s="12"/>
      <c r="D728" s="74"/>
      <c r="E728" s="74"/>
      <c r="F728" s="89"/>
      <c r="G728" s="89"/>
      <c r="H728" s="90"/>
      <c r="I728" s="90"/>
      <c r="J728" s="90"/>
      <c r="K728" s="90"/>
      <c r="L728" s="91"/>
      <c r="M728" s="73"/>
      <c r="N728" s="74"/>
      <c r="O728" s="74"/>
      <c r="P728" s="74"/>
      <c r="Q728" s="74"/>
    </row>
    <row r="729">
      <c r="A729" s="74"/>
      <c r="B729" s="74"/>
      <c r="C729" s="12"/>
      <c r="D729" s="74"/>
      <c r="E729" s="74"/>
      <c r="F729" s="89"/>
      <c r="G729" s="89"/>
      <c r="H729" s="90"/>
      <c r="I729" s="90"/>
      <c r="J729" s="90"/>
      <c r="K729" s="90"/>
      <c r="L729" s="91"/>
      <c r="M729" s="73"/>
      <c r="N729" s="74"/>
      <c r="O729" s="74"/>
      <c r="P729" s="74"/>
      <c r="Q729" s="74"/>
    </row>
    <row r="730">
      <c r="A730" s="74"/>
      <c r="B730" s="74"/>
      <c r="C730" s="12"/>
      <c r="D730" s="74"/>
      <c r="E730" s="74"/>
      <c r="F730" s="89"/>
      <c r="G730" s="89"/>
      <c r="H730" s="90"/>
      <c r="I730" s="90"/>
      <c r="J730" s="90"/>
      <c r="K730" s="90"/>
      <c r="L730" s="91"/>
      <c r="M730" s="73"/>
      <c r="N730" s="74"/>
      <c r="O730" s="74"/>
      <c r="P730" s="74"/>
      <c r="Q730" s="74"/>
    </row>
    <row r="731">
      <c r="A731" s="74"/>
      <c r="B731" s="74"/>
      <c r="C731" s="12"/>
      <c r="D731" s="74"/>
      <c r="E731" s="74"/>
      <c r="F731" s="89"/>
      <c r="G731" s="89"/>
      <c r="H731" s="90"/>
      <c r="I731" s="90"/>
      <c r="J731" s="90"/>
      <c r="K731" s="90"/>
      <c r="L731" s="91"/>
      <c r="M731" s="73"/>
      <c r="N731" s="74"/>
      <c r="O731" s="74"/>
      <c r="P731" s="74"/>
      <c r="Q731" s="74"/>
    </row>
    <row r="732">
      <c r="A732" s="74"/>
      <c r="B732" s="74"/>
      <c r="C732" s="12"/>
      <c r="D732" s="74"/>
      <c r="E732" s="74"/>
      <c r="F732" s="89"/>
      <c r="G732" s="89"/>
      <c r="H732" s="90"/>
      <c r="I732" s="90"/>
      <c r="J732" s="90"/>
      <c r="K732" s="90"/>
      <c r="L732" s="91"/>
      <c r="M732" s="73"/>
      <c r="N732" s="74"/>
      <c r="O732" s="74"/>
      <c r="P732" s="74"/>
      <c r="Q732" s="74"/>
    </row>
    <row r="733">
      <c r="A733" s="74"/>
      <c r="B733" s="74"/>
      <c r="C733" s="12"/>
      <c r="D733" s="74"/>
      <c r="E733" s="74"/>
      <c r="F733" s="89"/>
      <c r="G733" s="89"/>
      <c r="H733" s="90"/>
      <c r="I733" s="90"/>
      <c r="J733" s="90"/>
      <c r="K733" s="90"/>
      <c r="L733" s="91"/>
      <c r="M733" s="73"/>
      <c r="N733" s="74"/>
      <c r="O733" s="74"/>
      <c r="P733" s="74"/>
      <c r="Q733" s="74"/>
    </row>
    <row r="734">
      <c r="A734" s="74"/>
      <c r="B734" s="74"/>
      <c r="C734" s="12"/>
      <c r="D734" s="74"/>
      <c r="E734" s="74"/>
      <c r="F734" s="89"/>
      <c r="G734" s="89"/>
      <c r="H734" s="90"/>
      <c r="I734" s="90"/>
      <c r="J734" s="90"/>
      <c r="K734" s="90"/>
      <c r="L734" s="91"/>
      <c r="M734" s="73"/>
      <c r="N734" s="74"/>
      <c r="O734" s="74"/>
      <c r="P734" s="74"/>
      <c r="Q734" s="74"/>
    </row>
    <row r="735">
      <c r="A735" s="74"/>
      <c r="B735" s="74"/>
      <c r="C735" s="12"/>
      <c r="D735" s="74"/>
      <c r="E735" s="74"/>
      <c r="F735" s="89"/>
      <c r="G735" s="89"/>
      <c r="H735" s="90"/>
      <c r="I735" s="90"/>
      <c r="J735" s="90"/>
      <c r="K735" s="90"/>
      <c r="L735" s="91"/>
      <c r="M735" s="73"/>
      <c r="N735" s="74"/>
      <c r="O735" s="74"/>
      <c r="P735" s="74"/>
      <c r="Q735" s="74"/>
    </row>
    <row r="736">
      <c r="A736" s="74"/>
      <c r="B736" s="74"/>
      <c r="C736" s="12"/>
      <c r="D736" s="74"/>
      <c r="E736" s="74"/>
      <c r="F736" s="89"/>
      <c r="G736" s="89"/>
      <c r="H736" s="90"/>
      <c r="I736" s="90"/>
      <c r="J736" s="90"/>
      <c r="K736" s="90"/>
      <c r="L736" s="91"/>
      <c r="M736" s="73"/>
      <c r="N736" s="74"/>
      <c r="O736" s="74"/>
      <c r="P736" s="74"/>
      <c r="Q736" s="74"/>
    </row>
    <row r="737">
      <c r="A737" s="74"/>
      <c r="B737" s="74"/>
      <c r="C737" s="12"/>
      <c r="D737" s="74"/>
      <c r="E737" s="74"/>
      <c r="F737" s="89"/>
      <c r="G737" s="89"/>
      <c r="H737" s="90"/>
      <c r="I737" s="90"/>
      <c r="J737" s="90"/>
      <c r="K737" s="90"/>
      <c r="L737" s="91"/>
      <c r="M737" s="73"/>
      <c r="N737" s="74"/>
      <c r="O737" s="74"/>
      <c r="P737" s="74"/>
      <c r="Q737" s="74"/>
    </row>
    <row r="738">
      <c r="A738" s="74"/>
      <c r="B738" s="74"/>
      <c r="C738" s="12"/>
      <c r="D738" s="74"/>
      <c r="E738" s="74"/>
      <c r="F738" s="89"/>
      <c r="G738" s="89"/>
      <c r="H738" s="90"/>
      <c r="I738" s="90"/>
      <c r="J738" s="90"/>
      <c r="K738" s="90"/>
      <c r="L738" s="91"/>
      <c r="M738" s="73"/>
      <c r="N738" s="74"/>
      <c r="O738" s="74"/>
      <c r="P738" s="74"/>
      <c r="Q738" s="74"/>
    </row>
    <row r="739">
      <c r="A739" s="74"/>
      <c r="B739" s="74"/>
      <c r="C739" s="12"/>
      <c r="D739" s="74"/>
      <c r="E739" s="74"/>
      <c r="F739" s="89"/>
      <c r="G739" s="89"/>
      <c r="H739" s="90"/>
      <c r="I739" s="90"/>
      <c r="J739" s="90"/>
      <c r="K739" s="90"/>
      <c r="L739" s="91"/>
      <c r="M739" s="73"/>
      <c r="N739" s="74"/>
      <c r="O739" s="74"/>
      <c r="P739" s="74"/>
      <c r="Q739" s="74"/>
    </row>
    <row r="740">
      <c r="A740" s="74"/>
      <c r="B740" s="74"/>
      <c r="C740" s="12"/>
      <c r="D740" s="74"/>
      <c r="E740" s="74"/>
      <c r="F740" s="89"/>
      <c r="G740" s="89"/>
      <c r="H740" s="90"/>
      <c r="I740" s="90"/>
      <c r="J740" s="90"/>
      <c r="K740" s="90"/>
      <c r="L740" s="91"/>
      <c r="M740" s="73"/>
      <c r="N740" s="74"/>
      <c r="O740" s="74"/>
      <c r="P740" s="74"/>
      <c r="Q740" s="74"/>
    </row>
    <row r="741">
      <c r="A741" s="74"/>
      <c r="B741" s="74"/>
      <c r="C741" s="12"/>
      <c r="D741" s="74"/>
      <c r="E741" s="74"/>
      <c r="F741" s="89"/>
      <c r="G741" s="89"/>
      <c r="H741" s="90"/>
      <c r="I741" s="90"/>
      <c r="J741" s="90"/>
      <c r="K741" s="90"/>
      <c r="L741" s="91"/>
      <c r="M741" s="73"/>
      <c r="N741" s="74"/>
      <c r="O741" s="74"/>
      <c r="P741" s="74"/>
      <c r="Q741" s="74"/>
    </row>
    <row r="742">
      <c r="A742" s="74"/>
      <c r="B742" s="74"/>
      <c r="C742" s="12"/>
      <c r="D742" s="74"/>
      <c r="E742" s="74"/>
      <c r="F742" s="89"/>
      <c r="G742" s="89"/>
      <c r="H742" s="90"/>
      <c r="I742" s="90"/>
      <c r="J742" s="90"/>
      <c r="K742" s="90"/>
      <c r="L742" s="91"/>
      <c r="M742" s="73"/>
      <c r="N742" s="74"/>
      <c r="O742" s="74"/>
      <c r="P742" s="74"/>
      <c r="Q742" s="74"/>
    </row>
    <row r="743">
      <c r="A743" s="74"/>
      <c r="B743" s="74"/>
      <c r="C743" s="12"/>
      <c r="D743" s="74"/>
      <c r="E743" s="74"/>
      <c r="F743" s="89"/>
      <c r="G743" s="89"/>
      <c r="H743" s="90"/>
      <c r="I743" s="90"/>
      <c r="J743" s="90"/>
      <c r="K743" s="90"/>
      <c r="L743" s="91"/>
      <c r="M743" s="73"/>
      <c r="N743" s="74"/>
      <c r="O743" s="74"/>
      <c r="P743" s="74"/>
      <c r="Q743" s="74"/>
    </row>
    <row r="744">
      <c r="A744" s="74"/>
      <c r="B744" s="74"/>
      <c r="C744" s="12"/>
      <c r="D744" s="74"/>
      <c r="E744" s="74"/>
      <c r="F744" s="89"/>
      <c r="G744" s="89"/>
      <c r="H744" s="90"/>
      <c r="I744" s="90"/>
      <c r="J744" s="90"/>
      <c r="K744" s="90"/>
      <c r="L744" s="91"/>
      <c r="M744" s="73"/>
      <c r="N744" s="74"/>
      <c r="O744" s="74"/>
      <c r="P744" s="74"/>
      <c r="Q744" s="74"/>
    </row>
    <row r="745">
      <c r="A745" s="74"/>
      <c r="B745" s="74"/>
      <c r="C745" s="12"/>
      <c r="D745" s="74"/>
      <c r="E745" s="74"/>
      <c r="F745" s="89"/>
      <c r="G745" s="89"/>
      <c r="H745" s="90"/>
      <c r="I745" s="90"/>
      <c r="J745" s="90"/>
      <c r="K745" s="90"/>
      <c r="L745" s="91"/>
      <c r="M745" s="73"/>
      <c r="N745" s="74"/>
      <c r="O745" s="74"/>
      <c r="P745" s="74"/>
      <c r="Q745" s="74"/>
    </row>
    <row r="746">
      <c r="A746" s="74"/>
      <c r="B746" s="74"/>
      <c r="C746" s="12"/>
      <c r="D746" s="74"/>
      <c r="E746" s="74"/>
      <c r="F746" s="89"/>
      <c r="G746" s="89"/>
      <c r="H746" s="90"/>
      <c r="I746" s="90"/>
      <c r="J746" s="90"/>
      <c r="K746" s="90"/>
      <c r="L746" s="91"/>
      <c r="M746" s="73"/>
      <c r="N746" s="74"/>
      <c r="O746" s="74"/>
      <c r="P746" s="74"/>
      <c r="Q746" s="74"/>
    </row>
    <row r="747">
      <c r="A747" s="74"/>
      <c r="B747" s="74"/>
      <c r="C747" s="12"/>
      <c r="D747" s="74"/>
      <c r="E747" s="74"/>
      <c r="F747" s="89"/>
      <c r="G747" s="89"/>
      <c r="H747" s="90"/>
      <c r="I747" s="90"/>
      <c r="J747" s="90"/>
      <c r="K747" s="90"/>
      <c r="L747" s="91"/>
      <c r="M747" s="73"/>
      <c r="N747" s="74"/>
      <c r="O747" s="74"/>
      <c r="P747" s="74"/>
      <c r="Q747" s="74"/>
    </row>
    <row r="748">
      <c r="A748" s="74"/>
      <c r="B748" s="74"/>
      <c r="C748" s="12"/>
      <c r="D748" s="74"/>
      <c r="E748" s="74"/>
      <c r="F748" s="89"/>
      <c r="G748" s="89"/>
      <c r="H748" s="90"/>
      <c r="I748" s="90"/>
      <c r="J748" s="90"/>
      <c r="K748" s="90"/>
      <c r="L748" s="91"/>
      <c r="M748" s="73"/>
      <c r="N748" s="74"/>
      <c r="O748" s="74"/>
      <c r="P748" s="74"/>
      <c r="Q748" s="74"/>
    </row>
    <row r="749">
      <c r="A749" s="74"/>
      <c r="B749" s="74"/>
      <c r="C749" s="12"/>
      <c r="D749" s="74"/>
      <c r="E749" s="74"/>
      <c r="F749" s="89"/>
      <c r="G749" s="89"/>
      <c r="H749" s="90"/>
      <c r="I749" s="90"/>
      <c r="J749" s="90"/>
      <c r="K749" s="90"/>
      <c r="L749" s="91"/>
      <c r="M749" s="73"/>
      <c r="N749" s="74"/>
      <c r="O749" s="74"/>
      <c r="P749" s="74"/>
      <c r="Q749" s="74"/>
    </row>
    <row r="750">
      <c r="A750" s="74"/>
      <c r="B750" s="74"/>
      <c r="C750" s="12"/>
      <c r="D750" s="74"/>
      <c r="E750" s="74"/>
      <c r="F750" s="89"/>
      <c r="G750" s="89"/>
      <c r="H750" s="90"/>
      <c r="I750" s="90"/>
      <c r="J750" s="90"/>
      <c r="K750" s="90"/>
      <c r="L750" s="91"/>
      <c r="M750" s="73"/>
      <c r="N750" s="74"/>
      <c r="O750" s="74"/>
      <c r="P750" s="74"/>
      <c r="Q750" s="74"/>
    </row>
    <row r="751">
      <c r="A751" s="74"/>
      <c r="B751" s="74"/>
      <c r="C751" s="12"/>
      <c r="D751" s="74"/>
      <c r="E751" s="74"/>
      <c r="F751" s="89"/>
      <c r="G751" s="89"/>
      <c r="H751" s="90"/>
      <c r="I751" s="90"/>
      <c r="J751" s="90"/>
      <c r="K751" s="90"/>
      <c r="L751" s="91"/>
      <c r="M751" s="73"/>
      <c r="N751" s="74"/>
      <c r="O751" s="74"/>
      <c r="P751" s="74"/>
      <c r="Q751" s="74"/>
    </row>
    <row r="752">
      <c r="A752" s="74"/>
      <c r="B752" s="74"/>
      <c r="C752" s="12"/>
      <c r="D752" s="74"/>
      <c r="E752" s="74"/>
      <c r="F752" s="89"/>
      <c r="G752" s="89"/>
      <c r="H752" s="90"/>
      <c r="I752" s="90"/>
      <c r="J752" s="90"/>
      <c r="K752" s="90"/>
      <c r="L752" s="91"/>
      <c r="M752" s="73"/>
      <c r="N752" s="74"/>
      <c r="O752" s="74"/>
      <c r="P752" s="74"/>
      <c r="Q752" s="74"/>
    </row>
    <row r="753">
      <c r="A753" s="74"/>
      <c r="B753" s="74"/>
      <c r="C753" s="12"/>
      <c r="D753" s="74"/>
      <c r="E753" s="74"/>
      <c r="F753" s="89"/>
      <c r="G753" s="89"/>
      <c r="H753" s="90"/>
      <c r="I753" s="90"/>
      <c r="J753" s="90"/>
      <c r="K753" s="90"/>
      <c r="L753" s="91"/>
      <c r="M753" s="73"/>
      <c r="N753" s="74"/>
      <c r="O753" s="74"/>
      <c r="P753" s="74"/>
      <c r="Q753" s="74"/>
    </row>
    <row r="754">
      <c r="A754" s="74"/>
      <c r="B754" s="74"/>
      <c r="C754" s="12"/>
      <c r="D754" s="74"/>
      <c r="E754" s="74"/>
      <c r="F754" s="89"/>
      <c r="G754" s="89"/>
      <c r="H754" s="90"/>
      <c r="I754" s="90"/>
      <c r="J754" s="90"/>
      <c r="K754" s="90"/>
      <c r="L754" s="91"/>
      <c r="M754" s="73"/>
      <c r="N754" s="74"/>
      <c r="O754" s="74"/>
      <c r="P754" s="74"/>
      <c r="Q754" s="74"/>
    </row>
    <row r="755">
      <c r="A755" s="74"/>
      <c r="B755" s="74"/>
      <c r="C755" s="12"/>
      <c r="D755" s="74"/>
      <c r="E755" s="74"/>
      <c r="F755" s="89"/>
      <c r="G755" s="89"/>
      <c r="H755" s="90"/>
      <c r="I755" s="90"/>
      <c r="J755" s="90"/>
      <c r="K755" s="90"/>
      <c r="L755" s="91"/>
      <c r="M755" s="73"/>
      <c r="N755" s="74"/>
      <c r="O755" s="74"/>
      <c r="P755" s="74"/>
      <c r="Q755" s="74"/>
    </row>
    <row r="756">
      <c r="A756" s="74"/>
      <c r="B756" s="74"/>
      <c r="C756" s="12"/>
      <c r="D756" s="74"/>
      <c r="E756" s="74"/>
      <c r="F756" s="89"/>
      <c r="G756" s="89"/>
      <c r="H756" s="90"/>
      <c r="I756" s="90"/>
      <c r="J756" s="90"/>
      <c r="K756" s="90"/>
      <c r="L756" s="91"/>
      <c r="M756" s="73"/>
      <c r="N756" s="74"/>
      <c r="O756" s="74"/>
      <c r="P756" s="74"/>
      <c r="Q756" s="74"/>
    </row>
    <row r="757">
      <c r="A757" s="74"/>
      <c r="B757" s="74"/>
      <c r="C757" s="12"/>
      <c r="D757" s="74"/>
      <c r="E757" s="74"/>
      <c r="F757" s="89"/>
      <c r="G757" s="89"/>
      <c r="H757" s="90"/>
      <c r="I757" s="90"/>
      <c r="J757" s="90"/>
      <c r="K757" s="90"/>
      <c r="L757" s="91"/>
      <c r="M757" s="73"/>
      <c r="N757" s="74"/>
      <c r="O757" s="74"/>
      <c r="P757" s="74"/>
      <c r="Q757" s="74"/>
    </row>
    <row r="758">
      <c r="A758" s="74"/>
      <c r="B758" s="74"/>
      <c r="C758" s="12"/>
      <c r="D758" s="74"/>
      <c r="E758" s="74"/>
      <c r="F758" s="89"/>
      <c r="G758" s="89"/>
      <c r="H758" s="90"/>
      <c r="I758" s="90"/>
      <c r="J758" s="90"/>
      <c r="K758" s="90"/>
      <c r="L758" s="91"/>
      <c r="M758" s="73"/>
      <c r="N758" s="74"/>
      <c r="O758" s="74"/>
      <c r="P758" s="74"/>
      <c r="Q758" s="74"/>
    </row>
    <row r="759">
      <c r="A759" s="74"/>
      <c r="B759" s="74"/>
      <c r="C759" s="12"/>
      <c r="D759" s="74"/>
      <c r="E759" s="74"/>
      <c r="F759" s="89"/>
      <c r="G759" s="89"/>
      <c r="H759" s="90"/>
      <c r="I759" s="90"/>
      <c r="J759" s="90"/>
      <c r="K759" s="90"/>
      <c r="L759" s="91"/>
      <c r="M759" s="73"/>
      <c r="N759" s="74"/>
      <c r="O759" s="74"/>
      <c r="P759" s="74"/>
      <c r="Q759" s="74"/>
    </row>
    <row r="760">
      <c r="A760" s="74"/>
      <c r="B760" s="74"/>
      <c r="C760" s="12"/>
      <c r="D760" s="74"/>
      <c r="E760" s="74"/>
      <c r="F760" s="89"/>
      <c r="G760" s="89"/>
      <c r="H760" s="90"/>
      <c r="I760" s="90"/>
      <c r="J760" s="90"/>
      <c r="K760" s="90"/>
      <c r="L760" s="91"/>
      <c r="M760" s="73"/>
      <c r="N760" s="74"/>
      <c r="O760" s="74"/>
      <c r="P760" s="74"/>
      <c r="Q760" s="74"/>
    </row>
    <row r="761">
      <c r="A761" s="74"/>
      <c r="B761" s="74"/>
      <c r="C761" s="12"/>
      <c r="D761" s="74"/>
      <c r="E761" s="74"/>
      <c r="F761" s="89"/>
      <c r="G761" s="89"/>
      <c r="H761" s="90"/>
      <c r="I761" s="90"/>
      <c r="J761" s="90"/>
      <c r="K761" s="90"/>
      <c r="L761" s="91"/>
      <c r="M761" s="73"/>
      <c r="N761" s="74"/>
      <c r="O761" s="74"/>
      <c r="P761" s="74"/>
      <c r="Q761" s="74"/>
    </row>
    <row r="762">
      <c r="A762" s="74"/>
      <c r="B762" s="74"/>
      <c r="C762" s="12"/>
      <c r="D762" s="74"/>
      <c r="E762" s="74"/>
      <c r="F762" s="89"/>
      <c r="G762" s="89"/>
      <c r="H762" s="90"/>
      <c r="I762" s="90"/>
      <c r="J762" s="90"/>
      <c r="K762" s="90"/>
      <c r="L762" s="91"/>
      <c r="M762" s="73"/>
      <c r="N762" s="74"/>
      <c r="O762" s="74"/>
      <c r="P762" s="74"/>
      <c r="Q762" s="74"/>
    </row>
    <row r="763">
      <c r="A763" s="74"/>
      <c r="B763" s="74"/>
      <c r="C763" s="12"/>
      <c r="D763" s="74"/>
      <c r="E763" s="74"/>
      <c r="F763" s="89"/>
      <c r="G763" s="89"/>
      <c r="H763" s="90"/>
      <c r="I763" s="90"/>
      <c r="J763" s="90"/>
      <c r="K763" s="90"/>
      <c r="L763" s="91"/>
      <c r="M763" s="73"/>
      <c r="N763" s="74"/>
      <c r="O763" s="74"/>
      <c r="P763" s="74"/>
      <c r="Q763" s="74"/>
    </row>
    <row r="764">
      <c r="A764" s="74"/>
      <c r="B764" s="74"/>
      <c r="C764" s="12"/>
      <c r="D764" s="74"/>
      <c r="E764" s="74"/>
      <c r="F764" s="89"/>
      <c r="G764" s="89"/>
      <c r="H764" s="90"/>
      <c r="I764" s="90"/>
      <c r="J764" s="90"/>
      <c r="K764" s="90"/>
      <c r="L764" s="91"/>
      <c r="M764" s="73"/>
      <c r="N764" s="74"/>
      <c r="O764" s="74"/>
      <c r="P764" s="74"/>
      <c r="Q764" s="74"/>
    </row>
    <row r="765">
      <c r="A765" s="74"/>
      <c r="B765" s="74"/>
      <c r="C765" s="12"/>
      <c r="D765" s="74"/>
      <c r="E765" s="74"/>
      <c r="F765" s="89"/>
      <c r="G765" s="89"/>
      <c r="H765" s="90"/>
      <c r="I765" s="90"/>
      <c r="J765" s="90"/>
      <c r="K765" s="90"/>
      <c r="L765" s="91"/>
      <c r="M765" s="73"/>
      <c r="N765" s="74"/>
      <c r="O765" s="74"/>
      <c r="P765" s="74"/>
      <c r="Q765" s="74"/>
    </row>
    <row r="766">
      <c r="A766" s="74"/>
      <c r="B766" s="74"/>
      <c r="C766" s="12"/>
      <c r="D766" s="74"/>
      <c r="E766" s="74"/>
      <c r="F766" s="89"/>
      <c r="G766" s="89"/>
      <c r="H766" s="90"/>
      <c r="I766" s="90"/>
      <c r="J766" s="90"/>
      <c r="K766" s="90"/>
      <c r="L766" s="91"/>
      <c r="M766" s="73"/>
      <c r="N766" s="74"/>
      <c r="O766" s="74"/>
      <c r="P766" s="74"/>
      <c r="Q766" s="74"/>
    </row>
    <row r="767">
      <c r="A767" s="74"/>
      <c r="B767" s="74"/>
      <c r="C767" s="12"/>
      <c r="D767" s="74"/>
      <c r="E767" s="74"/>
      <c r="F767" s="89"/>
      <c r="G767" s="89"/>
      <c r="H767" s="90"/>
      <c r="I767" s="90"/>
      <c r="J767" s="90"/>
      <c r="K767" s="90"/>
      <c r="L767" s="91"/>
      <c r="M767" s="73"/>
      <c r="N767" s="74"/>
      <c r="O767" s="74"/>
      <c r="P767" s="74"/>
      <c r="Q767" s="74"/>
    </row>
    <row r="768">
      <c r="A768" s="74"/>
      <c r="B768" s="74"/>
      <c r="C768" s="12"/>
      <c r="D768" s="74"/>
      <c r="E768" s="74"/>
      <c r="F768" s="89"/>
      <c r="G768" s="89"/>
      <c r="H768" s="90"/>
      <c r="I768" s="90"/>
      <c r="J768" s="90"/>
      <c r="K768" s="90"/>
      <c r="L768" s="91"/>
      <c r="M768" s="73"/>
      <c r="N768" s="74"/>
      <c r="O768" s="74"/>
      <c r="P768" s="74"/>
      <c r="Q768" s="74"/>
    </row>
    <row r="769">
      <c r="A769" s="74"/>
      <c r="B769" s="74"/>
      <c r="C769" s="12"/>
      <c r="D769" s="74"/>
      <c r="E769" s="74"/>
      <c r="F769" s="89"/>
      <c r="G769" s="89"/>
      <c r="H769" s="90"/>
      <c r="I769" s="90"/>
      <c r="J769" s="90"/>
      <c r="K769" s="90"/>
      <c r="L769" s="91"/>
      <c r="M769" s="73"/>
      <c r="N769" s="74"/>
      <c r="O769" s="74"/>
      <c r="P769" s="74"/>
      <c r="Q769" s="74"/>
    </row>
    <row r="770">
      <c r="A770" s="74"/>
      <c r="B770" s="74"/>
      <c r="C770" s="12"/>
      <c r="D770" s="74"/>
      <c r="E770" s="74"/>
      <c r="F770" s="89"/>
      <c r="G770" s="89"/>
      <c r="H770" s="90"/>
      <c r="I770" s="90"/>
      <c r="J770" s="90"/>
      <c r="K770" s="90"/>
      <c r="L770" s="91"/>
      <c r="M770" s="73"/>
      <c r="N770" s="74"/>
      <c r="O770" s="74"/>
      <c r="P770" s="74"/>
      <c r="Q770" s="74"/>
    </row>
    <row r="771">
      <c r="A771" s="74"/>
      <c r="B771" s="74"/>
      <c r="C771" s="12"/>
      <c r="D771" s="74"/>
      <c r="E771" s="74"/>
      <c r="F771" s="89"/>
      <c r="G771" s="89"/>
      <c r="H771" s="90"/>
      <c r="I771" s="90"/>
      <c r="J771" s="90"/>
      <c r="K771" s="90"/>
      <c r="L771" s="91"/>
      <c r="M771" s="73"/>
      <c r="N771" s="74"/>
      <c r="O771" s="74"/>
      <c r="P771" s="74"/>
      <c r="Q771" s="74"/>
    </row>
    <row r="772">
      <c r="A772" s="74"/>
      <c r="B772" s="74"/>
      <c r="C772" s="12"/>
      <c r="D772" s="74"/>
      <c r="E772" s="74"/>
      <c r="F772" s="89"/>
      <c r="G772" s="89"/>
      <c r="H772" s="90"/>
      <c r="I772" s="90"/>
      <c r="J772" s="90"/>
      <c r="K772" s="90"/>
      <c r="L772" s="91"/>
      <c r="M772" s="73"/>
      <c r="N772" s="74"/>
      <c r="O772" s="74"/>
      <c r="P772" s="74"/>
      <c r="Q772" s="74"/>
    </row>
    <row r="773">
      <c r="A773" s="74"/>
      <c r="B773" s="74"/>
      <c r="C773" s="12"/>
      <c r="D773" s="74"/>
      <c r="E773" s="74"/>
      <c r="F773" s="89"/>
      <c r="G773" s="89"/>
      <c r="H773" s="90"/>
      <c r="I773" s="90"/>
      <c r="J773" s="90"/>
      <c r="K773" s="90"/>
      <c r="L773" s="91"/>
      <c r="M773" s="73"/>
      <c r="N773" s="74"/>
      <c r="O773" s="74"/>
      <c r="P773" s="74"/>
      <c r="Q773" s="74"/>
    </row>
    <row r="774">
      <c r="A774" s="74"/>
      <c r="B774" s="74"/>
      <c r="C774" s="12"/>
      <c r="D774" s="74"/>
      <c r="E774" s="74"/>
      <c r="F774" s="89"/>
      <c r="G774" s="89"/>
      <c r="H774" s="90"/>
      <c r="I774" s="90"/>
      <c r="J774" s="90"/>
      <c r="K774" s="90"/>
      <c r="L774" s="91"/>
      <c r="M774" s="73"/>
      <c r="N774" s="74"/>
      <c r="O774" s="74"/>
      <c r="P774" s="74"/>
      <c r="Q774" s="74"/>
    </row>
    <row r="775">
      <c r="A775" s="74"/>
      <c r="B775" s="74"/>
      <c r="C775" s="12"/>
      <c r="D775" s="74"/>
      <c r="E775" s="74"/>
      <c r="F775" s="89"/>
      <c r="G775" s="89"/>
      <c r="H775" s="90"/>
      <c r="I775" s="90"/>
      <c r="J775" s="90"/>
      <c r="K775" s="90"/>
      <c r="L775" s="91"/>
      <c r="M775" s="73"/>
      <c r="N775" s="74"/>
      <c r="O775" s="74"/>
      <c r="P775" s="74"/>
      <c r="Q775" s="74"/>
    </row>
    <row r="776">
      <c r="A776" s="74"/>
      <c r="B776" s="74"/>
      <c r="C776" s="12"/>
      <c r="D776" s="74"/>
      <c r="E776" s="74"/>
      <c r="F776" s="89"/>
      <c r="G776" s="89"/>
      <c r="H776" s="90"/>
      <c r="I776" s="90"/>
      <c r="J776" s="90"/>
      <c r="K776" s="90"/>
      <c r="L776" s="91"/>
      <c r="M776" s="73"/>
      <c r="N776" s="74"/>
      <c r="O776" s="74"/>
      <c r="P776" s="74"/>
      <c r="Q776" s="74"/>
    </row>
    <row r="777">
      <c r="A777" s="74"/>
      <c r="B777" s="74"/>
      <c r="C777" s="12"/>
      <c r="D777" s="74"/>
      <c r="E777" s="74"/>
      <c r="F777" s="89"/>
      <c r="G777" s="89"/>
      <c r="H777" s="90"/>
      <c r="I777" s="90"/>
      <c r="J777" s="90"/>
      <c r="K777" s="90"/>
      <c r="L777" s="91"/>
      <c r="M777" s="73"/>
      <c r="N777" s="74"/>
      <c r="O777" s="74"/>
      <c r="P777" s="74"/>
      <c r="Q777" s="74"/>
    </row>
    <row r="778">
      <c r="A778" s="74"/>
      <c r="B778" s="74"/>
      <c r="C778" s="12"/>
      <c r="D778" s="74"/>
      <c r="E778" s="74"/>
      <c r="F778" s="89"/>
      <c r="G778" s="89"/>
      <c r="H778" s="90"/>
      <c r="I778" s="90"/>
      <c r="J778" s="90"/>
      <c r="K778" s="90"/>
      <c r="L778" s="91"/>
      <c r="M778" s="73"/>
      <c r="N778" s="74"/>
      <c r="O778" s="74"/>
      <c r="P778" s="74"/>
      <c r="Q778" s="74"/>
    </row>
    <row r="779">
      <c r="A779" s="74"/>
      <c r="B779" s="74"/>
      <c r="C779" s="12"/>
      <c r="D779" s="74"/>
      <c r="E779" s="74"/>
      <c r="F779" s="89"/>
      <c r="G779" s="89"/>
      <c r="H779" s="90"/>
      <c r="I779" s="90"/>
      <c r="J779" s="90"/>
      <c r="K779" s="90"/>
      <c r="L779" s="91"/>
      <c r="M779" s="73"/>
      <c r="N779" s="74"/>
      <c r="O779" s="74"/>
      <c r="P779" s="74"/>
      <c r="Q779" s="74"/>
    </row>
    <row r="780">
      <c r="A780" s="74"/>
      <c r="B780" s="74"/>
      <c r="C780" s="12"/>
      <c r="D780" s="74"/>
      <c r="E780" s="74"/>
      <c r="F780" s="89"/>
      <c r="G780" s="89"/>
      <c r="H780" s="90"/>
      <c r="I780" s="90"/>
      <c r="J780" s="90"/>
      <c r="K780" s="90"/>
      <c r="L780" s="91"/>
      <c r="M780" s="73"/>
      <c r="N780" s="74"/>
      <c r="O780" s="74"/>
      <c r="P780" s="74"/>
      <c r="Q780" s="74"/>
    </row>
    <row r="781">
      <c r="A781" s="74"/>
      <c r="B781" s="74"/>
      <c r="C781" s="12"/>
      <c r="D781" s="74"/>
      <c r="E781" s="74"/>
      <c r="F781" s="89"/>
      <c r="G781" s="89"/>
      <c r="H781" s="90"/>
      <c r="I781" s="90"/>
      <c r="J781" s="90"/>
      <c r="K781" s="90"/>
      <c r="L781" s="91"/>
      <c r="M781" s="73"/>
      <c r="N781" s="74"/>
      <c r="O781" s="74"/>
      <c r="P781" s="74"/>
      <c r="Q781" s="74"/>
    </row>
    <row r="782">
      <c r="A782" s="74"/>
      <c r="B782" s="74"/>
      <c r="C782" s="12"/>
      <c r="D782" s="74"/>
      <c r="E782" s="74"/>
      <c r="F782" s="89"/>
      <c r="G782" s="89"/>
      <c r="H782" s="90"/>
      <c r="I782" s="90"/>
      <c r="J782" s="90"/>
      <c r="K782" s="90"/>
      <c r="L782" s="91"/>
      <c r="M782" s="73"/>
      <c r="N782" s="74"/>
      <c r="O782" s="74"/>
      <c r="P782" s="74"/>
      <c r="Q782" s="74"/>
    </row>
    <row r="783">
      <c r="A783" s="74"/>
      <c r="B783" s="74"/>
      <c r="C783" s="12"/>
      <c r="D783" s="74"/>
      <c r="E783" s="74"/>
      <c r="F783" s="89"/>
      <c r="G783" s="89"/>
      <c r="H783" s="90"/>
      <c r="I783" s="90"/>
      <c r="J783" s="90"/>
      <c r="K783" s="90"/>
      <c r="L783" s="91"/>
      <c r="M783" s="73"/>
      <c r="N783" s="74"/>
      <c r="O783" s="74"/>
      <c r="P783" s="74"/>
      <c r="Q783" s="74"/>
    </row>
    <row r="784">
      <c r="A784" s="74"/>
      <c r="B784" s="74"/>
      <c r="C784" s="12"/>
      <c r="D784" s="74"/>
      <c r="E784" s="74"/>
      <c r="F784" s="89"/>
      <c r="G784" s="89"/>
      <c r="H784" s="90"/>
      <c r="I784" s="90"/>
      <c r="J784" s="90"/>
      <c r="K784" s="90"/>
      <c r="L784" s="91"/>
      <c r="M784" s="73"/>
      <c r="N784" s="74"/>
      <c r="O784" s="74"/>
      <c r="P784" s="74"/>
      <c r="Q784" s="74"/>
    </row>
    <row r="785">
      <c r="A785" s="74"/>
      <c r="B785" s="74"/>
      <c r="C785" s="12"/>
      <c r="D785" s="74"/>
      <c r="E785" s="74"/>
      <c r="F785" s="89"/>
      <c r="G785" s="89"/>
      <c r="H785" s="90"/>
      <c r="I785" s="90"/>
      <c r="J785" s="90"/>
      <c r="K785" s="90"/>
      <c r="L785" s="91"/>
      <c r="M785" s="73"/>
      <c r="N785" s="74"/>
      <c r="O785" s="74"/>
      <c r="P785" s="74"/>
      <c r="Q785" s="74"/>
    </row>
    <row r="786">
      <c r="A786" s="74"/>
      <c r="B786" s="74"/>
      <c r="C786" s="12"/>
      <c r="D786" s="74"/>
      <c r="E786" s="74"/>
      <c r="F786" s="89"/>
      <c r="G786" s="89"/>
      <c r="H786" s="90"/>
      <c r="I786" s="90"/>
      <c r="J786" s="90"/>
      <c r="K786" s="90"/>
      <c r="L786" s="91"/>
      <c r="M786" s="73"/>
      <c r="N786" s="74"/>
      <c r="O786" s="74"/>
      <c r="P786" s="74"/>
      <c r="Q786" s="74"/>
    </row>
    <row r="787">
      <c r="A787" s="74"/>
      <c r="B787" s="74"/>
      <c r="C787" s="12"/>
      <c r="D787" s="74"/>
      <c r="E787" s="74"/>
      <c r="F787" s="89"/>
      <c r="G787" s="89"/>
      <c r="H787" s="90"/>
      <c r="I787" s="90"/>
      <c r="J787" s="90"/>
      <c r="K787" s="90"/>
      <c r="L787" s="91"/>
      <c r="M787" s="73"/>
      <c r="N787" s="74"/>
      <c r="O787" s="74"/>
      <c r="P787" s="74"/>
      <c r="Q787" s="74"/>
    </row>
    <row r="788">
      <c r="A788" s="74"/>
      <c r="B788" s="74"/>
      <c r="C788" s="12"/>
      <c r="D788" s="74"/>
      <c r="E788" s="74"/>
      <c r="F788" s="89"/>
      <c r="G788" s="89"/>
      <c r="H788" s="90"/>
      <c r="I788" s="90"/>
      <c r="J788" s="90"/>
      <c r="K788" s="90"/>
      <c r="L788" s="91"/>
      <c r="M788" s="73"/>
      <c r="N788" s="74"/>
      <c r="O788" s="74"/>
      <c r="P788" s="74"/>
      <c r="Q788" s="74"/>
    </row>
    <row r="789">
      <c r="A789" s="74"/>
      <c r="B789" s="74"/>
      <c r="C789" s="12"/>
      <c r="D789" s="74"/>
      <c r="E789" s="74"/>
      <c r="F789" s="89"/>
      <c r="G789" s="89"/>
      <c r="H789" s="90"/>
      <c r="I789" s="90"/>
      <c r="J789" s="90"/>
      <c r="K789" s="90"/>
      <c r="L789" s="91"/>
      <c r="M789" s="73"/>
      <c r="N789" s="74"/>
      <c r="O789" s="74"/>
      <c r="P789" s="74"/>
      <c r="Q789" s="74"/>
    </row>
    <row r="790">
      <c r="A790" s="74"/>
      <c r="B790" s="74"/>
      <c r="C790" s="12"/>
      <c r="D790" s="74"/>
      <c r="E790" s="74"/>
      <c r="F790" s="89"/>
      <c r="G790" s="89"/>
      <c r="H790" s="90"/>
      <c r="I790" s="90"/>
      <c r="J790" s="90"/>
      <c r="K790" s="90"/>
      <c r="L790" s="91"/>
      <c r="M790" s="73"/>
      <c r="N790" s="74"/>
      <c r="O790" s="74"/>
      <c r="P790" s="74"/>
      <c r="Q790" s="74"/>
    </row>
    <row r="791">
      <c r="A791" s="74"/>
      <c r="B791" s="74"/>
      <c r="C791" s="12"/>
      <c r="D791" s="74"/>
      <c r="E791" s="74"/>
      <c r="F791" s="89"/>
      <c r="G791" s="89"/>
      <c r="H791" s="90"/>
      <c r="I791" s="90"/>
      <c r="J791" s="90"/>
      <c r="K791" s="90"/>
      <c r="L791" s="91"/>
      <c r="M791" s="73"/>
      <c r="N791" s="74"/>
      <c r="O791" s="74"/>
      <c r="P791" s="74"/>
      <c r="Q791" s="74"/>
    </row>
    <row r="792">
      <c r="A792" s="74"/>
      <c r="B792" s="74"/>
      <c r="C792" s="12"/>
      <c r="D792" s="74"/>
      <c r="E792" s="74"/>
      <c r="F792" s="89"/>
      <c r="G792" s="89"/>
      <c r="H792" s="90"/>
      <c r="I792" s="90"/>
      <c r="J792" s="90"/>
      <c r="K792" s="90"/>
      <c r="L792" s="91"/>
      <c r="M792" s="73"/>
      <c r="N792" s="74"/>
      <c r="O792" s="74"/>
      <c r="P792" s="74"/>
      <c r="Q792" s="74"/>
    </row>
    <row r="793">
      <c r="A793" s="74"/>
      <c r="B793" s="74"/>
      <c r="C793" s="12"/>
      <c r="D793" s="74"/>
      <c r="E793" s="74"/>
      <c r="F793" s="89"/>
      <c r="G793" s="89"/>
      <c r="H793" s="90"/>
      <c r="I793" s="90"/>
      <c r="J793" s="90"/>
      <c r="K793" s="90"/>
      <c r="L793" s="91"/>
      <c r="M793" s="73"/>
      <c r="N793" s="74"/>
      <c r="O793" s="74"/>
      <c r="P793" s="74"/>
      <c r="Q793" s="74"/>
    </row>
    <row r="794">
      <c r="A794" s="74"/>
      <c r="B794" s="74"/>
      <c r="C794" s="12"/>
      <c r="D794" s="74"/>
      <c r="E794" s="74"/>
      <c r="F794" s="89"/>
      <c r="G794" s="89"/>
      <c r="H794" s="90"/>
      <c r="I794" s="90"/>
      <c r="J794" s="90"/>
      <c r="K794" s="90"/>
      <c r="L794" s="91"/>
      <c r="M794" s="73"/>
      <c r="N794" s="74"/>
      <c r="O794" s="74"/>
      <c r="P794" s="74"/>
      <c r="Q794" s="74"/>
    </row>
    <row r="795">
      <c r="A795" s="74"/>
      <c r="B795" s="74"/>
      <c r="C795" s="12"/>
      <c r="D795" s="74"/>
      <c r="E795" s="74"/>
      <c r="F795" s="89"/>
      <c r="G795" s="89"/>
      <c r="H795" s="90"/>
      <c r="I795" s="90"/>
      <c r="J795" s="90"/>
      <c r="K795" s="90"/>
      <c r="L795" s="91"/>
      <c r="M795" s="73"/>
      <c r="N795" s="74"/>
      <c r="O795" s="74"/>
      <c r="P795" s="74"/>
      <c r="Q795" s="74"/>
    </row>
    <row r="796">
      <c r="A796" s="74"/>
      <c r="B796" s="74"/>
      <c r="C796" s="12"/>
      <c r="D796" s="74"/>
      <c r="E796" s="74"/>
      <c r="F796" s="89"/>
      <c r="G796" s="89"/>
      <c r="H796" s="90"/>
      <c r="I796" s="90"/>
      <c r="J796" s="90"/>
      <c r="K796" s="90"/>
      <c r="L796" s="91"/>
      <c r="M796" s="73"/>
      <c r="N796" s="74"/>
      <c r="O796" s="74"/>
      <c r="P796" s="74"/>
      <c r="Q796" s="74"/>
    </row>
    <row r="797">
      <c r="A797" s="74"/>
      <c r="B797" s="74"/>
      <c r="C797" s="12"/>
      <c r="D797" s="74"/>
      <c r="E797" s="74"/>
      <c r="F797" s="89"/>
      <c r="G797" s="89"/>
      <c r="H797" s="90"/>
      <c r="I797" s="90"/>
      <c r="J797" s="90"/>
      <c r="K797" s="90"/>
      <c r="L797" s="91"/>
      <c r="M797" s="73"/>
      <c r="N797" s="74"/>
      <c r="O797" s="74"/>
      <c r="P797" s="74"/>
      <c r="Q797" s="74"/>
    </row>
    <row r="798">
      <c r="A798" s="74"/>
      <c r="B798" s="74"/>
      <c r="C798" s="12"/>
      <c r="D798" s="74"/>
      <c r="E798" s="74"/>
      <c r="F798" s="89"/>
      <c r="G798" s="89"/>
      <c r="H798" s="90"/>
      <c r="I798" s="90"/>
      <c r="J798" s="90"/>
      <c r="K798" s="90"/>
      <c r="L798" s="91"/>
      <c r="M798" s="73"/>
      <c r="N798" s="74"/>
      <c r="O798" s="74"/>
      <c r="P798" s="74"/>
      <c r="Q798" s="74"/>
    </row>
    <row r="799">
      <c r="A799" s="74"/>
      <c r="B799" s="74"/>
      <c r="C799" s="12"/>
      <c r="D799" s="74"/>
      <c r="E799" s="74"/>
      <c r="F799" s="89"/>
      <c r="G799" s="89"/>
      <c r="H799" s="90"/>
      <c r="I799" s="90"/>
      <c r="J799" s="90"/>
      <c r="K799" s="90"/>
      <c r="L799" s="91"/>
      <c r="M799" s="73"/>
      <c r="N799" s="74"/>
      <c r="O799" s="74"/>
      <c r="P799" s="74"/>
      <c r="Q799" s="74"/>
    </row>
    <row r="800">
      <c r="A800" s="74"/>
      <c r="B800" s="74"/>
      <c r="C800" s="12"/>
      <c r="D800" s="74"/>
      <c r="E800" s="74"/>
      <c r="F800" s="89"/>
      <c r="G800" s="89"/>
      <c r="H800" s="90"/>
      <c r="I800" s="90"/>
      <c r="J800" s="90"/>
      <c r="K800" s="90"/>
      <c r="L800" s="91"/>
      <c r="M800" s="73"/>
      <c r="N800" s="74"/>
      <c r="O800" s="74"/>
      <c r="P800" s="74"/>
      <c r="Q800" s="74"/>
    </row>
    <row r="801">
      <c r="A801" s="74"/>
      <c r="B801" s="74"/>
      <c r="C801" s="12"/>
      <c r="D801" s="74"/>
      <c r="E801" s="74"/>
      <c r="F801" s="89"/>
      <c r="G801" s="89"/>
      <c r="H801" s="90"/>
      <c r="I801" s="90"/>
      <c r="J801" s="90"/>
      <c r="K801" s="90"/>
      <c r="L801" s="91"/>
      <c r="M801" s="73"/>
      <c r="N801" s="74"/>
      <c r="O801" s="74"/>
      <c r="P801" s="74"/>
      <c r="Q801" s="74"/>
    </row>
    <row r="802">
      <c r="A802" s="74"/>
      <c r="B802" s="74"/>
      <c r="C802" s="12"/>
      <c r="D802" s="74"/>
      <c r="E802" s="74"/>
      <c r="F802" s="89"/>
      <c r="G802" s="89"/>
      <c r="H802" s="90"/>
      <c r="I802" s="90"/>
      <c r="J802" s="90"/>
      <c r="K802" s="90"/>
      <c r="L802" s="91"/>
      <c r="M802" s="73"/>
      <c r="N802" s="74"/>
      <c r="O802" s="74"/>
      <c r="P802" s="74"/>
      <c r="Q802" s="74"/>
    </row>
    <row r="803">
      <c r="A803" s="74"/>
      <c r="B803" s="74"/>
      <c r="C803" s="12"/>
      <c r="D803" s="74"/>
      <c r="E803" s="74"/>
      <c r="F803" s="89"/>
      <c r="G803" s="89"/>
      <c r="H803" s="90"/>
      <c r="I803" s="90"/>
      <c r="J803" s="90"/>
      <c r="K803" s="90"/>
      <c r="L803" s="91"/>
      <c r="M803" s="73"/>
      <c r="N803" s="74"/>
      <c r="O803" s="74"/>
      <c r="P803" s="74"/>
      <c r="Q803" s="74"/>
    </row>
    <row r="804">
      <c r="A804" s="74"/>
      <c r="B804" s="74"/>
      <c r="C804" s="12"/>
      <c r="D804" s="74"/>
      <c r="E804" s="74"/>
      <c r="F804" s="89"/>
      <c r="G804" s="89"/>
      <c r="H804" s="90"/>
      <c r="I804" s="90"/>
      <c r="J804" s="90"/>
      <c r="K804" s="90"/>
      <c r="L804" s="91"/>
      <c r="M804" s="73"/>
      <c r="N804" s="74"/>
      <c r="O804" s="74"/>
      <c r="P804" s="74"/>
      <c r="Q804" s="74"/>
    </row>
    <row r="805">
      <c r="A805" s="74"/>
      <c r="B805" s="74"/>
      <c r="C805" s="12"/>
      <c r="D805" s="74"/>
      <c r="E805" s="74"/>
      <c r="F805" s="89"/>
      <c r="G805" s="89"/>
      <c r="H805" s="90"/>
      <c r="I805" s="90"/>
      <c r="J805" s="90"/>
      <c r="K805" s="90"/>
      <c r="L805" s="91"/>
      <c r="M805" s="73"/>
      <c r="N805" s="74"/>
      <c r="O805" s="74"/>
      <c r="P805" s="74"/>
      <c r="Q805" s="74"/>
    </row>
    <row r="806">
      <c r="A806" s="74"/>
      <c r="B806" s="74"/>
      <c r="C806" s="12"/>
      <c r="D806" s="74"/>
      <c r="E806" s="74"/>
      <c r="F806" s="89"/>
      <c r="G806" s="89"/>
      <c r="H806" s="90"/>
      <c r="I806" s="90"/>
      <c r="J806" s="90"/>
      <c r="K806" s="90"/>
      <c r="L806" s="91"/>
      <c r="M806" s="73"/>
      <c r="N806" s="74"/>
      <c r="O806" s="74"/>
      <c r="P806" s="74"/>
      <c r="Q806" s="74"/>
    </row>
    <row r="807">
      <c r="A807" s="74"/>
      <c r="B807" s="74"/>
      <c r="C807" s="12"/>
      <c r="D807" s="74"/>
      <c r="E807" s="74"/>
      <c r="F807" s="89"/>
      <c r="G807" s="89"/>
      <c r="H807" s="90"/>
      <c r="I807" s="90"/>
      <c r="J807" s="90"/>
      <c r="K807" s="90"/>
      <c r="L807" s="91"/>
      <c r="M807" s="73"/>
      <c r="N807" s="74"/>
      <c r="O807" s="74"/>
      <c r="P807" s="74"/>
      <c r="Q807" s="74"/>
    </row>
    <row r="808">
      <c r="A808" s="74"/>
      <c r="B808" s="74"/>
      <c r="C808" s="12"/>
      <c r="D808" s="74"/>
      <c r="E808" s="74"/>
      <c r="F808" s="89"/>
      <c r="G808" s="89"/>
      <c r="H808" s="90"/>
      <c r="I808" s="90"/>
      <c r="J808" s="90"/>
      <c r="K808" s="90"/>
      <c r="L808" s="91"/>
      <c r="M808" s="73"/>
      <c r="N808" s="74"/>
      <c r="O808" s="74"/>
      <c r="P808" s="74"/>
      <c r="Q808" s="74"/>
    </row>
    <row r="809">
      <c r="A809" s="74"/>
      <c r="B809" s="74"/>
      <c r="C809" s="12"/>
      <c r="D809" s="74"/>
      <c r="E809" s="74"/>
      <c r="F809" s="89"/>
      <c r="G809" s="89"/>
      <c r="H809" s="90"/>
      <c r="I809" s="90"/>
      <c r="J809" s="90"/>
      <c r="K809" s="90"/>
      <c r="L809" s="91"/>
      <c r="M809" s="73"/>
      <c r="N809" s="74"/>
      <c r="O809" s="74"/>
      <c r="P809" s="74"/>
      <c r="Q809" s="74"/>
    </row>
    <row r="810">
      <c r="A810" s="74"/>
      <c r="B810" s="74"/>
      <c r="C810" s="12"/>
      <c r="D810" s="74"/>
      <c r="E810" s="74"/>
      <c r="F810" s="89"/>
      <c r="G810" s="89"/>
      <c r="H810" s="90"/>
      <c r="I810" s="90"/>
      <c r="J810" s="90"/>
      <c r="K810" s="90"/>
      <c r="L810" s="91"/>
      <c r="M810" s="73"/>
      <c r="N810" s="74"/>
      <c r="O810" s="74"/>
      <c r="P810" s="74"/>
      <c r="Q810" s="74"/>
    </row>
    <row r="811">
      <c r="A811" s="74"/>
      <c r="B811" s="74"/>
      <c r="C811" s="12"/>
      <c r="D811" s="74"/>
      <c r="E811" s="74"/>
      <c r="F811" s="89"/>
      <c r="G811" s="89"/>
      <c r="H811" s="90"/>
      <c r="I811" s="90"/>
      <c r="J811" s="90"/>
      <c r="K811" s="90"/>
      <c r="L811" s="91"/>
      <c r="M811" s="73"/>
      <c r="N811" s="74"/>
      <c r="O811" s="74"/>
      <c r="P811" s="74"/>
      <c r="Q811" s="74"/>
    </row>
    <row r="812">
      <c r="A812" s="74"/>
      <c r="B812" s="74"/>
      <c r="C812" s="12"/>
      <c r="D812" s="74"/>
      <c r="E812" s="74"/>
      <c r="F812" s="89"/>
      <c r="G812" s="89"/>
      <c r="H812" s="90"/>
      <c r="I812" s="90"/>
      <c r="J812" s="90"/>
      <c r="K812" s="90"/>
      <c r="L812" s="91"/>
      <c r="M812" s="73"/>
      <c r="N812" s="74"/>
      <c r="O812" s="74"/>
      <c r="P812" s="74"/>
      <c r="Q812" s="74"/>
    </row>
    <row r="813">
      <c r="A813" s="74"/>
      <c r="B813" s="74"/>
      <c r="C813" s="12"/>
      <c r="D813" s="74"/>
      <c r="E813" s="74"/>
      <c r="F813" s="89"/>
      <c r="G813" s="89"/>
      <c r="H813" s="90"/>
      <c r="I813" s="90"/>
      <c r="J813" s="90"/>
      <c r="K813" s="90"/>
      <c r="L813" s="91"/>
      <c r="M813" s="73"/>
      <c r="N813" s="74"/>
      <c r="O813" s="74"/>
      <c r="P813" s="74"/>
      <c r="Q813" s="74"/>
    </row>
    <row r="814">
      <c r="A814" s="74"/>
      <c r="B814" s="74"/>
      <c r="C814" s="12"/>
      <c r="D814" s="74"/>
      <c r="E814" s="74"/>
      <c r="F814" s="89"/>
      <c r="G814" s="89"/>
      <c r="H814" s="90"/>
      <c r="I814" s="90"/>
      <c r="J814" s="90"/>
      <c r="K814" s="90"/>
      <c r="L814" s="91"/>
      <c r="M814" s="73"/>
      <c r="N814" s="74"/>
      <c r="O814" s="74"/>
      <c r="P814" s="74"/>
      <c r="Q814" s="74"/>
    </row>
    <row r="815">
      <c r="A815" s="74"/>
      <c r="B815" s="74"/>
      <c r="C815" s="12"/>
      <c r="D815" s="74"/>
      <c r="E815" s="74"/>
      <c r="F815" s="89"/>
      <c r="G815" s="89"/>
      <c r="H815" s="90"/>
      <c r="I815" s="90"/>
      <c r="J815" s="90"/>
      <c r="K815" s="90"/>
      <c r="L815" s="91"/>
      <c r="M815" s="73"/>
      <c r="N815" s="74"/>
      <c r="O815" s="74"/>
      <c r="P815" s="74"/>
      <c r="Q815" s="74"/>
    </row>
    <row r="816">
      <c r="A816" s="74"/>
      <c r="B816" s="74"/>
      <c r="C816" s="12"/>
      <c r="D816" s="74"/>
      <c r="E816" s="74"/>
      <c r="F816" s="89"/>
      <c r="G816" s="89"/>
      <c r="H816" s="90"/>
      <c r="I816" s="90"/>
      <c r="J816" s="90"/>
      <c r="K816" s="90"/>
      <c r="L816" s="91"/>
      <c r="M816" s="73"/>
      <c r="N816" s="74"/>
      <c r="O816" s="74"/>
      <c r="P816" s="74"/>
      <c r="Q816" s="74"/>
    </row>
    <row r="817">
      <c r="A817" s="74"/>
      <c r="B817" s="74"/>
      <c r="C817" s="12"/>
      <c r="D817" s="74"/>
      <c r="E817" s="74"/>
      <c r="F817" s="89"/>
      <c r="G817" s="89"/>
      <c r="H817" s="90"/>
      <c r="I817" s="90"/>
      <c r="J817" s="90"/>
      <c r="K817" s="90"/>
      <c r="L817" s="91"/>
      <c r="M817" s="73"/>
      <c r="N817" s="74"/>
      <c r="O817" s="74"/>
      <c r="P817" s="74"/>
      <c r="Q817" s="74"/>
    </row>
    <row r="818">
      <c r="A818" s="74"/>
      <c r="B818" s="74"/>
      <c r="C818" s="12"/>
      <c r="D818" s="74"/>
      <c r="E818" s="74"/>
      <c r="F818" s="89"/>
      <c r="G818" s="89"/>
      <c r="H818" s="90"/>
      <c r="I818" s="90"/>
      <c r="J818" s="90"/>
      <c r="K818" s="90"/>
      <c r="L818" s="91"/>
      <c r="M818" s="73"/>
      <c r="N818" s="74"/>
      <c r="O818" s="74"/>
      <c r="P818" s="74"/>
      <c r="Q818" s="74"/>
    </row>
    <row r="819">
      <c r="A819" s="74"/>
      <c r="B819" s="74"/>
      <c r="C819" s="12"/>
      <c r="D819" s="74"/>
      <c r="E819" s="74"/>
      <c r="F819" s="89"/>
      <c r="G819" s="89"/>
      <c r="H819" s="90"/>
      <c r="I819" s="90"/>
      <c r="J819" s="90"/>
      <c r="K819" s="90"/>
      <c r="L819" s="91"/>
      <c r="M819" s="73"/>
      <c r="N819" s="74"/>
      <c r="O819" s="74"/>
      <c r="P819" s="74"/>
      <c r="Q819" s="74"/>
    </row>
    <row r="820">
      <c r="A820" s="74"/>
      <c r="B820" s="74"/>
      <c r="C820" s="12"/>
      <c r="D820" s="74"/>
      <c r="E820" s="74"/>
      <c r="F820" s="89"/>
      <c r="G820" s="89"/>
      <c r="H820" s="90"/>
      <c r="I820" s="90"/>
      <c r="J820" s="90"/>
      <c r="K820" s="90"/>
      <c r="L820" s="91"/>
      <c r="M820" s="73"/>
      <c r="N820" s="74"/>
      <c r="O820" s="74"/>
      <c r="P820" s="74"/>
      <c r="Q820" s="74"/>
    </row>
    <row r="821">
      <c r="A821" s="74"/>
      <c r="B821" s="74"/>
      <c r="C821" s="12"/>
      <c r="D821" s="74"/>
      <c r="E821" s="74"/>
      <c r="F821" s="89"/>
      <c r="G821" s="89"/>
      <c r="H821" s="90"/>
      <c r="I821" s="90"/>
      <c r="J821" s="90"/>
      <c r="K821" s="90"/>
      <c r="L821" s="91"/>
      <c r="M821" s="73"/>
      <c r="N821" s="74"/>
      <c r="O821" s="74"/>
      <c r="P821" s="74"/>
      <c r="Q821" s="74"/>
    </row>
    <row r="822">
      <c r="A822" s="74"/>
      <c r="B822" s="74"/>
      <c r="C822" s="12"/>
      <c r="D822" s="74"/>
      <c r="E822" s="74"/>
      <c r="F822" s="89"/>
      <c r="G822" s="89"/>
      <c r="H822" s="90"/>
      <c r="I822" s="90"/>
      <c r="J822" s="90"/>
      <c r="K822" s="90"/>
      <c r="L822" s="91"/>
      <c r="M822" s="73"/>
      <c r="N822" s="74"/>
      <c r="O822" s="74"/>
      <c r="P822" s="74"/>
      <c r="Q822" s="74"/>
    </row>
    <row r="823">
      <c r="A823" s="74"/>
      <c r="B823" s="74"/>
      <c r="C823" s="12"/>
      <c r="D823" s="74"/>
      <c r="E823" s="74"/>
      <c r="F823" s="89"/>
      <c r="G823" s="89"/>
      <c r="H823" s="90"/>
      <c r="I823" s="90"/>
      <c r="J823" s="90"/>
      <c r="K823" s="90"/>
      <c r="L823" s="91"/>
      <c r="M823" s="73"/>
      <c r="N823" s="74"/>
      <c r="O823" s="74"/>
      <c r="P823" s="74"/>
      <c r="Q823" s="74"/>
    </row>
    <row r="824">
      <c r="A824" s="74"/>
      <c r="B824" s="74"/>
      <c r="C824" s="12"/>
      <c r="D824" s="74"/>
      <c r="E824" s="74"/>
      <c r="F824" s="89"/>
      <c r="G824" s="89"/>
      <c r="H824" s="90"/>
      <c r="I824" s="90"/>
      <c r="J824" s="90"/>
      <c r="K824" s="90"/>
      <c r="L824" s="91"/>
      <c r="M824" s="73"/>
      <c r="N824" s="74"/>
      <c r="O824" s="74"/>
      <c r="P824" s="74"/>
      <c r="Q824" s="74"/>
    </row>
    <row r="825">
      <c r="A825" s="74"/>
      <c r="B825" s="74"/>
      <c r="C825" s="12"/>
      <c r="D825" s="74"/>
      <c r="E825" s="74"/>
      <c r="F825" s="89"/>
      <c r="G825" s="89"/>
      <c r="H825" s="90"/>
      <c r="I825" s="90"/>
      <c r="J825" s="90"/>
      <c r="K825" s="90"/>
      <c r="L825" s="91"/>
      <c r="M825" s="73"/>
      <c r="N825" s="74"/>
      <c r="O825" s="74"/>
      <c r="P825" s="74"/>
      <c r="Q825" s="74"/>
    </row>
    <row r="826">
      <c r="A826" s="74"/>
      <c r="B826" s="74"/>
      <c r="C826" s="12"/>
      <c r="D826" s="74"/>
      <c r="E826" s="74"/>
      <c r="F826" s="89"/>
      <c r="G826" s="89"/>
      <c r="H826" s="90"/>
      <c r="I826" s="90"/>
      <c r="J826" s="90"/>
      <c r="K826" s="90"/>
      <c r="L826" s="91"/>
      <c r="M826" s="73"/>
      <c r="N826" s="74"/>
      <c r="O826" s="74"/>
      <c r="P826" s="74"/>
      <c r="Q826" s="74"/>
    </row>
    <row r="827">
      <c r="A827" s="74"/>
      <c r="B827" s="74"/>
      <c r="C827" s="12"/>
      <c r="D827" s="74"/>
      <c r="E827" s="74"/>
      <c r="F827" s="89"/>
      <c r="G827" s="89"/>
      <c r="H827" s="90"/>
      <c r="I827" s="90"/>
      <c r="J827" s="90"/>
      <c r="K827" s="90"/>
      <c r="L827" s="91"/>
      <c r="M827" s="73"/>
      <c r="N827" s="74"/>
      <c r="O827" s="74"/>
      <c r="P827" s="74"/>
      <c r="Q827" s="74"/>
    </row>
    <row r="828">
      <c r="A828" s="74"/>
      <c r="B828" s="74"/>
      <c r="C828" s="12"/>
      <c r="D828" s="74"/>
      <c r="E828" s="74"/>
      <c r="F828" s="89"/>
      <c r="G828" s="89"/>
      <c r="H828" s="90"/>
      <c r="I828" s="90"/>
      <c r="J828" s="90"/>
      <c r="K828" s="90"/>
      <c r="L828" s="91"/>
      <c r="M828" s="73"/>
      <c r="N828" s="74"/>
      <c r="O828" s="74"/>
      <c r="P828" s="74"/>
      <c r="Q828" s="74"/>
    </row>
    <row r="829">
      <c r="A829" s="74"/>
      <c r="B829" s="74"/>
      <c r="C829" s="12"/>
      <c r="D829" s="74"/>
      <c r="E829" s="74"/>
      <c r="F829" s="89"/>
      <c r="G829" s="89"/>
      <c r="H829" s="90"/>
      <c r="I829" s="90"/>
      <c r="J829" s="90"/>
      <c r="K829" s="90"/>
      <c r="L829" s="91"/>
      <c r="M829" s="73"/>
      <c r="N829" s="74"/>
      <c r="O829" s="74"/>
      <c r="P829" s="74"/>
      <c r="Q829" s="74"/>
    </row>
    <row r="830">
      <c r="A830" s="74"/>
      <c r="B830" s="74"/>
      <c r="C830" s="12"/>
      <c r="D830" s="74"/>
      <c r="E830" s="74"/>
      <c r="F830" s="89"/>
      <c r="G830" s="89"/>
      <c r="H830" s="90"/>
      <c r="I830" s="90"/>
      <c r="J830" s="90"/>
      <c r="K830" s="90"/>
      <c r="L830" s="91"/>
      <c r="M830" s="73"/>
      <c r="N830" s="74"/>
      <c r="O830" s="74"/>
      <c r="P830" s="74"/>
      <c r="Q830" s="74"/>
    </row>
    <row r="831">
      <c r="A831" s="74"/>
      <c r="B831" s="74"/>
      <c r="C831" s="12"/>
      <c r="D831" s="74"/>
      <c r="E831" s="74"/>
      <c r="F831" s="89"/>
      <c r="G831" s="89"/>
      <c r="H831" s="90"/>
      <c r="I831" s="90"/>
      <c r="J831" s="90"/>
      <c r="K831" s="90"/>
      <c r="L831" s="91"/>
      <c r="M831" s="73"/>
      <c r="N831" s="74"/>
      <c r="O831" s="74"/>
      <c r="P831" s="74"/>
      <c r="Q831" s="74"/>
    </row>
    <row r="832">
      <c r="A832" s="74"/>
      <c r="B832" s="74"/>
      <c r="C832" s="12"/>
      <c r="D832" s="74"/>
      <c r="E832" s="74"/>
      <c r="F832" s="89"/>
      <c r="G832" s="89"/>
      <c r="H832" s="90"/>
      <c r="I832" s="90"/>
      <c r="J832" s="90"/>
      <c r="K832" s="90"/>
      <c r="L832" s="91"/>
      <c r="M832" s="73"/>
      <c r="N832" s="74"/>
      <c r="O832" s="74"/>
      <c r="P832" s="74"/>
      <c r="Q832" s="74"/>
    </row>
    <row r="833">
      <c r="A833" s="74"/>
      <c r="B833" s="74"/>
      <c r="C833" s="12"/>
      <c r="D833" s="74"/>
      <c r="E833" s="74"/>
      <c r="F833" s="89"/>
      <c r="G833" s="89"/>
      <c r="H833" s="90"/>
      <c r="I833" s="90"/>
      <c r="J833" s="90"/>
      <c r="K833" s="90"/>
      <c r="L833" s="91"/>
      <c r="M833" s="73"/>
      <c r="N833" s="74"/>
      <c r="O833" s="74"/>
      <c r="P833" s="74"/>
      <c r="Q833" s="74"/>
    </row>
    <row r="834">
      <c r="A834" s="74"/>
      <c r="B834" s="74"/>
      <c r="C834" s="12"/>
      <c r="D834" s="74"/>
      <c r="E834" s="74"/>
      <c r="F834" s="89"/>
      <c r="G834" s="89"/>
      <c r="H834" s="90"/>
      <c r="I834" s="90"/>
      <c r="J834" s="90"/>
      <c r="K834" s="90"/>
      <c r="L834" s="91"/>
      <c r="M834" s="73"/>
      <c r="N834" s="74"/>
      <c r="O834" s="74"/>
      <c r="P834" s="74"/>
      <c r="Q834" s="74"/>
    </row>
    <row r="835">
      <c r="A835" s="74"/>
      <c r="B835" s="74"/>
      <c r="C835" s="12"/>
      <c r="D835" s="74"/>
      <c r="E835" s="74"/>
      <c r="F835" s="89"/>
      <c r="G835" s="89"/>
      <c r="H835" s="90"/>
      <c r="I835" s="90"/>
      <c r="J835" s="90"/>
      <c r="K835" s="90"/>
      <c r="L835" s="91"/>
      <c r="M835" s="73"/>
      <c r="N835" s="74"/>
      <c r="O835" s="74"/>
      <c r="P835" s="74"/>
      <c r="Q835" s="74"/>
    </row>
    <row r="836">
      <c r="A836" s="74"/>
      <c r="B836" s="74"/>
      <c r="C836" s="12"/>
      <c r="D836" s="74"/>
      <c r="E836" s="74"/>
      <c r="F836" s="89"/>
      <c r="G836" s="89"/>
      <c r="H836" s="90"/>
      <c r="I836" s="90"/>
      <c r="J836" s="90"/>
      <c r="K836" s="90"/>
      <c r="L836" s="91"/>
      <c r="M836" s="73"/>
      <c r="N836" s="74"/>
      <c r="O836" s="74"/>
      <c r="P836" s="74"/>
      <c r="Q836" s="74"/>
    </row>
    <row r="837">
      <c r="A837" s="74"/>
      <c r="B837" s="74"/>
      <c r="C837" s="12"/>
      <c r="D837" s="74"/>
      <c r="E837" s="74"/>
      <c r="F837" s="89"/>
      <c r="G837" s="89"/>
      <c r="H837" s="90"/>
      <c r="I837" s="90"/>
      <c r="J837" s="90"/>
      <c r="K837" s="90"/>
      <c r="L837" s="91"/>
      <c r="M837" s="73"/>
      <c r="N837" s="74"/>
      <c r="O837" s="74"/>
      <c r="P837" s="74"/>
      <c r="Q837" s="74"/>
    </row>
    <row r="838">
      <c r="A838" s="74"/>
      <c r="B838" s="74"/>
      <c r="C838" s="12"/>
      <c r="D838" s="74"/>
      <c r="E838" s="74"/>
      <c r="F838" s="89"/>
      <c r="G838" s="89"/>
      <c r="H838" s="90"/>
      <c r="I838" s="90"/>
      <c r="J838" s="90"/>
      <c r="K838" s="90"/>
      <c r="L838" s="91"/>
      <c r="M838" s="73"/>
      <c r="N838" s="74"/>
      <c r="O838" s="74"/>
      <c r="P838" s="74"/>
      <c r="Q838" s="74"/>
    </row>
    <row r="839">
      <c r="A839" s="74"/>
      <c r="B839" s="74"/>
      <c r="C839" s="12"/>
      <c r="D839" s="74"/>
      <c r="E839" s="74"/>
      <c r="F839" s="89"/>
      <c r="G839" s="89"/>
      <c r="H839" s="90"/>
      <c r="I839" s="90"/>
      <c r="J839" s="90"/>
      <c r="K839" s="90"/>
      <c r="L839" s="91"/>
      <c r="M839" s="73"/>
      <c r="N839" s="74"/>
      <c r="O839" s="74"/>
      <c r="P839" s="74"/>
      <c r="Q839" s="74"/>
    </row>
    <row r="840">
      <c r="A840" s="74"/>
      <c r="B840" s="74"/>
      <c r="C840" s="12"/>
      <c r="D840" s="74"/>
      <c r="E840" s="74"/>
      <c r="F840" s="89"/>
      <c r="G840" s="89"/>
      <c r="H840" s="90"/>
      <c r="I840" s="90"/>
      <c r="J840" s="90"/>
      <c r="K840" s="90"/>
      <c r="L840" s="91"/>
      <c r="M840" s="73"/>
      <c r="N840" s="74"/>
      <c r="O840" s="74"/>
      <c r="P840" s="74"/>
      <c r="Q840" s="74"/>
    </row>
    <row r="841">
      <c r="A841" s="74"/>
      <c r="B841" s="74"/>
      <c r="C841" s="12"/>
      <c r="D841" s="74"/>
      <c r="E841" s="74"/>
      <c r="F841" s="89"/>
      <c r="G841" s="89"/>
      <c r="H841" s="90"/>
      <c r="I841" s="90"/>
      <c r="J841" s="90"/>
      <c r="K841" s="90"/>
      <c r="L841" s="91"/>
      <c r="M841" s="73"/>
      <c r="N841" s="74"/>
      <c r="O841" s="74"/>
      <c r="P841" s="74"/>
      <c r="Q841" s="74"/>
    </row>
    <row r="842">
      <c r="A842" s="74"/>
      <c r="B842" s="74"/>
      <c r="C842" s="12"/>
      <c r="D842" s="74"/>
      <c r="E842" s="74"/>
      <c r="F842" s="89"/>
      <c r="G842" s="89"/>
      <c r="H842" s="90"/>
      <c r="I842" s="90"/>
      <c r="J842" s="90"/>
      <c r="K842" s="90"/>
      <c r="L842" s="91"/>
      <c r="M842" s="73"/>
      <c r="N842" s="74"/>
      <c r="O842" s="74"/>
      <c r="P842" s="74"/>
      <c r="Q842" s="74"/>
    </row>
    <row r="843">
      <c r="A843" s="74"/>
      <c r="B843" s="74"/>
      <c r="C843" s="12"/>
      <c r="D843" s="74"/>
      <c r="E843" s="74"/>
      <c r="F843" s="89"/>
      <c r="G843" s="89"/>
      <c r="H843" s="90"/>
      <c r="I843" s="90"/>
      <c r="J843" s="90"/>
      <c r="K843" s="90"/>
      <c r="L843" s="91"/>
      <c r="M843" s="73"/>
      <c r="N843" s="74"/>
      <c r="O843" s="74"/>
      <c r="P843" s="74"/>
      <c r="Q843" s="74"/>
    </row>
    <row r="844">
      <c r="A844" s="74"/>
      <c r="B844" s="74"/>
      <c r="C844" s="12"/>
      <c r="D844" s="74"/>
      <c r="E844" s="74"/>
      <c r="F844" s="89"/>
      <c r="G844" s="89"/>
      <c r="H844" s="90"/>
      <c r="I844" s="90"/>
      <c r="J844" s="90"/>
      <c r="K844" s="90"/>
      <c r="L844" s="91"/>
      <c r="M844" s="73"/>
      <c r="N844" s="74"/>
      <c r="O844" s="74"/>
      <c r="P844" s="74"/>
      <c r="Q844" s="74"/>
    </row>
    <row r="845">
      <c r="A845" s="74"/>
      <c r="B845" s="74"/>
      <c r="C845" s="12"/>
      <c r="D845" s="74"/>
      <c r="E845" s="74"/>
      <c r="F845" s="89"/>
      <c r="G845" s="89"/>
      <c r="H845" s="90"/>
      <c r="I845" s="90"/>
      <c r="J845" s="90"/>
      <c r="K845" s="90"/>
      <c r="L845" s="91"/>
      <c r="M845" s="73"/>
      <c r="N845" s="74"/>
      <c r="O845" s="74"/>
      <c r="P845" s="74"/>
      <c r="Q845" s="74"/>
    </row>
    <row r="846">
      <c r="A846" s="74"/>
      <c r="B846" s="74"/>
      <c r="C846" s="12"/>
      <c r="D846" s="74"/>
      <c r="E846" s="74"/>
      <c r="F846" s="89"/>
      <c r="G846" s="89"/>
      <c r="H846" s="90"/>
      <c r="I846" s="90"/>
      <c r="J846" s="90"/>
      <c r="K846" s="90"/>
      <c r="L846" s="91"/>
      <c r="M846" s="73"/>
      <c r="N846" s="74"/>
      <c r="O846" s="74"/>
      <c r="P846" s="74"/>
      <c r="Q846" s="74"/>
    </row>
    <row r="847">
      <c r="A847" s="74"/>
      <c r="B847" s="74"/>
      <c r="C847" s="12"/>
      <c r="D847" s="74"/>
      <c r="E847" s="74"/>
      <c r="F847" s="89"/>
      <c r="G847" s="89"/>
      <c r="H847" s="90"/>
      <c r="I847" s="90"/>
      <c r="J847" s="90"/>
      <c r="K847" s="90"/>
      <c r="L847" s="91"/>
      <c r="M847" s="73"/>
      <c r="N847" s="74"/>
      <c r="O847" s="74"/>
      <c r="P847" s="74"/>
      <c r="Q847" s="74"/>
    </row>
    <row r="848">
      <c r="A848" s="74"/>
      <c r="B848" s="74"/>
      <c r="C848" s="12"/>
      <c r="D848" s="74"/>
      <c r="E848" s="74"/>
      <c r="F848" s="89"/>
      <c r="G848" s="89"/>
      <c r="H848" s="90"/>
      <c r="I848" s="90"/>
      <c r="J848" s="90"/>
      <c r="K848" s="90"/>
      <c r="L848" s="91"/>
      <c r="M848" s="73"/>
      <c r="N848" s="74"/>
      <c r="O848" s="74"/>
      <c r="P848" s="74"/>
      <c r="Q848" s="74"/>
    </row>
    <row r="849">
      <c r="A849" s="74"/>
      <c r="B849" s="74"/>
      <c r="C849" s="12"/>
      <c r="D849" s="74"/>
      <c r="E849" s="74"/>
      <c r="F849" s="89"/>
      <c r="G849" s="89"/>
      <c r="H849" s="90"/>
      <c r="I849" s="90"/>
      <c r="J849" s="90"/>
      <c r="K849" s="90"/>
      <c r="L849" s="91"/>
      <c r="M849" s="73"/>
      <c r="N849" s="74"/>
      <c r="O849" s="74"/>
      <c r="P849" s="74"/>
      <c r="Q849" s="74"/>
    </row>
    <row r="850">
      <c r="A850" s="74"/>
      <c r="B850" s="74"/>
      <c r="C850" s="12"/>
      <c r="D850" s="74"/>
      <c r="E850" s="74"/>
      <c r="F850" s="89"/>
      <c r="G850" s="89"/>
      <c r="H850" s="90"/>
      <c r="I850" s="90"/>
      <c r="J850" s="90"/>
      <c r="K850" s="90"/>
      <c r="L850" s="91"/>
      <c r="M850" s="73"/>
      <c r="N850" s="74"/>
      <c r="O850" s="74"/>
      <c r="P850" s="74"/>
      <c r="Q850" s="74"/>
    </row>
    <row r="851">
      <c r="A851" s="74"/>
      <c r="B851" s="74"/>
      <c r="C851" s="12"/>
      <c r="D851" s="74"/>
      <c r="E851" s="74"/>
      <c r="F851" s="89"/>
      <c r="G851" s="89"/>
      <c r="H851" s="90"/>
      <c r="I851" s="90"/>
      <c r="J851" s="90"/>
      <c r="K851" s="90"/>
      <c r="L851" s="91"/>
      <c r="M851" s="73"/>
      <c r="N851" s="74"/>
      <c r="O851" s="74"/>
      <c r="P851" s="74"/>
      <c r="Q851" s="74"/>
    </row>
    <row r="852">
      <c r="A852" s="74"/>
      <c r="B852" s="74"/>
      <c r="C852" s="12"/>
      <c r="D852" s="74"/>
      <c r="E852" s="74"/>
      <c r="F852" s="89"/>
      <c r="G852" s="89"/>
      <c r="H852" s="90"/>
      <c r="I852" s="90"/>
      <c r="J852" s="90"/>
      <c r="K852" s="90"/>
      <c r="L852" s="91"/>
      <c r="M852" s="73"/>
      <c r="N852" s="74"/>
      <c r="O852" s="74"/>
      <c r="P852" s="74"/>
      <c r="Q852" s="74"/>
    </row>
    <row r="853">
      <c r="A853" s="74"/>
      <c r="B853" s="74"/>
      <c r="C853" s="12"/>
      <c r="D853" s="74"/>
      <c r="E853" s="74"/>
      <c r="F853" s="89"/>
      <c r="G853" s="89"/>
      <c r="H853" s="90"/>
      <c r="I853" s="90"/>
      <c r="J853" s="90"/>
      <c r="K853" s="90"/>
      <c r="L853" s="91"/>
      <c r="M853" s="73"/>
      <c r="N853" s="74"/>
      <c r="O853" s="74"/>
      <c r="P853" s="74"/>
      <c r="Q853" s="74"/>
    </row>
    <row r="854">
      <c r="A854" s="74"/>
      <c r="B854" s="74"/>
      <c r="C854" s="12"/>
      <c r="D854" s="74"/>
      <c r="E854" s="74"/>
      <c r="F854" s="89"/>
      <c r="G854" s="89"/>
      <c r="H854" s="90"/>
      <c r="I854" s="90"/>
      <c r="J854" s="90"/>
      <c r="K854" s="90"/>
      <c r="L854" s="91"/>
      <c r="M854" s="73"/>
      <c r="N854" s="74"/>
      <c r="O854" s="74"/>
      <c r="P854" s="74"/>
      <c r="Q854" s="74"/>
    </row>
    <row r="855">
      <c r="A855" s="74"/>
      <c r="B855" s="74"/>
      <c r="C855" s="12"/>
      <c r="D855" s="74"/>
      <c r="E855" s="74"/>
      <c r="F855" s="89"/>
      <c r="G855" s="89"/>
      <c r="H855" s="90"/>
      <c r="I855" s="90"/>
      <c r="J855" s="90"/>
      <c r="K855" s="90"/>
      <c r="L855" s="91"/>
      <c r="M855" s="73"/>
      <c r="N855" s="74"/>
      <c r="O855" s="74"/>
      <c r="P855" s="74"/>
      <c r="Q855" s="74"/>
    </row>
    <row r="856">
      <c r="A856" s="74"/>
      <c r="B856" s="74"/>
      <c r="C856" s="12"/>
      <c r="D856" s="74"/>
      <c r="E856" s="74"/>
      <c r="F856" s="89"/>
      <c r="G856" s="89"/>
      <c r="H856" s="90"/>
      <c r="I856" s="90"/>
      <c r="J856" s="90"/>
      <c r="K856" s="90"/>
      <c r="L856" s="91"/>
      <c r="M856" s="73"/>
      <c r="N856" s="74"/>
      <c r="O856" s="74"/>
      <c r="P856" s="74"/>
      <c r="Q856" s="74"/>
    </row>
    <row r="857">
      <c r="A857" s="74"/>
      <c r="B857" s="74"/>
      <c r="C857" s="12"/>
      <c r="D857" s="74"/>
      <c r="E857" s="74"/>
      <c r="F857" s="89"/>
      <c r="G857" s="89"/>
      <c r="H857" s="90"/>
      <c r="I857" s="90"/>
      <c r="J857" s="90"/>
      <c r="K857" s="90"/>
      <c r="L857" s="91"/>
      <c r="M857" s="73"/>
      <c r="N857" s="74"/>
      <c r="O857" s="74"/>
      <c r="P857" s="74"/>
      <c r="Q857" s="74"/>
    </row>
    <row r="858">
      <c r="A858" s="74"/>
      <c r="B858" s="74"/>
      <c r="C858" s="12"/>
      <c r="D858" s="74"/>
      <c r="E858" s="74"/>
      <c r="F858" s="89"/>
      <c r="G858" s="89"/>
      <c r="H858" s="90"/>
      <c r="I858" s="90"/>
      <c r="J858" s="90"/>
      <c r="K858" s="90"/>
      <c r="L858" s="91"/>
      <c r="M858" s="73"/>
      <c r="N858" s="74"/>
      <c r="O858" s="74"/>
      <c r="P858" s="74"/>
      <c r="Q858" s="74"/>
    </row>
    <row r="859">
      <c r="A859" s="74"/>
      <c r="B859" s="74"/>
      <c r="C859" s="12"/>
      <c r="D859" s="74"/>
      <c r="E859" s="74"/>
      <c r="F859" s="89"/>
      <c r="G859" s="89"/>
      <c r="H859" s="90"/>
      <c r="I859" s="90"/>
      <c r="J859" s="90"/>
      <c r="K859" s="90"/>
      <c r="L859" s="91"/>
      <c r="M859" s="73"/>
      <c r="N859" s="74"/>
      <c r="O859" s="74"/>
      <c r="P859" s="74"/>
      <c r="Q859" s="74"/>
    </row>
    <row r="860">
      <c r="A860" s="74"/>
      <c r="B860" s="74"/>
      <c r="C860" s="12"/>
      <c r="D860" s="74"/>
      <c r="E860" s="74"/>
      <c r="F860" s="89"/>
      <c r="G860" s="89"/>
      <c r="H860" s="90"/>
      <c r="I860" s="90"/>
      <c r="J860" s="90"/>
      <c r="K860" s="90"/>
      <c r="L860" s="91"/>
      <c r="M860" s="73"/>
      <c r="N860" s="74"/>
      <c r="O860" s="74"/>
      <c r="P860" s="74"/>
      <c r="Q860" s="74"/>
    </row>
    <row r="861">
      <c r="A861" s="74"/>
      <c r="B861" s="74"/>
      <c r="C861" s="12"/>
      <c r="D861" s="74"/>
      <c r="E861" s="74"/>
      <c r="F861" s="89"/>
      <c r="G861" s="89"/>
      <c r="H861" s="90"/>
      <c r="I861" s="90"/>
      <c r="J861" s="90"/>
      <c r="K861" s="90"/>
      <c r="L861" s="91"/>
      <c r="M861" s="73"/>
      <c r="N861" s="74"/>
      <c r="O861" s="74"/>
      <c r="P861" s="74"/>
      <c r="Q861" s="74"/>
    </row>
    <row r="862">
      <c r="A862" s="74"/>
      <c r="B862" s="74"/>
      <c r="C862" s="12"/>
      <c r="D862" s="74"/>
      <c r="E862" s="74"/>
      <c r="F862" s="89"/>
      <c r="G862" s="89"/>
      <c r="H862" s="90"/>
      <c r="I862" s="90"/>
      <c r="J862" s="90"/>
      <c r="K862" s="90"/>
      <c r="L862" s="91"/>
      <c r="M862" s="73"/>
      <c r="N862" s="74"/>
      <c r="O862" s="74"/>
      <c r="P862" s="74"/>
      <c r="Q862" s="74"/>
    </row>
    <row r="863">
      <c r="A863" s="74"/>
      <c r="B863" s="74"/>
      <c r="C863" s="12"/>
      <c r="D863" s="74"/>
      <c r="E863" s="74"/>
      <c r="F863" s="89"/>
      <c r="G863" s="89"/>
      <c r="H863" s="90"/>
      <c r="I863" s="90"/>
      <c r="J863" s="90"/>
      <c r="K863" s="90"/>
      <c r="L863" s="91"/>
      <c r="M863" s="73"/>
      <c r="N863" s="74"/>
      <c r="O863" s="74"/>
      <c r="P863" s="74"/>
      <c r="Q863" s="74"/>
    </row>
    <row r="864">
      <c r="A864" s="74"/>
      <c r="B864" s="74"/>
      <c r="C864" s="12"/>
      <c r="D864" s="74"/>
      <c r="E864" s="74"/>
      <c r="F864" s="89"/>
      <c r="G864" s="89"/>
      <c r="H864" s="90"/>
      <c r="I864" s="90"/>
      <c r="J864" s="90"/>
      <c r="K864" s="90"/>
      <c r="L864" s="91"/>
      <c r="M864" s="73"/>
      <c r="N864" s="74"/>
      <c r="O864" s="74"/>
      <c r="P864" s="74"/>
      <c r="Q864" s="74"/>
    </row>
    <row r="865">
      <c r="A865" s="74"/>
      <c r="B865" s="74"/>
      <c r="C865" s="12"/>
      <c r="D865" s="74"/>
      <c r="E865" s="74"/>
      <c r="F865" s="89"/>
      <c r="G865" s="89"/>
      <c r="H865" s="90"/>
      <c r="I865" s="90"/>
      <c r="J865" s="90"/>
      <c r="K865" s="90"/>
      <c r="L865" s="91"/>
      <c r="M865" s="73"/>
      <c r="N865" s="74"/>
      <c r="O865" s="74"/>
      <c r="P865" s="74"/>
      <c r="Q865" s="74"/>
    </row>
    <row r="866">
      <c r="A866" s="74"/>
      <c r="B866" s="74"/>
      <c r="C866" s="12"/>
      <c r="D866" s="74"/>
      <c r="E866" s="74"/>
      <c r="F866" s="89"/>
      <c r="G866" s="89"/>
      <c r="H866" s="90"/>
      <c r="I866" s="90"/>
      <c r="J866" s="90"/>
      <c r="K866" s="90"/>
      <c r="L866" s="91"/>
      <c r="M866" s="73"/>
      <c r="N866" s="74"/>
      <c r="O866" s="74"/>
      <c r="P866" s="74"/>
      <c r="Q866" s="74"/>
    </row>
    <row r="867">
      <c r="A867" s="74"/>
      <c r="B867" s="74"/>
      <c r="C867" s="12"/>
      <c r="D867" s="74"/>
      <c r="E867" s="74"/>
      <c r="F867" s="89"/>
      <c r="G867" s="89"/>
      <c r="H867" s="90"/>
      <c r="I867" s="90"/>
      <c r="J867" s="90"/>
      <c r="K867" s="90"/>
      <c r="L867" s="91"/>
      <c r="M867" s="73"/>
      <c r="N867" s="74"/>
      <c r="O867" s="74"/>
      <c r="P867" s="74"/>
      <c r="Q867" s="74"/>
    </row>
    <row r="868">
      <c r="A868" s="74"/>
      <c r="B868" s="74"/>
      <c r="C868" s="12"/>
      <c r="D868" s="74"/>
      <c r="E868" s="74"/>
      <c r="F868" s="89"/>
      <c r="G868" s="89"/>
      <c r="H868" s="90"/>
      <c r="I868" s="90"/>
      <c r="J868" s="90"/>
      <c r="K868" s="90"/>
      <c r="L868" s="91"/>
      <c r="M868" s="73"/>
      <c r="N868" s="74"/>
      <c r="O868" s="74"/>
      <c r="P868" s="74"/>
      <c r="Q868" s="74"/>
    </row>
    <row r="869">
      <c r="A869" s="74"/>
      <c r="B869" s="74"/>
      <c r="C869" s="12"/>
      <c r="D869" s="74"/>
      <c r="E869" s="74"/>
      <c r="F869" s="89"/>
      <c r="G869" s="89"/>
      <c r="H869" s="90"/>
      <c r="I869" s="90"/>
      <c r="J869" s="90"/>
      <c r="K869" s="90"/>
      <c r="L869" s="91"/>
      <c r="M869" s="73"/>
      <c r="N869" s="74"/>
      <c r="O869" s="74"/>
      <c r="P869" s="74"/>
      <c r="Q869" s="74"/>
    </row>
    <row r="870">
      <c r="A870" s="74"/>
      <c r="B870" s="74"/>
      <c r="C870" s="12"/>
      <c r="D870" s="74"/>
      <c r="E870" s="74"/>
      <c r="F870" s="89"/>
      <c r="G870" s="89"/>
      <c r="H870" s="90"/>
      <c r="I870" s="90"/>
      <c r="J870" s="90"/>
      <c r="K870" s="90"/>
      <c r="L870" s="91"/>
      <c r="M870" s="73"/>
      <c r="N870" s="74"/>
      <c r="O870" s="74"/>
      <c r="P870" s="74"/>
      <c r="Q870" s="74"/>
    </row>
    <row r="871">
      <c r="A871" s="74"/>
      <c r="B871" s="74"/>
      <c r="C871" s="12"/>
      <c r="D871" s="74"/>
      <c r="E871" s="74"/>
      <c r="F871" s="89"/>
      <c r="G871" s="89"/>
      <c r="H871" s="90"/>
      <c r="I871" s="90"/>
      <c r="J871" s="90"/>
      <c r="K871" s="90"/>
      <c r="L871" s="91"/>
      <c r="M871" s="73"/>
      <c r="N871" s="74"/>
      <c r="O871" s="74"/>
      <c r="P871" s="74"/>
      <c r="Q871" s="74"/>
    </row>
    <row r="872">
      <c r="A872" s="74"/>
      <c r="B872" s="74"/>
      <c r="C872" s="12"/>
      <c r="D872" s="74"/>
      <c r="E872" s="74"/>
      <c r="F872" s="89"/>
      <c r="G872" s="89"/>
      <c r="H872" s="90"/>
      <c r="I872" s="90"/>
      <c r="J872" s="90"/>
      <c r="K872" s="90"/>
      <c r="L872" s="91"/>
      <c r="M872" s="73"/>
      <c r="N872" s="74"/>
      <c r="O872" s="74"/>
      <c r="P872" s="74"/>
      <c r="Q872" s="74"/>
    </row>
    <row r="873">
      <c r="A873" s="74"/>
      <c r="B873" s="74"/>
      <c r="C873" s="12"/>
      <c r="D873" s="74"/>
      <c r="E873" s="74"/>
      <c r="F873" s="89"/>
      <c r="G873" s="89"/>
      <c r="H873" s="90"/>
      <c r="I873" s="90"/>
      <c r="J873" s="90"/>
      <c r="K873" s="90"/>
      <c r="L873" s="91"/>
      <c r="M873" s="73"/>
      <c r="N873" s="74"/>
      <c r="O873" s="74"/>
      <c r="P873" s="74"/>
      <c r="Q873" s="74"/>
    </row>
    <row r="874">
      <c r="A874" s="74"/>
      <c r="B874" s="74"/>
      <c r="C874" s="12"/>
      <c r="D874" s="74"/>
      <c r="E874" s="74"/>
      <c r="F874" s="89"/>
      <c r="G874" s="89"/>
      <c r="H874" s="90"/>
      <c r="I874" s="90"/>
      <c r="J874" s="90"/>
      <c r="K874" s="90"/>
      <c r="L874" s="91"/>
      <c r="M874" s="73"/>
      <c r="N874" s="74"/>
      <c r="O874" s="74"/>
      <c r="P874" s="74"/>
      <c r="Q874" s="74"/>
    </row>
    <row r="875">
      <c r="A875" s="74"/>
      <c r="B875" s="74"/>
      <c r="C875" s="12"/>
      <c r="D875" s="74"/>
      <c r="E875" s="74"/>
      <c r="F875" s="89"/>
      <c r="G875" s="89"/>
      <c r="H875" s="90"/>
      <c r="I875" s="90"/>
      <c r="J875" s="90"/>
      <c r="K875" s="90"/>
      <c r="L875" s="91"/>
      <c r="M875" s="73"/>
      <c r="N875" s="74"/>
      <c r="O875" s="74"/>
      <c r="P875" s="74"/>
      <c r="Q875" s="74"/>
    </row>
    <row r="876">
      <c r="A876" s="74"/>
      <c r="B876" s="74"/>
      <c r="C876" s="12"/>
      <c r="D876" s="74"/>
      <c r="E876" s="74"/>
      <c r="F876" s="89"/>
      <c r="G876" s="89"/>
      <c r="H876" s="90"/>
      <c r="I876" s="90"/>
      <c r="J876" s="90"/>
      <c r="K876" s="90"/>
      <c r="L876" s="91"/>
      <c r="M876" s="73"/>
      <c r="N876" s="74"/>
      <c r="O876" s="74"/>
      <c r="P876" s="74"/>
      <c r="Q876" s="74"/>
    </row>
    <row r="877">
      <c r="A877" s="74"/>
      <c r="B877" s="74"/>
      <c r="C877" s="12"/>
      <c r="D877" s="74"/>
      <c r="E877" s="74"/>
      <c r="F877" s="89"/>
      <c r="G877" s="89"/>
      <c r="H877" s="90"/>
      <c r="I877" s="90"/>
      <c r="J877" s="90"/>
      <c r="K877" s="90"/>
      <c r="L877" s="91"/>
      <c r="M877" s="73"/>
      <c r="N877" s="74"/>
      <c r="O877" s="74"/>
      <c r="P877" s="74"/>
      <c r="Q877" s="74"/>
    </row>
    <row r="878">
      <c r="A878" s="74"/>
      <c r="B878" s="74"/>
      <c r="C878" s="12"/>
      <c r="D878" s="74"/>
      <c r="E878" s="74"/>
      <c r="F878" s="89"/>
      <c r="G878" s="89"/>
      <c r="H878" s="90"/>
      <c r="I878" s="90"/>
      <c r="J878" s="90"/>
      <c r="K878" s="90"/>
      <c r="L878" s="91"/>
      <c r="M878" s="73"/>
      <c r="N878" s="74"/>
      <c r="O878" s="74"/>
      <c r="P878" s="74"/>
      <c r="Q878" s="74"/>
    </row>
    <row r="879">
      <c r="A879" s="74"/>
      <c r="B879" s="74"/>
      <c r="C879" s="12"/>
      <c r="D879" s="74"/>
      <c r="E879" s="74"/>
      <c r="F879" s="89"/>
      <c r="G879" s="89"/>
      <c r="H879" s="90"/>
      <c r="I879" s="90"/>
      <c r="J879" s="90"/>
      <c r="K879" s="90"/>
      <c r="L879" s="91"/>
      <c r="M879" s="73"/>
      <c r="N879" s="74"/>
      <c r="O879" s="74"/>
      <c r="P879" s="74"/>
      <c r="Q879" s="74"/>
    </row>
    <row r="880">
      <c r="A880" s="74"/>
      <c r="B880" s="74"/>
      <c r="C880" s="12"/>
      <c r="D880" s="74"/>
      <c r="E880" s="74"/>
      <c r="F880" s="89"/>
      <c r="G880" s="89"/>
      <c r="H880" s="90"/>
      <c r="I880" s="90"/>
      <c r="J880" s="90"/>
      <c r="K880" s="90"/>
      <c r="L880" s="91"/>
      <c r="M880" s="73"/>
      <c r="N880" s="74"/>
      <c r="O880" s="74"/>
      <c r="P880" s="74"/>
      <c r="Q880" s="74"/>
    </row>
    <row r="881">
      <c r="A881" s="74"/>
      <c r="B881" s="74"/>
      <c r="C881" s="12"/>
      <c r="D881" s="74"/>
      <c r="E881" s="74"/>
      <c r="F881" s="89"/>
      <c r="G881" s="89"/>
      <c r="H881" s="90"/>
      <c r="I881" s="90"/>
      <c r="J881" s="90"/>
      <c r="K881" s="90"/>
      <c r="L881" s="91"/>
      <c r="M881" s="73"/>
      <c r="N881" s="74"/>
      <c r="O881" s="74"/>
      <c r="P881" s="74"/>
      <c r="Q881" s="74"/>
    </row>
    <row r="882">
      <c r="A882" s="74"/>
      <c r="B882" s="74"/>
      <c r="C882" s="12"/>
      <c r="D882" s="74"/>
      <c r="E882" s="74"/>
      <c r="F882" s="89"/>
      <c r="G882" s="89"/>
      <c r="H882" s="90"/>
      <c r="I882" s="90"/>
      <c r="J882" s="90"/>
      <c r="K882" s="90"/>
      <c r="L882" s="91"/>
      <c r="M882" s="73"/>
      <c r="N882" s="74"/>
      <c r="O882" s="74"/>
      <c r="P882" s="74"/>
      <c r="Q882" s="74"/>
    </row>
    <row r="883">
      <c r="A883" s="74"/>
      <c r="B883" s="74"/>
      <c r="C883" s="12"/>
      <c r="D883" s="74"/>
      <c r="E883" s="74"/>
      <c r="F883" s="89"/>
      <c r="G883" s="89"/>
      <c r="H883" s="90"/>
      <c r="I883" s="90"/>
      <c r="J883" s="90"/>
      <c r="K883" s="90"/>
      <c r="L883" s="91"/>
      <c r="M883" s="73"/>
      <c r="N883" s="74"/>
      <c r="O883" s="74"/>
      <c r="P883" s="74"/>
      <c r="Q883" s="74"/>
    </row>
    <row r="884">
      <c r="A884" s="74"/>
      <c r="B884" s="74"/>
      <c r="C884" s="12"/>
      <c r="D884" s="74"/>
      <c r="E884" s="74"/>
      <c r="F884" s="89"/>
      <c r="G884" s="89"/>
      <c r="H884" s="90"/>
      <c r="I884" s="90"/>
      <c r="J884" s="90"/>
      <c r="K884" s="90"/>
      <c r="L884" s="91"/>
      <c r="M884" s="73"/>
      <c r="N884" s="74"/>
      <c r="O884" s="74"/>
      <c r="P884" s="74"/>
      <c r="Q884" s="74"/>
    </row>
    <row r="885">
      <c r="A885" s="74"/>
      <c r="B885" s="74"/>
      <c r="C885" s="12"/>
      <c r="D885" s="74"/>
      <c r="E885" s="74"/>
      <c r="F885" s="89"/>
      <c r="G885" s="89"/>
      <c r="H885" s="90"/>
      <c r="I885" s="90"/>
      <c r="J885" s="90"/>
      <c r="K885" s="90"/>
      <c r="L885" s="91"/>
      <c r="M885" s="73"/>
      <c r="N885" s="74"/>
      <c r="O885" s="74"/>
      <c r="P885" s="74"/>
      <c r="Q885" s="74"/>
    </row>
    <row r="886">
      <c r="A886" s="74"/>
      <c r="B886" s="74"/>
      <c r="C886" s="12"/>
      <c r="D886" s="74"/>
      <c r="E886" s="74"/>
      <c r="F886" s="89"/>
      <c r="G886" s="89"/>
      <c r="H886" s="90"/>
      <c r="I886" s="90"/>
      <c r="J886" s="90"/>
      <c r="K886" s="90"/>
      <c r="L886" s="91"/>
      <c r="M886" s="73"/>
      <c r="N886" s="74"/>
      <c r="O886" s="74"/>
      <c r="P886" s="74"/>
      <c r="Q886" s="74"/>
    </row>
    <row r="887">
      <c r="A887" s="74"/>
      <c r="B887" s="74"/>
      <c r="C887" s="12"/>
      <c r="D887" s="74"/>
      <c r="E887" s="74"/>
      <c r="F887" s="89"/>
      <c r="G887" s="89"/>
      <c r="H887" s="90"/>
      <c r="I887" s="90"/>
      <c r="J887" s="90"/>
      <c r="K887" s="90"/>
      <c r="L887" s="91"/>
      <c r="M887" s="73"/>
      <c r="N887" s="74"/>
      <c r="O887" s="74"/>
      <c r="P887" s="74"/>
      <c r="Q887" s="74"/>
    </row>
    <row r="888">
      <c r="A888" s="74"/>
      <c r="B888" s="74"/>
      <c r="C888" s="12"/>
      <c r="D888" s="74"/>
      <c r="E888" s="74"/>
      <c r="F888" s="89"/>
      <c r="G888" s="89"/>
      <c r="H888" s="90"/>
      <c r="I888" s="90"/>
      <c r="J888" s="90"/>
      <c r="K888" s="90"/>
      <c r="L888" s="91"/>
      <c r="M888" s="73"/>
      <c r="N888" s="74"/>
      <c r="O888" s="74"/>
      <c r="P888" s="74"/>
      <c r="Q888" s="74"/>
    </row>
    <row r="889">
      <c r="A889" s="74"/>
      <c r="B889" s="74"/>
      <c r="C889" s="12"/>
      <c r="D889" s="74"/>
      <c r="E889" s="74"/>
      <c r="F889" s="89"/>
      <c r="G889" s="89"/>
      <c r="H889" s="90"/>
      <c r="I889" s="90"/>
      <c r="J889" s="90"/>
      <c r="K889" s="90"/>
      <c r="L889" s="91"/>
      <c r="M889" s="73"/>
      <c r="N889" s="74"/>
      <c r="O889" s="74"/>
      <c r="P889" s="74"/>
      <c r="Q889" s="74"/>
    </row>
    <row r="890">
      <c r="A890" s="74"/>
      <c r="B890" s="74"/>
      <c r="C890" s="12"/>
      <c r="D890" s="74"/>
      <c r="E890" s="74"/>
      <c r="F890" s="89"/>
      <c r="G890" s="89"/>
      <c r="H890" s="90"/>
      <c r="I890" s="90"/>
      <c r="J890" s="90"/>
      <c r="K890" s="90"/>
      <c r="L890" s="91"/>
      <c r="M890" s="73"/>
      <c r="N890" s="74"/>
      <c r="O890" s="74"/>
      <c r="P890" s="74"/>
      <c r="Q890" s="74"/>
    </row>
    <row r="891">
      <c r="A891" s="74"/>
      <c r="B891" s="74"/>
      <c r="C891" s="12"/>
      <c r="D891" s="74"/>
      <c r="E891" s="74"/>
      <c r="F891" s="89"/>
      <c r="G891" s="89"/>
      <c r="H891" s="90"/>
      <c r="I891" s="90"/>
      <c r="J891" s="90"/>
      <c r="K891" s="90"/>
      <c r="L891" s="91"/>
      <c r="M891" s="73"/>
      <c r="N891" s="74"/>
      <c r="O891" s="74"/>
      <c r="P891" s="74"/>
      <c r="Q891" s="74"/>
    </row>
    <row r="892">
      <c r="A892" s="74"/>
      <c r="B892" s="74"/>
      <c r="C892" s="12"/>
      <c r="D892" s="74"/>
      <c r="E892" s="74"/>
      <c r="F892" s="89"/>
      <c r="G892" s="89"/>
      <c r="H892" s="90"/>
      <c r="I892" s="90"/>
      <c r="J892" s="90"/>
      <c r="K892" s="90"/>
      <c r="L892" s="91"/>
      <c r="M892" s="73"/>
      <c r="N892" s="74"/>
      <c r="O892" s="74"/>
      <c r="P892" s="74"/>
      <c r="Q892" s="74"/>
    </row>
    <row r="893">
      <c r="A893" s="74"/>
      <c r="B893" s="74"/>
      <c r="C893" s="12"/>
      <c r="D893" s="74"/>
      <c r="E893" s="74"/>
      <c r="F893" s="89"/>
      <c r="G893" s="89"/>
      <c r="H893" s="90"/>
      <c r="I893" s="90"/>
      <c r="J893" s="90"/>
      <c r="K893" s="90"/>
      <c r="L893" s="91"/>
      <c r="M893" s="73"/>
      <c r="N893" s="74"/>
      <c r="O893" s="74"/>
      <c r="P893" s="74"/>
      <c r="Q893" s="74"/>
    </row>
    <row r="894">
      <c r="A894" s="74"/>
      <c r="B894" s="74"/>
      <c r="C894" s="12"/>
      <c r="D894" s="74"/>
      <c r="E894" s="74"/>
      <c r="F894" s="89"/>
      <c r="G894" s="89"/>
      <c r="H894" s="90"/>
      <c r="I894" s="90"/>
      <c r="J894" s="90"/>
      <c r="K894" s="90"/>
      <c r="L894" s="91"/>
      <c r="M894" s="73"/>
      <c r="N894" s="74"/>
      <c r="O894" s="74"/>
      <c r="P894" s="74"/>
      <c r="Q894" s="74"/>
    </row>
    <row r="895">
      <c r="A895" s="74"/>
      <c r="B895" s="74"/>
      <c r="C895" s="12"/>
      <c r="D895" s="74"/>
      <c r="E895" s="74"/>
      <c r="F895" s="89"/>
      <c r="G895" s="89"/>
      <c r="H895" s="90"/>
      <c r="I895" s="90"/>
      <c r="J895" s="90"/>
      <c r="K895" s="90"/>
      <c r="L895" s="91"/>
      <c r="M895" s="73"/>
      <c r="N895" s="74"/>
      <c r="O895" s="74"/>
      <c r="P895" s="74"/>
      <c r="Q895" s="74"/>
    </row>
    <row r="896">
      <c r="A896" s="74"/>
      <c r="B896" s="74"/>
      <c r="C896" s="12"/>
      <c r="D896" s="74"/>
      <c r="E896" s="74"/>
      <c r="F896" s="89"/>
      <c r="G896" s="89"/>
      <c r="H896" s="90"/>
      <c r="I896" s="90"/>
      <c r="J896" s="90"/>
      <c r="K896" s="90"/>
      <c r="L896" s="91"/>
      <c r="M896" s="73"/>
      <c r="N896" s="74"/>
      <c r="O896" s="74"/>
      <c r="P896" s="74"/>
      <c r="Q896" s="74"/>
    </row>
    <row r="897">
      <c r="A897" s="74"/>
      <c r="B897" s="74"/>
      <c r="C897" s="12"/>
      <c r="D897" s="74"/>
      <c r="E897" s="74"/>
      <c r="F897" s="89"/>
      <c r="G897" s="89"/>
      <c r="H897" s="90"/>
      <c r="I897" s="90"/>
      <c r="J897" s="90"/>
      <c r="K897" s="90"/>
      <c r="L897" s="91"/>
      <c r="M897" s="73"/>
      <c r="N897" s="74"/>
      <c r="O897" s="74"/>
      <c r="P897" s="74"/>
      <c r="Q897" s="74"/>
    </row>
    <row r="898">
      <c r="A898" s="74"/>
      <c r="B898" s="74"/>
      <c r="C898" s="12"/>
      <c r="D898" s="74"/>
      <c r="E898" s="74"/>
      <c r="F898" s="89"/>
      <c r="G898" s="89"/>
      <c r="H898" s="90"/>
      <c r="I898" s="90"/>
      <c r="J898" s="90"/>
      <c r="K898" s="90"/>
      <c r="L898" s="91"/>
      <c r="M898" s="73"/>
      <c r="N898" s="74"/>
      <c r="O898" s="74"/>
      <c r="P898" s="74"/>
      <c r="Q898" s="74"/>
    </row>
    <row r="899">
      <c r="A899" s="74"/>
      <c r="B899" s="74"/>
      <c r="C899" s="12"/>
      <c r="D899" s="74"/>
      <c r="E899" s="74"/>
      <c r="F899" s="89"/>
      <c r="G899" s="89"/>
      <c r="H899" s="90"/>
      <c r="I899" s="90"/>
      <c r="J899" s="90"/>
      <c r="K899" s="90"/>
      <c r="L899" s="91"/>
      <c r="M899" s="73"/>
      <c r="N899" s="74"/>
      <c r="O899" s="74"/>
      <c r="P899" s="74"/>
      <c r="Q899" s="74"/>
    </row>
    <row r="900">
      <c r="A900" s="74"/>
      <c r="B900" s="74"/>
      <c r="C900" s="12"/>
      <c r="D900" s="74"/>
      <c r="E900" s="74"/>
      <c r="F900" s="89"/>
      <c r="G900" s="89"/>
      <c r="H900" s="90"/>
      <c r="I900" s="90"/>
      <c r="J900" s="90"/>
      <c r="K900" s="90"/>
      <c r="L900" s="91"/>
      <c r="M900" s="73"/>
      <c r="N900" s="74"/>
      <c r="O900" s="74"/>
      <c r="P900" s="74"/>
      <c r="Q900" s="74"/>
    </row>
    <row r="901">
      <c r="A901" s="74"/>
      <c r="B901" s="74"/>
      <c r="C901" s="12"/>
      <c r="D901" s="74"/>
      <c r="E901" s="74"/>
      <c r="F901" s="89"/>
      <c r="G901" s="89"/>
      <c r="H901" s="90"/>
      <c r="I901" s="90"/>
      <c r="J901" s="90"/>
      <c r="K901" s="90"/>
      <c r="L901" s="91"/>
      <c r="M901" s="73"/>
      <c r="N901" s="74"/>
      <c r="O901" s="74"/>
      <c r="P901" s="74"/>
      <c r="Q901" s="74"/>
    </row>
    <row r="902">
      <c r="A902" s="74"/>
      <c r="B902" s="74"/>
      <c r="C902" s="12"/>
      <c r="D902" s="74"/>
      <c r="E902" s="74"/>
      <c r="F902" s="89"/>
      <c r="G902" s="89"/>
      <c r="H902" s="90"/>
      <c r="I902" s="90"/>
      <c r="J902" s="90"/>
      <c r="K902" s="90"/>
      <c r="L902" s="91"/>
      <c r="M902" s="73"/>
      <c r="N902" s="74"/>
      <c r="O902" s="74"/>
      <c r="P902" s="74"/>
      <c r="Q902" s="74"/>
    </row>
    <row r="903">
      <c r="A903" s="74"/>
      <c r="B903" s="74"/>
      <c r="C903" s="12"/>
      <c r="D903" s="74"/>
      <c r="E903" s="74"/>
      <c r="F903" s="89"/>
      <c r="G903" s="89"/>
      <c r="H903" s="90"/>
      <c r="I903" s="90"/>
      <c r="J903" s="90"/>
      <c r="K903" s="90"/>
      <c r="L903" s="91"/>
      <c r="M903" s="73"/>
      <c r="N903" s="74"/>
      <c r="O903" s="74"/>
      <c r="P903" s="74"/>
      <c r="Q903" s="74"/>
    </row>
    <row r="904">
      <c r="A904" s="74"/>
      <c r="B904" s="74"/>
      <c r="C904" s="12"/>
      <c r="D904" s="74"/>
      <c r="E904" s="74"/>
      <c r="F904" s="89"/>
      <c r="G904" s="89"/>
      <c r="H904" s="90"/>
      <c r="I904" s="90"/>
      <c r="J904" s="90"/>
      <c r="K904" s="90"/>
      <c r="L904" s="91"/>
      <c r="M904" s="73"/>
      <c r="N904" s="74"/>
      <c r="O904" s="74"/>
      <c r="P904" s="74"/>
      <c r="Q904" s="74"/>
    </row>
    <row r="905">
      <c r="A905" s="74"/>
      <c r="B905" s="74"/>
      <c r="C905" s="12"/>
      <c r="D905" s="74"/>
      <c r="E905" s="74"/>
      <c r="F905" s="89"/>
      <c r="G905" s="89"/>
      <c r="H905" s="90"/>
      <c r="I905" s="90"/>
      <c r="J905" s="90"/>
      <c r="K905" s="90"/>
      <c r="L905" s="91"/>
      <c r="M905" s="73"/>
      <c r="N905" s="74"/>
      <c r="O905" s="74"/>
      <c r="P905" s="74"/>
      <c r="Q905" s="74"/>
    </row>
    <row r="906">
      <c r="A906" s="74"/>
      <c r="B906" s="74"/>
      <c r="C906" s="12"/>
      <c r="D906" s="74"/>
      <c r="E906" s="74"/>
      <c r="F906" s="89"/>
      <c r="G906" s="89"/>
      <c r="H906" s="90"/>
      <c r="I906" s="90"/>
      <c r="J906" s="90"/>
      <c r="K906" s="90"/>
      <c r="L906" s="91"/>
      <c r="M906" s="73"/>
      <c r="N906" s="74"/>
      <c r="O906" s="74"/>
      <c r="P906" s="74"/>
      <c r="Q906" s="74"/>
    </row>
    <row r="907">
      <c r="A907" s="74"/>
      <c r="B907" s="74"/>
      <c r="C907" s="12"/>
      <c r="D907" s="74"/>
      <c r="E907" s="74"/>
      <c r="F907" s="89"/>
      <c r="G907" s="89"/>
      <c r="H907" s="90"/>
      <c r="I907" s="90"/>
      <c r="J907" s="90"/>
      <c r="K907" s="90"/>
      <c r="L907" s="91"/>
      <c r="M907" s="73"/>
      <c r="N907" s="74"/>
      <c r="O907" s="74"/>
      <c r="P907" s="74"/>
      <c r="Q907" s="74"/>
    </row>
    <row r="908">
      <c r="A908" s="74"/>
      <c r="B908" s="74"/>
      <c r="C908" s="12"/>
      <c r="D908" s="74"/>
      <c r="E908" s="74"/>
      <c r="F908" s="89"/>
      <c r="G908" s="89"/>
      <c r="H908" s="90"/>
      <c r="I908" s="90"/>
      <c r="J908" s="90"/>
      <c r="K908" s="90"/>
      <c r="L908" s="91"/>
      <c r="M908" s="73"/>
      <c r="N908" s="74"/>
      <c r="O908" s="74"/>
      <c r="P908" s="74"/>
      <c r="Q908" s="74"/>
    </row>
    <row r="909">
      <c r="A909" s="74"/>
      <c r="B909" s="74"/>
      <c r="C909" s="12"/>
      <c r="D909" s="74"/>
      <c r="E909" s="74"/>
      <c r="F909" s="89"/>
      <c r="G909" s="89"/>
      <c r="H909" s="90"/>
      <c r="I909" s="90"/>
      <c r="J909" s="90"/>
      <c r="K909" s="90"/>
      <c r="L909" s="91"/>
      <c r="M909" s="73"/>
      <c r="N909" s="74"/>
      <c r="O909" s="74"/>
      <c r="P909" s="74"/>
      <c r="Q909" s="74"/>
    </row>
    <row r="910">
      <c r="A910" s="74"/>
      <c r="B910" s="74"/>
      <c r="C910" s="12"/>
      <c r="D910" s="74"/>
      <c r="E910" s="74"/>
      <c r="F910" s="89"/>
      <c r="G910" s="89"/>
      <c r="H910" s="90"/>
      <c r="I910" s="90"/>
      <c r="J910" s="90"/>
      <c r="K910" s="90"/>
      <c r="L910" s="91"/>
      <c r="M910" s="73"/>
      <c r="N910" s="74"/>
      <c r="O910" s="74"/>
      <c r="P910" s="74"/>
      <c r="Q910" s="74"/>
    </row>
    <row r="911">
      <c r="A911" s="74"/>
      <c r="B911" s="74"/>
      <c r="C911" s="12"/>
      <c r="D911" s="74"/>
      <c r="E911" s="74"/>
      <c r="F911" s="89"/>
      <c r="G911" s="89"/>
      <c r="H911" s="90"/>
      <c r="I911" s="90"/>
      <c r="J911" s="90"/>
      <c r="K911" s="90"/>
      <c r="L911" s="91"/>
      <c r="M911" s="73"/>
      <c r="N911" s="74"/>
      <c r="O911" s="74"/>
      <c r="P911" s="74"/>
      <c r="Q911" s="74"/>
    </row>
    <row r="912">
      <c r="A912" s="74"/>
      <c r="B912" s="74"/>
      <c r="C912" s="12"/>
      <c r="D912" s="74"/>
      <c r="E912" s="74"/>
      <c r="F912" s="89"/>
      <c r="G912" s="89"/>
      <c r="H912" s="90"/>
      <c r="I912" s="90"/>
      <c r="J912" s="90"/>
      <c r="K912" s="90"/>
      <c r="L912" s="91"/>
      <c r="M912" s="73"/>
      <c r="N912" s="74"/>
      <c r="O912" s="74"/>
      <c r="P912" s="74"/>
      <c r="Q912" s="74"/>
    </row>
    <row r="913">
      <c r="A913" s="74"/>
      <c r="B913" s="74"/>
      <c r="C913" s="12"/>
      <c r="D913" s="74"/>
      <c r="E913" s="74"/>
      <c r="F913" s="89"/>
      <c r="G913" s="89"/>
      <c r="H913" s="90"/>
      <c r="I913" s="90"/>
      <c r="J913" s="90"/>
      <c r="K913" s="90"/>
      <c r="L913" s="91"/>
      <c r="M913" s="73"/>
      <c r="N913" s="74"/>
      <c r="O913" s="74"/>
      <c r="P913" s="74"/>
      <c r="Q913" s="74"/>
    </row>
    <row r="914">
      <c r="A914" s="74"/>
      <c r="B914" s="74"/>
      <c r="C914" s="12"/>
      <c r="D914" s="74"/>
      <c r="E914" s="74"/>
      <c r="F914" s="89"/>
      <c r="G914" s="89"/>
      <c r="H914" s="90"/>
      <c r="I914" s="90"/>
      <c r="J914" s="90"/>
      <c r="K914" s="90"/>
      <c r="L914" s="91"/>
      <c r="M914" s="73"/>
      <c r="N914" s="74"/>
      <c r="O914" s="74"/>
      <c r="P914" s="74"/>
      <c r="Q914" s="74"/>
    </row>
    <row r="915">
      <c r="A915" s="74"/>
      <c r="B915" s="74"/>
      <c r="C915" s="12"/>
      <c r="D915" s="74"/>
      <c r="E915" s="74"/>
      <c r="F915" s="89"/>
      <c r="G915" s="89"/>
      <c r="H915" s="90"/>
      <c r="I915" s="90"/>
      <c r="J915" s="90"/>
      <c r="K915" s="90"/>
      <c r="L915" s="91"/>
      <c r="M915" s="73"/>
      <c r="N915" s="74"/>
      <c r="O915" s="74"/>
      <c r="P915" s="74"/>
      <c r="Q915" s="74"/>
    </row>
    <row r="916">
      <c r="A916" s="74"/>
      <c r="B916" s="74"/>
      <c r="C916" s="12"/>
      <c r="D916" s="74"/>
      <c r="E916" s="74"/>
      <c r="F916" s="89"/>
      <c r="G916" s="89"/>
      <c r="H916" s="90"/>
      <c r="I916" s="90"/>
      <c r="J916" s="90"/>
      <c r="K916" s="90"/>
      <c r="L916" s="91"/>
      <c r="M916" s="73"/>
      <c r="N916" s="74"/>
      <c r="O916" s="74"/>
      <c r="P916" s="74"/>
      <c r="Q916" s="74"/>
    </row>
    <row r="917">
      <c r="A917" s="74"/>
      <c r="B917" s="74"/>
      <c r="C917" s="12"/>
      <c r="D917" s="74"/>
      <c r="E917" s="74"/>
      <c r="F917" s="89"/>
      <c r="G917" s="89"/>
      <c r="H917" s="90"/>
      <c r="I917" s="90"/>
      <c r="J917" s="90"/>
      <c r="K917" s="90"/>
      <c r="L917" s="91"/>
      <c r="M917" s="73"/>
      <c r="N917" s="74"/>
      <c r="O917" s="74"/>
      <c r="P917" s="74"/>
      <c r="Q917" s="74"/>
    </row>
    <row r="918">
      <c r="A918" s="74"/>
      <c r="B918" s="74"/>
      <c r="C918" s="12"/>
      <c r="D918" s="74"/>
      <c r="E918" s="74"/>
      <c r="F918" s="89"/>
      <c r="G918" s="89"/>
      <c r="H918" s="90"/>
      <c r="I918" s="90"/>
      <c r="J918" s="90"/>
      <c r="K918" s="90"/>
      <c r="L918" s="91"/>
      <c r="M918" s="73"/>
      <c r="N918" s="74"/>
      <c r="O918" s="74"/>
      <c r="P918" s="74"/>
      <c r="Q918" s="74"/>
    </row>
    <row r="919">
      <c r="A919" s="74"/>
      <c r="B919" s="74"/>
      <c r="C919" s="12"/>
      <c r="D919" s="74"/>
      <c r="E919" s="74"/>
      <c r="F919" s="89"/>
      <c r="G919" s="89"/>
      <c r="H919" s="90"/>
      <c r="I919" s="90"/>
      <c r="J919" s="90"/>
      <c r="K919" s="90"/>
      <c r="L919" s="91"/>
      <c r="M919" s="73"/>
      <c r="N919" s="74"/>
      <c r="O919" s="74"/>
      <c r="P919" s="74"/>
      <c r="Q919" s="74"/>
    </row>
    <row r="920">
      <c r="A920" s="74"/>
      <c r="B920" s="74"/>
      <c r="C920" s="12"/>
      <c r="D920" s="74"/>
      <c r="E920" s="74"/>
      <c r="F920" s="89"/>
      <c r="G920" s="89"/>
      <c r="H920" s="90"/>
      <c r="I920" s="90"/>
      <c r="J920" s="90"/>
      <c r="K920" s="90"/>
      <c r="L920" s="91"/>
      <c r="M920" s="73"/>
      <c r="N920" s="74"/>
      <c r="O920" s="74"/>
      <c r="P920" s="74"/>
      <c r="Q920" s="74"/>
    </row>
    <row r="921">
      <c r="A921" s="74"/>
      <c r="B921" s="74"/>
      <c r="C921" s="12"/>
      <c r="D921" s="74"/>
      <c r="E921" s="74"/>
      <c r="F921" s="89"/>
      <c r="G921" s="89"/>
      <c r="H921" s="90"/>
      <c r="I921" s="90"/>
      <c r="J921" s="90"/>
      <c r="K921" s="90"/>
      <c r="L921" s="91"/>
      <c r="M921" s="73"/>
      <c r="N921" s="74"/>
      <c r="O921" s="74"/>
      <c r="P921" s="74"/>
      <c r="Q921" s="74"/>
    </row>
    <row r="922">
      <c r="A922" s="74"/>
      <c r="B922" s="74"/>
      <c r="C922" s="12"/>
      <c r="D922" s="74"/>
      <c r="E922" s="74"/>
      <c r="F922" s="89"/>
      <c r="G922" s="89"/>
      <c r="H922" s="90"/>
      <c r="I922" s="90"/>
      <c r="J922" s="90"/>
      <c r="K922" s="90"/>
      <c r="L922" s="91"/>
      <c r="M922" s="73"/>
      <c r="N922" s="74"/>
      <c r="O922" s="74"/>
      <c r="P922" s="74"/>
      <c r="Q922" s="74"/>
    </row>
    <row r="923">
      <c r="A923" s="74"/>
      <c r="B923" s="74"/>
      <c r="C923" s="12"/>
      <c r="D923" s="74"/>
      <c r="E923" s="74"/>
      <c r="F923" s="89"/>
      <c r="G923" s="89"/>
      <c r="H923" s="90"/>
      <c r="I923" s="90"/>
      <c r="J923" s="90"/>
      <c r="K923" s="90"/>
      <c r="L923" s="91"/>
      <c r="M923" s="73"/>
      <c r="N923" s="74"/>
      <c r="O923" s="74"/>
      <c r="P923" s="74"/>
      <c r="Q923" s="74"/>
    </row>
    <row r="924">
      <c r="A924" s="74"/>
      <c r="B924" s="74"/>
      <c r="C924" s="12"/>
      <c r="D924" s="74"/>
      <c r="E924" s="74"/>
      <c r="F924" s="89"/>
      <c r="G924" s="89"/>
      <c r="H924" s="90"/>
      <c r="I924" s="90"/>
      <c r="J924" s="90"/>
      <c r="K924" s="90"/>
      <c r="L924" s="91"/>
      <c r="M924" s="73"/>
      <c r="N924" s="74"/>
      <c r="O924" s="74"/>
      <c r="P924" s="74"/>
      <c r="Q924" s="74"/>
    </row>
    <row r="925">
      <c r="A925" s="74"/>
      <c r="B925" s="74"/>
      <c r="C925" s="12"/>
      <c r="D925" s="74"/>
      <c r="E925" s="74"/>
      <c r="F925" s="89"/>
      <c r="G925" s="89"/>
      <c r="H925" s="90"/>
      <c r="I925" s="90"/>
      <c r="J925" s="90"/>
      <c r="K925" s="90"/>
      <c r="L925" s="91"/>
      <c r="M925" s="73"/>
      <c r="N925" s="74"/>
      <c r="O925" s="74"/>
      <c r="P925" s="74"/>
      <c r="Q925" s="74"/>
    </row>
    <row r="926">
      <c r="A926" s="74"/>
      <c r="B926" s="74"/>
      <c r="C926" s="12"/>
      <c r="D926" s="74"/>
      <c r="E926" s="74"/>
      <c r="F926" s="89"/>
      <c r="G926" s="89"/>
      <c r="H926" s="90"/>
      <c r="I926" s="90"/>
      <c r="J926" s="90"/>
      <c r="K926" s="90"/>
      <c r="L926" s="91"/>
      <c r="M926" s="73"/>
      <c r="N926" s="74"/>
      <c r="O926" s="74"/>
      <c r="P926" s="74"/>
      <c r="Q926" s="74"/>
    </row>
    <row r="927">
      <c r="A927" s="74"/>
      <c r="B927" s="74"/>
      <c r="C927" s="12"/>
      <c r="D927" s="74"/>
      <c r="E927" s="74"/>
      <c r="F927" s="89"/>
      <c r="G927" s="89"/>
      <c r="H927" s="90"/>
      <c r="I927" s="90"/>
      <c r="J927" s="90"/>
      <c r="K927" s="90"/>
      <c r="L927" s="91"/>
      <c r="M927" s="73"/>
      <c r="N927" s="74"/>
      <c r="O927" s="74"/>
      <c r="P927" s="74"/>
      <c r="Q927" s="74"/>
    </row>
    <row r="928">
      <c r="A928" s="74"/>
      <c r="B928" s="74"/>
      <c r="C928" s="12"/>
      <c r="D928" s="74"/>
      <c r="E928" s="74"/>
      <c r="F928" s="89"/>
      <c r="G928" s="89"/>
      <c r="H928" s="90"/>
      <c r="I928" s="90"/>
      <c r="J928" s="90"/>
      <c r="K928" s="90"/>
      <c r="L928" s="91"/>
      <c r="M928" s="73"/>
      <c r="N928" s="74"/>
      <c r="O928" s="74"/>
      <c r="P928" s="74"/>
      <c r="Q928" s="74"/>
    </row>
    <row r="929">
      <c r="A929" s="74"/>
      <c r="B929" s="74"/>
      <c r="C929" s="12"/>
      <c r="D929" s="74"/>
      <c r="E929" s="74"/>
      <c r="F929" s="89"/>
      <c r="G929" s="89"/>
      <c r="H929" s="90"/>
      <c r="I929" s="90"/>
      <c r="J929" s="90"/>
      <c r="K929" s="90"/>
      <c r="L929" s="91"/>
      <c r="M929" s="73"/>
      <c r="N929" s="74"/>
      <c r="O929" s="74"/>
      <c r="P929" s="74"/>
      <c r="Q929" s="74"/>
    </row>
    <row r="930">
      <c r="A930" s="74"/>
      <c r="B930" s="74"/>
      <c r="C930" s="12"/>
      <c r="D930" s="74"/>
      <c r="E930" s="74"/>
      <c r="F930" s="89"/>
      <c r="G930" s="89"/>
      <c r="H930" s="90"/>
      <c r="I930" s="90"/>
      <c r="J930" s="90"/>
      <c r="K930" s="90"/>
      <c r="L930" s="91"/>
      <c r="M930" s="73"/>
      <c r="N930" s="74"/>
      <c r="O930" s="74"/>
      <c r="P930" s="74"/>
      <c r="Q930" s="74"/>
    </row>
    <row r="931">
      <c r="A931" s="74"/>
      <c r="B931" s="74"/>
      <c r="C931" s="12"/>
      <c r="D931" s="74"/>
      <c r="E931" s="74"/>
      <c r="F931" s="89"/>
      <c r="G931" s="89"/>
      <c r="H931" s="90"/>
      <c r="I931" s="90"/>
      <c r="J931" s="90"/>
      <c r="K931" s="90"/>
      <c r="L931" s="91"/>
      <c r="M931" s="73"/>
      <c r="N931" s="74"/>
      <c r="O931" s="74"/>
      <c r="P931" s="74"/>
      <c r="Q931" s="74"/>
    </row>
    <row r="932">
      <c r="A932" s="74"/>
      <c r="B932" s="74"/>
      <c r="C932" s="12"/>
      <c r="D932" s="74"/>
      <c r="E932" s="74"/>
      <c r="F932" s="89"/>
      <c r="G932" s="89"/>
      <c r="H932" s="90"/>
      <c r="I932" s="90"/>
      <c r="J932" s="90"/>
      <c r="K932" s="90"/>
      <c r="L932" s="91"/>
      <c r="M932" s="73"/>
      <c r="N932" s="74"/>
      <c r="O932" s="74"/>
      <c r="P932" s="74"/>
      <c r="Q932" s="74"/>
    </row>
    <row r="933">
      <c r="A933" s="74"/>
      <c r="B933" s="74"/>
      <c r="C933" s="12"/>
      <c r="D933" s="74"/>
      <c r="E933" s="74"/>
      <c r="F933" s="89"/>
      <c r="G933" s="89"/>
      <c r="H933" s="90"/>
      <c r="I933" s="90"/>
      <c r="J933" s="90"/>
      <c r="K933" s="90"/>
      <c r="L933" s="91"/>
      <c r="M933" s="73"/>
      <c r="N933" s="74"/>
      <c r="O933" s="74"/>
      <c r="P933" s="74"/>
      <c r="Q933" s="74"/>
    </row>
    <row r="934">
      <c r="A934" s="74"/>
      <c r="B934" s="74"/>
      <c r="C934" s="12"/>
      <c r="D934" s="74"/>
      <c r="E934" s="74"/>
      <c r="F934" s="89"/>
      <c r="G934" s="89"/>
      <c r="H934" s="90"/>
      <c r="I934" s="90"/>
      <c r="J934" s="90"/>
      <c r="K934" s="90"/>
      <c r="L934" s="91"/>
      <c r="M934" s="73"/>
      <c r="N934" s="74"/>
      <c r="O934" s="74"/>
      <c r="P934" s="74"/>
      <c r="Q934" s="74"/>
    </row>
    <row r="935">
      <c r="A935" s="74"/>
      <c r="B935" s="74"/>
      <c r="C935" s="12"/>
      <c r="D935" s="74"/>
      <c r="E935" s="74"/>
      <c r="F935" s="89"/>
      <c r="G935" s="89"/>
      <c r="H935" s="90"/>
      <c r="I935" s="90"/>
      <c r="J935" s="90"/>
      <c r="K935" s="90"/>
      <c r="L935" s="91"/>
      <c r="M935" s="73"/>
      <c r="N935" s="74"/>
      <c r="O935" s="74"/>
      <c r="P935" s="74"/>
      <c r="Q935" s="74"/>
    </row>
    <row r="936">
      <c r="A936" s="74"/>
      <c r="B936" s="74"/>
      <c r="C936" s="12"/>
      <c r="D936" s="74"/>
      <c r="E936" s="74"/>
      <c r="F936" s="89"/>
      <c r="G936" s="89"/>
      <c r="H936" s="90"/>
      <c r="I936" s="90"/>
      <c r="J936" s="90"/>
      <c r="K936" s="90"/>
      <c r="L936" s="91"/>
      <c r="M936" s="73"/>
      <c r="N936" s="74"/>
      <c r="O936" s="74"/>
      <c r="P936" s="74"/>
      <c r="Q936" s="74"/>
    </row>
    <row r="937">
      <c r="A937" s="74"/>
      <c r="B937" s="74"/>
      <c r="C937" s="12"/>
      <c r="D937" s="74"/>
      <c r="E937" s="74"/>
      <c r="F937" s="89"/>
      <c r="G937" s="89"/>
      <c r="H937" s="90"/>
      <c r="I937" s="90"/>
      <c r="J937" s="90"/>
      <c r="K937" s="90"/>
      <c r="L937" s="91"/>
      <c r="M937" s="73"/>
      <c r="N937" s="74"/>
      <c r="O937" s="74"/>
      <c r="P937" s="74"/>
      <c r="Q937" s="74"/>
    </row>
    <row r="938">
      <c r="A938" s="74"/>
      <c r="B938" s="74"/>
      <c r="C938" s="12"/>
      <c r="D938" s="74"/>
      <c r="E938" s="74"/>
      <c r="F938" s="89"/>
      <c r="G938" s="89"/>
      <c r="H938" s="90"/>
      <c r="I938" s="90"/>
      <c r="J938" s="90"/>
      <c r="K938" s="90"/>
      <c r="L938" s="91"/>
      <c r="M938" s="73"/>
      <c r="N938" s="74"/>
      <c r="O938" s="74"/>
      <c r="P938" s="74"/>
      <c r="Q938" s="74"/>
    </row>
    <row r="939">
      <c r="A939" s="74"/>
      <c r="B939" s="74"/>
      <c r="C939" s="12"/>
      <c r="D939" s="74"/>
      <c r="E939" s="74"/>
      <c r="F939" s="89"/>
      <c r="G939" s="89"/>
      <c r="H939" s="90"/>
      <c r="I939" s="90"/>
      <c r="J939" s="90"/>
      <c r="K939" s="90"/>
      <c r="L939" s="91"/>
      <c r="M939" s="73"/>
      <c r="N939" s="74"/>
      <c r="O939" s="74"/>
      <c r="P939" s="74"/>
      <c r="Q939" s="74"/>
    </row>
    <row r="940">
      <c r="A940" s="74"/>
      <c r="B940" s="74"/>
      <c r="C940" s="12"/>
      <c r="D940" s="74"/>
      <c r="E940" s="74"/>
      <c r="F940" s="89"/>
      <c r="G940" s="89"/>
      <c r="H940" s="90"/>
      <c r="I940" s="90"/>
      <c r="J940" s="90"/>
      <c r="K940" s="90"/>
      <c r="L940" s="91"/>
      <c r="M940" s="73"/>
      <c r="N940" s="74"/>
      <c r="O940" s="74"/>
      <c r="P940" s="74"/>
      <c r="Q940" s="74"/>
    </row>
    <row r="941">
      <c r="A941" s="74"/>
      <c r="B941" s="74"/>
      <c r="C941" s="12"/>
      <c r="D941" s="74"/>
      <c r="E941" s="74"/>
      <c r="F941" s="89"/>
      <c r="G941" s="89"/>
      <c r="H941" s="90"/>
      <c r="I941" s="90"/>
      <c r="J941" s="90"/>
      <c r="K941" s="90"/>
      <c r="L941" s="91"/>
      <c r="M941" s="73"/>
      <c r="N941" s="74"/>
      <c r="O941" s="74"/>
      <c r="P941" s="74"/>
      <c r="Q941" s="74"/>
    </row>
    <row r="942">
      <c r="A942" s="74"/>
      <c r="B942" s="74"/>
      <c r="C942" s="12"/>
      <c r="D942" s="74"/>
      <c r="E942" s="74"/>
      <c r="F942" s="89"/>
      <c r="G942" s="89"/>
      <c r="H942" s="90"/>
      <c r="I942" s="90"/>
      <c r="J942" s="90"/>
      <c r="K942" s="90"/>
      <c r="L942" s="91"/>
      <c r="M942" s="73"/>
      <c r="N942" s="74"/>
      <c r="O942" s="74"/>
      <c r="P942" s="74"/>
      <c r="Q942" s="74"/>
    </row>
    <row r="943">
      <c r="A943" s="74"/>
      <c r="B943" s="74"/>
      <c r="C943" s="12"/>
      <c r="D943" s="74"/>
      <c r="E943" s="74"/>
      <c r="F943" s="89"/>
      <c r="G943" s="89"/>
      <c r="H943" s="90"/>
      <c r="I943" s="90"/>
      <c r="J943" s="90"/>
      <c r="K943" s="90"/>
      <c r="L943" s="91"/>
      <c r="M943" s="73"/>
      <c r="N943" s="74"/>
      <c r="O943" s="74"/>
      <c r="P943" s="74"/>
      <c r="Q943" s="74"/>
    </row>
    <row r="944">
      <c r="A944" s="74"/>
      <c r="B944" s="74"/>
      <c r="C944" s="12"/>
      <c r="D944" s="74"/>
      <c r="E944" s="74"/>
      <c r="F944" s="89"/>
      <c r="G944" s="89"/>
      <c r="H944" s="90"/>
      <c r="I944" s="90"/>
      <c r="J944" s="90"/>
      <c r="K944" s="90"/>
      <c r="L944" s="91"/>
      <c r="M944" s="73"/>
      <c r="N944" s="74"/>
      <c r="O944" s="74"/>
      <c r="P944" s="74"/>
      <c r="Q944" s="74"/>
    </row>
    <row r="945">
      <c r="A945" s="74"/>
      <c r="B945" s="74"/>
      <c r="C945" s="12"/>
      <c r="D945" s="74"/>
      <c r="E945" s="74"/>
      <c r="F945" s="89"/>
      <c r="G945" s="89"/>
      <c r="H945" s="90"/>
      <c r="I945" s="90"/>
      <c r="J945" s="90"/>
      <c r="K945" s="90"/>
      <c r="L945" s="91"/>
      <c r="M945" s="73"/>
      <c r="N945" s="74"/>
      <c r="O945" s="74"/>
      <c r="P945" s="74"/>
      <c r="Q945" s="74"/>
    </row>
    <row r="946">
      <c r="A946" s="74"/>
      <c r="B946" s="74"/>
      <c r="C946" s="12"/>
      <c r="D946" s="74"/>
      <c r="E946" s="74"/>
      <c r="F946" s="89"/>
      <c r="G946" s="89"/>
      <c r="H946" s="90"/>
      <c r="I946" s="90"/>
      <c r="J946" s="90"/>
      <c r="K946" s="90"/>
      <c r="L946" s="91"/>
      <c r="M946" s="73"/>
      <c r="N946" s="74"/>
      <c r="O946" s="74"/>
      <c r="P946" s="74"/>
      <c r="Q946" s="74"/>
    </row>
    <row r="947">
      <c r="A947" s="74"/>
      <c r="B947" s="74"/>
      <c r="C947" s="12"/>
      <c r="D947" s="74"/>
      <c r="E947" s="74"/>
      <c r="F947" s="89"/>
      <c r="G947" s="89"/>
      <c r="H947" s="90"/>
      <c r="I947" s="90"/>
      <c r="J947" s="90"/>
      <c r="K947" s="90"/>
      <c r="L947" s="91"/>
      <c r="M947" s="73"/>
      <c r="N947" s="74"/>
      <c r="O947" s="74"/>
      <c r="P947" s="74"/>
      <c r="Q947" s="74"/>
    </row>
    <row r="948">
      <c r="A948" s="74"/>
      <c r="B948" s="74"/>
      <c r="C948" s="12"/>
      <c r="D948" s="74"/>
      <c r="E948" s="74"/>
      <c r="F948" s="89"/>
      <c r="G948" s="89"/>
      <c r="H948" s="90"/>
      <c r="I948" s="90"/>
      <c r="J948" s="90"/>
      <c r="K948" s="90"/>
      <c r="L948" s="91"/>
      <c r="M948" s="73"/>
      <c r="N948" s="74"/>
      <c r="O948" s="74"/>
      <c r="P948" s="74"/>
      <c r="Q948" s="74"/>
    </row>
    <row r="949">
      <c r="A949" s="74"/>
      <c r="B949" s="74"/>
      <c r="C949" s="12"/>
      <c r="D949" s="74"/>
      <c r="E949" s="74"/>
      <c r="F949" s="89"/>
      <c r="G949" s="89"/>
      <c r="H949" s="90"/>
      <c r="I949" s="90"/>
      <c r="J949" s="90"/>
      <c r="K949" s="90"/>
      <c r="L949" s="91"/>
      <c r="M949" s="73"/>
      <c r="N949" s="74"/>
      <c r="O949" s="74"/>
      <c r="P949" s="74"/>
      <c r="Q949" s="74"/>
    </row>
    <row r="950">
      <c r="A950" s="74"/>
      <c r="B950" s="74"/>
      <c r="C950" s="12"/>
      <c r="D950" s="74"/>
      <c r="E950" s="74"/>
      <c r="F950" s="89"/>
      <c r="G950" s="89"/>
      <c r="H950" s="90"/>
      <c r="I950" s="90"/>
      <c r="J950" s="90"/>
      <c r="K950" s="90"/>
      <c r="L950" s="91"/>
      <c r="M950" s="73"/>
      <c r="N950" s="74"/>
      <c r="O950" s="74"/>
      <c r="P950" s="74"/>
      <c r="Q950" s="74"/>
    </row>
    <row r="951">
      <c r="A951" s="74"/>
      <c r="B951" s="74"/>
      <c r="C951" s="12"/>
      <c r="D951" s="74"/>
      <c r="E951" s="74"/>
      <c r="F951" s="89"/>
      <c r="G951" s="89"/>
      <c r="H951" s="90"/>
      <c r="I951" s="90"/>
      <c r="J951" s="90"/>
      <c r="K951" s="90"/>
      <c r="L951" s="91"/>
      <c r="M951" s="73"/>
      <c r="N951" s="74"/>
      <c r="O951" s="74"/>
      <c r="P951" s="74"/>
      <c r="Q951" s="74"/>
    </row>
    <row r="952">
      <c r="A952" s="74"/>
      <c r="B952" s="74"/>
      <c r="C952" s="12"/>
      <c r="D952" s="74"/>
      <c r="E952" s="74"/>
      <c r="F952" s="89"/>
      <c r="G952" s="89"/>
      <c r="H952" s="90"/>
      <c r="I952" s="90"/>
      <c r="J952" s="90"/>
      <c r="K952" s="90"/>
      <c r="L952" s="91"/>
      <c r="M952" s="73"/>
      <c r="N952" s="74"/>
      <c r="O952" s="74"/>
      <c r="P952" s="74"/>
      <c r="Q952" s="74"/>
    </row>
    <row r="953">
      <c r="A953" s="74"/>
      <c r="B953" s="74"/>
      <c r="C953" s="12"/>
      <c r="D953" s="74"/>
      <c r="E953" s="74"/>
      <c r="F953" s="89"/>
      <c r="G953" s="89"/>
      <c r="H953" s="90"/>
      <c r="I953" s="90"/>
      <c r="J953" s="90"/>
      <c r="K953" s="90"/>
      <c r="L953" s="91"/>
      <c r="M953" s="73"/>
      <c r="N953" s="74"/>
      <c r="O953" s="74"/>
      <c r="P953" s="74"/>
      <c r="Q953" s="74"/>
    </row>
    <row r="954">
      <c r="A954" s="74"/>
      <c r="B954" s="74"/>
      <c r="C954" s="12"/>
      <c r="D954" s="74"/>
      <c r="E954" s="74"/>
      <c r="F954" s="89"/>
      <c r="G954" s="89"/>
      <c r="H954" s="90"/>
      <c r="I954" s="90"/>
      <c r="J954" s="90"/>
      <c r="K954" s="90"/>
      <c r="L954" s="91"/>
      <c r="M954" s="73"/>
      <c r="N954" s="74"/>
      <c r="O954" s="74"/>
      <c r="P954" s="74"/>
      <c r="Q954" s="74"/>
    </row>
    <row r="955">
      <c r="A955" s="74"/>
      <c r="B955" s="74"/>
      <c r="C955" s="12"/>
      <c r="D955" s="74"/>
      <c r="E955" s="74"/>
      <c r="F955" s="89"/>
      <c r="G955" s="89"/>
      <c r="H955" s="90"/>
      <c r="I955" s="90"/>
      <c r="J955" s="90"/>
      <c r="K955" s="90"/>
      <c r="L955" s="91"/>
      <c r="M955" s="73"/>
      <c r="N955" s="74"/>
      <c r="O955" s="74"/>
      <c r="P955" s="74"/>
      <c r="Q955" s="74"/>
    </row>
    <row r="956">
      <c r="A956" s="74"/>
      <c r="B956" s="74"/>
      <c r="C956" s="12"/>
      <c r="D956" s="74"/>
      <c r="E956" s="74"/>
      <c r="F956" s="89"/>
      <c r="G956" s="89"/>
      <c r="H956" s="90"/>
      <c r="I956" s="90"/>
      <c r="J956" s="90"/>
      <c r="K956" s="90"/>
      <c r="L956" s="91"/>
      <c r="M956" s="73"/>
      <c r="N956" s="74"/>
      <c r="O956" s="74"/>
      <c r="P956" s="74"/>
      <c r="Q956" s="74"/>
    </row>
    <row r="957">
      <c r="A957" s="74"/>
      <c r="B957" s="74"/>
      <c r="C957" s="12"/>
      <c r="D957" s="74"/>
      <c r="E957" s="74"/>
      <c r="F957" s="89"/>
      <c r="G957" s="89"/>
      <c r="H957" s="90"/>
      <c r="I957" s="90"/>
      <c r="J957" s="90"/>
      <c r="K957" s="90"/>
      <c r="L957" s="91"/>
      <c r="M957" s="73"/>
      <c r="N957" s="74"/>
      <c r="O957" s="74"/>
      <c r="P957" s="74"/>
      <c r="Q957" s="74"/>
    </row>
    <row r="958">
      <c r="A958" s="74"/>
      <c r="B958" s="74"/>
      <c r="C958" s="12"/>
      <c r="D958" s="74"/>
      <c r="E958" s="74"/>
      <c r="F958" s="89"/>
      <c r="G958" s="89"/>
      <c r="H958" s="90"/>
      <c r="I958" s="90"/>
      <c r="J958" s="90"/>
      <c r="K958" s="90"/>
      <c r="L958" s="91"/>
      <c r="M958" s="73"/>
      <c r="N958" s="74"/>
      <c r="O958" s="74"/>
      <c r="P958" s="74"/>
      <c r="Q958" s="74"/>
    </row>
    <row r="959">
      <c r="A959" s="74"/>
      <c r="B959" s="74"/>
      <c r="C959" s="12"/>
      <c r="D959" s="74"/>
      <c r="E959" s="74"/>
      <c r="F959" s="89"/>
      <c r="G959" s="89"/>
      <c r="H959" s="90"/>
      <c r="I959" s="90"/>
      <c r="J959" s="90"/>
      <c r="K959" s="90"/>
      <c r="L959" s="91"/>
      <c r="M959" s="73"/>
      <c r="N959" s="74"/>
      <c r="O959" s="74"/>
      <c r="P959" s="74"/>
      <c r="Q959" s="74"/>
    </row>
    <row r="960">
      <c r="A960" s="74"/>
      <c r="B960" s="74"/>
      <c r="C960" s="12"/>
      <c r="D960" s="74"/>
      <c r="E960" s="74"/>
      <c r="F960" s="89"/>
      <c r="G960" s="89"/>
      <c r="H960" s="90"/>
      <c r="I960" s="90"/>
      <c r="J960" s="90"/>
      <c r="K960" s="90"/>
      <c r="L960" s="91"/>
      <c r="M960" s="73"/>
      <c r="N960" s="74"/>
      <c r="O960" s="74"/>
      <c r="P960" s="74"/>
      <c r="Q960" s="74"/>
    </row>
    <row r="961">
      <c r="A961" s="74"/>
      <c r="B961" s="74"/>
      <c r="C961" s="12"/>
      <c r="D961" s="74"/>
      <c r="E961" s="74"/>
      <c r="F961" s="89"/>
      <c r="G961" s="89"/>
      <c r="H961" s="90"/>
      <c r="I961" s="90"/>
      <c r="J961" s="90"/>
      <c r="K961" s="90"/>
      <c r="L961" s="91"/>
      <c r="M961" s="73"/>
      <c r="N961" s="74"/>
      <c r="O961" s="74"/>
      <c r="P961" s="74"/>
      <c r="Q961" s="74"/>
    </row>
    <row r="962">
      <c r="A962" s="74"/>
      <c r="B962" s="74"/>
      <c r="C962" s="12"/>
      <c r="D962" s="74"/>
      <c r="E962" s="74"/>
      <c r="F962" s="89"/>
      <c r="G962" s="89"/>
      <c r="H962" s="90"/>
      <c r="I962" s="90"/>
      <c r="J962" s="90"/>
      <c r="K962" s="90"/>
      <c r="L962" s="91"/>
      <c r="M962" s="73"/>
      <c r="N962" s="74"/>
      <c r="O962" s="74"/>
      <c r="P962" s="74"/>
      <c r="Q962" s="74"/>
    </row>
    <row r="963">
      <c r="A963" s="74"/>
      <c r="B963" s="74"/>
      <c r="C963" s="12"/>
      <c r="D963" s="74"/>
      <c r="E963" s="74"/>
      <c r="F963" s="89"/>
      <c r="G963" s="89"/>
      <c r="H963" s="90"/>
      <c r="I963" s="90"/>
      <c r="J963" s="90"/>
      <c r="K963" s="90"/>
      <c r="L963" s="91"/>
      <c r="M963" s="73"/>
      <c r="N963" s="74"/>
      <c r="O963" s="74"/>
      <c r="P963" s="74"/>
      <c r="Q963" s="74"/>
    </row>
    <row r="964">
      <c r="A964" s="74"/>
      <c r="B964" s="74"/>
      <c r="C964" s="12"/>
      <c r="D964" s="74"/>
      <c r="E964" s="74"/>
      <c r="F964" s="89"/>
      <c r="G964" s="89"/>
      <c r="H964" s="90"/>
      <c r="I964" s="90"/>
      <c r="J964" s="90"/>
      <c r="K964" s="90"/>
      <c r="L964" s="91"/>
      <c r="M964" s="73"/>
      <c r="N964" s="74"/>
      <c r="O964" s="74"/>
      <c r="P964" s="74"/>
      <c r="Q964" s="74"/>
    </row>
    <row r="965">
      <c r="A965" s="74"/>
      <c r="B965" s="74"/>
      <c r="C965" s="12"/>
      <c r="D965" s="74"/>
      <c r="E965" s="74"/>
      <c r="F965" s="89"/>
      <c r="G965" s="89"/>
      <c r="H965" s="90"/>
      <c r="I965" s="90"/>
      <c r="J965" s="90"/>
      <c r="K965" s="90"/>
      <c r="L965" s="91"/>
      <c r="M965" s="73"/>
      <c r="N965" s="74"/>
      <c r="O965" s="74"/>
      <c r="P965" s="74"/>
      <c r="Q965" s="74"/>
    </row>
    <row r="966">
      <c r="A966" s="74"/>
      <c r="B966" s="74"/>
      <c r="C966" s="12"/>
      <c r="D966" s="74"/>
      <c r="E966" s="74"/>
      <c r="F966" s="89"/>
      <c r="G966" s="89"/>
      <c r="H966" s="90"/>
      <c r="I966" s="90"/>
      <c r="J966" s="90"/>
      <c r="K966" s="90"/>
      <c r="L966" s="91"/>
      <c r="M966" s="73"/>
      <c r="N966" s="74"/>
      <c r="O966" s="74"/>
      <c r="P966" s="74"/>
      <c r="Q966" s="74"/>
    </row>
    <row r="967">
      <c r="A967" s="74"/>
      <c r="B967" s="74"/>
      <c r="C967" s="12"/>
      <c r="D967" s="74"/>
      <c r="E967" s="74"/>
      <c r="F967" s="89"/>
      <c r="G967" s="89"/>
      <c r="H967" s="90"/>
      <c r="I967" s="90"/>
      <c r="J967" s="90"/>
      <c r="K967" s="90"/>
      <c r="L967" s="91"/>
      <c r="M967" s="73"/>
      <c r="N967" s="74"/>
      <c r="O967" s="74"/>
      <c r="P967" s="74"/>
      <c r="Q967" s="74"/>
    </row>
    <row r="968">
      <c r="A968" s="74"/>
      <c r="B968" s="74"/>
      <c r="C968" s="12"/>
      <c r="D968" s="74"/>
      <c r="E968" s="74"/>
      <c r="F968" s="89"/>
      <c r="G968" s="89"/>
      <c r="H968" s="90"/>
      <c r="I968" s="90"/>
      <c r="J968" s="90"/>
      <c r="K968" s="90"/>
      <c r="L968" s="91"/>
      <c r="M968" s="73"/>
      <c r="N968" s="74"/>
      <c r="O968" s="74"/>
      <c r="P968" s="74"/>
      <c r="Q968" s="74"/>
    </row>
    <row r="969">
      <c r="A969" s="74"/>
      <c r="B969" s="74"/>
      <c r="C969" s="12"/>
      <c r="D969" s="74"/>
      <c r="E969" s="74"/>
      <c r="F969" s="89"/>
      <c r="G969" s="89"/>
      <c r="H969" s="90"/>
      <c r="I969" s="90"/>
      <c r="J969" s="90"/>
      <c r="K969" s="90"/>
      <c r="L969" s="91"/>
      <c r="M969" s="73"/>
      <c r="N969" s="74"/>
      <c r="O969" s="74"/>
      <c r="P969" s="74"/>
      <c r="Q969" s="74"/>
    </row>
    <row r="970">
      <c r="A970" s="74"/>
      <c r="B970" s="74"/>
      <c r="C970" s="12"/>
      <c r="D970" s="74"/>
      <c r="E970" s="74"/>
      <c r="F970" s="89"/>
      <c r="G970" s="89"/>
      <c r="H970" s="90"/>
      <c r="I970" s="90"/>
      <c r="J970" s="90"/>
      <c r="K970" s="90"/>
      <c r="L970" s="91"/>
      <c r="M970" s="73"/>
      <c r="N970" s="74"/>
      <c r="O970" s="74"/>
      <c r="P970" s="74"/>
      <c r="Q970" s="74"/>
    </row>
    <row r="971">
      <c r="A971" s="74"/>
      <c r="B971" s="74"/>
      <c r="C971" s="12"/>
      <c r="D971" s="74"/>
      <c r="E971" s="74"/>
      <c r="F971" s="89"/>
      <c r="G971" s="89"/>
      <c r="H971" s="90"/>
      <c r="I971" s="90"/>
      <c r="J971" s="90"/>
      <c r="K971" s="90"/>
      <c r="L971" s="91"/>
      <c r="M971" s="73"/>
      <c r="N971" s="74"/>
      <c r="O971" s="74"/>
      <c r="P971" s="74"/>
      <c r="Q971" s="74"/>
    </row>
    <row r="972">
      <c r="A972" s="74"/>
      <c r="B972" s="74"/>
      <c r="C972" s="12"/>
      <c r="D972" s="74"/>
      <c r="E972" s="74"/>
      <c r="F972" s="89"/>
      <c r="G972" s="89"/>
      <c r="H972" s="90"/>
      <c r="I972" s="90"/>
      <c r="J972" s="90"/>
      <c r="K972" s="90"/>
      <c r="L972" s="91"/>
      <c r="M972" s="73"/>
      <c r="N972" s="74"/>
      <c r="O972" s="74"/>
      <c r="P972" s="74"/>
      <c r="Q972" s="74"/>
    </row>
    <row r="973">
      <c r="A973" s="74"/>
      <c r="B973" s="74"/>
      <c r="C973" s="12"/>
      <c r="D973" s="74"/>
      <c r="E973" s="74"/>
      <c r="F973" s="89"/>
      <c r="G973" s="89"/>
      <c r="H973" s="90"/>
      <c r="I973" s="90"/>
      <c r="J973" s="90"/>
      <c r="K973" s="90"/>
      <c r="L973" s="91"/>
      <c r="M973" s="73"/>
      <c r="N973" s="74"/>
      <c r="O973" s="74"/>
      <c r="P973" s="74"/>
      <c r="Q973" s="74"/>
    </row>
    <row r="974">
      <c r="A974" s="74"/>
      <c r="B974" s="74"/>
      <c r="C974" s="12"/>
      <c r="D974" s="74"/>
      <c r="E974" s="74"/>
      <c r="F974" s="89"/>
      <c r="G974" s="89"/>
      <c r="H974" s="90"/>
      <c r="I974" s="90"/>
      <c r="J974" s="90"/>
      <c r="K974" s="90"/>
      <c r="L974" s="91"/>
      <c r="M974" s="73"/>
      <c r="N974" s="74"/>
      <c r="O974" s="74"/>
      <c r="P974" s="74"/>
      <c r="Q974" s="74"/>
    </row>
    <row r="975">
      <c r="A975" s="74"/>
      <c r="B975" s="74"/>
      <c r="C975" s="12"/>
      <c r="D975" s="74"/>
      <c r="E975" s="74"/>
      <c r="F975" s="89"/>
      <c r="G975" s="89"/>
      <c r="H975" s="90"/>
      <c r="I975" s="90"/>
      <c r="J975" s="90"/>
      <c r="K975" s="90"/>
      <c r="L975" s="91"/>
      <c r="M975" s="73"/>
      <c r="N975" s="74"/>
      <c r="O975" s="74"/>
      <c r="P975" s="74"/>
      <c r="Q975" s="74"/>
    </row>
    <row r="976">
      <c r="A976" s="74"/>
      <c r="B976" s="74"/>
      <c r="C976" s="12"/>
      <c r="D976" s="74"/>
      <c r="E976" s="74"/>
      <c r="F976" s="89"/>
      <c r="G976" s="89"/>
      <c r="H976" s="90"/>
      <c r="I976" s="90"/>
      <c r="J976" s="90"/>
      <c r="K976" s="90"/>
      <c r="L976" s="91"/>
      <c r="M976" s="73"/>
      <c r="N976" s="74"/>
      <c r="O976" s="74"/>
      <c r="P976" s="74"/>
      <c r="Q976" s="74"/>
    </row>
    <row r="977">
      <c r="A977" s="74"/>
      <c r="B977" s="74"/>
      <c r="C977" s="12"/>
      <c r="D977" s="74"/>
      <c r="E977" s="74"/>
      <c r="F977" s="89"/>
      <c r="G977" s="89"/>
      <c r="H977" s="90"/>
      <c r="I977" s="90"/>
      <c r="J977" s="90"/>
      <c r="K977" s="90"/>
      <c r="L977" s="91"/>
      <c r="M977" s="73"/>
      <c r="N977" s="74"/>
      <c r="O977" s="74"/>
      <c r="P977" s="74"/>
      <c r="Q977" s="74"/>
    </row>
    <row r="978">
      <c r="A978" s="74"/>
      <c r="B978" s="74"/>
      <c r="C978" s="12"/>
      <c r="D978" s="74"/>
      <c r="E978" s="74"/>
      <c r="F978" s="89"/>
      <c r="G978" s="89"/>
      <c r="H978" s="90"/>
      <c r="I978" s="90"/>
      <c r="J978" s="90"/>
      <c r="K978" s="90"/>
      <c r="L978" s="91"/>
      <c r="M978" s="73"/>
      <c r="N978" s="74"/>
      <c r="O978" s="74"/>
      <c r="P978" s="74"/>
      <c r="Q978" s="74"/>
    </row>
    <row r="979">
      <c r="A979" s="74"/>
      <c r="B979" s="74"/>
      <c r="C979" s="12"/>
      <c r="D979" s="74"/>
      <c r="E979" s="74"/>
      <c r="F979" s="89"/>
      <c r="G979" s="89"/>
      <c r="H979" s="90"/>
      <c r="I979" s="90"/>
      <c r="J979" s="90"/>
      <c r="K979" s="90"/>
      <c r="L979" s="91"/>
      <c r="M979" s="73"/>
      <c r="N979" s="74"/>
      <c r="O979" s="74"/>
      <c r="P979" s="74"/>
      <c r="Q979" s="74"/>
    </row>
    <row r="980">
      <c r="A980" s="74"/>
      <c r="B980" s="74"/>
      <c r="C980" s="12"/>
      <c r="D980" s="74"/>
      <c r="E980" s="74"/>
      <c r="F980" s="89"/>
      <c r="G980" s="89"/>
      <c r="H980" s="90"/>
      <c r="I980" s="90"/>
      <c r="J980" s="90"/>
      <c r="K980" s="90"/>
      <c r="L980" s="91"/>
      <c r="M980" s="73"/>
      <c r="N980" s="74"/>
      <c r="O980" s="74"/>
      <c r="P980" s="74"/>
      <c r="Q980" s="74"/>
    </row>
    <row r="981">
      <c r="A981" s="74"/>
      <c r="B981" s="74"/>
      <c r="C981" s="12"/>
      <c r="D981" s="74"/>
      <c r="E981" s="74"/>
      <c r="F981" s="89"/>
      <c r="G981" s="89"/>
      <c r="H981" s="90"/>
      <c r="I981" s="90"/>
      <c r="J981" s="90"/>
      <c r="K981" s="90"/>
      <c r="L981" s="91"/>
      <c r="M981" s="73"/>
      <c r="N981" s="74"/>
      <c r="O981" s="74"/>
      <c r="P981" s="74"/>
      <c r="Q981" s="74"/>
    </row>
    <row r="982">
      <c r="A982" s="74"/>
      <c r="B982" s="74"/>
      <c r="C982" s="12"/>
      <c r="D982" s="74"/>
      <c r="E982" s="74"/>
      <c r="F982" s="89"/>
      <c r="G982" s="89"/>
      <c r="H982" s="90"/>
      <c r="I982" s="90"/>
      <c r="J982" s="90"/>
      <c r="K982" s="90"/>
      <c r="L982" s="91"/>
      <c r="M982" s="73"/>
      <c r="N982" s="74"/>
      <c r="O982" s="74"/>
      <c r="P982" s="74"/>
      <c r="Q982" s="74"/>
    </row>
    <row r="983">
      <c r="A983" s="74"/>
      <c r="B983" s="74"/>
      <c r="C983" s="12"/>
      <c r="D983" s="74"/>
      <c r="E983" s="74"/>
      <c r="F983" s="89"/>
      <c r="G983" s="89"/>
      <c r="H983" s="90"/>
      <c r="I983" s="90"/>
      <c r="J983" s="90"/>
      <c r="K983" s="90"/>
      <c r="L983" s="91"/>
      <c r="M983" s="73"/>
      <c r="N983" s="74"/>
      <c r="O983" s="74"/>
      <c r="P983" s="74"/>
      <c r="Q983" s="74"/>
    </row>
    <row r="984">
      <c r="A984" s="74"/>
      <c r="B984" s="74"/>
      <c r="C984" s="12"/>
      <c r="D984" s="74"/>
      <c r="E984" s="74"/>
      <c r="F984" s="89"/>
      <c r="G984" s="89"/>
      <c r="H984" s="90"/>
      <c r="I984" s="90"/>
      <c r="J984" s="90"/>
      <c r="K984" s="90"/>
      <c r="L984" s="91"/>
      <c r="M984" s="73"/>
      <c r="N984" s="74"/>
      <c r="O984" s="74"/>
      <c r="P984" s="74"/>
      <c r="Q984" s="74"/>
    </row>
    <row r="985">
      <c r="A985" s="74"/>
      <c r="B985" s="74"/>
      <c r="C985" s="12"/>
      <c r="D985" s="74"/>
      <c r="E985" s="74"/>
      <c r="F985" s="89"/>
      <c r="G985" s="89"/>
      <c r="H985" s="90"/>
      <c r="I985" s="90"/>
      <c r="J985" s="90"/>
      <c r="K985" s="90"/>
      <c r="L985" s="91"/>
      <c r="M985" s="73"/>
      <c r="N985" s="74"/>
      <c r="O985" s="74"/>
      <c r="P985" s="74"/>
      <c r="Q985" s="74"/>
    </row>
    <row r="986">
      <c r="A986" s="74"/>
      <c r="B986" s="74"/>
      <c r="C986" s="12"/>
      <c r="D986" s="74"/>
      <c r="E986" s="74"/>
      <c r="F986" s="89"/>
      <c r="G986" s="89"/>
      <c r="H986" s="90"/>
      <c r="I986" s="90"/>
      <c r="J986" s="90"/>
      <c r="K986" s="90"/>
      <c r="L986" s="91"/>
      <c r="M986" s="73"/>
      <c r="N986" s="74"/>
      <c r="O986" s="74"/>
      <c r="P986" s="74"/>
      <c r="Q986" s="74"/>
    </row>
    <row r="987">
      <c r="A987" s="74"/>
      <c r="B987" s="74"/>
      <c r="C987" s="12"/>
      <c r="D987" s="74"/>
      <c r="E987" s="74"/>
      <c r="F987" s="89"/>
      <c r="G987" s="89"/>
      <c r="H987" s="90"/>
      <c r="I987" s="90"/>
      <c r="J987" s="90"/>
      <c r="K987" s="90"/>
      <c r="L987" s="91"/>
      <c r="M987" s="73"/>
      <c r="N987" s="74"/>
      <c r="O987" s="74"/>
      <c r="P987" s="74"/>
      <c r="Q987" s="74"/>
    </row>
    <row r="988">
      <c r="A988" s="74"/>
      <c r="B988" s="74"/>
      <c r="C988" s="12"/>
      <c r="D988" s="74"/>
      <c r="E988" s="74"/>
      <c r="F988" s="89"/>
      <c r="G988" s="89"/>
      <c r="H988" s="90"/>
      <c r="I988" s="90"/>
      <c r="J988" s="90"/>
      <c r="K988" s="90"/>
      <c r="L988" s="91"/>
      <c r="M988" s="73"/>
      <c r="N988" s="74"/>
      <c r="O988" s="74"/>
      <c r="P988" s="74"/>
      <c r="Q988" s="74"/>
    </row>
    <row r="989">
      <c r="A989" s="74"/>
      <c r="B989" s="74"/>
      <c r="C989" s="12"/>
      <c r="D989" s="74"/>
      <c r="E989" s="74"/>
      <c r="F989" s="89"/>
      <c r="G989" s="89"/>
      <c r="H989" s="90"/>
      <c r="I989" s="90"/>
      <c r="J989" s="90"/>
      <c r="K989" s="90"/>
      <c r="L989" s="91"/>
      <c r="M989" s="73"/>
      <c r="N989" s="74"/>
      <c r="O989" s="74"/>
      <c r="P989" s="74"/>
      <c r="Q989" s="74"/>
    </row>
    <row r="990">
      <c r="A990" s="74"/>
      <c r="B990" s="74"/>
      <c r="C990" s="12"/>
      <c r="D990" s="74"/>
      <c r="E990" s="74"/>
      <c r="F990" s="89"/>
      <c r="G990" s="89"/>
      <c r="H990" s="90"/>
      <c r="I990" s="90"/>
      <c r="J990" s="90"/>
      <c r="K990" s="90"/>
      <c r="L990" s="91"/>
      <c r="M990" s="73"/>
      <c r="N990" s="74"/>
      <c r="O990" s="74"/>
      <c r="P990" s="74"/>
      <c r="Q990" s="74"/>
    </row>
    <row r="991">
      <c r="A991" s="74"/>
      <c r="B991" s="74"/>
      <c r="C991" s="12"/>
      <c r="D991" s="74"/>
      <c r="E991" s="74"/>
      <c r="F991" s="89"/>
      <c r="G991" s="89"/>
      <c r="H991" s="90"/>
      <c r="I991" s="90"/>
      <c r="J991" s="90"/>
      <c r="K991" s="90"/>
      <c r="L991" s="91"/>
      <c r="M991" s="73"/>
      <c r="N991" s="74"/>
      <c r="O991" s="74"/>
      <c r="P991" s="74"/>
      <c r="Q991" s="74"/>
    </row>
    <row r="992">
      <c r="A992" s="74"/>
      <c r="B992" s="74"/>
      <c r="C992" s="12"/>
      <c r="D992" s="74"/>
      <c r="E992" s="74"/>
      <c r="F992" s="89"/>
      <c r="G992" s="89"/>
      <c r="H992" s="90"/>
      <c r="I992" s="90"/>
      <c r="J992" s="90"/>
      <c r="K992" s="90"/>
      <c r="L992" s="91"/>
      <c r="M992" s="73"/>
      <c r="N992" s="74"/>
      <c r="O992" s="74"/>
      <c r="P992" s="74"/>
      <c r="Q992" s="74"/>
    </row>
    <row r="993">
      <c r="A993" s="74"/>
      <c r="B993" s="74"/>
      <c r="C993" s="12"/>
      <c r="D993" s="74"/>
      <c r="E993" s="74"/>
      <c r="F993" s="89"/>
      <c r="G993" s="89"/>
      <c r="H993" s="90"/>
      <c r="I993" s="90"/>
      <c r="J993" s="90"/>
      <c r="K993" s="90"/>
      <c r="L993" s="91"/>
      <c r="M993" s="73"/>
      <c r="N993" s="74"/>
      <c r="O993" s="74"/>
      <c r="P993" s="74"/>
      <c r="Q993" s="74"/>
    </row>
    <row r="994">
      <c r="A994" s="74"/>
      <c r="B994" s="74"/>
      <c r="C994" s="12"/>
      <c r="D994" s="74"/>
      <c r="E994" s="74"/>
      <c r="F994" s="89"/>
      <c r="G994" s="89"/>
      <c r="H994" s="90"/>
      <c r="I994" s="90"/>
      <c r="J994" s="90"/>
      <c r="K994" s="90"/>
      <c r="L994" s="91"/>
      <c r="M994" s="73"/>
      <c r="N994" s="74"/>
      <c r="O994" s="74"/>
      <c r="P994" s="74"/>
      <c r="Q994" s="74"/>
    </row>
    <row r="995">
      <c r="A995" s="74"/>
      <c r="B995" s="74"/>
      <c r="C995" s="12"/>
      <c r="D995" s="74"/>
      <c r="E995" s="74"/>
      <c r="F995" s="89"/>
      <c r="G995" s="89"/>
      <c r="H995" s="90"/>
      <c r="I995" s="90"/>
      <c r="J995" s="90"/>
      <c r="K995" s="90"/>
      <c r="L995" s="91"/>
      <c r="M995" s="73"/>
      <c r="N995" s="74"/>
      <c r="O995" s="74"/>
      <c r="P995" s="74"/>
      <c r="Q995" s="74"/>
    </row>
    <row r="996">
      <c r="A996" s="74"/>
      <c r="B996" s="74"/>
      <c r="C996" s="12"/>
      <c r="D996" s="74"/>
      <c r="E996" s="74"/>
      <c r="F996" s="89"/>
      <c r="G996" s="89"/>
      <c r="H996" s="90"/>
      <c r="I996" s="90"/>
      <c r="J996" s="90"/>
      <c r="K996" s="90"/>
      <c r="L996" s="91"/>
      <c r="M996" s="73"/>
      <c r="N996" s="74"/>
      <c r="O996" s="74"/>
      <c r="P996" s="74"/>
      <c r="Q996" s="74"/>
    </row>
    <row r="997">
      <c r="A997" s="74"/>
      <c r="B997" s="74"/>
      <c r="C997" s="12"/>
      <c r="D997" s="74"/>
      <c r="E997" s="74"/>
      <c r="F997" s="89"/>
      <c r="G997" s="89"/>
      <c r="H997" s="90"/>
      <c r="I997" s="90"/>
      <c r="J997" s="90"/>
      <c r="K997" s="90"/>
      <c r="L997" s="91"/>
      <c r="M997" s="73"/>
      <c r="N997" s="74"/>
      <c r="O997" s="74"/>
      <c r="P997" s="74"/>
      <c r="Q997" s="74"/>
    </row>
    <row r="998">
      <c r="A998" s="74"/>
      <c r="B998" s="74"/>
      <c r="C998" s="12"/>
      <c r="D998" s="74"/>
      <c r="E998" s="74"/>
      <c r="F998" s="89"/>
      <c r="G998" s="89"/>
      <c r="H998" s="90"/>
      <c r="I998" s="90"/>
      <c r="J998" s="90"/>
      <c r="K998" s="90"/>
      <c r="L998" s="91"/>
      <c r="M998" s="73"/>
      <c r="N998" s="74"/>
      <c r="O998" s="74"/>
      <c r="P998" s="74"/>
      <c r="Q998" s="74"/>
    </row>
    <row r="999">
      <c r="A999" s="74"/>
      <c r="B999" s="74"/>
      <c r="C999" s="12"/>
      <c r="D999" s="74"/>
      <c r="E999" s="74"/>
      <c r="F999" s="89"/>
      <c r="G999" s="89"/>
      <c r="H999" s="90"/>
      <c r="I999" s="90"/>
      <c r="J999" s="90"/>
      <c r="K999" s="90"/>
      <c r="L999" s="91"/>
      <c r="M999" s="73"/>
      <c r="N999" s="74"/>
      <c r="O999" s="74"/>
      <c r="P999" s="74"/>
      <c r="Q999" s="74"/>
    </row>
    <row r="1000">
      <c r="A1000" s="74"/>
      <c r="B1000" s="74"/>
      <c r="C1000" s="12"/>
      <c r="D1000" s="74"/>
      <c r="E1000" s="74"/>
      <c r="F1000" s="89"/>
      <c r="G1000" s="89"/>
      <c r="H1000" s="90"/>
      <c r="I1000" s="90"/>
      <c r="J1000" s="90"/>
      <c r="K1000" s="90"/>
      <c r="L1000" s="91"/>
      <c r="M1000" s="73"/>
      <c r="N1000" s="74"/>
      <c r="O1000" s="74"/>
      <c r="P1000" s="74"/>
      <c r="Q1000" s="74"/>
    </row>
    <row r="1001">
      <c r="A1001" s="74"/>
      <c r="B1001" s="74"/>
      <c r="C1001" s="12"/>
      <c r="D1001" s="74"/>
      <c r="E1001" s="74"/>
      <c r="F1001" s="89"/>
      <c r="G1001" s="89"/>
      <c r="H1001" s="90"/>
      <c r="I1001" s="90"/>
      <c r="J1001" s="90"/>
      <c r="K1001" s="90"/>
      <c r="L1001" s="91"/>
      <c r="M1001" s="73"/>
      <c r="N1001" s="74"/>
      <c r="O1001" s="74"/>
      <c r="P1001" s="74"/>
      <c r="Q1001" s="74"/>
    </row>
    <row r="1002">
      <c r="A1002" s="74"/>
      <c r="B1002" s="74"/>
      <c r="C1002" s="12"/>
      <c r="D1002" s="74"/>
      <c r="E1002" s="74"/>
      <c r="F1002" s="89"/>
      <c r="G1002" s="89"/>
      <c r="H1002" s="90"/>
      <c r="I1002" s="90"/>
      <c r="J1002" s="90"/>
      <c r="K1002" s="90"/>
      <c r="L1002" s="91"/>
      <c r="M1002" s="73"/>
      <c r="N1002" s="74"/>
      <c r="O1002" s="74"/>
      <c r="P1002" s="74"/>
      <c r="Q1002" s="74"/>
    </row>
    <row r="1003">
      <c r="A1003" s="74"/>
      <c r="B1003" s="74"/>
      <c r="C1003" s="12"/>
      <c r="D1003" s="74"/>
      <c r="E1003" s="74"/>
      <c r="F1003" s="89"/>
      <c r="G1003" s="89"/>
      <c r="H1003" s="90"/>
      <c r="I1003" s="90"/>
      <c r="J1003" s="90"/>
      <c r="K1003" s="90"/>
      <c r="L1003" s="91"/>
      <c r="M1003" s="73"/>
      <c r="N1003" s="74"/>
      <c r="O1003" s="74"/>
      <c r="P1003" s="74"/>
      <c r="Q1003" s="74"/>
    </row>
    <row r="1004">
      <c r="A1004" s="74"/>
      <c r="B1004" s="74"/>
      <c r="C1004" s="12"/>
      <c r="D1004" s="74"/>
      <c r="E1004" s="74"/>
      <c r="F1004" s="89"/>
      <c r="G1004" s="89"/>
      <c r="H1004" s="90"/>
      <c r="I1004" s="90"/>
      <c r="J1004" s="90"/>
      <c r="K1004" s="90"/>
      <c r="L1004" s="91"/>
      <c r="M1004" s="73"/>
      <c r="N1004" s="74"/>
      <c r="O1004" s="74"/>
      <c r="P1004" s="74"/>
      <c r="Q1004" s="74"/>
    </row>
    <row r="1005">
      <c r="A1005" s="74"/>
      <c r="B1005" s="74"/>
      <c r="C1005" s="12"/>
      <c r="D1005" s="74"/>
      <c r="E1005" s="74"/>
      <c r="F1005" s="89"/>
      <c r="G1005" s="89"/>
      <c r="H1005" s="90"/>
      <c r="I1005" s="90"/>
      <c r="J1005" s="90"/>
      <c r="K1005" s="90"/>
      <c r="L1005" s="91"/>
      <c r="M1005" s="73"/>
      <c r="N1005" s="74"/>
      <c r="O1005" s="74"/>
      <c r="P1005" s="74"/>
      <c r="Q1005" s="74"/>
    </row>
    <row r="1006">
      <c r="A1006" s="74"/>
      <c r="B1006" s="74"/>
      <c r="C1006" s="12"/>
      <c r="D1006" s="74"/>
      <c r="E1006" s="74"/>
      <c r="F1006" s="89"/>
      <c r="G1006" s="89"/>
      <c r="H1006" s="90"/>
      <c r="I1006" s="90"/>
      <c r="J1006" s="90"/>
      <c r="K1006" s="90"/>
      <c r="L1006" s="91"/>
      <c r="M1006" s="73"/>
      <c r="N1006" s="74"/>
      <c r="O1006" s="74"/>
      <c r="P1006" s="74"/>
      <c r="Q1006" s="74"/>
    </row>
    <row r="1007">
      <c r="A1007" s="74"/>
      <c r="B1007" s="74"/>
      <c r="C1007" s="12"/>
      <c r="D1007" s="74"/>
      <c r="E1007" s="74"/>
      <c r="F1007" s="89"/>
      <c r="G1007" s="89"/>
      <c r="H1007" s="90"/>
      <c r="I1007" s="90"/>
      <c r="J1007" s="90"/>
      <c r="K1007" s="90"/>
      <c r="L1007" s="91"/>
      <c r="M1007" s="73"/>
      <c r="N1007" s="74"/>
      <c r="O1007" s="74"/>
      <c r="P1007" s="74"/>
      <c r="Q1007" s="74"/>
    </row>
    <row r="1008">
      <c r="A1008" s="74"/>
      <c r="B1008" s="74"/>
      <c r="C1008" s="12"/>
      <c r="D1008" s="74"/>
      <c r="E1008" s="74"/>
      <c r="F1008" s="89"/>
      <c r="G1008" s="89"/>
      <c r="H1008" s="90"/>
      <c r="I1008" s="90"/>
      <c r="J1008" s="90"/>
      <c r="K1008" s="90"/>
      <c r="L1008" s="91"/>
      <c r="M1008" s="73"/>
      <c r="N1008" s="74"/>
      <c r="O1008" s="74"/>
      <c r="P1008" s="74"/>
      <c r="Q1008" s="74"/>
    </row>
    <row r="1009">
      <c r="A1009" s="74"/>
      <c r="B1009" s="74"/>
      <c r="C1009" s="12"/>
      <c r="D1009" s="74"/>
      <c r="E1009" s="74"/>
      <c r="F1009" s="89"/>
      <c r="G1009" s="89"/>
      <c r="H1009" s="90"/>
      <c r="I1009" s="90"/>
      <c r="J1009" s="90"/>
      <c r="K1009" s="90"/>
      <c r="L1009" s="91"/>
      <c r="M1009" s="73"/>
      <c r="N1009" s="74"/>
      <c r="O1009" s="74"/>
      <c r="P1009" s="74"/>
      <c r="Q1009" s="74"/>
    </row>
    <row r="1010">
      <c r="A1010" s="74"/>
      <c r="B1010" s="74"/>
      <c r="C1010" s="12"/>
      <c r="D1010" s="74"/>
      <c r="E1010" s="74"/>
      <c r="F1010" s="89"/>
      <c r="G1010" s="89"/>
      <c r="H1010" s="90"/>
      <c r="I1010" s="90"/>
      <c r="J1010" s="90"/>
      <c r="K1010" s="90"/>
      <c r="L1010" s="91"/>
      <c r="M1010" s="73"/>
      <c r="N1010" s="74"/>
      <c r="O1010" s="74"/>
      <c r="P1010" s="74"/>
      <c r="Q1010" s="74"/>
    </row>
    <row r="1011">
      <c r="A1011" s="74"/>
      <c r="B1011" s="74"/>
      <c r="C1011" s="12"/>
      <c r="D1011" s="74"/>
      <c r="E1011" s="74"/>
      <c r="F1011" s="89"/>
      <c r="G1011" s="89"/>
      <c r="H1011" s="90"/>
      <c r="I1011" s="90"/>
      <c r="J1011" s="90"/>
      <c r="K1011" s="90"/>
      <c r="L1011" s="91"/>
      <c r="M1011" s="73"/>
      <c r="N1011" s="74"/>
      <c r="O1011" s="74"/>
      <c r="P1011" s="74"/>
      <c r="Q1011" s="74"/>
    </row>
    <row r="1012">
      <c r="A1012" s="74"/>
      <c r="B1012" s="74"/>
      <c r="C1012" s="12"/>
      <c r="D1012" s="74"/>
      <c r="E1012" s="74"/>
      <c r="F1012" s="89"/>
      <c r="G1012" s="89"/>
      <c r="H1012" s="90"/>
      <c r="I1012" s="90"/>
      <c r="J1012" s="90"/>
      <c r="K1012" s="90"/>
      <c r="L1012" s="91"/>
      <c r="M1012" s="73"/>
      <c r="N1012" s="74"/>
      <c r="O1012" s="74"/>
      <c r="P1012" s="74"/>
      <c r="Q1012" s="74"/>
    </row>
    <row r="1013">
      <c r="A1013" s="74"/>
      <c r="B1013" s="74"/>
      <c r="C1013" s="12"/>
      <c r="D1013" s="74"/>
      <c r="E1013" s="74"/>
      <c r="F1013" s="89"/>
      <c r="G1013" s="89"/>
      <c r="H1013" s="90"/>
      <c r="I1013" s="90"/>
      <c r="J1013" s="90"/>
      <c r="K1013" s="90"/>
      <c r="L1013" s="91"/>
      <c r="M1013" s="73"/>
      <c r="N1013" s="74"/>
      <c r="O1013" s="74"/>
      <c r="P1013" s="74"/>
      <c r="Q1013" s="74"/>
    </row>
    <row r="1014">
      <c r="A1014" s="74"/>
      <c r="B1014" s="74"/>
      <c r="C1014" s="12"/>
      <c r="D1014" s="74"/>
      <c r="E1014" s="74"/>
      <c r="F1014" s="89"/>
      <c r="G1014" s="89"/>
      <c r="H1014" s="90"/>
      <c r="I1014" s="90"/>
      <c r="J1014" s="90"/>
      <c r="K1014" s="90"/>
      <c r="L1014" s="91"/>
      <c r="M1014" s="73"/>
      <c r="N1014" s="74"/>
      <c r="O1014" s="74"/>
      <c r="P1014" s="74"/>
      <c r="Q1014" s="74"/>
    </row>
    <row r="1015">
      <c r="A1015" s="74"/>
      <c r="B1015" s="74"/>
      <c r="C1015" s="12"/>
      <c r="D1015" s="74"/>
      <c r="E1015" s="74"/>
      <c r="F1015" s="89"/>
      <c r="G1015" s="89"/>
      <c r="H1015" s="90"/>
      <c r="I1015" s="90"/>
      <c r="J1015" s="90"/>
      <c r="K1015" s="90"/>
      <c r="L1015" s="91"/>
      <c r="M1015" s="73"/>
      <c r="N1015" s="74"/>
      <c r="O1015" s="74"/>
      <c r="P1015" s="74"/>
      <c r="Q1015" s="74"/>
    </row>
    <row r="1016">
      <c r="A1016" s="74"/>
      <c r="B1016" s="74"/>
      <c r="C1016" s="12"/>
      <c r="D1016" s="74"/>
      <c r="E1016" s="74"/>
      <c r="F1016" s="89"/>
      <c r="G1016" s="89"/>
      <c r="H1016" s="90"/>
      <c r="I1016" s="90"/>
      <c r="J1016" s="90"/>
      <c r="K1016" s="90"/>
      <c r="L1016" s="91"/>
      <c r="M1016" s="73"/>
      <c r="N1016" s="74"/>
      <c r="O1016" s="74"/>
      <c r="P1016" s="74"/>
      <c r="Q1016" s="74"/>
    </row>
    <row r="1017">
      <c r="A1017" s="74"/>
      <c r="B1017" s="74"/>
      <c r="C1017" s="12"/>
      <c r="D1017" s="74"/>
      <c r="E1017" s="74"/>
      <c r="F1017" s="89"/>
      <c r="G1017" s="89"/>
      <c r="H1017" s="90"/>
      <c r="I1017" s="90"/>
      <c r="J1017" s="90"/>
      <c r="K1017" s="90"/>
      <c r="L1017" s="91"/>
      <c r="M1017" s="73"/>
      <c r="N1017" s="74"/>
      <c r="O1017" s="74"/>
      <c r="P1017" s="74"/>
      <c r="Q1017" s="74"/>
    </row>
    <row r="1018">
      <c r="A1018" s="74"/>
      <c r="B1018" s="74"/>
      <c r="C1018" s="12"/>
      <c r="D1018" s="74"/>
      <c r="E1018" s="74"/>
      <c r="F1018" s="89"/>
      <c r="G1018" s="89"/>
      <c r="H1018" s="90"/>
      <c r="I1018" s="90"/>
      <c r="J1018" s="90"/>
      <c r="K1018" s="90"/>
      <c r="L1018" s="91"/>
      <c r="M1018" s="73"/>
      <c r="N1018" s="74"/>
      <c r="O1018" s="74"/>
      <c r="P1018" s="74"/>
      <c r="Q1018" s="74"/>
    </row>
    <row r="1019">
      <c r="A1019" s="74"/>
      <c r="B1019" s="74"/>
      <c r="C1019" s="12"/>
      <c r="D1019" s="74"/>
      <c r="E1019" s="74"/>
      <c r="F1019" s="89"/>
      <c r="G1019" s="89"/>
      <c r="H1019" s="90"/>
      <c r="I1019" s="90"/>
      <c r="J1019" s="90"/>
      <c r="K1019" s="90"/>
      <c r="L1019" s="91"/>
      <c r="M1019" s="73"/>
      <c r="N1019" s="74"/>
      <c r="O1019" s="74"/>
      <c r="P1019" s="74"/>
      <c r="Q1019" s="74"/>
    </row>
    <row r="1020">
      <c r="A1020" s="74"/>
      <c r="B1020" s="74"/>
      <c r="C1020" s="12"/>
      <c r="D1020" s="74"/>
      <c r="E1020" s="74"/>
      <c r="F1020" s="89"/>
      <c r="G1020" s="89"/>
      <c r="H1020" s="90"/>
      <c r="I1020" s="90"/>
      <c r="J1020" s="90"/>
      <c r="K1020" s="90"/>
      <c r="L1020" s="91"/>
      <c r="M1020" s="73"/>
      <c r="N1020" s="74"/>
      <c r="O1020" s="74"/>
      <c r="P1020" s="74"/>
      <c r="Q1020" s="74"/>
    </row>
    <row r="1021">
      <c r="A1021" s="74"/>
      <c r="B1021" s="74"/>
      <c r="C1021" s="12"/>
      <c r="D1021" s="74"/>
      <c r="E1021" s="74"/>
      <c r="F1021" s="89"/>
      <c r="G1021" s="89"/>
      <c r="H1021" s="90"/>
      <c r="I1021" s="90"/>
      <c r="J1021" s="90"/>
      <c r="K1021" s="90"/>
      <c r="L1021" s="91"/>
      <c r="M1021" s="73"/>
      <c r="N1021" s="74"/>
      <c r="O1021" s="74"/>
      <c r="P1021" s="74"/>
      <c r="Q1021" s="74"/>
    </row>
    <row r="1022">
      <c r="A1022" s="74"/>
      <c r="B1022" s="74"/>
      <c r="C1022" s="12"/>
      <c r="D1022" s="74"/>
      <c r="E1022" s="74"/>
      <c r="F1022" s="89"/>
      <c r="G1022" s="89"/>
      <c r="H1022" s="90"/>
      <c r="I1022" s="90"/>
      <c r="J1022" s="90"/>
      <c r="K1022" s="90"/>
      <c r="L1022" s="91"/>
      <c r="M1022" s="73"/>
      <c r="N1022" s="74"/>
      <c r="O1022" s="74"/>
      <c r="P1022" s="74"/>
      <c r="Q1022" s="74"/>
    </row>
    <row r="1023">
      <c r="A1023" s="74"/>
      <c r="B1023" s="74"/>
      <c r="C1023" s="12"/>
      <c r="D1023" s="74"/>
      <c r="E1023" s="74"/>
      <c r="F1023" s="89"/>
      <c r="G1023" s="89"/>
      <c r="H1023" s="90"/>
      <c r="I1023" s="90"/>
      <c r="J1023" s="90"/>
      <c r="K1023" s="90"/>
      <c r="L1023" s="91"/>
      <c r="M1023" s="73"/>
      <c r="N1023" s="74"/>
      <c r="O1023" s="74"/>
      <c r="P1023" s="74"/>
      <c r="Q1023" s="74"/>
    </row>
    <row r="1024">
      <c r="A1024" s="74"/>
      <c r="B1024" s="74"/>
      <c r="C1024" s="12"/>
      <c r="D1024" s="74"/>
      <c r="E1024" s="74"/>
      <c r="F1024" s="89"/>
      <c r="G1024" s="89"/>
      <c r="H1024" s="90"/>
      <c r="I1024" s="90"/>
      <c r="J1024" s="90"/>
      <c r="K1024" s="90"/>
      <c r="L1024" s="91"/>
      <c r="M1024" s="73"/>
      <c r="N1024" s="74"/>
      <c r="O1024" s="74"/>
      <c r="P1024" s="74"/>
      <c r="Q1024" s="74"/>
    </row>
    <row r="1025">
      <c r="A1025" s="74"/>
      <c r="B1025" s="74"/>
      <c r="C1025" s="12"/>
      <c r="D1025" s="74"/>
      <c r="E1025" s="74"/>
      <c r="F1025" s="89"/>
      <c r="G1025" s="89"/>
      <c r="H1025" s="90"/>
      <c r="I1025" s="90"/>
      <c r="J1025" s="90"/>
      <c r="K1025" s="90"/>
      <c r="L1025" s="91"/>
      <c r="M1025" s="73"/>
      <c r="N1025" s="74"/>
      <c r="O1025" s="74"/>
      <c r="P1025" s="74"/>
      <c r="Q1025" s="74"/>
    </row>
    <row r="1026">
      <c r="A1026" s="74"/>
      <c r="B1026" s="74"/>
      <c r="C1026" s="12"/>
      <c r="D1026" s="74"/>
      <c r="E1026" s="74"/>
      <c r="F1026" s="89"/>
      <c r="G1026" s="89"/>
      <c r="H1026" s="90"/>
      <c r="I1026" s="90"/>
      <c r="J1026" s="90"/>
      <c r="K1026" s="90"/>
      <c r="L1026" s="91"/>
      <c r="M1026" s="73"/>
      <c r="N1026" s="74"/>
      <c r="O1026" s="74"/>
      <c r="P1026" s="74"/>
      <c r="Q1026" s="74"/>
    </row>
    <row r="1027">
      <c r="A1027" s="74"/>
      <c r="B1027" s="74"/>
      <c r="C1027" s="12"/>
      <c r="D1027" s="74"/>
      <c r="E1027" s="74"/>
      <c r="F1027" s="89"/>
      <c r="G1027" s="89"/>
      <c r="H1027" s="90"/>
      <c r="I1027" s="90"/>
      <c r="J1027" s="90"/>
      <c r="K1027" s="90"/>
      <c r="L1027" s="91"/>
      <c r="M1027" s="73"/>
      <c r="N1027" s="74"/>
      <c r="O1027" s="74"/>
      <c r="P1027" s="74"/>
      <c r="Q1027" s="74"/>
    </row>
    <row r="1028">
      <c r="A1028" s="74"/>
      <c r="B1028" s="74"/>
      <c r="C1028" s="12"/>
      <c r="D1028" s="74"/>
      <c r="E1028" s="74"/>
      <c r="F1028" s="89"/>
      <c r="G1028" s="89"/>
      <c r="H1028" s="90"/>
      <c r="I1028" s="90"/>
      <c r="J1028" s="90"/>
      <c r="K1028" s="90"/>
      <c r="L1028" s="91"/>
      <c r="M1028" s="73"/>
      <c r="N1028" s="74"/>
      <c r="O1028" s="74"/>
      <c r="P1028" s="74"/>
      <c r="Q1028" s="74"/>
    </row>
    <row r="1029">
      <c r="A1029" s="74"/>
      <c r="B1029" s="74"/>
      <c r="C1029" s="12"/>
      <c r="D1029" s="74"/>
      <c r="E1029" s="74"/>
      <c r="F1029" s="89"/>
      <c r="G1029" s="89"/>
      <c r="H1029" s="90"/>
      <c r="I1029" s="90"/>
      <c r="J1029" s="90"/>
      <c r="K1029" s="90"/>
      <c r="L1029" s="91"/>
      <c r="M1029" s="73"/>
      <c r="N1029" s="74"/>
      <c r="O1029" s="74"/>
      <c r="P1029" s="74"/>
      <c r="Q1029" s="74"/>
    </row>
    <row r="1030">
      <c r="A1030" s="74"/>
      <c r="B1030" s="74"/>
      <c r="C1030" s="12"/>
      <c r="D1030" s="74"/>
      <c r="E1030" s="74"/>
      <c r="F1030" s="89"/>
      <c r="G1030" s="89"/>
      <c r="H1030" s="90"/>
      <c r="I1030" s="90"/>
      <c r="J1030" s="90"/>
      <c r="K1030" s="90"/>
      <c r="L1030" s="91"/>
      <c r="M1030" s="73"/>
      <c r="N1030" s="74"/>
      <c r="O1030" s="74"/>
      <c r="P1030" s="74"/>
      <c r="Q1030" s="74"/>
    </row>
    <row r="1031">
      <c r="A1031" s="74"/>
      <c r="B1031" s="74"/>
      <c r="C1031" s="12"/>
      <c r="D1031" s="74"/>
      <c r="E1031" s="74"/>
      <c r="F1031" s="89"/>
      <c r="G1031" s="89"/>
      <c r="H1031" s="90"/>
      <c r="I1031" s="90"/>
      <c r="J1031" s="90"/>
      <c r="K1031" s="90"/>
      <c r="L1031" s="91"/>
      <c r="M1031" s="73"/>
      <c r="N1031" s="74"/>
      <c r="O1031" s="74"/>
      <c r="P1031" s="74"/>
      <c r="Q1031" s="74"/>
    </row>
    <row r="1032">
      <c r="A1032" s="74"/>
      <c r="B1032" s="74"/>
      <c r="C1032" s="12"/>
      <c r="D1032" s="74"/>
      <c r="E1032" s="74"/>
      <c r="F1032" s="89"/>
      <c r="G1032" s="89"/>
      <c r="H1032" s="90"/>
      <c r="I1032" s="90"/>
      <c r="J1032" s="90"/>
      <c r="K1032" s="90"/>
      <c r="L1032" s="91"/>
      <c r="M1032" s="73"/>
      <c r="N1032" s="74"/>
      <c r="O1032" s="74"/>
      <c r="P1032" s="74"/>
      <c r="Q1032" s="74"/>
    </row>
    <row r="1033">
      <c r="A1033" s="74"/>
      <c r="B1033" s="74"/>
      <c r="C1033" s="12"/>
      <c r="D1033" s="74"/>
      <c r="E1033" s="74"/>
      <c r="F1033" s="89"/>
      <c r="G1033" s="89"/>
      <c r="H1033" s="90"/>
      <c r="I1033" s="90"/>
      <c r="J1033" s="90"/>
      <c r="K1033" s="90"/>
      <c r="L1033" s="91"/>
      <c r="M1033" s="73"/>
      <c r="N1033" s="74"/>
      <c r="O1033" s="74"/>
      <c r="P1033" s="74"/>
      <c r="Q1033" s="74"/>
    </row>
    <row r="1034">
      <c r="A1034" s="74"/>
      <c r="B1034" s="74"/>
      <c r="C1034" s="12"/>
      <c r="D1034" s="74"/>
      <c r="E1034" s="74"/>
      <c r="F1034" s="89"/>
      <c r="G1034" s="89"/>
      <c r="H1034" s="90"/>
      <c r="I1034" s="90"/>
      <c r="J1034" s="90"/>
      <c r="K1034" s="90"/>
      <c r="L1034" s="91"/>
      <c r="M1034" s="73"/>
      <c r="N1034" s="74"/>
      <c r="O1034" s="74"/>
      <c r="P1034" s="74"/>
      <c r="Q1034" s="74"/>
    </row>
    <row r="1035">
      <c r="A1035" s="74"/>
      <c r="B1035" s="74"/>
      <c r="C1035" s="12"/>
      <c r="D1035" s="74"/>
      <c r="E1035" s="74"/>
      <c r="F1035" s="89"/>
      <c r="G1035" s="89"/>
      <c r="H1035" s="90"/>
      <c r="I1035" s="90"/>
      <c r="J1035" s="90"/>
      <c r="K1035" s="90"/>
      <c r="L1035" s="91"/>
      <c r="M1035" s="73"/>
      <c r="N1035" s="74"/>
      <c r="O1035" s="74"/>
      <c r="P1035" s="74"/>
      <c r="Q1035" s="74"/>
    </row>
    <row r="1036">
      <c r="A1036" s="74"/>
      <c r="B1036" s="74"/>
      <c r="C1036" s="12"/>
      <c r="D1036" s="74"/>
      <c r="E1036" s="74"/>
      <c r="F1036" s="89"/>
      <c r="G1036" s="89"/>
      <c r="H1036" s="90"/>
      <c r="I1036" s="90"/>
      <c r="J1036" s="90"/>
      <c r="K1036" s="90"/>
      <c r="L1036" s="91"/>
      <c r="M1036" s="73"/>
      <c r="N1036" s="74"/>
      <c r="O1036" s="74"/>
      <c r="P1036" s="74"/>
      <c r="Q1036" s="74"/>
    </row>
    <row r="1037">
      <c r="A1037" s="74"/>
      <c r="B1037" s="74"/>
      <c r="C1037" s="12"/>
      <c r="D1037" s="74"/>
      <c r="E1037" s="74"/>
      <c r="F1037" s="89"/>
      <c r="G1037" s="89"/>
      <c r="H1037" s="90"/>
      <c r="I1037" s="90"/>
      <c r="J1037" s="90"/>
      <c r="K1037" s="90"/>
      <c r="L1037" s="91"/>
      <c r="M1037" s="73"/>
      <c r="N1037" s="74"/>
      <c r="O1037" s="74"/>
      <c r="P1037" s="74"/>
      <c r="Q1037" s="74"/>
    </row>
    <row r="1038">
      <c r="A1038" s="74"/>
      <c r="B1038" s="74"/>
      <c r="C1038" s="12"/>
      <c r="D1038" s="74"/>
      <c r="E1038" s="74"/>
      <c r="F1038" s="89"/>
      <c r="G1038" s="89"/>
      <c r="H1038" s="90"/>
      <c r="I1038" s="90"/>
      <c r="J1038" s="90"/>
      <c r="K1038" s="90"/>
      <c r="L1038" s="91"/>
      <c r="M1038" s="73"/>
      <c r="N1038" s="74"/>
      <c r="O1038" s="74"/>
      <c r="P1038" s="74"/>
      <c r="Q1038" s="74"/>
    </row>
    <row r="1039">
      <c r="A1039" s="74"/>
      <c r="B1039" s="74"/>
      <c r="C1039" s="12"/>
      <c r="D1039" s="74"/>
      <c r="E1039" s="74"/>
      <c r="F1039" s="89"/>
      <c r="G1039" s="89"/>
      <c r="H1039" s="90"/>
      <c r="I1039" s="90"/>
      <c r="J1039" s="90"/>
      <c r="K1039" s="90"/>
      <c r="L1039" s="91"/>
      <c r="M1039" s="73"/>
      <c r="N1039" s="74"/>
      <c r="O1039" s="74"/>
      <c r="P1039" s="74"/>
      <c r="Q1039" s="74"/>
    </row>
    <row r="1040">
      <c r="A1040" s="74"/>
      <c r="B1040" s="74"/>
      <c r="C1040" s="12"/>
      <c r="D1040" s="74"/>
      <c r="E1040" s="74"/>
      <c r="F1040" s="89"/>
      <c r="G1040" s="89"/>
      <c r="H1040" s="90"/>
      <c r="I1040" s="90"/>
      <c r="J1040" s="90"/>
      <c r="K1040" s="90"/>
      <c r="L1040" s="91"/>
      <c r="M1040" s="73"/>
      <c r="N1040" s="74"/>
      <c r="O1040" s="74"/>
      <c r="P1040" s="74"/>
      <c r="Q1040" s="74"/>
    </row>
    <row r="1041">
      <c r="A1041" s="74"/>
      <c r="B1041" s="74"/>
      <c r="C1041" s="12"/>
      <c r="D1041" s="74"/>
      <c r="E1041" s="74"/>
      <c r="F1041" s="89"/>
      <c r="G1041" s="89"/>
      <c r="H1041" s="90"/>
      <c r="I1041" s="90"/>
      <c r="J1041" s="90"/>
      <c r="K1041" s="90"/>
      <c r="L1041" s="91"/>
      <c r="M1041" s="73"/>
      <c r="N1041" s="74"/>
      <c r="O1041" s="74"/>
      <c r="P1041" s="74"/>
      <c r="Q1041" s="74"/>
    </row>
    <row r="1042">
      <c r="A1042" s="74"/>
      <c r="B1042" s="74"/>
      <c r="C1042" s="12"/>
      <c r="D1042" s="74"/>
      <c r="E1042" s="74"/>
      <c r="F1042" s="89"/>
      <c r="G1042" s="89"/>
      <c r="H1042" s="90"/>
      <c r="I1042" s="90"/>
      <c r="J1042" s="90"/>
      <c r="K1042" s="90"/>
      <c r="L1042" s="91"/>
      <c r="M1042" s="73"/>
      <c r="N1042" s="74"/>
      <c r="O1042" s="74"/>
      <c r="P1042" s="74"/>
      <c r="Q1042" s="74"/>
    </row>
    <row r="1043">
      <c r="A1043" s="74"/>
      <c r="B1043" s="74"/>
      <c r="C1043" s="12"/>
      <c r="D1043" s="74"/>
      <c r="E1043" s="74"/>
      <c r="F1043" s="89"/>
      <c r="G1043" s="89"/>
      <c r="H1043" s="90"/>
      <c r="I1043" s="90"/>
      <c r="J1043" s="90"/>
      <c r="K1043" s="90"/>
      <c r="L1043" s="91"/>
      <c r="M1043" s="73"/>
      <c r="N1043" s="74"/>
      <c r="O1043" s="74"/>
      <c r="P1043" s="74"/>
      <c r="Q1043" s="74"/>
    </row>
    <row r="1044">
      <c r="A1044" s="74"/>
      <c r="B1044" s="74"/>
      <c r="C1044" s="12"/>
      <c r="D1044" s="74"/>
      <c r="E1044" s="74"/>
      <c r="F1044" s="89"/>
      <c r="G1044" s="89"/>
      <c r="H1044" s="90"/>
      <c r="I1044" s="90"/>
      <c r="J1044" s="90"/>
      <c r="K1044" s="90"/>
      <c r="L1044" s="91"/>
      <c r="M1044" s="73"/>
      <c r="N1044" s="74"/>
      <c r="O1044" s="74"/>
      <c r="P1044" s="74"/>
      <c r="Q1044" s="74"/>
    </row>
    <row r="1045">
      <c r="A1045" s="74"/>
      <c r="B1045" s="74"/>
      <c r="C1045" s="12"/>
      <c r="D1045" s="74"/>
      <c r="E1045" s="74"/>
      <c r="F1045" s="89"/>
      <c r="G1045" s="89"/>
      <c r="H1045" s="90"/>
      <c r="I1045" s="90"/>
      <c r="J1045" s="90"/>
      <c r="K1045" s="90"/>
      <c r="L1045" s="91"/>
      <c r="M1045" s="73"/>
      <c r="N1045" s="74"/>
      <c r="O1045" s="74"/>
      <c r="P1045" s="74"/>
      <c r="Q1045" s="74"/>
    </row>
    <row r="1046">
      <c r="A1046" s="74"/>
      <c r="B1046" s="74"/>
      <c r="C1046" s="12"/>
      <c r="D1046" s="74"/>
      <c r="E1046" s="74"/>
      <c r="F1046" s="89"/>
      <c r="G1046" s="89"/>
      <c r="H1046" s="90"/>
      <c r="I1046" s="90"/>
      <c r="J1046" s="90"/>
      <c r="K1046" s="90"/>
      <c r="L1046" s="91"/>
      <c r="M1046" s="73"/>
      <c r="N1046" s="74"/>
      <c r="O1046" s="74"/>
      <c r="P1046" s="74"/>
      <c r="Q1046" s="74"/>
    </row>
    <row r="1047">
      <c r="A1047" s="74"/>
      <c r="B1047" s="74"/>
      <c r="C1047" s="12"/>
      <c r="D1047" s="74"/>
      <c r="E1047" s="74"/>
      <c r="F1047" s="89"/>
      <c r="G1047" s="89"/>
      <c r="H1047" s="90"/>
      <c r="I1047" s="90"/>
      <c r="J1047" s="90"/>
      <c r="K1047" s="90"/>
      <c r="L1047" s="91"/>
      <c r="M1047" s="73"/>
      <c r="N1047" s="74"/>
      <c r="O1047" s="74"/>
      <c r="P1047" s="74"/>
      <c r="Q1047" s="74"/>
    </row>
    <row r="1048">
      <c r="A1048" s="74"/>
      <c r="B1048" s="74"/>
      <c r="C1048" s="12"/>
      <c r="D1048" s="74"/>
      <c r="E1048" s="74"/>
      <c r="F1048" s="89"/>
      <c r="G1048" s="89"/>
      <c r="H1048" s="90"/>
      <c r="I1048" s="90"/>
      <c r="J1048" s="90"/>
      <c r="K1048" s="90"/>
      <c r="L1048" s="91"/>
      <c r="M1048" s="73"/>
      <c r="N1048" s="74"/>
      <c r="O1048" s="74"/>
      <c r="P1048" s="74"/>
      <c r="Q1048" s="74"/>
    </row>
    <row r="1049">
      <c r="A1049" s="74"/>
      <c r="B1049" s="74"/>
      <c r="C1049" s="12"/>
      <c r="D1049" s="74"/>
      <c r="E1049" s="74"/>
      <c r="F1049" s="89"/>
      <c r="G1049" s="89"/>
      <c r="H1049" s="90"/>
      <c r="I1049" s="90"/>
      <c r="J1049" s="90"/>
      <c r="K1049" s="90"/>
      <c r="L1049" s="91"/>
      <c r="M1049" s="73"/>
      <c r="N1049" s="74"/>
      <c r="O1049" s="74"/>
      <c r="P1049" s="74"/>
      <c r="Q1049" s="74"/>
    </row>
    <row r="1050">
      <c r="A1050" s="74"/>
      <c r="B1050" s="74"/>
      <c r="C1050" s="12"/>
      <c r="D1050" s="74"/>
      <c r="E1050" s="74"/>
      <c r="F1050" s="89"/>
      <c r="G1050" s="89"/>
      <c r="H1050" s="90"/>
      <c r="I1050" s="90"/>
      <c r="J1050" s="90"/>
      <c r="K1050" s="90"/>
      <c r="L1050" s="91"/>
      <c r="M1050" s="73"/>
      <c r="N1050" s="74"/>
      <c r="O1050" s="74"/>
      <c r="P1050" s="74"/>
      <c r="Q1050" s="74"/>
    </row>
    <row r="1051">
      <c r="A1051" s="74"/>
      <c r="B1051" s="74"/>
      <c r="C1051" s="12"/>
      <c r="D1051" s="74"/>
      <c r="E1051" s="74"/>
      <c r="F1051" s="89"/>
      <c r="G1051" s="89"/>
      <c r="H1051" s="90"/>
      <c r="I1051" s="90"/>
      <c r="J1051" s="90"/>
      <c r="K1051" s="90"/>
      <c r="L1051" s="91"/>
      <c r="M1051" s="73"/>
      <c r="N1051" s="74"/>
      <c r="O1051" s="74"/>
      <c r="P1051" s="74"/>
      <c r="Q1051" s="74"/>
    </row>
    <row r="1052">
      <c r="A1052" s="74"/>
      <c r="B1052" s="74"/>
      <c r="C1052" s="12"/>
      <c r="D1052" s="74"/>
      <c r="E1052" s="74"/>
      <c r="F1052" s="89"/>
      <c r="G1052" s="89"/>
      <c r="H1052" s="90"/>
      <c r="I1052" s="90"/>
      <c r="J1052" s="90"/>
      <c r="K1052" s="90"/>
      <c r="L1052" s="91"/>
      <c r="M1052" s="73"/>
      <c r="N1052" s="74"/>
      <c r="O1052" s="74"/>
      <c r="P1052" s="74"/>
      <c r="Q1052" s="74"/>
    </row>
    <row r="1053">
      <c r="A1053" s="74"/>
      <c r="B1053" s="74"/>
      <c r="C1053" s="12"/>
      <c r="D1053" s="74"/>
      <c r="E1053" s="74"/>
      <c r="F1053" s="89"/>
      <c r="G1053" s="89"/>
      <c r="H1053" s="90"/>
      <c r="I1053" s="90"/>
      <c r="J1053" s="90"/>
      <c r="K1053" s="90"/>
      <c r="L1053" s="91"/>
      <c r="M1053" s="73"/>
      <c r="N1053" s="74"/>
      <c r="O1053" s="74"/>
      <c r="P1053" s="74"/>
      <c r="Q1053" s="74"/>
    </row>
    <row r="1054">
      <c r="A1054" s="74"/>
      <c r="B1054" s="74"/>
      <c r="C1054" s="12"/>
      <c r="D1054" s="74"/>
      <c r="E1054" s="74"/>
      <c r="F1054" s="89"/>
      <c r="G1054" s="89"/>
      <c r="H1054" s="90"/>
      <c r="I1054" s="90"/>
      <c r="J1054" s="90"/>
      <c r="K1054" s="90"/>
      <c r="L1054" s="91"/>
      <c r="M1054" s="73"/>
      <c r="N1054" s="74"/>
      <c r="O1054" s="74"/>
      <c r="P1054" s="74"/>
      <c r="Q1054" s="74"/>
    </row>
    <row r="1055">
      <c r="A1055" s="74"/>
      <c r="B1055" s="74"/>
      <c r="C1055" s="12"/>
      <c r="D1055" s="74"/>
      <c r="E1055" s="74"/>
      <c r="F1055" s="89"/>
      <c r="G1055" s="89"/>
      <c r="H1055" s="90"/>
      <c r="I1055" s="90"/>
      <c r="J1055" s="90"/>
      <c r="K1055" s="90"/>
      <c r="L1055" s="91"/>
      <c r="M1055" s="73"/>
      <c r="N1055" s="74"/>
      <c r="O1055" s="74"/>
      <c r="P1055" s="74"/>
      <c r="Q1055" s="74"/>
    </row>
    <row r="1056">
      <c r="A1056" s="74"/>
      <c r="B1056" s="74"/>
      <c r="C1056" s="12"/>
      <c r="D1056" s="74"/>
      <c r="E1056" s="74"/>
      <c r="F1056" s="89"/>
      <c r="G1056" s="89"/>
      <c r="H1056" s="90"/>
      <c r="I1056" s="90"/>
      <c r="J1056" s="90"/>
      <c r="K1056" s="90"/>
      <c r="L1056" s="91"/>
      <c r="M1056" s="73"/>
      <c r="N1056" s="74"/>
      <c r="O1056" s="74"/>
      <c r="P1056" s="74"/>
      <c r="Q1056" s="74"/>
    </row>
    <row r="1057">
      <c r="A1057" s="74"/>
      <c r="B1057" s="74"/>
      <c r="C1057" s="12"/>
      <c r="D1057" s="74"/>
      <c r="E1057" s="74"/>
      <c r="F1057" s="89"/>
      <c r="G1057" s="89"/>
      <c r="H1057" s="90"/>
      <c r="I1057" s="90"/>
      <c r="J1057" s="90"/>
      <c r="K1057" s="90"/>
      <c r="L1057" s="91"/>
      <c r="M1057" s="73"/>
      <c r="N1057" s="74"/>
      <c r="O1057" s="74"/>
      <c r="P1057" s="74"/>
      <c r="Q1057" s="74"/>
    </row>
    <row r="1058">
      <c r="A1058" s="74"/>
      <c r="B1058" s="74"/>
      <c r="C1058" s="12"/>
      <c r="D1058" s="74"/>
      <c r="E1058" s="74"/>
      <c r="F1058" s="89"/>
      <c r="G1058" s="89"/>
      <c r="H1058" s="90"/>
      <c r="I1058" s="90"/>
      <c r="J1058" s="90"/>
      <c r="K1058" s="90"/>
      <c r="L1058" s="91"/>
      <c r="M1058" s="73"/>
      <c r="N1058" s="74"/>
      <c r="O1058" s="74"/>
      <c r="P1058" s="74"/>
      <c r="Q1058" s="74"/>
    </row>
    <row r="1059">
      <c r="A1059" s="74"/>
      <c r="B1059" s="74"/>
      <c r="C1059" s="12"/>
      <c r="D1059" s="74"/>
      <c r="E1059" s="74"/>
      <c r="F1059" s="89"/>
      <c r="G1059" s="89"/>
      <c r="H1059" s="90"/>
      <c r="I1059" s="90"/>
      <c r="J1059" s="90"/>
      <c r="K1059" s="90"/>
      <c r="L1059" s="91"/>
      <c r="M1059" s="73"/>
      <c r="N1059" s="74"/>
      <c r="O1059" s="74"/>
      <c r="P1059" s="74"/>
      <c r="Q1059" s="74"/>
    </row>
    <row r="1060">
      <c r="A1060" s="74"/>
      <c r="B1060" s="74"/>
      <c r="C1060" s="12"/>
      <c r="D1060" s="74"/>
      <c r="E1060" s="74"/>
      <c r="F1060" s="89"/>
      <c r="G1060" s="89"/>
      <c r="H1060" s="90"/>
      <c r="I1060" s="90"/>
      <c r="J1060" s="90"/>
      <c r="K1060" s="90"/>
      <c r="L1060" s="91"/>
      <c r="M1060" s="73"/>
      <c r="N1060" s="74"/>
      <c r="O1060" s="74"/>
      <c r="P1060" s="74"/>
      <c r="Q1060" s="74"/>
    </row>
    <row r="1061">
      <c r="A1061" s="74"/>
      <c r="B1061" s="74"/>
      <c r="C1061" s="12"/>
      <c r="D1061" s="74"/>
      <c r="E1061" s="74"/>
      <c r="F1061" s="89"/>
      <c r="G1061" s="89"/>
      <c r="H1061" s="90"/>
      <c r="I1061" s="90"/>
      <c r="J1061" s="90"/>
      <c r="K1061" s="90"/>
      <c r="L1061" s="91"/>
      <c r="M1061" s="73"/>
      <c r="N1061" s="74"/>
      <c r="O1061" s="74"/>
      <c r="P1061" s="74"/>
      <c r="Q1061" s="74"/>
    </row>
    <row r="1062">
      <c r="A1062" s="74"/>
      <c r="B1062" s="74"/>
      <c r="C1062" s="12"/>
      <c r="D1062" s="74"/>
      <c r="E1062" s="74"/>
      <c r="F1062" s="89"/>
      <c r="G1062" s="89"/>
      <c r="H1062" s="90"/>
      <c r="I1062" s="90"/>
      <c r="J1062" s="90"/>
      <c r="K1062" s="90"/>
      <c r="L1062" s="91"/>
      <c r="M1062" s="73"/>
      <c r="N1062" s="74"/>
      <c r="O1062" s="74"/>
      <c r="P1062" s="74"/>
      <c r="Q1062" s="74"/>
    </row>
    <row r="1063">
      <c r="A1063" s="74"/>
      <c r="B1063" s="74"/>
      <c r="C1063" s="12"/>
      <c r="D1063" s="74"/>
      <c r="E1063" s="74"/>
      <c r="F1063" s="89"/>
      <c r="G1063" s="89"/>
      <c r="H1063" s="90"/>
      <c r="I1063" s="90"/>
      <c r="J1063" s="90"/>
      <c r="K1063" s="90"/>
      <c r="L1063" s="91"/>
      <c r="M1063" s="73"/>
      <c r="N1063" s="74"/>
      <c r="O1063" s="74"/>
      <c r="P1063" s="74"/>
      <c r="Q1063" s="74"/>
    </row>
    <row r="1064">
      <c r="A1064" s="74"/>
      <c r="B1064" s="74"/>
      <c r="C1064" s="12"/>
      <c r="D1064" s="74"/>
      <c r="E1064" s="74"/>
      <c r="F1064" s="89"/>
      <c r="G1064" s="89"/>
      <c r="H1064" s="90"/>
      <c r="I1064" s="90"/>
      <c r="J1064" s="90"/>
      <c r="K1064" s="90"/>
      <c r="L1064" s="91"/>
      <c r="M1064" s="73"/>
      <c r="N1064" s="74"/>
      <c r="O1064" s="74"/>
      <c r="P1064" s="74"/>
      <c r="Q1064" s="74"/>
    </row>
    <row r="1065">
      <c r="A1065" s="74"/>
      <c r="B1065" s="74"/>
      <c r="C1065" s="12"/>
      <c r="D1065" s="74"/>
      <c r="E1065" s="74"/>
      <c r="F1065" s="89"/>
      <c r="G1065" s="89"/>
      <c r="H1065" s="90"/>
      <c r="I1065" s="90"/>
      <c r="J1065" s="90"/>
      <c r="K1065" s="90"/>
      <c r="L1065" s="91"/>
      <c r="M1065" s="73"/>
      <c r="N1065" s="74"/>
      <c r="O1065" s="74"/>
      <c r="P1065" s="74"/>
      <c r="Q1065" s="74"/>
    </row>
    <row r="1066">
      <c r="A1066" s="74"/>
      <c r="B1066" s="74"/>
      <c r="C1066" s="12"/>
      <c r="D1066" s="74"/>
      <c r="E1066" s="74"/>
      <c r="F1066" s="89"/>
      <c r="G1066" s="89"/>
      <c r="H1066" s="90"/>
      <c r="I1066" s="90"/>
      <c r="J1066" s="90"/>
      <c r="K1066" s="90"/>
      <c r="L1066" s="91"/>
      <c r="M1066" s="73"/>
      <c r="N1066" s="74"/>
      <c r="O1066" s="74"/>
      <c r="P1066" s="74"/>
      <c r="Q1066" s="74"/>
    </row>
    <row r="1067">
      <c r="A1067" s="74"/>
      <c r="B1067" s="74"/>
      <c r="C1067" s="12"/>
      <c r="D1067" s="74"/>
      <c r="E1067" s="74"/>
      <c r="F1067" s="89"/>
      <c r="G1067" s="89"/>
      <c r="H1067" s="90"/>
      <c r="I1067" s="90"/>
      <c r="J1067" s="90"/>
      <c r="K1067" s="90"/>
      <c r="L1067" s="91"/>
      <c r="M1067" s="73"/>
      <c r="N1067" s="74"/>
      <c r="O1067" s="74"/>
      <c r="P1067" s="74"/>
      <c r="Q1067" s="74"/>
    </row>
    <row r="1068">
      <c r="A1068" s="74"/>
      <c r="B1068" s="74"/>
      <c r="C1068" s="12"/>
      <c r="D1068" s="74"/>
      <c r="E1068" s="74"/>
      <c r="F1068" s="89"/>
      <c r="G1068" s="89"/>
      <c r="H1068" s="90"/>
      <c r="I1068" s="90"/>
      <c r="J1068" s="90"/>
      <c r="K1068" s="90"/>
      <c r="L1068" s="91"/>
      <c r="M1068" s="73"/>
      <c r="N1068" s="74"/>
      <c r="O1068" s="74"/>
      <c r="P1068" s="74"/>
      <c r="Q1068" s="74"/>
    </row>
    <row r="1069">
      <c r="A1069" s="74"/>
      <c r="B1069" s="74"/>
      <c r="C1069" s="12"/>
      <c r="D1069" s="74"/>
      <c r="E1069" s="74"/>
      <c r="F1069" s="89"/>
      <c r="G1069" s="89"/>
      <c r="H1069" s="90"/>
      <c r="I1069" s="90"/>
      <c r="J1069" s="90"/>
      <c r="K1069" s="90"/>
      <c r="L1069" s="91"/>
      <c r="M1069" s="73"/>
      <c r="N1069" s="74"/>
      <c r="O1069" s="74"/>
      <c r="P1069" s="74"/>
      <c r="Q1069" s="74"/>
    </row>
    <row r="1070">
      <c r="A1070" s="74"/>
      <c r="B1070" s="74"/>
      <c r="C1070" s="12"/>
      <c r="D1070" s="74"/>
      <c r="E1070" s="74"/>
      <c r="F1070" s="89"/>
      <c r="G1070" s="89"/>
      <c r="H1070" s="90"/>
      <c r="I1070" s="90"/>
      <c r="J1070" s="90"/>
      <c r="K1070" s="90"/>
      <c r="L1070" s="91"/>
      <c r="M1070" s="73"/>
      <c r="N1070" s="74"/>
      <c r="O1070" s="74"/>
      <c r="P1070" s="74"/>
      <c r="Q1070" s="74"/>
    </row>
    <row r="1071">
      <c r="A1071" s="74"/>
      <c r="B1071" s="74"/>
      <c r="C1071" s="12"/>
      <c r="D1071" s="74"/>
      <c r="E1071" s="74"/>
      <c r="F1071" s="89"/>
      <c r="G1071" s="89"/>
      <c r="H1071" s="90"/>
      <c r="I1071" s="90"/>
      <c r="J1071" s="90"/>
      <c r="K1071" s="90"/>
      <c r="L1071" s="91"/>
      <c r="M1071" s="73"/>
      <c r="N1071" s="74"/>
      <c r="O1071" s="74"/>
      <c r="P1071" s="74"/>
      <c r="Q1071" s="74"/>
    </row>
    <row r="1072">
      <c r="A1072" s="74"/>
      <c r="B1072" s="74"/>
      <c r="C1072" s="12"/>
      <c r="D1072" s="74"/>
      <c r="E1072" s="74"/>
      <c r="F1072" s="89"/>
      <c r="G1072" s="89"/>
      <c r="H1072" s="90"/>
      <c r="I1072" s="90"/>
      <c r="J1072" s="90"/>
      <c r="K1072" s="90"/>
      <c r="L1072" s="91"/>
      <c r="M1072" s="73"/>
      <c r="N1072" s="74"/>
      <c r="O1072" s="74"/>
      <c r="P1072" s="74"/>
      <c r="Q1072" s="74"/>
    </row>
    <row r="1073">
      <c r="A1073" s="74"/>
      <c r="B1073" s="74"/>
      <c r="C1073" s="12"/>
      <c r="D1073" s="74"/>
      <c r="E1073" s="74"/>
      <c r="F1073" s="89"/>
      <c r="G1073" s="89"/>
      <c r="H1073" s="90"/>
      <c r="I1073" s="90"/>
      <c r="J1073" s="90"/>
      <c r="K1073" s="90"/>
      <c r="L1073" s="91"/>
      <c r="M1073" s="73"/>
      <c r="N1073" s="74"/>
      <c r="O1073" s="74"/>
      <c r="P1073" s="74"/>
      <c r="Q1073" s="74"/>
    </row>
    <row r="1074">
      <c r="A1074" s="74"/>
      <c r="B1074" s="74"/>
      <c r="C1074" s="12"/>
      <c r="D1074" s="74"/>
      <c r="E1074" s="74"/>
      <c r="F1074" s="89"/>
      <c r="G1074" s="89"/>
      <c r="H1074" s="90"/>
      <c r="I1074" s="90"/>
      <c r="J1074" s="90"/>
      <c r="K1074" s="90"/>
      <c r="L1074" s="91"/>
      <c r="M1074" s="73"/>
      <c r="N1074" s="74"/>
      <c r="O1074" s="74"/>
      <c r="P1074" s="74"/>
      <c r="Q1074" s="74"/>
    </row>
    <row r="1075">
      <c r="A1075" s="74"/>
      <c r="B1075" s="74"/>
      <c r="C1075" s="12"/>
      <c r="D1075" s="74"/>
      <c r="E1075" s="74"/>
      <c r="F1075" s="89"/>
      <c r="G1075" s="89"/>
      <c r="H1075" s="90"/>
      <c r="I1075" s="90"/>
      <c r="J1075" s="90"/>
      <c r="K1075" s="90"/>
      <c r="L1075" s="91"/>
      <c r="M1075" s="73"/>
      <c r="N1075" s="74"/>
      <c r="O1075" s="74"/>
      <c r="P1075" s="74"/>
      <c r="Q1075" s="74"/>
    </row>
    <row r="1076">
      <c r="A1076" s="74"/>
      <c r="B1076" s="74"/>
      <c r="C1076" s="12"/>
      <c r="D1076" s="74"/>
      <c r="E1076" s="74"/>
      <c r="F1076" s="89"/>
      <c r="G1076" s="89"/>
      <c r="H1076" s="90"/>
      <c r="I1076" s="90"/>
      <c r="J1076" s="90"/>
      <c r="K1076" s="90"/>
      <c r="L1076" s="91"/>
      <c r="M1076" s="73"/>
      <c r="N1076" s="74"/>
      <c r="O1076" s="74"/>
      <c r="P1076" s="74"/>
      <c r="Q1076" s="74"/>
    </row>
    <row r="1077">
      <c r="A1077" s="74"/>
      <c r="B1077" s="74"/>
      <c r="C1077" s="12"/>
      <c r="D1077" s="74"/>
      <c r="E1077" s="74"/>
      <c r="F1077" s="89"/>
      <c r="G1077" s="89"/>
      <c r="H1077" s="90"/>
      <c r="I1077" s="90"/>
      <c r="J1077" s="90"/>
      <c r="K1077" s="90"/>
      <c r="L1077" s="91"/>
      <c r="M1077" s="73"/>
      <c r="N1077" s="74"/>
      <c r="O1077" s="74"/>
      <c r="P1077" s="74"/>
      <c r="Q1077" s="74"/>
    </row>
    <row r="1078">
      <c r="A1078" s="74"/>
      <c r="B1078" s="74"/>
      <c r="C1078" s="12"/>
      <c r="D1078" s="74"/>
      <c r="E1078" s="74"/>
      <c r="F1078" s="89"/>
      <c r="G1078" s="89"/>
      <c r="H1078" s="90"/>
      <c r="I1078" s="90"/>
      <c r="J1078" s="90"/>
      <c r="K1078" s="90"/>
      <c r="L1078" s="91"/>
      <c r="M1078" s="73"/>
      <c r="N1078" s="74"/>
      <c r="O1078" s="74"/>
      <c r="P1078" s="74"/>
      <c r="Q1078" s="74"/>
    </row>
    <row r="1079">
      <c r="A1079" s="74"/>
      <c r="B1079" s="74"/>
      <c r="C1079" s="12"/>
      <c r="D1079" s="74"/>
      <c r="E1079" s="74"/>
      <c r="F1079" s="89"/>
      <c r="G1079" s="89"/>
      <c r="H1079" s="90"/>
      <c r="I1079" s="90"/>
      <c r="J1079" s="90"/>
      <c r="K1079" s="90"/>
      <c r="L1079" s="91"/>
      <c r="M1079" s="73"/>
      <c r="N1079" s="74"/>
      <c r="O1079" s="74"/>
      <c r="P1079" s="74"/>
      <c r="Q1079" s="74"/>
    </row>
    <row r="1080">
      <c r="A1080" s="74"/>
      <c r="B1080" s="74"/>
      <c r="C1080" s="12"/>
      <c r="D1080" s="74"/>
      <c r="E1080" s="74"/>
      <c r="F1080" s="89"/>
      <c r="G1080" s="89"/>
      <c r="H1080" s="90"/>
      <c r="I1080" s="90"/>
      <c r="J1080" s="90"/>
      <c r="K1080" s="90"/>
      <c r="L1080" s="91"/>
      <c r="M1080" s="73"/>
      <c r="N1080" s="74"/>
      <c r="O1080" s="74"/>
      <c r="P1080" s="74"/>
      <c r="Q1080" s="74"/>
    </row>
    <row r="1081">
      <c r="A1081" s="74"/>
      <c r="B1081" s="74"/>
      <c r="C1081" s="12"/>
      <c r="D1081" s="74"/>
      <c r="E1081" s="74"/>
      <c r="F1081" s="89"/>
      <c r="G1081" s="89"/>
      <c r="H1081" s="90"/>
      <c r="I1081" s="90"/>
      <c r="J1081" s="90"/>
      <c r="K1081" s="90"/>
      <c r="L1081" s="91"/>
      <c r="M1081" s="73"/>
      <c r="N1081" s="74"/>
      <c r="O1081" s="74"/>
      <c r="P1081" s="74"/>
      <c r="Q1081" s="74"/>
    </row>
    <row r="1082">
      <c r="A1082" s="74"/>
      <c r="B1082" s="74"/>
      <c r="C1082" s="12"/>
      <c r="D1082" s="74"/>
      <c r="E1082" s="74"/>
      <c r="F1082" s="89"/>
      <c r="G1082" s="89"/>
      <c r="H1082" s="90"/>
      <c r="I1082" s="90"/>
      <c r="J1082" s="90"/>
      <c r="K1082" s="90"/>
      <c r="L1082" s="91"/>
      <c r="M1082" s="73"/>
      <c r="N1082" s="74"/>
      <c r="O1082" s="74"/>
      <c r="P1082" s="74"/>
      <c r="Q1082" s="74"/>
    </row>
    <row r="1083">
      <c r="A1083" s="74"/>
      <c r="B1083" s="74"/>
      <c r="C1083" s="12"/>
      <c r="D1083" s="74"/>
      <c r="E1083" s="74"/>
      <c r="F1083" s="89"/>
      <c r="G1083" s="89"/>
      <c r="H1083" s="90"/>
      <c r="I1083" s="90"/>
      <c r="J1083" s="90"/>
      <c r="K1083" s="90"/>
      <c r="L1083" s="91"/>
      <c r="M1083" s="73"/>
      <c r="N1083" s="74"/>
      <c r="O1083" s="74"/>
      <c r="P1083" s="74"/>
      <c r="Q1083" s="74"/>
    </row>
    <row r="1084">
      <c r="A1084" s="74"/>
      <c r="B1084" s="74"/>
      <c r="C1084" s="12"/>
      <c r="D1084" s="74"/>
      <c r="E1084" s="74"/>
      <c r="F1084" s="89"/>
      <c r="G1084" s="89"/>
      <c r="H1084" s="90"/>
      <c r="I1084" s="90"/>
      <c r="J1084" s="90"/>
      <c r="K1084" s="90"/>
      <c r="L1084" s="91"/>
      <c r="M1084" s="73"/>
      <c r="N1084" s="74"/>
      <c r="O1084" s="74"/>
      <c r="P1084" s="74"/>
      <c r="Q1084" s="74"/>
    </row>
    <row r="1085">
      <c r="A1085" s="74"/>
      <c r="B1085" s="74"/>
      <c r="C1085" s="12"/>
      <c r="D1085" s="74"/>
      <c r="E1085" s="74"/>
      <c r="F1085" s="89"/>
      <c r="G1085" s="89"/>
      <c r="H1085" s="90"/>
      <c r="I1085" s="90"/>
      <c r="J1085" s="90"/>
      <c r="K1085" s="90"/>
      <c r="L1085" s="91"/>
      <c r="M1085" s="73"/>
      <c r="N1085" s="74"/>
      <c r="O1085" s="74"/>
      <c r="P1085" s="74"/>
      <c r="Q1085" s="74"/>
    </row>
    <row r="1086">
      <c r="A1086" s="74"/>
      <c r="B1086" s="74"/>
      <c r="C1086" s="12"/>
      <c r="D1086" s="74"/>
      <c r="E1086" s="74"/>
      <c r="F1086" s="89"/>
      <c r="G1086" s="89"/>
      <c r="H1086" s="90"/>
      <c r="I1086" s="90"/>
      <c r="J1086" s="90"/>
      <c r="K1086" s="90"/>
      <c r="L1086" s="91"/>
      <c r="M1086" s="73"/>
      <c r="N1086" s="74"/>
      <c r="O1086" s="74"/>
      <c r="P1086" s="74"/>
      <c r="Q1086" s="74"/>
    </row>
    <row r="1087">
      <c r="A1087" s="74"/>
      <c r="B1087" s="74"/>
      <c r="C1087" s="12"/>
      <c r="D1087" s="74"/>
      <c r="E1087" s="74"/>
      <c r="F1087" s="89"/>
      <c r="G1087" s="89"/>
      <c r="H1087" s="90"/>
      <c r="I1087" s="90"/>
      <c r="J1087" s="90"/>
      <c r="K1087" s="90"/>
      <c r="L1087" s="91"/>
      <c r="M1087" s="73"/>
      <c r="N1087" s="74"/>
      <c r="O1087" s="74"/>
      <c r="P1087" s="74"/>
      <c r="Q1087" s="74"/>
    </row>
    <row r="1088">
      <c r="A1088" s="74"/>
      <c r="B1088" s="74"/>
      <c r="C1088" s="12"/>
      <c r="D1088" s="74"/>
      <c r="E1088" s="74"/>
      <c r="F1088" s="89"/>
      <c r="G1088" s="89"/>
      <c r="H1088" s="90"/>
      <c r="I1088" s="90"/>
      <c r="J1088" s="90"/>
      <c r="K1088" s="90"/>
      <c r="L1088" s="91"/>
      <c r="M1088" s="73"/>
      <c r="N1088" s="74"/>
      <c r="O1088" s="74"/>
      <c r="P1088" s="74"/>
      <c r="Q1088" s="74"/>
    </row>
    <row r="1089">
      <c r="A1089" s="74"/>
      <c r="B1089" s="74"/>
      <c r="C1089" s="12"/>
      <c r="D1089" s="74"/>
      <c r="E1089" s="74"/>
      <c r="F1089" s="89"/>
      <c r="G1089" s="89"/>
      <c r="H1089" s="90"/>
      <c r="I1089" s="90"/>
      <c r="J1089" s="90"/>
      <c r="K1089" s="90"/>
      <c r="L1089" s="91"/>
      <c r="M1089" s="73"/>
      <c r="N1089" s="74"/>
      <c r="O1089" s="74"/>
      <c r="P1089" s="74"/>
      <c r="Q1089" s="74"/>
    </row>
    <row r="1090">
      <c r="A1090" s="74"/>
      <c r="B1090" s="74"/>
      <c r="C1090" s="12"/>
      <c r="D1090" s="74"/>
      <c r="E1090" s="74"/>
      <c r="F1090" s="89"/>
      <c r="G1090" s="89"/>
      <c r="H1090" s="90"/>
      <c r="I1090" s="90"/>
      <c r="J1090" s="90"/>
      <c r="K1090" s="90"/>
      <c r="L1090" s="91"/>
      <c r="M1090" s="73"/>
      <c r="N1090" s="74"/>
      <c r="O1090" s="74"/>
      <c r="P1090" s="74"/>
      <c r="Q1090" s="74"/>
    </row>
    <row r="1091">
      <c r="A1091" s="74"/>
      <c r="B1091" s="74"/>
      <c r="C1091" s="12"/>
      <c r="D1091" s="74"/>
      <c r="E1091" s="74"/>
      <c r="F1091" s="89"/>
      <c r="G1091" s="89"/>
      <c r="H1091" s="90"/>
      <c r="I1091" s="90"/>
      <c r="J1091" s="90"/>
      <c r="K1091" s="90"/>
      <c r="L1091" s="91"/>
      <c r="M1091" s="73"/>
      <c r="N1091" s="74"/>
      <c r="O1091" s="74"/>
      <c r="P1091" s="74"/>
      <c r="Q1091" s="74"/>
    </row>
    <row r="1092">
      <c r="A1092" s="74"/>
      <c r="B1092" s="74"/>
      <c r="C1092" s="12"/>
      <c r="D1092" s="74"/>
      <c r="E1092" s="74"/>
      <c r="F1092" s="89"/>
      <c r="G1092" s="89"/>
      <c r="H1092" s="90"/>
      <c r="I1092" s="90"/>
      <c r="J1092" s="90"/>
      <c r="K1092" s="90"/>
      <c r="L1092" s="91"/>
      <c r="M1092" s="73"/>
      <c r="N1092" s="74"/>
      <c r="O1092" s="74"/>
      <c r="P1092" s="74"/>
      <c r="Q1092" s="74"/>
    </row>
    <row r="1093">
      <c r="A1093" s="74"/>
      <c r="B1093" s="74"/>
      <c r="C1093" s="12"/>
      <c r="D1093" s="74"/>
      <c r="E1093" s="74"/>
      <c r="F1093" s="89"/>
      <c r="G1093" s="89"/>
      <c r="H1093" s="90"/>
      <c r="I1093" s="90"/>
      <c r="J1093" s="90"/>
      <c r="K1093" s="90"/>
      <c r="L1093" s="91"/>
      <c r="M1093" s="73"/>
      <c r="N1093" s="74"/>
      <c r="O1093" s="74"/>
      <c r="P1093" s="74"/>
      <c r="Q1093" s="74"/>
    </row>
    <row r="1094">
      <c r="A1094" s="74"/>
      <c r="B1094" s="74"/>
      <c r="C1094" s="12"/>
      <c r="D1094" s="74"/>
      <c r="E1094" s="74"/>
      <c r="F1094" s="89"/>
      <c r="G1094" s="89"/>
      <c r="H1094" s="90"/>
      <c r="I1094" s="90"/>
      <c r="J1094" s="90"/>
      <c r="K1094" s="90"/>
      <c r="L1094" s="91"/>
      <c r="M1094" s="73"/>
      <c r="N1094" s="74"/>
      <c r="O1094" s="74"/>
      <c r="P1094" s="74"/>
      <c r="Q1094" s="74"/>
    </row>
    <row r="1095">
      <c r="A1095" s="74"/>
      <c r="B1095" s="74"/>
      <c r="C1095" s="12"/>
      <c r="D1095" s="74"/>
      <c r="E1095" s="74"/>
      <c r="F1095" s="89"/>
      <c r="G1095" s="89"/>
      <c r="H1095" s="90"/>
      <c r="I1095" s="90"/>
      <c r="J1095" s="90"/>
      <c r="K1095" s="90"/>
      <c r="L1095" s="91"/>
      <c r="M1095" s="73"/>
      <c r="N1095" s="74"/>
      <c r="O1095" s="74"/>
      <c r="P1095" s="74"/>
      <c r="Q1095" s="74"/>
    </row>
    <row r="1096">
      <c r="A1096" s="74"/>
      <c r="B1096" s="74"/>
      <c r="C1096" s="12"/>
      <c r="D1096" s="74"/>
      <c r="E1096" s="74"/>
      <c r="F1096" s="89"/>
      <c r="G1096" s="89"/>
      <c r="H1096" s="90"/>
      <c r="I1096" s="90"/>
      <c r="J1096" s="90"/>
      <c r="K1096" s="90"/>
      <c r="L1096" s="91"/>
      <c r="M1096" s="73"/>
      <c r="N1096" s="74"/>
      <c r="O1096" s="74"/>
      <c r="P1096" s="74"/>
      <c r="Q1096" s="74"/>
    </row>
    <row r="1097">
      <c r="A1097" s="74"/>
      <c r="B1097" s="74"/>
      <c r="C1097" s="12"/>
      <c r="D1097" s="74"/>
      <c r="E1097" s="74"/>
      <c r="F1097" s="89"/>
      <c r="G1097" s="89"/>
      <c r="H1097" s="90"/>
      <c r="I1097" s="90"/>
      <c r="J1097" s="90"/>
      <c r="K1097" s="90"/>
      <c r="L1097" s="91"/>
      <c r="M1097" s="73"/>
      <c r="N1097" s="74"/>
      <c r="O1097" s="74"/>
      <c r="P1097" s="74"/>
      <c r="Q1097" s="74"/>
    </row>
    <row r="1098">
      <c r="A1098" s="74"/>
      <c r="B1098" s="74"/>
      <c r="C1098" s="12"/>
      <c r="D1098" s="74"/>
      <c r="E1098" s="74"/>
      <c r="F1098" s="89"/>
      <c r="G1098" s="89"/>
      <c r="H1098" s="90"/>
      <c r="I1098" s="90"/>
      <c r="J1098" s="90"/>
      <c r="K1098" s="90"/>
      <c r="L1098" s="91"/>
      <c r="M1098" s="73"/>
      <c r="N1098" s="74"/>
      <c r="O1098" s="74"/>
      <c r="P1098" s="74"/>
      <c r="Q1098" s="74"/>
    </row>
    <row r="1099">
      <c r="A1099" s="74"/>
      <c r="B1099" s="74"/>
      <c r="C1099" s="12"/>
      <c r="D1099" s="74"/>
      <c r="E1099" s="74"/>
      <c r="F1099" s="89"/>
      <c r="G1099" s="89"/>
      <c r="H1099" s="90"/>
      <c r="I1099" s="90"/>
      <c r="J1099" s="90"/>
      <c r="K1099" s="90"/>
      <c r="L1099" s="91"/>
      <c r="M1099" s="73"/>
      <c r="N1099" s="74"/>
      <c r="O1099" s="74"/>
      <c r="P1099" s="74"/>
      <c r="Q1099" s="74"/>
    </row>
    <row r="1100">
      <c r="A1100" s="74"/>
      <c r="B1100" s="74"/>
      <c r="C1100" s="12"/>
      <c r="D1100" s="74"/>
      <c r="E1100" s="74"/>
      <c r="F1100" s="89"/>
      <c r="G1100" s="89"/>
      <c r="H1100" s="90"/>
      <c r="I1100" s="90"/>
      <c r="J1100" s="90"/>
      <c r="K1100" s="90"/>
      <c r="L1100" s="91"/>
      <c r="M1100" s="73"/>
      <c r="N1100" s="74"/>
      <c r="O1100" s="74"/>
      <c r="P1100" s="74"/>
      <c r="Q1100" s="74"/>
    </row>
    <row r="1101">
      <c r="A1101" s="74"/>
      <c r="B1101" s="74"/>
      <c r="C1101" s="12"/>
      <c r="D1101" s="74"/>
      <c r="E1101" s="74"/>
      <c r="F1101" s="89"/>
      <c r="G1101" s="89"/>
      <c r="H1101" s="90"/>
      <c r="I1101" s="90"/>
      <c r="J1101" s="90"/>
      <c r="K1101" s="90"/>
      <c r="L1101" s="91"/>
      <c r="M1101" s="73"/>
      <c r="N1101" s="74"/>
      <c r="O1101" s="74"/>
      <c r="P1101" s="74"/>
      <c r="Q1101" s="74"/>
    </row>
    <row r="1102">
      <c r="A1102" s="74"/>
      <c r="B1102" s="74"/>
      <c r="C1102" s="12"/>
      <c r="D1102" s="74"/>
      <c r="E1102" s="74"/>
      <c r="F1102" s="89"/>
      <c r="G1102" s="89"/>
      <c r="H1102" s="90"/>
      <c r="I1102" s="90"/>
      <c r="J1102" s="90"/>
      <c r="K1102" s="90"/>
      <c r="L1102" s="91"/>
      <c r="M1102" s="73"/>
      <c r="N1102" s="74"/>
      <c r="O1102" s="74"/>
      <c r="P1102" s="74"/>
      <c r="Q1102" s="74"/>
    </row>
    <row r="1103">
      <c r="A1103" s="74"/>
      <c r="B1103" s="74"/>
      <c r="C1103" s="12"/>
      <c r="D1103" s="74"/>
      <c r="E1103" s="74"/>
      <c r="F1103" s="89"/>
      <c r="G1103" s="89"/>
      <c r="H1103" s="90"/>
      <c r="I1103" s="90"/>
      <c r="J1103" s="90"/>
      <c r="K1103" s="90"/>
      <c r="L1103" s="91"/>
      <c r="M1103" s="73"/>
      <c r="N1103" s="74"/>
      <c r="O1103" s="74"/>
      <c r="P1103" s="74"/>
      <c r="Q1103" s="74"/>
    </row>
    <row r="1104">
      <c r="A1104" s="74"/>
      <c r="B1104" s="74"/>
      <c r="C1104" s="12"/>
      <c r="D1104" s="74"/>
      <c r="E1104" s="74"/>
      <c r="F1104" s="89"/>
      <c r="G1104" s="89"/>
      <c r="H1104" s="90"/>
      <c r="I1104" s="90"/>
      <c r="J1104" s="90"/>
      <c r="K1104" s="90"/>
      <c r="L1104" s="91"/>
      <c r="M1104" s="73"/>
      <c r="N1104" s="74"/>
      <c r="O1104" s="74"/>
      <c r="P1104" s="74"/>
      <c r="Q1104" s="74"/>
    </row>
    <row r="1105">
      <c r="A1105" s="74"/>
      <c r="B1105" s="74"/>
      <c r="C1105" s="12"/>
      <c r="D1105" s="74"/>
      <c r="E1105" s="74"/>
      <c r="F1105" s="89"/>
      <c r="G1105" s="89"/>
      <c r="H1105" s="90"/>
      <c r="I1105" s="90"/>
      <c r="J1105" s="90"/>
      <c r="K1105" s="90"/>
      <c r="L1105" s="91"/>
      <c r="M1105" s="73"/>
      <c r="N1105" s="74"/>
      <c r="O1105" s="74"/>
      <c r="P1105" s="74"/>
      <c r="Q1105" s="74"/>
    </row>
    <row r="1106">
      <c r="A1106" s="74"/>
      <c r="B1106" s="74"/>
      <c r="C1106" s="12"/>
      <c r="D1106" s="74"/>
      <c r="E1106" s="74"/>
      <c r="F1106" s="89"/>
      <c r="G1106" s="89"/>
      <c r="H1106" s="90"/>
      <c r="I1106" s="90"/>
      <c r="J1106" s="90"/>
      <c r="K1106" s="90"/>
      <c r="L1106" s="91"/>
      <c r="M1106" s="73"/>
      <c r="N1106" s="74"/>
      <c r="O1106" s="74"/>
      <c r="P1106" s="74"/>
      <c r="Q1106" s="74"/>
    </row>
    <row r="1107">
      <c r="A1107" s="74"/>
      <c r="B1107" s="74"/>
      <c r="C1107" s="12"/>
      <c r="D1107" s="74"/>
      <c r="E1107" s="74"/>
      <c r="F1107" s="89"/>
      <c r="G1107" s="89"/>
      <c r="H1107" s="90"/>
      <c r="I1107" s="90"/>
      <c r="J1107" s="90"/>
      <c r="K1107" s="90"/>
      <c r="L1107" s="91"/>
      <c r="M1107" s="73"/>
      <c r="N1107" s="74"/>
      <c r="O1107" s="74"/>
      <c r="P1107" s="74"/>
      <c r="Q1107" s="74"/>
    </row>
    <row r="1108">
      <c r="A1108" s="74"/>
      <c r="B1108" s="74"/>
      <c r="C1108" s="12"/>
      <c r="D1108" s="74"/>
      <c r="E1108" s="74"/>
      <c r="F1108" s="89"/>
      <c r="G1108" s="89"/>
      <c r="H1108" s="90"/>
      <c r="I1108" s="90"/>
      <c r="J1108" s="90"/>
      <c r="K1108" s="90"/>
      <c r="L1108" s="91"/>
      <c r="M1108" s="73"/>
      <c r="N1108" s="74"/>
      <c r="O1108" s="74"/>
      <c r="P1108" s="74"/>
      <c r="Q1108" s="74"/>
    </row>
    <row r="1109">
      <c r="A1109" s="74"/>
      <c r="B1109" s="74"/>
      <c r="C1109" s="12"/>
      <c r="D1109" s="74"/>
      <c r="E1109" s="74"/>
      <c r="F1109" s="89"/>
      <c r="G1109" s="89"/>
      <c r="H1109" s="90"/>
      <c r="I1109" s="90"/>
      <c r="J1109" s="90"/>
      <c r="K1109" s="90"/>
      <c r="L1109" s="91"/>
      <c r="M1109" s="73"/>
      <c r="N1109" s="74"/>
      <c r="O1109" s="74"/>
      <c r="P1109" s="74"/>
      <c r="Q1109" s="74"/>
    </row>
    <row r="1110">
      <c r="A1110" s="74"/>
      <c r="B1110" s="74"/>
      <c r="C1110" s="12"/>
      <c r="D1110" s="74"/>
      <c r="E1110" s="74"/>
      <c r="F1110" s="89"/>
      <c r="G1110" s="89"/>
      <c r="H1110" s="90"/>
      <c r="I1110" s="90"/>
      <c r="J1110" s="90"/>
      <c r="K1110" s="90"/>
      <c r="L1110" s="91"/>
      <c r="M1110" s="73"/>
      <c r="N1110" s="74"/>
      <c r="O1110" s="74"/>
      <c r="P1110" s="74"/>
      <c r="Q1110" s="74"/>
    </row>
    <row r="1111">
      <c r="A1111" s="74"/>
      <c r="B1111" s="74"/>
      <c r="C1111" s="12"/>
      <c r="D1111" s="74"/>
      <c r="E1111" s="74"/>
      <c r="F1111" s="89"/>
      <c r="G1111" s="89"/>
      <c r="H1111" s="90"/>
      <c r="I1111" s="90"/>
      <c r="J1111" s="90"/>
      <c r="K1111" s="90"/>
      <c r="L1111" s="91"/>
      <c r="M1111" s="73"/>
      <c r="N1111" s="74"/>
      <c r="O1111" s="74"/>
      <c r="P1111" s="74"/>
      <c r="Q1111" s="74"/>
    </row>
    <row r="1112">
      <c r="A1112" s="74"/>
      <c r="B1112" s="74"/>
      <c r="C1112" s="12"/>
      <c r="D1112" s="74"/>
      <c r="E1112" s="74"/>
      <c r="F1112" s="89"/>
      <c r="G1112" s="89"/>
      <c r="H1112" s="90"/>
      <c r="I1112" s="90"/>
      <c r="J1112" s="90"/>
      <c r="K1112" s="90"/>
      <c r="L1112" s="91"/>
      <c r="M1112" s="73"/>
      <c r="N1112" s="74"/>
      <c r="O1112" s="74"/>
      <c r="P1112" s="74"/>
      <c r="Q1112" s="74"/>
    </row>
    <row r="1113">
      <c r="A1113" s="74"/>
      <c r="B1113" s="74"/>
      <c r="C1113" s="12"/>
      <c r="D1113" s="74"/>
      <c r="E1113" s="74"/>
      <c r="F1113" s="89"/>
      <c r="G1113" s="89"/>
      <c r="H1113" s="90"/>
      <c r="I1113" s="90"/>
      <c r="J1113" s="90"/>
      <c r="K1113" s="90"/>
      <c r="L1113" s="91"/>
      <c r="M1113" s="73"/>
      <c r="N1113" s="74"/>
      <c r="O1113" s="74"/>
      <c r="P1113" s="74"/>
      <c r="Q1113" s="74"/>
    </row>
    <row r="1114">
      <c r="A1114" s="74"/>
      <c r="B1114" s="74"/>
      <c r="C1114" s="12"/>
      <c r="D1114" s="74"/>
      <c r="E1114" s="74"/>
      <c r="F1114" s="89"/>
      <c r="G1114" s="89"/>
      <c r="H1114" s="90"/>
      <c r="I1114" s="90"/>
      <c r="J1114" s="90"/>
      <c r="K1114" s="90"/>
      <c r="L1114" s="91"/>
      <c r="M1114" s="73"/>
      <c r="N1114" s="74"/>
      <c r="O1114" s="74"/>
      <c r="P1114" s="74"/>
      <c r="Q1114" s="74"/>
    </row>
    <row r="1115">
      <c r="A1115" s="74"/>
      <c r="B1115" s="74"/>
      <c r="C1115" s="12"/>
      <c r="D1115" s="74"/>
      <c r="E1115" s="74"/>
      <c r="F1115" s="89"/>
      <c r="G1115" s="89"/>
      <c r="H1115" s="90"/>
      <c r="I1115" s="90"/>
      <c r="J1115" s="90"/>
      <c r="K1115" s="90"/>
      <c r="L1115" s="91"/>
      <c r="M1115" s="73"/>
      <c r="N1115" s="74"/>
      <c r="O1115" s="74"/>
      <c r="P1115" s="74"/>
      <c r="Q1115" s="74"/>
    </row>
    <row r="1116">
      <c r="A1116" s="74"/>
      <c r="B1116" s="74"/>
      <c r="C1116" s="12"/>
      <c r="D1116" s="74"/>
      <c r="E1116" s="74"/>
      <c r="F1116" s="89"/>
      <c r="G1116" s="89"/>
      <c r="H1116" s="90"/>
      <c r="I1116" s="90"/>
      <c r="J1116" s="90"/>
      <c r="K1116" s="90"/>
      <c r="L1116" s="91"/>
      <c r="M1116" s="73"/>
      <c r="N1116" s="74"/>
      <c r="O1116" s="74"/>
      <c r="P1116" s="74"/>
      <c r="Q1116" s="74"/>
    </row>
    <row r="1117">
      <c r="A1117" s="74"/>
      <c r="B1117" s="74"/>
      <c r="C1117" s="12"/>
      <c r="D1117" s="74"/>
      <c r="E1117" s="74"/>
      <c r="F1117" s="89"/>
      <c r="G1117" s="89"/>
      <c r="H1117" s="90"/>
      <c r="I1117" s="90"/>
      <c r="J1117" s="90"/>
      <c r="K1117" s="90"/>
      <c r="L1117" s="91"/>
      <c r="M1117" s="73"/>
      <c r="N1117" s="74"/>
      <c r="O1117" s="74"/>
      <c r="P1117" s="74"/>
      <c r="Q1117" s="74"/>
    </row>
    <row r="1118">
      <c r="A1118" s="74"/>
      <c r="B1118" s="74"/>
      <c r="C1118" s="12"/>
      <c r="D1118" s="74"/>
      <c r="E1118" s="74"/>
      <c r="F1118" s="89"/>
      <c r="G1118" s="89"/>
      <c r="H1118" s="90"/>
      <c r="I1118" s="90"/>
      <c r="J1118" s="90"/>
      <c r="K1118" s="90"/>
      <c r="L1118" s="91"/>
      <c r="M1118" s="73"/>
      <c r="N1118" s="74"/>
      <c r="O1118" s="74"/>
      <c r="P1118" s="74"/>
      <c r="Q1118" s="74"/>
    </row>
    <row r="1119">
      <c r="A1119" s="74"/>
      <c r="B1119" s="74"/>
      <c r="C1119" s="12"/>
      <c r="D1119" s="74"/>
      <c r="E1119" s="74"/>
      <c r="F1119" s="89"/>
      <c r="G1119" s="89"/>
      <c r="H1119" s="90"/>
      <c r="I1119" s="90"/>
      <c r="J1119" s="90"/>
      <c r="K1119" s="90"/>
      <c r="L1119" s="91"/>
      <c r="M1119" s="73"/>
      <c r="N1119" s="74"/>
      <c r="O1119" s="74"/>
      <c r="P1119" s="74"/>
      <c r="Q1119" s="74"/>
    </row>
    <row r="1120">
      <c r="A1120" s="74"/>
      <c r="B1120" s="74"/>
      <c r="C1120" s="12"/>
      <c r="D1120" s="74"/>
      <c r="E1120" s="74"/>
      <c r="F1120" s="89"/>
      <c r="G1120" s="89"/>
      <c r="H1120" s="90"/>
      <c r="I1120" s="90"/>
      <c r="J1120" s="90"/>
      <c r="K1120" s="90"/>
      <c r="L1120" s="91"/>
      <c r="M1120" s="73"/>
      <c r="N1120" s="74"/>
      <c r="O1120" s="74"/>
      <c r="P1120" s="74"/>
      <c r="Q1120" s="74"/>
    </row>
    <row r="1121">
      <c r="A1121" s="74"/>
      <c r="B1121" s="74"/>
      <c r="C1121" s="12"/>
      <c r="D1121" s="74"/>
      <c r="E1121" s="74"/>
      <c r="F1121" s="89"/>
      <c r="G1121" s="89"/>
      <c r="H1121" s="90"/>
      <c r="I1121" s="90"/>
      <c r="J1121" s="90"/>
      <c r="K1121" s="90"/>
      <c r="L1121" s="91"/>
      <c r="M1121" s="73"/>
      <c r="N1121" s="74"/>
      <c r="O1121" s="74"/>
      <c r="P1121" s="74"/>
      <c r="Q1121" s="74"/>
    </row>
  </sheetData>
  <conditionalFormatting sqref="J70:L71">
    <cfRule type="expression" dxfId="0" priority="1">
      <formula>$Z70="Excluded"</formula>
    </cfRule>
  </conditionalFormatting>
  <conditionalFormatting sqref="J70:L71">
    <cfRule type="expression" dxfId="0" priority="2">
      <formula>$Z70="Excluded"</formula>
    </cfRule>
  </conditionalFormatting>
  <conditionalFormatting sqref="J70:L71">
    <cfRule type="expression" dxfId="0" priority="3">
      <formula>$Z70="Excluded"</formula>
    </cfRule>
  </conditionalFormatting>
  <conditionalFormatting sqref="E33 J118:L123 K181:L181">
    <cfRule type="expression" dxfId="0" priority="4">
      <formula>$Z33="Excluded"</formula>
    </cfRule>
  </conditionalFormatting>
  <conditionalFormatting sqref="E33 J118:L123 K181:L181">
    <cfRule type="cellIs" dxfId="1" priority="5" operator="equal">
      <formula>"patellar"</formula>
    </cfRule>
  </conditionalFormatting>
  <conditionalFormatting sqref="E33 J118:L123 K181:L181">
    <cfRule type="cellIs" dxfId="2" priority="6" operator="equal">
      <formula>"hamstring"</formula>
    </cfRule>
  </conditionalFormatting>
  <conditionalFormatting sqref="E33 J118:L123 K181:L181">
    <cfRule type="cellIs" dxfId="3" priority="7" operator="equal">
      <formula>"quadriceps"</formula>
    </cfRule>
  </conditionalFormatting>
  <conditionalFormatting sqref="E33 J118:L123 K181:L181">
    <cfRule type="cellIs" dxfId="4" priority="8" operator="equal">
      <formula>"tibialis"</formula>
    </cfRule>
  </conditionalFormatting>
  <conditionalFormatting sqref="J116:L117">
    <cfRule type="expression" dxfId="0" priority="9">
      <formula>$Z116="Excluded"</formula>
    </cfRule>
  </conditionalFormatting>
  <conditionalFormatting sqref="J116:L117">
    <cfRule type="cellIs" dxfId="1" priority="10" operator="equal">
      <formula>"patellar"</formula>
    </cfRule>
  </conditionalFormatting>
  <conditionalFormatting sqref="J116:L117">
    <cfRule type="cellIs" dxfId="2" priority="11" operator="equal">
      <formula>"hamstring"</formula>
    </cfRule>
  </conditionalFormatting>
  <conditionalFormatting sqref="J116:L117">
    <cfRule type="cellIs" dxfId="3" priority="12" operator="equal">
      <formula>"quadriceps"</formula>
    </cfRule>
  </conditionalFormatting>
  <conditionalFormatting sqref="J116:L117">
    <cfRule type="cellIs" dxfId="4" priority="13" operator="equal">
      <formula>"tibialis"</formula>
    </cfRule>
  </conditionalFormatting>
  <conditionalFormatting sqref="J110:L115">
    <cfRule type="expression" dxfId="0" priority="14">
      <formula>$Z110="Excluded"</formula>
    </cfRule>
  </conditionalFormatting>
  <conditionalFormatting sqref="J110:L115">
    <cfRule type="cellIs" dxfId="1" priority="15" operator="equal">
      <formula>"patellar"</formula>
    </cfRule>
  </conditionalFormatting>
  <conditionalFormatting sqref="J110:L115">
    <cfRule type="cellIs" dxfId="2" priority="16" operator="equal">
      <formula>"hamstring"</formula>
    </cfRule>
  </conditionalFormatting>
  <conditionalFormatting sqref="J110:L115">
    <cfRule type="cellIs" dxfId="3" priority="17" operator="equal">
      <formula>"quadriceps"</formula>
    </cfRule>
  </conditionalFormatting>
  <conditionalFormatting sqref="J110:L115">
    <cfRule type="cellIs" dxfId="4" priority="18" operator="equal">
      <formula>"tibialis"</formula>
    </cfRule>
  </conditionalFormatting>
  <conditionalFormatting sqref="E33 J105:L123 K181:L181">
    <cfRule type="expression" dxfId="0" priority="19">
      <formula>$Z33="Excluded"</formula>
    </cfRule>
  </conditionalFormatting>
  <conditionalFormatting sqref="E33 J105:L123 K181:L181">
    <cfRule type="cellIs" dxfId="1" priority="20" operator="equal">
      <formula>"patellar"</formula>
    </cfRule>
  </conditionalFormatting>
  <conditionalFormatting sqref="E33 J105:L123 K181:L181">
    <cfRule type="cellIs" dxfId="2" priority="21" operator="equal">
      <formula>"hamstring"</formula>
    </cfRule>
  </conditionalFormatting>
  <conditionalFormatting sqref="E33 J105:L123 K181:L181">
    <cfRule type="cellIs" dxfId="3" priority="22" operator="equal">
      <formula>"quadriceps"</formula>
    </cfRule>
  </conditionalFormatting>
  <conditionalFormatting sqref="E33 J105:L123 K181:L181">
    <cfRule type="cellIs" dxfId="4" priority="23" operator="equal">
      <formula>"tibialis"</formula>
    </cfRule>
  </conditionalFormatting>
  <conditionalFormatting sqref="J97:L104 J106:L108 J110:L112 J114:L116 J118:L120">
    <cfRule type="expression" dxfId="0" priority="24">
      <formula>$Z97="Excluded"</formula>
    </cfRule>
  </conditionalFormatting>
  <conditionalFormatting sqref="J97:L104 J106:L108 J110:L112 J114:L116 J118:L120">
    <cfRule type="cellIs" dxfId="1" priority="25" operator="equal">
      <formula>"patellar"</formula>
    </cfRule>
  </conditionalFormatting>
  <conditionalFormatting sqref="J97:L104 J106:L108 J110:L112 J114:L116 J118:L120">
    <cfRule type="cellIs" dxfId="2" priority="26" operator="equal">
      <formula>"hamstring"</formula>
    </cfRule>
  </conditionalFormatting>
  <conditionalFormatting sqref="J97:L104 J106:L108 J110:L112 J114:L116 J118:L120">
    <cfRule type="cellIs" dxfId="3" priority="27" operator="equal">
      <formula>"quadriceps"</formula>
    </cfRule>
  </conditionalFormatting>
  <conditionalFormatting sqref="J97:L104 J106:L108 J110:L112 J114:L116 J118:L120">
    <cfRule type="cellIs" dxfId="4" priority="28" operator="equal">
      <formula>"tibialis"</formula>
    </cfRule>
  </conditionalFormatting>
  <conditionalFormatting sqref="J95:L96">
    <cfRule type="expression" dxfId="0" priority="29">
      <formula>$Z95="Excluded"</formula>
    </cfRule>
  </conditionalFormatting>
  <conditionalFormatting sqref="J95:L96">
    <cfRule type="cellIs" dxfId="1" priority="30" operator="equal">
      <formula>"patellar"</formula>
    </cfRule>
  </conditionalFormatting>
  <conditionalFormatting sqref="J95:L96">
    <cfRule type="cellIs" dxfId="2" priority="31" operator="equal">
      <formula>"hamstring"</formula>
    </cfRule>
  </conditionalFormatting>
  <conditionalFormatting sqref="J95:L96">
    <cfRule type="cellIs" dxfId="3" priority="32" operator="equal">
      <formula>"quadriceps"</formula>
    </cfRule>
  </conditionalFormatting>
  <conditionalFormatting sqref="J95:L96">
    <cfRule type="cellIs" dxfId="4" priority="33" operator="equal">
      <formula>"tibialis"</formula>
    </cfRule>
  </conditionalFormatting>
  <conditionalFormatting sqref="J93:L94">
    <cfRule type="expression" dxfId="0" priority="34">
      <formula>$Z93="Excluded"</formula>
    </cfRule>
  </conditionalFormatting>
  <conditionalFormatting sqref="J93:L94">
    <cfRule type="cellIs" dxfId="1" priority="35" operator="equal">
      <formula>"patellar"</formula>
    </cfRule>
  </conditionalFormatting>
  <conditionalFormatting sqref="J93:L94">
    <cfRule type="cellIs" dxfId="2" priority="36" operator="equal">
      <formula>"hamstring"</formula>
    </cfRule>
  </conditionalFormatting>
  <conditionalFormatting sqref="J93:L94">
    <cfRule type="cellIs" dxfId="3" priority="37" operator="equal">
      <formula>"quadriceps"</formula>
    </cfRule>
  </conditionalFormatting>
  <conditionalFormatting sqref="J93:L94">
    <cfRule type="cellIs" dxfId="4" priority="38" operator="equal">
      <formula>"tibialis"</formula>
    </cfRule>
  </conditionalFormatting>
  <conditionalFormatting sqref="J90:L92">
    <cfRule type="expression" dxfId="0" priority="39">
      <formula>$Z90="Excluded"</formula>
    </cfRule>
  </conditionalFormatting>
  <conditionalFormatting sqref="J90:L92">
    <cfRule type="cellIs" dxfId="1" priority="40" operator="equal">
      <formula>"patellar"</formula>
    </cfRule>
  </conditionalFormatting>
  <conditionalFormatting sqref="J90:L92">
    <cfRule type="cellIs" dxfId="2" priority="41" operator="equal">
      <formula>"hamstring"</formula>
    </cfRule>
  </conditionalFormatting>
  <conditionalFormatting sqref="J90:L92">
    <cfRule type="cellIs" dxfId="3" priority="42" operator="equal">
      <formula>"quadriceps"</formula>
    </cfRule>
  </conditionalFormatting>
  <conditionalFormatting sqref="J90:L92">
    <cfRule type="cellIs" dxfId="4" priority="43" operator="equal">
      <formula>"tibialis"</formula>
    </cfRule>
  </conditionalFormatting>
  <conditionalFormatting sqref="J85:L89">
    <cfRule type="expression" dxfId="0" priority="44">
      <formula>$Z85="Excluded"</formula>
    </cfRule>
  </conditionalFormatting>
  <conditionalFormatting sqref="J85:L89">
    <cfRule type="cellIs" dxfId="1" priority="45" operator="equal">
      <formula>"patellar"</formula>
    </cfRule>
  </conditionalFormatting>
  <conditionalFormatting sqref="J85:L89">
    <cfRule type="cellIs" dxfId="2" priority="46" operator="equal">
      <formula>"hamstring"</formula>
    </cfRule>
  </conditionalFormatting>
  <conditionalFormatting sqref="J85:L89">
    <cfRule type="cellIs" dxfId="3" priority="47" operator="equal">
      <formula>"quadriceps"</formula>
    </cfRule>
  </conditionalFormatting>
  <conditionalFormatting sqref="J85:L89">
    <cfRule type="cellIs" dxfId="4" priority="48" operator="equal">
      <formula>"tibialis"</formula>
    </cfRule>
  </conditionalFormatting>
  <conditionalFormatting sqref="J71:L84">
    <cfRule type="expression" dxfId="0" priority="49">
      <formula>$Z71="Excluded"</formula>
    </cfRule>
  </conditionalFormatting>
  <conditionalFormatting sqref="J71:L84">
    <cfRule type="cellIs" dxfId="1" priority="50" operator="equal">
      <formula>"patellar"</formula>
    </cfRule>
  </conditionalFormatting>
  <conditionalFormatting sqref="J71:L84">
    <cfRule type="cellIs" dxfId="2" priority="51" operator="equal">
      <formula>"hamstring"</formula>
    </cfRule>
  </conditionalFormatting>
  <conditionalFormatting sqref="J71:L84">
    <cfRule type="cellIs" dxfId="3" priority="52" operator="equal">
      <formula>"quadriceps"</formula>
    </cfRule>
  </conditionalFormatting>
  <conditionalFormatting sqref="J71:L84">
    <cfRule type="cellIs" dxfId="4" priority="53" operator="equal">
      <formula>"tibialis"</formula>
    </cfRule>
  </conditionalFormatting>
  <conditionalFormatting sqref="J67:L70">
    <cfRule type="expression" dxfId="0" priority="54">
      <formula>$Z67="Excluded"</formula>
    </cfRule>
  </conditionalFormatting>
  <conditionalFormatting sqref="J67:L70">
    <cfRule type="cellIs" dxfId="1" priority="55" operator="equal">
      <formula>"patellar"</formula>
    </cfRule>
  </conditionalFormatting>
  <conditionalFormatting sqref="J67:L70">
    <cfRule type="cellIs" dxfId="2" priority="56" operator="equal">
      <formula>"hamstring"</formula>
    </cfRule>
  </conditionalFormatting>
  <conditionalFormatting sqref="J67:L70">
    <cfRule type="cellIs" dxfId="3" priority="57" operator="equal">
      <formula>"quadriceps"</formula>
    </cfRule>
  </conditionalFormatting>
  <conditionalFormatting sqref="J67:L70">
    <cfRule type="cellIs" dxfId="4" priority="58" operator="equal">
      <formula>"tibialis"</formula>
    </cfRule>
  </conditionalFormatting>
  <conditionalFormatting sqref="J65:L66">
    <cfRule type="expression" dxfId="0" priority="59">
      <formula>$Z65="Excluded"</formula>
    </cfRule>
  </conditionalFormatting>
  <conditionalFormatting sqref="J65:L66">
    <cfRule type="cellIs" dxfId="1" priority="60" operator="equal">
      <formula>"patellar"</formula>
    </cfRule>
  </conditionalFormatting>
  <conditionalFormatting sqref="J65:L66">
    <cfRule type="cellIs" dxfId="2" priority="61" operator="equal">
      <formula>"hamstring"</formula>
    </cfRule>
  </conditionalFormatting>
  <conditionalFormatting sqref="J65:L66">
    <cfRule type="cellIs" dxfId="3" priority="62" operator="equal">
      <formula>"quadriceps"</formula>
    </cfRule>
  </conditionalFormatting>
  <conditionalFormatting sqref="J65:L66">
    <cfRule type="cellIs" dxfId="4" priority="63" operator="equal">
      <formula>"tibialis"</formula>
    </cfRule>
  </conditionalFormatting>
  <conditionalFormatting sqref="J63:L64">
    <cfRule type="expression" dxfId="0" priority="64">
      <formula>$Z63="Excluded"</formula>
    </cfRule>
  </conditionalFormatting>
  <conditionalFormatting sqref="J63:L64">
    <cfRule type="cellIs" dxfId="1" priority="65" operator="equal">
      <formula>"patellar"</formula>
    </cfRule>
  </conditionalFormatting>
  <conditionalFormatting sqref="J63:L64">
    <cfRule type="cellIs" dxfId="2" priority="66" operator="equal">
      <formula>"hamstring"</formula>
    </cfRule>
  </conditionalFormatting>
  <conditionalFormatting sqref="J63:L64">
    <cfRule type="cellIs" dxfId="3" priority="67" operator="equal">
      <formula>"quadriceps"</formula>
    </cfRule>
  </conditionalFormatting>
  <conditionalFormatting sqref="J63:L64">
    <cfRule type="cellIs" dxfId="4" priority="68" operator="equal">
      <formula>"tibialis"</formula>
    </cfRule>
  </conditionalFormatting>
  <conditionalFormatting sqref="J54:L62">
    <cfRule type="expression" dxfId="0" priority="69">
      <formula>$Z54="Excluded"</formula>
    </cfRule>
  </conditionalFormatting>
  <conditionalFormatting sqref="J54:L62">
    <cfRule type="cellIs" dxfId="1" priority="70" operator="equal">
      <formula>"patellar"</formula>
    </cfRule>
  </conditionalFormatting>
  <conditionalFormatting sqref="J54:L62">
    <cfRule type="cellIs" dxfId="2" priority="71" operator="equal">
      <formula>"hamstring"</formula>
    </cfRule>
  </conditionalFormatting>
  <conditionalFormatting sqref="J54:L62">
    <cfRule type="cellIs" dxfId="3" priority="72" operator="equal">
      <formula>"quadriceps"</formula>
    </cfRule>
  </conditionalFormatting>
  <conditionalFormatting sqref="J54:L62">
    <cfRule type="cellIs" dxfId="4" priority="73" operator="equal">
      <formula>"tibialis"</formula>
    </cfRule>
  </conditionalFormatting>
  <conditionalFormatting sqref="J49:L53">
    <cfRule type="expression" dxfId="0" priority="74">
      <formula>$Z49="Excluded"</formula>
    </cfRule>
  </conditionalFormatting>
  <conditionalFormatting sqref="J49:L53">
    <cfRule type="cellIs" dxfId="1" priority="75" operator="equal">
      <formula>"patellar"</formula>
    </cfRule>
  </conditionalFormatting>
  <conditionalFormatting sqref="J49:L53">
    <cfRule type="cellIs" dxfId="2" priority="76" operator="equal">
      <formula>"hamstring"</formula>
    </cfRule>
  </conditionalFormatting>
  <conditionalFormatting sqref="J49:L53">
    <cfRule type="cellIs" dxfId="3" priority="77" operator="equal">
      <formula>"quadriceps"</formula>
    </cfRule>
  </conditionalFormatting>
  <conditionalFormatting sqref="J49:L53">
    <cfRule type="cellIs" dxfId="4" priority="78" operator="equal">
      <formula>"tibialis"</formula>
    </cfRule>
  </conditionalFormatting>
  <conditionalFormatting sqref="J46:L48">
    <cfRule type="expression" dxfId="0" priority="79">
      <formula>$Z46="Excluded"</formula>
    </cfRule>
  </conditionalFormatting>
  <conditionalFormatting sqref="J46:L48">
    <cfRule type="cellIs" dxfId="1" priority="80" operator="equal">
      <formula>"patellar"</formula>
    </cfRule>
  </conditionalFormatting>
  <conditionalFormatting sqref="J46:L48">
    <cfRule type="cellIs" dxfId="2" priority="81" operator="equal">
      <formula>"hamstring"</formula>
    </cfRule>
  </conditionalFormatting>
  <conditionalFormatting sqref="J46:L48">
    <cfRule type="cellIs" dxfId="3" priority="82" operator="equal">
      <formula>"quadriceps"</formula>
    </cfRule>
  </conditionalFormatting>
  <conditionalFormatting sqref="J46:L48">
    <cfRule type="cellIs" dxfId="4" priority="83" operator="equal">
      <formula>"tibialis"</formula>
    </cfRule>
  </conditionalFormatting>
  <conditionalFormatting sqref="J41:L45">
    <cfRule type="expression" dxfId="0" priority="84">
      <formula>$Z41="Excluded"</formula>
    </cfRule>
  </conditionalFormatting>
  <conditionalFormatting sqref="J41:L45">
    <cfRule type="cellIs" dxfId="1" priority="85" operator="equal">
      <formula>"patellar"</formula>
    </cfRule>
  </conditionalFormatting>
  <conditionalFormatting sqref="J41:L45">
    <cfRule type="cellIs" dxfId="2" priority="86" operator="equal">
      <formula>"hamstring"</formula>
    </cfRule>
  </conditionalFormatting>
  <conditionalFormatting sqref="J41:L45">
    <cfRule type="cellIs" dxfId="3" priority="87" operator="equal">
      <formula>"quadriceps"</formula>
    </cfRule>
  </conditionalFormatting>
  <conditionalFormatting sqref="J41:L45">
    <cfRule type="cellIs" dxfId="4" priority="88" operator="equal">
      <formula>"tibialis"</formula>
    </cfRule>
  </conditionalFormatting>
  <conditionalFormatting sqref="J39:L40">
    <cfRule type="expression" dxfId="0" priority="89">
      <formula>$Z39="Excluded"</formula>
    </cfRule>
  </conditionalFormatting>
  <conditionalFormatting sqref="J39:L40">
    <cfRule type="cellIs" dxfId="1" priority="90" operator="equal">
      <formula>"patellar"</formula>
    </cfRule>
  </conditionalFormatting>
  <conditionalFormatting sqref="J39:L40">
    <cfRule type="cellIs" dxfId="2" priority="91" operator="equal">
      <formula>"hamstring"</formula>
    </cfRule>
  </conditionalFormatting>
  <conditionalFormatting sqref="J39:L40">
    <cfRule type="cellIs" dxfId="3" priority="92" operator="equal">
      <formula>"quadriceps"</formula>
    </cfRule>
  </conditionalFormatting>
  <conditionalFormatting sqref="J39:L40">
    <cfRule type="cellIs" dxfId="4" priority="93" operator="equal">
      <formula>"tibialis"</formula>
    </cfRule>
  </conditionalFormatting>
  <conditionalFormatting sqref="J30:L38">
    <cfRule type="expression" dxfId="0" priority="94">
      <formula>$Z30="Excluded"</formula>
    </cfRule>
  </conditionalFormatting>
  <conditionalFormatting sqref="J30:L38">
    <cfRule type="cellIs" dxfId="1" priority="95" operator="equal">
      <formula>"patellar"</formula>
    </cfRule>
  </conditionalFormatting>
  <conditionalFormatting sqref="J30:L38">
    <cfRule type="cellIs" dxfId="2" priority="96" operator="equal">
      <formula>"hamstring"</formula>
    </cfRule>
  </conditionalFormatting>
  <conditionalFormatting sqref="J30:L38">
    <cfRule type="cellIs" dxfId="3" priority="97" operator="equal">
      <formula>"quadriceps"</formula>
    </cfRule>
  </conditionalFormatting>
  <conditionalFormatting sqref="J30:L38">
    <cfRule type="cellIs" dxfId="4" priority="98" operator="equal">
      <formula>"tibialis"</formula>
    </cfRule>
  </conditionalFormatting>
  <conditionalFormatting sqref="J28:L29">
    <cfRule type="expression" dxfId="0" priority="99">
      <formula>$Z28="Excluded"</formula>
    </cfRule>
  </conditionalFormatting>
  <conditionalFormatting sqref="J28:L29">
    <cfRule type="cellIs" dxfId="1" priority="100" operator="equal">
      <formula>"patellar"</formula>
    </cfRule>
  </conditionalFormatting>
  <conditionalFormatting sqref="J28:L29">
    <cfRule type="cellIs" dxfId="2" priority="101" operator="equal">
      <formula>"hamstring"</formula>
    </cfRule>
  </conditionalFormatting>
  <conditionalFormatting sqref="J28:L29">
    <cfRule type="cellIs" dxfId="3" priority="102" operator="equal">
      <formula>"quadriceps"</formula>
    </cfRule>
  </conditionalFormatting>
  <conditionalFormatting sqref="J28:L29">
    <cfRule type="cellIs" dxfId="4" priority="103" operator="equal">
      <formula>"tibialis"</formula>
    </cfRule>
  </conditionalFormatting>
  <conditionalFormatting sqref="J18:L27">
    <cfRule type="expression" dxfId="0" priority="104">
      <formula>$Z18="Excluded"</formula>
    </cfRule>
  </conditionalFormatting>
  <conditionalFormatting sqref="J18:L27">
    <cfRule type="cellIs" dxfId="1" priority="105" operator="equal">
      <formula>"patellar"</formula>
    </cfRule>
  </conditionalFormatting>
  <conditionalFormatting sqref="J18:L27">
    <cfRule type="cellIs" dxfId="2" priority="106" operator="equal">
      <formula>"hamstring"</formula>
    </cfRule>
  </conditionalFormatting>
  <conditionalFormatting sqref="J18:L27">
    <cfRule type="cellIs" dxfId="3" priority="107" operator="equal">
      <formula>"quadriceps"</formula>
    </cfRule>
  </conditionalFormatting>
  <conditionalFormatting sqref="J18:L27">
    <cfRule type="cellIs" dxfId="4" priority="108" operator="equal">
      <formula>"tibialis"</formula>
    </cfRule>
  </conditionalFormatting>
  <conditionalFormatting sqref="J16:L17">
    <cfRule type="expression" dxfId="0" priority="109">
      <formula>$Z16="Excluded"</formula>
    </cfRule>
  </conditionalFormatting>
  <conditionalFormatting sqref="J16:L17">
    <cfRule type="cellIs" dxfId="1" priority="110" operator="equal">
      <formula>"patellar"</formula>
    </cfRule>
  </conditionalFormatting>
  <conditionalFormatting sqref="J16:L17">
    <cfRule type="cellIs" dxfId="2" priority="111" operator="equal">
      <formula>"hamstring"</formula>
    </cfRule>
  </conditionalFormatting>
  <conditionalFormatting sqref="J16:L17">
    <cfRule type="cellIs" dxfId="3" priority="112" operator="equal">
      <formula>"quadriceps"</formula>
    </cfRule>
  </conditionalFormatting>
  <conditionalFormatting sqref="J16:L17">
    <cfRule type="cellIs" dxfId="4" priority="113" operator="equal">
      <formula>"tibialis"</formula>
    </cfRule>
  </conditionalFormatting>
  <conditionalFormatting sqref="J13:L15">
    <cfRule type="expression" dxfId="0" priority="114">
      <formula>$Z13="Excluded"</formula>
    </cfRule>
  </conditionalFormatting>
  <conditionalFormatting sqref="J13:L15">
    <cfRule type="cellIs" dxfId="1" priority="115" operator="equal">
      <formula>"patellar"</formula>
    </cfRule>
  </conditionalFormatting>
  <conditionalFormatting sqref="J13:L15">
    <cfRule type="cellIs" dxfId="2" priority="116" operator="equal">
      <formula>"hamstring"</formula>
    </cfRule>
  </conditionalFormatting>
  <conditionalFormatting sqref="J13:L15">
    <cfRule type="cellIs" dxfId="3" priority="117" operator="equal">
      <formula>"quadriceps"</formula>
    </cfRule>
  </conditionalFormatting>
  <conditionalFormatting sqref="J13:L15">
    <cfRule type="cellIs" dxfId="4" priority="118" operator="equal">
      <formula>"tibialis"</formula>
    </cfRule>
  </conditionalFormatting>
  <conditionalFormatting sqref="J4:L4 J7:L12 J181:L181">
    <cfRule type="expression" dxfId="0" priority="119">
      <formula>$Z4="Excluded"</formula>
    </cfRule>
  </conditionalFormatting>
  <conditionalFormatting sqref="J4:L4 J7:L12 J181:L181">
    <cfRule type="cellIs" dxfId="1" priority="120" operator="equal">
      <formula>"patellar"</formula>
    </cfRule>
  </conditionalFormatting>
  <conditionalFormatting sqref="J4:L4 J7:L12 J181:L181">
    <cfRule type="cellIs" dxfId="2" priority="121" operator="equal">
      <formula>"hamstring"</formula>
    </cfRule>
  </conditionalFormatting>
  <conditionalFormatting sqref="J4:L4 J7:L12 J181:L181">
    <cfRule type="cellIs" dxfId="3" priority="122" operator="equal">
      <formula>"quadriceps"</formula>
    </cfRule>
  </conditionalFormatting>
  <conditionalFormatting sqref="J4:L4 J7:L12 J181:L181">
    <cfRule type="cellIs" dxfId="4" priority="123" operator="equal">
      <formula>"tibialis"</formula>
    </cfRule>
  </conditionalFormatting>
  <conditionalFormatting sqref="J2:L123 E33 J181:L181">
    <cfRule type="expression" dxfId="0" priority="124">
      <formula>$Z2="Excluded"</formula>
    </cfRule>
  </conditionalFormatting>
  <conditionalFormatting sqref="J2:L123 E33 J181:L181">
    <cfRule type="cellIs" dxfId="1" priority="125" operator="equal">
      <formula>"patellar"</formula>
    </cfRule>
  </conditionalFormatting>
  <conditionalFormatting sqref="J2:L123 E33 J181:L181">
    <cfRule type="cellIs" dxfId="2" priority="126" operator="equal">
      <formula>"hamstring"</formula>
    </cfRule>
  </conditionalFormatting>
  <conditionalFormatting sqref="J2:L123 E33 J181:L181">
    <cfRule type="cellIs" dxfId="3" priority="127" operator="equal">
      <formula>"quadriceps"</formula>
    </cfRule>
  </conditionalFormatting>
  <conditionalFormatting sqref="J1:L123 E33 J181:L181">
    <cfRule type="cellIs" dxfId="4" priority="128" operator="equal">
      <formula>"tibialis"</formula>
    </cfRule>
  </conditionalFormatting>
  <conditionalFormatting sqref="H118:I123">
    <cfRule type="expression" dxfId="0" priority="129">
      <formula>$Z118="Excluded"</formula>
    </cfRule>
  </conditionalFormatting>
  <conditionalFormatting sqref="I118:I123">
    <cfRule type="cellIs" dxfId="1" priority="130" operator="equal">
      <formula>"patellar"</formula>
    </cfRule>
  </conditionalFormatting>
  <conditionalFormatting sqref="I118:I123">
    <cfRule type="cellIs" dxfId="2" priority="131" operator="equal">
      <formula>"hamstring"</formula>
    </cfRule>
  </conditionalFormatting>
  <conditionalFormatting sqref="I118:I123">
    <cfRule type="cellIs" dxfId="3" priority="132" operator="equal">
      <formula>"quadriceps"</formula>
    </cfRule>
  </conditionalFormatting>
  <conditionalFormatting sqref="I118:I123">
    <cfRule type="cellIs" dxfId="4" priority="133" operator="equal">
      <formula>"tibialis"</formula>
    </cfRule>
  </conditionalFormatting>
  <conditionalFormatting sqref="H116:I117">
    <cfRule type="expression" dxfId="0" priority="134">
      <formula>$Z116="Excluded"</formula>
    </cfRule>
  </conditionalFormatting>
  <conditionalFormatting sqref="I116:I117">
    <cfRule type="cellIs" dxfId="1" priority="135" operator="equal">
      <formula>"patellar"</formula>
    </cfRule>
  </conditionalFormatting>
  <conditionalFormatting sqref="I116:I117">
    <cfRule type="cellIs" dxfId="2" priority="136" operator="equal">
      <formula>"hamstring"</formula>
    </cfRule>
  </conditionalFormatting>
  <conditionalFormatting sqref="I116:I117">
    <cfRule type="cellIs" dxfId="3" priority="137" operator="equal">
      <formula>"quadriceps"</formula>
    </cfRule>
  </conditionalFormatting>
  <conditionalFormatting sqref="I116:I117">
    <cfRule type="cellIs" dxfId="4" priority="138" operator="equal">
      <formula>"tibialis"</formula>
    </cfRule>
  </conditionalFormatting>
  <conditionalFormatting sqref="H110:I115">
    <cfRule type="expression" dxfId="0" priority="139">
      <formula>$Z110="Excluded"</formula>
    </cfRule>
  </conditionalFormatting>
  <conditionalFormatting sqref="I110:I115">
    <cfRule type="cellIs" dxfId="1" priority="140" operator="equal">
      <formula>"patellar"</formula>
    </cfRule>
  </conditionalFormatting>
  <conditionalFormatting sqref="I110:I115">
    <cfRule type="cellIs" dxfId="2" priority="141" operator="equal">
      <formula>"hamstring"</formula>
    </cfRule>
  </conditionalFormatting>
  <conditionalFormatting sqref="I110:I115">
    <cfRule type="cellIs" dxfId="3" priority="142" operator="equal">
      <formula>"quadriceps"</formula>
    </cfRule>
  </conditionalFormatting>
  <conditionalFormatting sqref="I110:I115">
    <cfRule type="cellIs" dxfId="4" priority="143" operator="equal">
      <formula>"tibialis"</formula>
    </cfRule>
  </conditionalFormatting>
  <conditionalFormatting sqref="H105:I123">
    <cfRule type="expression" dxfId="0" priority="144">
      <formula>$Z105="Excluded"</formula>
    </cfRule>
  </conditionalFormatting>
  <conditionalFormatting sqref="I105:I123">
    <cfRule type="cellIs" dxfId="1" priority="145" operator="equal">
      <formula>"patellar"</formula>
    </cfRule>
  </conditionalFormatting>
  <conditionalFormatting sqref="I105:I123">
    <cfRule type="cellIs" dxfId="2" priority="146" operator="equal">
      <formula>"hamstring"</formula>
    </cfRule>
  </conditionalFormatting>
  <conditionalFormatting sqref="I105:I123">
    <cfRule type="cellIs" dxfId="3" priority="147" operator="equal">
      <formula>"quadriceps"</formula>
    </cfRule>
  </conditionalFormatting>
  <conditionalFormatting sqref="I105:I123">
    <cfRule type="cellIs" dxfId="4" priority="148" operator="equal">
      <formula>"tibialis"</formula>
    </cfRule>
  </conditionalFormatting>
  <conditionalFormatting sqref="H97:I104 H106:I108 H110:I112 H114:I116 H118:I120">
    <cfRule type="expression" dxfId="0" priority="149">
      <formula>$Z97="Excluded"</formula>
    </cfRule>
  </conditionalFormatting>
  <conditionalFormatting sqref="I97:I104 I106:I108 I110:I112 I114:I116 I118:I120">
    <cfRule type="cellIs" dxfId="1" priority="150" operator="equal">
      <formula>"patellar"</formula>
    </cfRule>
  </conditionalFormatting>
  <conditionalFormatting sqref="I97:I104 I106:I108 I110:I112 I114:I116 I118:I120">
    <cfRule type="cellIs" dxfId="2" priority="151" operator="equal">
      <formula>"hamstring"</formula>
    </cfRule>
  </conditionalFormatting>
  <conditionalFormatting sqref="I97:I104 I106:I108 I110:I112 I114:I116 I118:I120">
    <cfRule type="cellIs" dxfId="3" priority="152" operator="equal">
      <formula>"quadriceps"</formula>
    </cfRule>
  </conditionalFormatting>
  <conditionalFormatting sqref="I97:I104 I106:I108 I110:I112 I114:I116 I118:I120">
    <cfRule type="cellIs" dxfId="4" priority="153" operator="equal">
      <formula>"tibialis"</formula>
    </cfRule>
  </conditionalFormatting>
  <conditionalFormatting sqref="H95:I96">
    <cfRule type="expression" dxfId="0" priority="154">
      <formula>$Z95="Excluded"</formula>
    </cfRule>
  </conditionalFormatting>
  <conditionalFormatting sqref="I95:I96">
    <cfRule type="cellIs" dxfId="1" priority="155" operator="equal">
      <formula>"patellar"</formula>
    </cfRule>
  </conditionalFormatting>
  <conditionalFormatting sqref="I95:I96">
    <cfRule type="cellIs" dxfId="2" priority="156" operator="equal">
      <formula>"hamstring"</formula>
    </cfRule>
  </conditionalFormatting>
  <conditionalFormatting sqref="I95:I96">
    <cfRule type="cellIs" dxfId="3" priority="157" operator="equal">
      <formula>"quadriceps"</formula>
    </cfRule>
  </conditionalFormatting>
  <conditionalFormatting sqref="I95:I96">
    <cfRule type="cellIs" dxfId="4" priority="158" operator="equal">
      <formula>"tibialis"</formula>
    </cfRule>
  </conditionalFormatting>
  <conditionalFormatting sqref="H93:I94">
    <cfRule type="expression" dxfId="0" priority="159">
      <formula>$Z93="Excluded"</formula>
    </cfRule>
  </conditionalFormatting>
  <conditionalFormatting sqref="I93:I94">
    <cfRule type="cellIs" dxfId="1" priority="160" operator="equal">
      <formula>"patellar"</formula>
    </cfRule>
  </conditionalFormatting>
  <conditionalFormatting sqref="I93:I94">
    <cfRule type="cellIs" dxfId="2" priority="161" operator="equal">
      <formula>"hamstring"</formula>
    </cfRule>
  </conditionalFormatting>
  <conditionalFormatting sqref="I93:I94">
    <cfRule type="cellIs" dxfId="3" priority="162" operator="equal">
      <formula>"quadriceps"</formula>
    </cfRule>
  </conditionalFormatting>
  <conditionalFormatting sqref="I93:I94">
    <cfRule type="cellIs" dxfId="4" priority="163" operator="equal">
      <formula>"tibialis"</formula>
    </cfRule>
  </conditionalFormatting>
  <conditionalFormatting sqref="H90:I92">
    <cfRule type="expression" dxfId="0" priority="164">
      <formula>$Z90="Excluded"</formula>
    </cfRule>
  </conditionalFormatting>
  <conditionalFormatting sqref="I90:I92">
    <cfRule type="cellIs" dxfId="1" priority="165" operator="equal">
      <formula>"patellar"</formula>
    </cfRule>
  </conditionalFormatting>
  <conditionalFormatting sqref="I90:I92">
    <cfRule type="cellIs" dxfId="2" priority="166" operator="equal">
      <formula>"hamstring"</formula>
    </cfRule>
  </conditionalFormatting>
  <conditionalFormatting sqref="I90:I92">
    <cfRule type="cellIs" dxfId="3" priority="167" operator="equal">
      <formula>"quadriceps"</formula>
    </cfRule>
  </conditionalFormatting>
  <conditionalFormatting sqref="I90:I92">
    <cfRule type="cellIs" dxfId="4" priority="168" operator="equal">
      <formula>"tibialis"</formula>
    </cfRule>
  </conditionalFormatting>
  <conditionalFormatting sqref="H85:I89">
    <cfRule type="expression" dxfId="0" priority="169">
      <formula>$Z85="Excluded"</formula>
    </cfRule>
  </conditionalFormatting>
  <conditionalFormatting sqref="I85:I89">
    <cfRule type="cellIs" dxfId="1" priority="170" operator="equal">
      <formula>"patellar"</formula>
    </cfRule>
  </conditionalFormatting>
  <conditionalFormatting sqref="I85:I89">
    <cfRule type="cellIs" dxfId="2" priority="171" operator="equal">
      <formula>"hamstring"</formula>
    </cfRule>
  </conditionalFormatting>
  <conditionalFormatting sqref="I85:I89">
    <cfRule type="cellIs" dxfId="3" priority="172" operator="equal">
      <formula>"quadriceps"</formula>
    </cfRule>
  </conditionalFormatting>
  <conditionalFormatting sqref="I85:I89">
    <cfRule type="cellIs" dxfId="4" priority="173" operator="equal">
      <formula>"tibialis"</formula>
    </cfRule>
  </conditionalFormatting>
  <conditionalFormatting sqref="H71:I84">
    <cfRule type="expression" dxfId="0" priority="174">
      <formula>$Z71="Excluded"</formula>
    </cfRule>
  </conditionalFormatting>
  <conditionalFormatting sqref="I71:I84">
    <cfRule type="cellIs" dxfId="1" priority="175" operator="equal">
      <formula>"patellar"</formula>
    </cfRule>
  </conditionalFormatting>
  <conditionalFormatting sqref="I71:I84">
    <cfRule type="cellIs" dxfId="2" priority="176" operator="equal">
      <formula>"hamstring"</formula>
    </cfRule>
  </conditionalFormatting>
  <conditionalFormatting sqref="I71:I84">
    <cfRule type="cellIs" dxfId="3" priority="177" operator="equal">
      <formula>"quadriceps"</formula>
    </cfRule>
  </conditionalFormatting>
  <conditionalFormatting sqref="I71:I84">
    <cfRule type="cellIs" dxfId="4" priority="178" operator="equal">
      <formula>"tibialis"</formula>
    </cfRule>
  </conditionalFormatting>
  <conditionalFormatting sqref="H67:I70">
    <cfRule type="expression" dxfId="0" priority="179">
      <formula>$Z67="Excluded"</formula>
    </cfRule>
  </conditionalFormatting>
  <conditionalFormatting sqref="I67:I70">
    <cfRule type="cellIs" dxfId="1" priority="180" operator="equal">
      <formula>"patellar"</formula>
    </cfRule>
  </conditionalFormatting>
  <conditionalFormatting sqref="I67:I70">
    <cfRule type="cellIs" dxfId="2" priority="181" operator="equal">
      <formula>"hamstring"</formula>
    </cfRule>
  </conditionalFormatting>
  <conditionalFormatting sqref="I67:I70">
    <cfRule type="cellIs" dxfId="3" priority="182" operator="equal">
      <formula>"quadriceps"</formula>
    </cfRule>
  </conditionalFormatting>
  <conditionalFormatting sqref="I67:I70">
    <cfRule type="cellIs" dxfId="4" priority="183" operator="equal">
      <formula>"tibialis"</formula>
    </cfRule>
  </conditionalFormatting>
  <conditionalFormatting sqref="H65:I66">
    <cfRule type="expression" dxfId="0" priority="184">
      <formula>$Z65="Excluded"</formula>
    </cfRule>
  </conditionalFormatting>
  <conditionalFormatting sqref="I65:I66">
    <cfRule type="cellIs" dxfId="1" priority="185" operator="equal">
      <formula>"patellar"</formula>
    </cfRule>
  </conditionalFormatting>
  <conditionalFormatting sqref="I65:I66">
    <cfRule type="cellIs" dxfId="2" priority="186" operator="equal">
      <formula>"hamstring"</formula>
    </cfRule>
  </conditionalFormatting>
  <conditionalFormatting sqref="I65:I66">
    <cfRule type="cellIs" dxfId="3" priority="187" operator="equal">
      <formula>"quadriceps"</formula>
    </cfRule>
  </conditionalFormatting>
  <conditionalFormatting sqref="I65:I66">
    <cfRule type="cellIs" dxfId="4" priority="188" operator="equal">
      <formula>"tibialis"</formula>
    </cfRule>
  </conditionalFormatting>
  <conditionalFormatting sqref="H63:I64">
    <cfRule type="expression" dxfId="0" priority="189">
      <formula>$Z63="Excluded"</formula>
    </cfRule>
  </conditionalFormatting>
  <conditionalFormatting sqref="I63:I64">
    <cfRule type="cellIs" dxfId="1" priority="190" operator="equal">
      <formula>"patellar"</formula>
    </cfRule>
  </conditionalFormatting>
  <conditionalFormatting sqref="I63:I64">
    <cfRule type="cellIs" dxfId="2" priority="191" operator="equal">
      <formula>"hamstring"</formula>
    </cfRule>
  </conditionalFormatting>
  <conditionalFormatting sqref="I63:I64">
    <cfRule type="cellIs" dxfId="3" priority="192" operator="equal">
      <formula>"quadriceps"</formula>
    </cfRule>
  </conditionalFormatting>
  <conditionalFormatting sqref="I63:I64">
    <cfRule type="cellIs" dxfId="4" priority="193" operator="equal">
      <formula>"tibialis"</formula>
    </cfRule>
  </conditionalFormatting>
  <conditionalFormatting sqref="H54:I62">
    <cfRule type="expression" dxfId="0" priority="194">
      <formula>$Z54="Excluded"</formula>
    </cfRule>
  </conditionalFormatting>
  <conditionalFormatting sqref="I54:I62">
    <cfRule type="cellIs" dxfId="1" priority="195" operator="equal">
      <formula>"patellar"</formula>
    </cfRule>
  </conditionalFormatting>
  <conditionalFormatting sqref="I54:I62">
    <cfRule type="cellIs" dxfId="2" priority="196" operator="equal">
      <formula>"hamstring"</formula>
    </cfRule>
  </conditionalFormatting>
  <conditionalFormatting sqref="I54:I62">
    <cfRule type="cellIs" dxfId="3" priority="197" operator="equal">
      <formula>"quadriceps"</formula>
    </cfRule>
  </conditionalFormatting>
  <conditionalFormatting sqref="I54:I62">
    <cfRule type="cellIs" dxfId="4" priority="198" operator="equal">
      <formula>"tibialis"</formula>
    </cfRule>
  </conditionalFormatting>
  <conditionalFormatting sqref="H49:I53">
    <cfRule type="expression" dxfId="0" priority="199">
      <formula>$Z49="Excluded"</formula>
    </cfRule>
  </conditionalFormatting>
  <conditionalFormatting sqref="I49:I53">
    <cfRule type="cellIs" dxfId="1" priority="200" operator="equal">
      <formula>"patellar"</formula>
    </cfRule>
  </conditionalFormatting>
  <conditionalFormatting sqref="I49:I53">
    <cfRule type="cellIs" dxfId="2" priority="201" operator="equal">
      <formula>"hamstring"</formula>
    </cfRule>
  </conditionalFormatting>
  <conditionalFormatting sqref="I49:I53">
    <cfRule type="cellIs" dxfId="3" priority="202" operator="equal">
      <formula>"quadriceps"</formula>
    </cfRule>
  </conditionalFormatting>
  <conditionalFormatting sqref="I49:I53">
    <cfRule type="cellIs" dxfId="4" priority="203" operator="equal">
      <formula>"tibialis"</formula>
    </cfRule>
  </conditionalFormatting>
  <conditionalFormatting sqref="H46:I48">
    <cfRule type="expression" dxfId="0" priority="204">
      <formula>$Z46="Excluded"</formula>
    </cfRule>
  </conditionalFormatting>
  <conditionalFormatting sqref="I46:I48">
    <cfRule type="cellIs" dxfId="1" priority="205" operator="equal">
      <formula>"patellar"</formula>
    </cfRule>
  </conditionalFormatting>
  <conditionalFormatting sqref="I46:I48">
    <cfRule type="cellIs" dxfId="2" priority="206" operator="equal">
      <formula>"hamstring"</formula>
    </cfRule>
  </conditionalFormatting>
  <conditionalFormatting sqref="I46:I48">
    <cfRule type="cellIs" dxfId="3" priority="207" operator="equal">
      <formula>"quadriceps"</formula>
    </cfRule>
  </conditionalFormatting>
  <conditionalFormatting sqref="I46:I48">
    <cfRule type="cellIs" dxfId="4" priority="208" operator="equal">
      <formula>"tibialis"</formula>
    </cfRule>
  </conditionalFormatting>
  <conditionalFormatting sqref="H41:I45">
    <cfRule type="expression" dxfId="0" priority="209">
      <formula>$Z41="Excluded"</formula>
    </cfRule>
  </conditionalFormatting>
  <conditionalFormatting sqref="I41:I45">
    <cfRule type="cellIs" dxfId="1" priority="210" operator="equal">
      <formula>"patellar"</formula>
    </cfRule>
  </conditionalFormatting>
  <conditionalFormatting sqref="I41:I45">
    <cfRule type="cellIs" dxfId="2" priority="211" operator="equal">
      <formula>"hamstring"</formula>
    </cfRule>
  </conditionalFormatting>
  <conditionalFormatting sqref="I41:I45">
    <cfRule type="cellIs" dxfId="3" priority="212" operator="equal">
      <formula>"quadriceps"</formula>
    </cfRule>
  </conditionalFormatting>
  <conditionalFormatting sqref="I41:I45">
    <cfRule type="cellIs" dxfId="4" priority="213" operator="equal">
      <formula>"tibialis"</formula>
    </cfRule>
  </conditionalFormatting>
  <conditionalFormatting sqref="H39:I40">
    <cfRule type="expression" dxfId="0" priority="214">
      <formula>$Z39="Excluded"</formula>
    </cfRule>
  </conditionalFormatting>
  <conditionalFormatting sqref="I39:I40">
    <cfRule type="cellIs" dxfId="1" priority="215" operator="equal">
      <formula>"patellar"</formula>
    </cfRule>
  </conditionalFormatting>
  <conditionalFormatting sqref="I39:I40">
    <cfRule type="cellIs" dxfId="2" priority="216" operator="equal">
      <formula>"hamstring"</formula>
    </cfRule>
  </conditionalFormatting>
  <conditionalFormatting sqref="I39:I40">
    <cfRule type="cellIs" dxfId="3" priority="217" operator="equal">
      <formula>"quadriceps"</formula>
    </cfRule>
  </conditionalFormatting>
  <conditionalFormatting sqref="I39:I40">
    <cfRule type="cellIs" dxfId="4" priority="218" operator="equal">
      <formula>"tibialis"</formula>
    </cfRule>
  </conditionalFormatting>
  <conditionalFormatting sqref="H30:I38">
    <cfRule type="expression" dxfId="0" priority="219">
      <formula>$Z30="Excluded"</formula>
    </cfRule>
  </conditionalFormatting>
  <conditionalFormatting sqref="I30:I38">
    <cfRule type="cellIs" dxfId="1" priority="220" operator="equal">
      <formula>"patellar"</formula>
    </cfRule>
  </conditionalFormatting>
  <conditionalFormatting sqref="I30:I38">
    <cfRule type="cellIs" dxfId="2" priority="221" operator="equal">
      <formula>"hamstring"</formula>
    </cfRule>
  </conditionalFormatting>
  <conditionalFormatting sqref="I30:I38">
    <cfRule type="cellIs" dxfId="3" priority="222" operator="equal">
      <formula>"quadriceps"</formula>
    </cfRule>
  </conditionalFormatting>
  <conditionalFormatting sqref="I30:I38">
    <cfRule type="cellIs" dxfId="4" priority="223" operator="equal">
      <formula>"tibialis"</formula>
    </cfRule>
  </conditionalFormatting>
  <conditionalFormatting sqref="H28:I29">
    <cfRule type="expression" dxfId="0" priority="224">
      <formula>$Z28="Excluded"</formula>
    </cfRule>
  </conditionalFormatting>
  <conditionalFormatting sqref="I28:I29">
    <cfRule type="cellIs" dxfId="1" priority="225" operator="equal">
      <formula>"patellar"</formula>
    </cfRule>
  </conditionalFormatting>
  <conditionalFormatting sqref="I28:I29">
    <cfRule type="cellIs" dxfId="2" priority="226" operator="equal">
      <formula>"hamstring"</formula>
    </cfRule>
  </conditionalFormatting>
  <conditionalFormatting sqref="I28:I29">
    <cfRule type="cellIs" dxfId="3" priority="227" operator="equal">
      <formula>"quadriceps"</formula>
    </cfRule>
  </conditionalFormatting>
  <conditionalFormatting sqref="I28:I29">
    <cfRule type="cellIs" dxfId="4" priority="228" operator="equal">
      <formula>"tibialis"</formula>
    </cfRule>
  </conditionalFormatting>
  <conditionalFormatting sqref="H18:I27">
    <cfRule type="expression" dxfId="0" priority="229">
      <formula>$Z18="Excluded"</formula>
    </cfRule>
  </conditionalFormatting>
  <conditionalFormatting sqref="I18:I27">
    <cfRule type="cellIs" dxfId="1" priority="230" operator="equal">
      <formula>"patellar"</formula>
    </cfRule>
  </conditionalFormatting>
  <conditionalFormatting sqref="I18:I27">
    <cfRule type="cellIs" dxfId="2" priority="231" operator="equal">
      <formula>"hamstring"</formula>
    </cfRule>
  </conditionalFormatting>
  <conditionalFormatting sqref="I18:I27">
    <cfRule type="cellIs" dxfId="3" priority="232" operator="equal">
      <formula>"quadriceps"</formula>
    </cfRule>
  </conditionalFormatting>
  <conditionalFormatting sqref="I18:I27">
    <cfRule type="cellIs" dxfId="4" priority="233" operator="equal">
      <formula>"tibialis"</formula>
    </cfRule>
  </conditionalFormatting>
  <conditionalFormatting sqref="H16:I17">
    <cfRule type="expression" dxfId="0" priority="234">
      <formula>$Z16="Excluded"</formula>
    </cfRule>
  </conditionalFormatting>
  <conditionalFormatting sqref="I16:I17">
    <cfRule type="cellIs" dxfId="1" priority="235" operator="equal">
      <formula>"patellar"</formula>
    </cfRule>
  </conditionalFormatting>
  <conditionalFormatting sqref="I16:I17">
    <cfRule type="cellIs" dxfId="2" priority="236" operator="equal">
      <formula>"hamstring"</formula>
    </cfRule>
  </conditionalFormatting>
  <conditionalFormatting sqref="I16:I17">
    <cfRule type="cellIs" dxfId="3" priority="237" operator="equal">
      <formula>"quadriceps"</formula>
    </cfRule>
  </conditionalFormatting>
  <conditionalFormatting sqref="I16:I17">
    <cfRule type="cellIs" dxfId="4" priority="238" operator="equal">
      <formula>"tibialis"</formula>
    </cfRule>
  </conditionalFormatting>
  <conditionalFormatting sqref="H13:I15">
    <cfRule type="expression" dxfId="0" priority="239">
      <formula>$Z13="Excluded"</formula>
    </cfRule>
  </conditionalFormatting>
  <conditionalFormatting sqref="I13:I15">
    <cfRule type="cellIs" dxfId="1" priority="240" operator="equal">
      <formula>"patellar"</formula>
    </cfRule>
  </conditionalFormatting>
  <conditionalFormatting sqref="I13:I15">
    <cfRule type="cellIs" dxfId="2" priority="241" operator="equal">
      <formula>"hamstring"</formula>
    </cfRule>
  </conditionalFormatting>
  <conditionalFormatting sqref="I13:I15">
    <cfRule type="cellIs" dxfId="3" priority="242" operator="equal">
      <formula>"quadriceps"</formula>
    </cfRule>
  </conditionalFormatting>
  <conditionalFormatting sqref="I13:I15">
    <cfRule type="cellIs" dxfId="4" priority="243" operator="equal">
      <formula>"tibialis"</formula>
    </cfRule>
  </conditionalFormatting>
  <conditionalFormatting sqref="H4:I4 H7:I12 H181:I181">
    <cfRule type="expression" dxfId="0" priority="244">
      <formula>$Z4="Excluded"</formula>
    </cfRule>
  </conditionalFormatting>
  <conditionalFormatting sqref="I4 I7:I12 I181">
    <cfRule type="cellIs" dxfId="1" priority="245" operator="equal">
      <formula>"patellar"</formula>
    </cfRule>
  </conditionalFormatting>
  <conditionalFormatting sqref="I4 I7:I12 I181">
    <cfRule type="cellIs" dxfId="2" priority="246" operator="equal">
      <formula>"hamstring"</formula>
    </cfRule>
  </conditionalFormatting>
  <conditionalFormatting sqref="I4 I7:I12 I181">
    <cfRule type="cellIs" dxfId="3" priority="247" operator="equal">
      <formula>"quadriceps"</formula>
    </cfRule>
  </conditionalFormatting>
  <conditionalFormatting sqref="I4 I7:I12 I181">
    <cfRule type="cellIs" dxfId="4" priority="248" operator="equal">
      <formula>"tibialis"</formula>
    </cfRule>
  </conditionalFormatting>
  <conditionalFormatting sqref="H2:I123 H181:I181">
    <cfRule type="expression" dxfId="0" priority="249">
      <formula>$Z2="Excluded"</formula>
    </cfRule>
  </conditionalFormatting>
  <conditionalFormatting sqref="I2:I123 I181">
    <cfRule type="cellIs" dxfId="1" priority="250" operator="equal">
      <formula>"patellar"</formula>
    </cfRule>
  </conditionalFormatting>
  <conditionalFormatting sqref="I2:I123 I181">
    <cfRule type="cellIs" dxfId="2" priority="251" operator="equal">
      <formula>"hamstring"</formula>
    </cfRule>
  </conditionalFormatting>
  <conditionalFormatting sqref="I2:I123 I181">
    <cfRule type="cellIs" dxfId="3" priority="252" operator="equal">
      <formula>"quadriceps"</formula>
    </cfRule>
  </conditionalFormatting>
  <conditionalFormatting sqref="I1:I123 I181">
    <cfRule type="cellIs" dxfId="4" priority="253" operator="equal">
      <formula>"tibialis"</formula>
    </cfRule>
  </conditionalFormatting>
  <conditionalFormatting sqref="F118:G123 F181">
    <cfRule type="expression" dxfId="0" priority="254">
      <formula>$Z118="Excluded"</formula>
    </cfRule>
  </conditionalFormatting>
  <conditionalFormatting sqref="G118:G123">
    <cfRule type="cellIs" dxfId="1" priority="255" operator="equal">
      <formula>"patellar"</formula>
    </cfRule>
  </conditionalFormatting>
  <conditionalFormatting sqref="G118:G123">
    <cfRule type="cellIs" dxfId="2" priority="256" operator="equal">
      <formula>"hamstring"</formula>
    </cfRule>
  </conditionalFormatting>
  <conditionalFormatting sqref="G118:G123">
    <cfRule type="cellIs" dxfId="3" priority="257" operator="equal">
      <formula>"quadriceps"</formula>
    </cfRule>
  </conditionalFormatting>
  <conditionalFormatting sqref="G118:G123">
    <cfRule type="cellIs" dxfId="4" priority="258" operator="equal">
      <formula>"tibialis"</formula>
    </cfRule>
  </conditionalFormatting>
  <conditionalFormatting sqref="F116:G117">
    <cfRule type="expression" dxfId="0" priority="259">
      <formula>$Z116="Excluded"</formula>
    </cfRule>
  </conditionalFormatting>
  <conditionalFormatting sqref="G116:G117">
    <cfRule type="cellIs" dxfId="1" priority="260" operator="equal">
      <formula>"patellar"</formula>
    </cfRule>
  </conditionalFormatting>
  <conditionalFormatting sqref="G116:G117">
    <cfRule type="cellIs" dxfId="2" priority="261" operator="equal">
      <formula>"hamstring"</formula>
    </cfRule>
  </conditionalFormatting>
  <conditionalFormatting sqref="G116:G117">
    <cfRule type="cellIs" dxfId="3" priority="262" operator="equal">
      <formula>"quadriceps"</formula>
    </cfRule>
  </conditionalFormatting>
  <conditionalFormatting sqref="G116:G117">
    <cfRule type="cellIs" dxfId="4" priority="263" operator="equal">
      <formula>"tibialis"</formula>
    </cfRule>
  </conditionalFormatting>
  <conditionalFormatting sqref="F110:G115">
    <cfRule type="expression" dxfId="0" priority="264">
      <formula>$Z110="Excluded"</formula>
    </cfRule>
  </conditionalFormatting>
  <conditionalFormatting sqref="G110:G115">
    <cfRule type="cellIs" dxfId="1" priority="265" operator="equal">
      <formula>"patellar"</formula>
    </cfRule>
  </conditionalFormatting>
  <conditionalFormatting sqref="G110:G115">
    <cfRule type="cellIs" dxfId="2" priority="266" operator="equal">
      <formula>"hamstring"</formula>
    </cfRule>
  </conditionalFormatting>
  <conditionalFormatting sqref="G110:G115">
    <cfRule type="cellIs" dxfId="3" priority="267" operator="equal">
      <formula>"quadriceps"</formula>
    </cfRule>
  </conditionalFormatting>
  <conditionalFormatting sqref="G110:G115">
    <cfRule type="cellIs" dxfId="4" priority="268" operator="equal">
      <formula>"tibialis"</formula>
    </cfRule>
  </conditionalFormatting>
  <conditionalFormatting sqref="F105:G123 F181">
    <cfRule type="expression" dxfId="0" priority="269">
      <formula>$Z105="Excluded"</formula>
    </cfRule>
  </conditionalFormatting>
  <conditionalFormatting sqref="G105:G123">
    <cfRule type="cellIs" dxfId="1" priority="270" operator="equal">
      <formula>"patellar"</formula>
    </cfRule>
  </conditionalFormatting>
  <conditionalFormatting sqref="G105:G123">
    <cfRule type="cellIs" dxfId="2" priority="271" operator="equal">
      <formula>"hamstring"</formula>
    </cfRule>
  </conditionalFormatting>
  <conditionalFormatting sqref="G105:G123">
    <cfRule type="cellIs" dxfId="3" priority="272" operator="equal">
      <formula>"quadriceps"</formula>
    </cfRule>
  </conditionalFormatting>
  <conditionalFormatting sqref="G105:G123">
    <cfRule type="cellIs" dxfId="4" priority="273" operator="equal">
      <formula>"tibialis"</formula>
    </cfRule>
  </conditionalFormatting>
  <conditionalFormatting sqref="F97:G104 F106:G108 F110:F116 G110:G112 G114:G116 F118:F121 G118:G120">
    <cfRule type="expression" dxfId="0" priority="274">
      <formula>$Z97="Excluded"</formula>
    </cfRule>
  </conditionalFormatting>
  <conditionalFormatting sqref="G97:G104 G106:G108 G110:G112 G114:G116 G118:G120">
    <cfRule type="cellIs" dxfId="1" priority="275" operator="equal">
      <formula>"patellar"</formula>
    </cfRule>
  </conditionalFormatting>
  <conditionalFormatting sqref="G97:G104 G106:G108 G110:G112 G114:G116 G118:G120">
    <cfRule type="cellIs" dxfId="2" priority="276" operator="equal">
      <formula>"hamstring"</formula>
    </cfRule>
  </conditionalFormatting>
  <conditionalFormatting sqref="G97:G104 G106:G108 G110:G112 G114:G116 G118:G120">
    <cfRule type="cellIs" dxfId="3" priority="277" operator="equal">
      <formula>"quadriceps"</formula>
    </cfRule>
  </conditionalFormatting>
  <conditionalFormatting sqref="G97:G104 G106:G108 G110:G112 G114:G116 G118:G120">
    <cfRule type="cellIs" dxfId="4" priority="278" operator="equal">
      <formula>"tibialis"</formula>
    </cfRule>
  </conditionalFormatting>
  <conditionalFormatting sqref="F95:G96">
    <cfRule type="expression" dxfId="0" priority="279">
      <formula>$Z95="Excluded"</formula>
    </cfRule>
  </conditionalFormatting>
  <conditionalFormatting sqref="G95:G96">
    <cfRule type="cellIs" dxfId="1" priority="280" operator="equal">
      <formula>"patellar"</formula>
    </cfRule>
  </conditionalFormatting>
  <conditionalFormatting sqref="G95:G96">
    <cfRule type="cellIs" dxfId="2" priority="281" operator="equal">
      <formula>"hamstring"</formula>
    </cfRule>
  </conditionalFormatting>
  <conditionalFormatting sqref="G95:G96">
    <cfRule type="cellIs" dxfId="3" priority="282" operator="equal">
      <formula>"quadriceps"</formula>
    </cfRule>
  </conditionalFormatting>
  <conditionalFormatting sqref="G95:G96">
    <cfRule type="cellIs" dxfId="4" priority="283" operator="equal">
      <formula>"tibialis"</formula>
    </cfRule>
  </conditionalFormatting>
  <conditionalFormatting sqref="F93:G94">
    <cfRule type="expression" dxfId="0" priority="284">
      <formula>$Z93="Excluded"</formula>
    </cfRule>
  </conditionalFormatting>
  <conditionalFormatting sqref="G93:G94">
    <cfRule type="cellIs" dxfId="1" priority="285" operator="equal">
      <formula>"patellar"</formula>
    </cfRule>
  </conditionalFormatting>
  <conditionalFormatting sqref="G93:G94">
    <cfRule type="cellIs" dxfId="2" priority="286" operator="equal">
      <formula>"hamstring"</formula>
    </cfRule>
  </conditionalFormatting>
  <conditionalFormatting sqref="G93:G94">
    <cfRule type="cellIs" dxfId="3" priority="287" operator="equal">
      <formula>"quadriceps"</formula>
    </cfRule>
  </conditionalFormatting>
  <conditionalFormatting sqref="G93:G94">
    <cfRule type="cellIs" dxfId="4" priority="288" operator="equal">
      <formula>"tibialis"</formula>
    </cfRule>
  </conditionalFormatting>
  <conditionalFormatting sqref="F90:F93 G90:G92">
    <cfRule type="expression" dxfId="0" priority="289">
      <formula>$Z90="Excluded"</formula>
    </cfRule>
  </conditionalFormatting>
  <conditionalFormatting sqref="G90:G92">
    <cfRule type="cellIs" dxfId="1" priority="290" operator="equal">
      <formula>"patellar"</formula>
    </cfRule>
  </conditionalFormatting>
  <conditionalFormatting sqref="G90:G92">
    <cfRule type="cellIs" dxfId="2" priority="291" operator="equal">
      <formula>"hamstring"</formula>
    </cfRule>
  </conditionalFormatting>
  <conditionalFormatting sqref="G90:G92">
    <cfRule type="cellIs" dxfId="3" priority="292" operator="equal">
      <formula>"quadriceps"</formula>
    </cfRule>
  </conditionalFormatting>
  <conditionalFormatting sqref="G90:G92">
    <cfRule type="cellIs" dxfId="4" priority="293" operator="equal">
      <formula>"tibialis"</formula>
    </cfRule>
  </conditionalFormatting>
  <conditionalFormatting sqref="F85:G89">
    <cfRule type="expression" dxfId="0" priority="294">
      <formula>$Z85="Excluded"</formula>
    </cfRule>
  </conditionalFormatting>
  <conditionalFormatting sqref="G85:G89">
    <cfRule type="cellIs" dxfId="1" priority="295" operator="equal">
      <formula>"patellar"</formula>
    </cfRule>
  </conditionalFormatting>
  <conditionalFormatting sqref="G85:G89">
    <cfRule type="cellIs" dxfId="2" priority="296" operator="equal">
      <formula>"hamstring"</formula>
    </cfRule>
  </conditionalFormatting>
  <conditionalFormatting sqref="G85:G89">
    <cfRule type="cellIs" dxfId="3" priority="297" operator="equal">
      <formula>"quadriceps"</formula>
    </cfRule>
  </conditionalFormatting>
  <conditionalFormatting sqref="G85:G89">
    <cfRule type="cellIs" dxfId="4" priority="298" operator="equal">
      <formula>"tibialis"</formula>
    </cfRule>
  </conditionalFormatting>
  <conditionalFormatting sqref="F71:G84 F89:G89">
    <cfRule type="expression" dxfId="0" priority="299">
      <formula>$Z71="Excluded"</formula>
    </cfRule>
  </conditionalFormatting>
  <conditionalFormatting sqref="G71:G84 G89">
    <cfRule type="cellIs" dxfId="1" priority="300" operator="equal">
      <formula>"patellar"</formula>
    </cfRule>
  </conditionalFormatting>
  <conditionalFormatting sqref="G71:G84 G89">
    <cfRule type="cellIs" dxfId="2" priority="301" operator="equal">
      <formula>"hamstring"</formula>
    </cfRule>
  </conditionalFormatting>
  <conditionalFormatting sqref="G71:G84 G89">
    <cfRule type="cellIs" dxfId="3" priority="302" operator="equal">
      <formula>"quadriceps"</formula>
    </cfRule>
  </conditionalFormatting>
  <conditionalFormatting sqref="G71:G84 G89">
    <cfRule type="cellIs" dxfId="4" priority="303" operator="equal">
      <formula>"tibialis"</formula>
    </cfRule>
  </conditionalFormatting>
  <conditionalFormatting sqref="F67:G70">
    <cfRule type="expression" dxfId="0" priority="304">
      <formula>$Z67="Excluded"</formula>
    </cfRule>
  </conditionalFormatting>
  <conditionalFormatting sqref="G67:G70">
    <cfRule type="cellIs" dxfId="1" priority="305" operator="equal">
      <formula>"patellar"</formula>
    </cfRule>
  </conditionalFormatting>
  <conditionalFormatting sqref="G67:G70">
    <cfRule type="cellIs" dxfId="2" priority="306" operator="equal">
      <formula>"hamstring"</formula>
    </cfRule>
  </conditionalFormatting>
  <conditionalFormatting sqref="G67:G70">
    <cfRule type="cellIs" dxfId="3" priority="307" operator="equal">
      <formula>"quadriceps"</formula>
    </cfRule>
  </conditionalFormatting>
  <conditionalFormatting sqref="G67:G70">
    <cfRule type="cellIs" dxfId="4" priority="308" operator="equal">
      <formula>"tibialis"</formula>
    </cfRule>
  </conditionalFormatting>
  <conditionalFormatting sqref="F65:G66">
    <cfRule type="expression" dxfId="0" priority="309">
      <formula>$Z65="Excluded"</formula>
    </cfRule>
  </conditionalFormatting>
  <conditionalFormatting sqref="G65:G66">
    <cfRule type="cellIs" dxfId="1" priority="310" operator="equal">
      <formula>"patellar"</formula>
    </cfRule>
  </conditionalFormatting>
  <conditionalFormatting sqref="G65:G66">
    <cfRule type="cellIs" dxfId="2" priority="311" operator="equal">
      <formula>"hamstring"</formula>
    </cfRule>
  </conditionalFormatting>
  <conditionalFormatting sqref="G65:G66">
    <cfRule type="cellIs" dxfId="3" priority="312" operator="equal">
      <formula>"quadriceps"</formula>
    </cfRule>
  </conditionalFormatting>
  <conditionalFormatting sqref="G65:G66">
    <cfRule type="cellIs" dxfId="4" priority="313" operator="equal">
      <formula>"tibialis"</formula>
    </cfRule>
  </conditionalFormatting>
  <conditionalFormatting sqref="F63:G64">
    <cfRule type="expression" dxfId="0" priority="314">
      <formula>$Z63="Excluded"</formula>
    </cfRule>
  </conditionalFormatting>
  <conditionalFormatting sqref="G63:G64">
    <cfRule type="cellIs" dxfId="1" priority="315" operator="equal">
      <formula>"patellar"</formula>
    </cfRule>
  </conditionalFormatting>
  <conditionalFormatting sqref="G63:G64">
    <cfRule type="cellIs" dxfId="2" priority="316" operator="equal">
      <formula>"hamstring"</formula>
    </cfRule>
  </conditionalFormatting>
  <conditionalFormatting sqref="G63:G64">
    <cfRule type="cellIs" dxfId="3" priority="317" operator="equal">
      <formula>"quadriceps"</formula>
    </cfRule>
  </conditionalFormatting>
  <conditionalFormatting sqref="G63:G64">
    <cfRule type="cellIs" dxfId="4" priority="318" operator="equal">
      <formula>"tibialis"</formula>
    </cfRule>
  </conditionalFormatting>
  <conditionalFormatting sqref="F54:G62">
    <cfRule type="expression" dxfId="0" priority="319">
      <formula>$Z54="Excluded"</formula>
    </cfRule>
  </conditionalFormatting>
  <conditionalFormatting sqref="G54:G62">
    <cfRule type="cellIs" dxfId="1" priority="320" operator="equal">
      <formula>"patellar"</formula>
    </cfRule>
  </conditionalFormatting>
  <conditionalFormatting sqref="G54:G62">
    <cfRule type="cellIs" dxfId="2" priority="321" operator="equal">
      <formula>"hamstring"</formula>
    </cfRule>
  </conditionalFormatting>
  <conditionalFormatting sqref="G54:G62">
    <cfRule type="cellIs" dxfId="3" priority="322" operator="equal">
      <formula>"quadriceps"</formula>
    </cfRule>
  </conditionalFormatting>
  <conditionalFormatting sqref="G54:G62">
    <cfRule type="cellIs" dxfId="4" priority="323" operator="equal">
      <formula>"tibialis"</formula>
    </cfRule>
  </conditionalFormatting>
  <conditionalFormatting sqref="F49:G53">
    <cfRule type="expression" dxfId="0" priority="324">
      <formula>$Z49="Excluded"</formula>
    </cfRule>
  </conditionalFormatting>
  <conditionalFormatting sqref="G49:G53">
    <cfRule type="cellIs" dxfId="1" priority="325" operator="equal">
      <formula>"patellar"</formula>
    </cfRule>
  </conditionalFormatting>
  <conditionalFormatting sqref="G49:G53">
    <cfRule type="cellIs" dxfId="2" priority="326" operator="equal">
      <formula>"hamstring"</formula>
    </cfRule>
  </conditionalFormatting>
  <conditionalFormatting sqref="G49:G53">
    <cfRule type="cellIs" dxfId="3" priority="327" operator="equal">
      <formula>"quadriceps"</formula>
    </cfRule>
  </conditionalFormatting>
  <conditionalFormatting sqref="G49:G53">
    <cfRule type="cellIs" dxfId="4" priority="328" operator="equal">
      <formula>"tibialis"</formula>
    </cfRule>
  </conditionalFormatting>
  <conditionalFormatting sqref="F46:G49">
    <cfRule type="expression" dxfId="0" priority="329">
      <formula>$Z46="Excluded"</formula>
    </cfRule>
  </conditionalFormatting>
  <conditionalFormatting sqref="G46:G49">
    <cfRule type="cellIs" dxfId="1" priority="330" operator="equal">
      <formula>"patellar"</formula>
    </cfRule>
  </conditionalFormatting>
  <conditionalFormatting sqref="G46:G49">
    <cfRule type="cellIs" dxfId="2" priority="331" operator="equal">
      <formula>"hamstring"</formula>
    </cfRule>
  </conditionalFormatting>
  <conditionalFormatting sqref="G46:G49">
    <cfRule type="cellIs" dxfId="3" priority="332" operator="equal">
      <formula>"quadriceps"</formula>
    </cfRule>
  </conditionalFormatting>
  <conditionalFormatting sqref="G46:G49">
    <cfRule type="cellIs" dxfId="4" priority="333" operator="equal">
      <formula>"tibialis"</formula>
    </cfRule>
  </conditionalFormatting>
  <conditionalFormatting sqref="F41:G45">
    <cfRule type="expression" dxfId="0" priority="334">
      <formula>$Z41="Excluded"</formula>
    </cfRule>
  </conditionalFormatting>
  <conditionalFormatting sqref="G41:G45">
    <cfRule type="cellIs" dxfId="1" priority="335" operator="equal">
      <formula>"patellar"</formula>
    </cfRule>
  </conditionalFormatting>
  <conditionalFormatting sqref="G41:G45">
    <cfRule type="cellIs" dxfId="2" priority="336" operator="equal">
      <formula>"hamstring"</formula>
    </cfRule>
  </conditionalFormatting>
  <conditionalFormatting sqref="G41:G45">
    <cfRule type="cellIs" dxfId="3" priority="337" operator="equal">
      <formula>"quadriceps"</formula>
    </cfRule>
  </conditionalFormatting>
  <conditionalFormatting sqref="G41:G45">
    <cfRule type="cellIs" dxfId="4" priority="338" operator="equal">
      <formula>"tibialis"</formula>
    </cfRule>
  </conditionalFormatting>
  <conditionalFormatting sqref="F39:G40">
    <cfRule type="expression" dxfId="0" priority="339">
      <formula>$Z39="Excluded"</formula>
    </cfRule>
  </conditionalFormatting>
  <conditionalFormatting sqref="G39:G40">
    <cfRule type="cellIs" dxfId="1" priority="340" operator="equal">
      <formula>"patellar"</formula>
    </cfRule>
  </conditionalFormatting>
  <conditionalFormatting sqref="G39:G40">
    <cfRule type="cellIs" dxfId="2" priority="341" operator="equal">
      <formula>"hamstring"</formula>
    </cfRule>
  </conditionalFormatting>
  <conditionalFormatting sqref="G39:G40">
    <cfRule type="cellIs" dxfId="3" priority="342" operator="equal">
      <formula>"quadriceps"</formula>
    </cfRule>
  </conditionalFormatting>
  <conditionalFormatting sqref="G39:G40">
    <cfRule type="cellIs" dxfId="4" priority="343" operator="equal">
      <formula>"tibialis"</formula>
    </cfRule>
  </conditionalFormatting>
  <conditionalFormatting sqref="F30:G39">
    <cfRule type="expression" dxfId="0" priority="344">
      <formula>$Z30="Excluded"</formula>
    </cfRule>
  </conditionalFormatting>
  <conditionalFormatting sqref="G30:G39">
    <cfRule type="cellIs" dxfId="1" priority="345" operator="equal">
      <formula>"patellar"</formula>
    </cfRule>
  </conditionalFormatting>
  <conditionalFormatting sqref="G30:G39">
    <cfRule type="cellIs" dxfId="2" priority="346" operator="equal">
      <formula>"hamstring"</formula>
    </cfRule>
  </conditionalFormatting>
  <conditionalFormatting sqref="G30:G39">
    <cfRule type="cellIs" dxfId="3" priority="347" operator="equal">
      <formula>"quadriceps"</formula>
    </cfRule>
  </conditionalFormatting>
  <conditionalFormatting sqref="G30:G39">
    <cfRule type="cellIs" dxfId="4" priority="348" operator="equal">
      <formula>"tibialis"</formula>
    </cfRule>
  </conditionalFormatting>
  <conditionalFormatting sqref="F28:G29">
    <cfRule type="expression" dxfId="0" priority="349">
      <formula>$Z28="Excluded"</formula>
    </cfRule>
  </conditionalFormatting>
  <conditionalFormatting sqref="G28:G29">
    <cfRule type="cellIs" dxfId="1" priority="350" operator="equal">
      <formula>"patellar"</formula>
    </cfRule>
  </conditionalFormatting>
  <conditionalFormatting sqref="G28:G29">
    <cfRule type="cellIs" dxfId="2" priority="351" operator="equal">
      <formula>"hamstring"</formula>
    </cfRule>
  </conditionalFormatting>
  <conditionalFormatting sqref="G28:G29">
    <cfRule type="cellIs" dxfId="3" priority="352" operator="equal">
      <formula>"quadriceps"</formula>
    </cfRule>
  </conditionalFormatting>
  <conditionalFormatting sqref="G28:G29">
    <cfRule type="cellIs" dxfId="4" priority="353" operator="equal">
      <formula>"tibialis"</formula>
    </cfRule>
  </conditionalFormatting>
  <conditionalFormatting sqref="F18:F27 G18:G123">
    <cfRule type="expression" dxfId="0" priority="354">
      <formula>$Z18="Excluded"</formula>
    </cfRule>
  </conditionalFormatting>
  <conditionalFormatting sqref="G18:G123">
    <cfRule type="cellIs" dxfId="1" priority="355" operator="equal">
      <formula>"patellar"</formula>
    </cfRule>
  </conditionalFormatting>
  <conditionalFormatting sqref="G18:G123">
    <cfRule type="cellIs" dxfId="2" priority="356" operator="equal">
      <formula>"hamstring"</formula>
    </cfRule>
  </conditionalFormatting>
  <conditionalFormatting sqref="G18:G123">
    <cfRule type="cellIs" dxfId="3" priority="357" operator="equal">
      <formula>"quadriceps"</formula>
    </cfRule>
  </conditionalFormatting>
  <conditionalFormatting sqref="G18:G123">
    <cfRule type="cellIs" dxfId="4" priority="358" operator="equal">
      <formula>"tibialis"</formula>
    </cfRule>
  </conditionalFormatting>
  <conditionalFormatting sqref="F16:G17">
    <cfRule type="expression" dxfId="0" priority="359">
      <formula>$Z16="Excluded"</formula>
    </cfRule>
  </conditionalFormatting>
  <conditionalFormatting sqref="G16:G17">
    <cfRule type="cellIs" dxfId="1" priority="360" operator="equal">
      <formula>"patellar"</formula>
    </cfRule>
  </conditionalFormatting>
  <conditionalFormatting sqref="G16:G17">
    <cfRule type="cellIs" dxfId="2" priority="361" operator="equal">
      <formula>"hamstring"</formula>
    </cfRule>
  </conditionalFormatting>
  <conditionalFormatting sqref="G16:G17">
    <cfRule type="cellIs" dxfId="3" priority="362" operator="equal">
      <formula>"quadriceps"</formula>
    </cfRule>
  </conditionalFormatting>
  <conditionalFormatting sqref="G16:G17">
    <cfRule type="cellIs" dxfId="4" priority="363" operator="equal">
      <formula>"tibialis"</formula>
    </cfRule>
  </conditionalFormatting>
  <conditionalFormatting sqref="F13:G15">
    <cfRule type="expression" dxfId="0" priority="364">
      <formula>$Z13="Excluded"</formula>
    </cfRule>
  </conditionalFormatting>
  <conditionalFormatting sqref="G13:G15">
    <cfRule type="cellIs" dxfId="1" priority="365" operator="equal">
      <formula>"patellar"</formula>
    </cfRule>
  </conditionalFormatting>
  <conditionalFormatting sqref="G13:G15">
    <cfRule type="cellIs" dxfId="2" priority="366" operator="equal">
      <formula>"hamstring"</formula>
    </cfRule>
  </conditionalFormatting>
  <conditionalFormatting sqref="G13:G15">
    <cfRule type="cellIs" dxfId="3" priority="367" operator="equal">
      <formula>"quadriceps"</formula>
    </cfRule>
  </conditionalFormatting>
  <conditionalFormatting sqref="G13:G15">
    <cfRule type="cellIs" dxfId="4" priority="368" operator="equal">
      <formula>"tibialis"</formula>
    </cfRule>
  </conditionalFormatting>
  <conditionalFormatting sqref="F4:G4 J4:L4 F7:G12 J7:L7 J10:L11 G181 J181:L181">
    <cfRule type="expression" dxfId="0" priority="369">
      <formula>$Z4="Excluded"</formula>
    </cfRule>
  </conditionalFormatting>
  <conditionalFormatting sqref="G4 G7:G12 G181">
    <cfRule type="cellIs" dxfId="1" priority="370" operator="equal">
      <formula>"patellar"</formula>
    </cfRule>
  </conditionalFormatting>
  <conditionalFormatting sqref="G4 G7:G12 G181">
    <cfRule type="cellIs" dxfId="2" priority="371" operator="equal">
      <formula>"hamstring"</formula>
    </cfRule>
  </conditionalFormatting>
  <conditionalFormatting sqref="G4 G7:G12 G181">
    <cfRule type="cellIs" dxfId="3" priority="372" operator="equal">
      <formula>"quadriceps"</formula>
    </cfRule>
  </conditionalFormatting>
  <conditionalFormatting sqref="G4 G7:G12 G181">
    <cfRule type="cellIs" dxfId="4" priority="373" operator="equal">
      <formula>"tibialis"</formula>
    </cfRule>
  </conditionalFormatting>
  <conditionalFormatting sqref="F2:G123 J4:L4 J6:L7 J10:L11 J70:L71 F181:G181 J181:L181">
    <cfRule type="expression" dxfId="0" priority="374">
      <formula>$Z2="Excluded"</formula>
    </cfRule>
  </conditionalFormatting>
  <conditionalFormatting sqref="G2:G123 G181">
    <cfRule type="cellIs" dxfId="1" priority="375" operator="equal">
      <formula>"patellar"</formula>
    </cfRule>
  </conditionalFormatting>
  <conditionalFormatting sqref="G2:G123 G181">
    <cfRule type="cellIs" dxfId="2" priority="376" operator="equal">
      <formula>"hamstring"</formula>
    </cfRule>
  </conditionalFormatting>
  <conditionalFormatting sqref="G2:G123 G181">
    <cfRule type="cellIs" dxfId="3" priority="377" operator="equal">
      <formula>"quadriceps"</formula>
    </cfRule>
  </conditionalFormatting>
  <conditionalFormatting sqref="G2:G123 G181">
    <cfRule type="cellIs" dxfId="4" priority="378" operator="equal">
      <formula>"tibialis"</formula>
    </cfRule>
  </conditionalFormatting>
  <conditionalFormatting sqref="E118:E123 E181">
    <cfRule type="expression" dxfId="0" priority="379">
      <formula>$Z118="Excluded"</formula>
    </cfRule>
  </conditionalFormatting>
  <conditionalFormatting sqref="E118:E123 E181">
    <cfRule type="cellIs" dxfId="1" priority="380" operator="equal">
      <formula>"patellar"</formula>
    </cfRule>
  </conditionalFormatting>
  <conditionalFormatting sqref="E118:E123 E181">
    <cfRule type="cellIs" dxfId="2" priority="381" operator="equal">
      <formula>"hamstring"</formula>
    </cfRule>
  </conditionalFormatting>
  <conditionalFormatting sqref="E118:E123 E181">
    <cfRule type="cellIs" dxfId="3" priority="382" operator="equal">
      <formula>"quadriceps"</formula>
    </cfRule>
  </conditionalFormatting>
  <conditionalFormatting sqref="E118:E123 E181">
    <cfRule type="cellIs" dxfId="4" priority="383" operator="equal">
      <formula>"tibialis"</formula>
    </cfRule>
  </conditionalFormatting>
  <conditionalFormatting sqref="E116:E117">
    <cfRule type="expression" dxfId="0" priority="384">
      <formula>$Z116="Excluded"</formula>
    </cfRule>
  </conditionalFormatting>
  <conditionalFormatting sqref="E116:E117">
    <cfRule type="cellIs" dxfId="1" priority="385" operator="equal">
      <formula>"patellar"</formula>
    </cfRule>
  </conditionalFormatting>
  <conditionalFormatting sqref="E116:E117">
    <cfRule type="cellIs" dxfId="2" priority="386" operator="equal">
      <formula>"hamstring"</formula>
    </cfRule>
  </conditionalFormatting>
  <conditionalFormatting sqref="E116:E117">
    <cfRule type="cellIs" dxfId="3" priority="387" operator="equal">
      <formula>"quadriceps"</formula>
    </cfRule>
  </conditionalFormatting>
  <conditionalFormatting sqref="E116:E117">
    <cfRule type="cellIs" dxfId="4" priority="388" operator="equal">
      <formula>"tibialis"</formula>
    </cfRule>
  </conditionalFormatting>
  <conditionalFormatting sqref="E110:E115">
    <cfRule type="expression" dxfId="0" priority="389">
      <formula>$Z110="Excluded"</formula>
    </cfRule>
  </conditionalFormatting>
  <conditionalFormatting sqref="E110:E115">
    <cfRule type="cellIs" dxfId="1" priority="390" operator="equal">
      <formula>"patellar"</formula>
    </cfRule>
  </conditionalFormatting>
  <conditionalFormatting sqref="E110:E115">
    <cfRule type="cellIs" dxfId="2" priority="391" operator="equal">
      <formula>"hamstring"</formula>
    </cfRule>
  </conditionalFormatting>
  <conditionalFormatting sqref="E110:E115">
    <cfRule type="cellIs" dxfId="3" priority="392" operator="equal">
      <formula>"quadriceps"</formula>
    </cfRule>
  </conditionalFormatting>
  <conditionalFormatting sqref="E110:E115">
    <cfRule type="cellIs" dxfId="4" priority="393" operator="equal">
      <formula>"tibialis"</formula>
    </cfRule>
  </conditionalFormatting>
  <conditionalFormatting sqref="E105:E123 E181">
    <cfRule type="expression" dxfId="0" priority="394">
      <formula>$Z105="Excluded"</formula>
    </cfRule>
  </conditionalFormatting>
  <conditionalFormatting sqref="E105:E123 E181">
    <cfRule type="cellIs" dxfId="1" priority="395" operator="equal">
      <formula>"patellar"</formula>
    </cfRule>
  </conditionalFormatting>
  <conditionalFormatting sqref="E105:E123 E181">
    <cfRule type="cellIs" dxfId="2" priority="396" operator="equal">
      <formula>"hamstring"</formula>
    </cfRule>
  </conditionalFormatting>
  <conditionalFormatting sqref="E105:E123 E181">
    <cfRule type="cellIs" dxfId="3" priority="397" operator="equal">
      <formula>"quadriceps"</formula>
    </cfRule>
  </conditionalFormatting>
  <conditionalFormatting sqref="E105:E123 E181">
    <cfRule type="cellIs" dxfId="4" priority="398" operator="equal">
      <formula>"tibialis"</formula>
    </cfRule>
  </conditionalFormatting>
  <conditionalFormatting sqref="E97:E104 E106:E108 E110:E112 E114:E116 E118:E120">
    <cfRule type="expression" dxfId="0" priority="399">
      <formula>$Z97="Excluded"</formula>
    </cfRule>
  </conditionalFormatting>
  <conditionalFormatting sqref="E97:E104 E106:E108 E110:E112 E114:E116 E118:E120">
    <cfRule type="cellIs" dxfId="1" priority="400" operator="equal">
      <formula>"patellar"</formula>
    </cfRule>
  </conditionalFormatting>
  <conditionalFormatting sqref="E97:E104 E106:E108 E110:E112 E114:E116 E118:E120">
    <cfRule type="cellIs" dxfId="2" priority="401" operator="equal">
      <formula>"hamstring"</formula>
    </cfRule>
  </conditionalFormatting>
  <conditionalFormatting sqref="E97:E104 E106:E108 E110:E112 E114:E116 E118:E120">
    <cfRule type="cellIs" dxfId="3" priority="402" operator="equal">
      <formula>"quadriceps"</formula>
    </cfRule>
  </conditionalFormatting>
  <conditionalFormatting sqref="E97:E104 E106:E108 E110:E112 E114:E116 E118:E120">
    <cfRule type="cellIs" dxfId="4" priority="403" operator="equal">
      <formula>"tibialis"</formula>
    </cfRule>
  </conditionalFormatting>
  <conditionalFormatting sqref="E95:E96">
    <cfRule type="expression" dxfId="0" priority="404">
      <formula>$Z95="Excluded"</formula>
    </cfRule>
  </conditionalFormatting>
  <conditionalFormatting sqref="E95:E96">
    <cfRule type="cellIs" dxfId="1" priority="405" operator="equal">
      <formula>"patellar"</formula>
    </cfRule>
  </conditionalFormatting>
  <conditionalFormatting sqref="E95:E96">
    <cfRule type="cellIs" dxfId="2" priority="406" operator="equal">
      <formula>"hamstring"</formula>
    </cfRule>
  </conditionalFormatting>
  <conditionalFormatting sqref="E95:E96">
    <cfRule type="cellIs" dxfId="3" priority="407" operator="equal">
      <formula>"quadriceps"</formula>
    </cfRule>
  </conditionalFormatting>
  <conditionalFormatting sqref="E95:E96">
    <cfRule type="cellIs" dxfId="4" priority="408" operator="equal">
      <formula>"tibialis"</formula>
    </cfRule>
  </conditionalFormatting>
  <conditionalFormatting sqref="E93:E94">
    <cfRule type="expression" dxfId="0" priority="409">
      <formula>$Z93="Excluded"</formula>
    </cfRule>
  </conditionalFormatting>
  <conditionalFormatting sqref="E93:E94">
    <cfRule type="cellIs" dxfId="1" priority="410" operator="equal">
      <formula>"patellar"</formula>
    </cfRule>
  </conditionalFormatting>
  <conditionalFormatting sqref="E93:E94">
    <cfRule type="cellIs" dxfId="2" priority="411" operator="equal">
      <formula>"hamstring"</formula>
    </cfRule>
  </conditionalFormatting>
  <conditionalFormatting sqref="E93:E94">
    <cfRule type="cellIs" dxfId="3" priority="412" operator="equal">
      <formula>"quadriceps"</formula>
    </cfRule>
  </conditionalFormatting>
  <conditionalFormatting sqref="E93:E94">
    <cfRule type="cellIs" dxfId="4" priority="413" operator="equal">
      <formula>"tibialis"</formula>
    </cfRule>
  </conditionalFormatting>
  <conditionalFormatting sqref="E90:E92">
    <cfRule type="expression" dxfId="0" priority="414">
      <formula>$Z90="Excluded"</formula>
    </cfRule>
  </conditionalFormatting>
  <conditionalFormatting sqref="E90:E92">
    <cfRule type="cellIs" dxfId="1" priority="415" operator="equal">
      <formula>"patellar"</formula>
    </cfRule>
  </conditionalFormatting>
  <conditionalFormatting sqref="E90:E92">
    <cfRule type="cellIs" dxfId="2" priority="416" operator="equal">
      <formula>"hamstring"</formula>
    </cfRule>
  </conditionalFormatting>
  <conditionalFormatting sqref="E90:E92">
    <cfRule type="cellIs" dxfId="3" priority="417" operator="equal">
      <formula>"quadriceps"</formula>
    </cfRule>
  </conditionalFormatting>
  <conditionalFormatting sqref="E90:E92">
    <cfRule type="cellIs" dxfId="4" priority="418" operator="equal">
      <formula>"tibialis"</formula>
    </cfRule>
  </conditionalFormatting>
  <conditionalFormatting sqref="E85:E89">
    <cfRule type="expression" dxfId="0" priority="419">
      <formula>$Z85="Excluded"</formula>
    </cfRule>
  </conditionalFormatting>
  <conditionalFormatting sqref="E85:E89">
    <cfRule type="cellIs" dxfId="1" priority="420" operator="equal">
      <formula>"patellar"</formula>
    </cfRule>
  </conditionalFormatting>
  <conditionalFormatting sqref="E85:E89">
    <cfRule type="cellIs" dxfId="2" priority="421" operator="equal">
      <formula>"hamstring"</formula>
    </cfRule>
  </conditionalFormatting>
  <conditionalFormatting sqref="E85:E89">
    <cfRule type="cellIs" dxfId="3" priority="422" operator="equal">
      <formula>"quadriceps"</formula>
    </cfRule>
  </conditionalFormatting>
  <conditionalFormatting sqref="E85:E89">
    <cfRule type="cellIs" dxfId="4" priority="423" operator="equal">
      <formula>"tibialis"</formula>
    </cfRule>
  </conditionalFormatting>
  <conditionalFormatting sqref="E71:E84 E89">
    <cfRule type="expression" dxfId="0" priority="424">
      <formula>$Z71="Excluded"</formula>
    </cfRule>
  </conditionalFormatting>
  <conditionalFormatting sqref="E71:E84 E89">
    <cfRule type="cellIs" dxfId="1" priority="425" operator="equal">
      <formula>"patellar"</formula>
    </cfRule>
  </conditionalFormatting>
  <conditionalFormatting sqref="E71:E84 E89">
    <cfRule type="cellIs" dxfId="2" priority="426" operator="equal">
      <formula>"hamstring"</formula>
    </cfRule>
  </conditionalFormatting>
  <conditionalFormatting sqref="E71:E84 E89">
    <cfRule type="cellIs" dxfId="3" priority="427" operator="equal">
      <formula>"quadriceps"</formula>
    </cfRule>
  </conditionalFormatting>
  <conditionalFormatting sqref="E71:E84 E89">
    <cfRule type="cellIs" dxfId="4" priority="428" operator="equal">
      <formula>"tibialis"</formula>
    </cfRule>
  </conditionalFormatting>
  <conditionalFormatting sqref="E67:E70">
    <cfRule type="expression" dxfId="0" priority="429">
      <formula>$Z67="Excluded"</formula>
    </cfRule>
  </conditionalFormatting>
  <conditionalFormatting sqref="E67:E70">
    <cfRule type="cellIs" dxfId="1" priority="430" operator="equal">
      <formula>"patellar"</formula>
    </cfRule>
  </conditionalFormatting>
  <conditionalFormatting sqref="E67:E70">
    <cfRule type="cellIs" dxfId="2" priority="431" operator="equal">
      <formula>"hamstring"</formula>
    </cfRule>
  </conditionalFormatting>
  <conditionalFormatting sqref="E67:E70">
    <cfRule type="cellIs" dxfId="3" priority="432" operator="equal">
      <formula>"quadriceps"</formula>
    </cfRule>
  </conditionalFormatting>
  <conditionalFormatting sqref="E67:E70">
    <cfRule type="cellIs" dxfId="4" priority="433" operator="equal">
      <formula>"tibialis"</formula>
    </cfRule>
  </conditionalFormatting>
  <conditionalFormatting sqref="E65:E66">
    <cfRule type="expression" dxfId="0" priority="434">
      <formula>$Z65="Excluded"</formula>
    </cfRule>
  </conditionalFormatting>
  <conditionalFormatting sqref="E65:E66">
    <cfRule type="cellIs" dxfId="1" priority="435" operator="equal">
      <formula>"patellar"</formula>
    </cfRule>
  </conditionalFormatting>
  <conditionalFormatting sqref="E65:E66">
    <cfRule type="cellIs" dxfId="2" priority="436" operator="equal">
      <formula>"hamstring"</formula>
    </cfRule>
  </conditionalFormatting>
  <conditionalFormatting sqref="E65:E66">
    <cfRule type="cellIs" dxfId="3" priority="437" operator="equal">
      <formula>"quadriceps"</formula>
    </cfRule>
  </conditionalFormatting>
  <conditionalFormatting sqref="E65:E66">
    <cfRule type="cellIs" dxfId="4" priority="438" operator="equal">
      <formula>"tibialis"</formula>
    </cfRule>
  </conditionalFormatting>
  <conditionalFormatting sqref="E63:E64">
    <cfRule type="expression" dxfId="0" priority="439">
      <formula>$Z63="Excluded"</formula>
    </cfRule>
  </conditionalFormatting>
  <conditionalFormatting sqref="E63:E64">
    <cfRule type="cellIs" dxfId="1" priority="440" operator="equal">
      <formula>"patellar"</formula>
    </cfRule>
  </conditionalFormatting>
  <conditionalFormatting sqref="E63:E64">
    <cfRule type="cellIs" dxfId="2" priority="441" operator="equal">
      <formula>"hamstring"</formula>
    </cfRule>
  </conditionalFormatting>
  <conditionalFormatting sqref="E63:E64">
    <cfRule type="cellIs" dxfId="3" priority="442" operator="equal">
      <formula>"quadriceps"</formula>
    </cfRule>
  </conditionalFormatting>
  <conditionalFormatting sqref="E63:E64">
    <cfRule type="cellIs" dxfId="4" priority="443" operator="equal">
      <formula>"tibialis"</formula>
    </cfRule>
  </conditionalFormatting>
  <conditionalFormatting sqref="E54:E62">
    <cfRule type="expression" dxfId="0" priority="444">
      <formula>$Z54="Excluded"</formula>
    </cfRule>
  </conditionalFormatting>
  <conditionalFormatting sqref="E54:E62">
    <cfRule type="cellIs" dxfId="1" priority="445" operator="equal">
      <formula>"patellar"</formula>
    </cfRule>
  </conditionalFormatting>
  <conditionalFormatting sqref="E54:E62">
    <cfRule type="cellIs" dxfId="2" priority="446" operator="equal">
      <formula>"hamstring"</formula>
    </cfRule>
  </conditionalFormatting>
  <conditionalFormatting sqref="E54:E62">
    <cfRule type="cellIs" dxfId="3" priority="447" operator="equal">
      <formula>"quadriceps"</formula>
    </cfRule>
  </conditionalFormatting>
  <conditionalFormatting sqref="E54:E62">
    <cfRule type="cellIs" dxfId="4" priority="448" operator="equal">
      <formula>"tibialis"</formula>
    </cfRule>
  </conditionalFormatting>
  <conditionalFormatting sqref="E49:E53">
    <cfRule type="expression" dxfId="0" priority="449">
      <formula>$Z49="Excluded"</formula>
    </cfRule>
  </conditionalFormatting>
  <conditionalFormatting sqref="E49:E53">
    <cfRule type="cellIs" dxfId="1" priority="450" operator="equal">
      <formula>"patellar"</formula>
    </cfRule>
  </conditionalFormatting>
  <conditionalFormatting sqref="E49:E53">
    <cfRule type="cellIs" dxfId="2" priority="451" operator="equal">
      <formula>"hamstring"</formula>
    </cfRule>
  </conditionalFormatting>
  <conditionalFormatting sqref="E49:E53">
    <cfRule type="cellIs" dxfId="3" priority="452" operator="equal">
      <formula>"quadriceps"</formula>
    </cfRule>
  </conditionalFormatting>
  <conditionalFormatting sqref="E49:E53">
    <cfRule type="cellIs" dxfId="4" priority="453" operator="equal">
      <formula>"tibialis"</formula>
    </cfRule>
  </conditionalFormatting>
  <conditionalFormatting sqref="E46:E48">
    <cfRule type="expression" dxfId="0" priority="454">
      <formula>$Z46="Excluded"</formula>
    </cfRule>
  </conditionalFormatting>
  <conditionalFormatting sqref="E46:E48">
    <cfRule type="cellIs" dxfId="1" priority="455" operator="equal">
      <formula>"patellar"</formula>
    </cfRule>
  </conditionalFormatting>
  <conditionalFormatting sqref="E46:E48">
    <cfRule type="cellIs" dxfId="2" priority="456" operator="equal">
      <formula>"hamstring"</formula>
    </cfRule>
  </conditionalFormatting>
  <conditionalFormatting sqref="E46:E48">
    <cfRule type="cellIs" dxfId="3" priority="457" operator="equal">
      <formula>"quadriceps"</formula>
    </cfRule>
  </conditionalFormatting>
  <conditionalFormatting sqref="E46:E48">
    <cfRule type="cellIs" dxfId="4" priority="458" operator="equal">
      <formula>"tibialis"</formula>
    </cfRule>
  </conditionalFormatting>
  <conditionalFormatting sqref="E41:E45">
    <cfRule type="expression" dxfId="0" priority="459">
      <formula>$Z41="Excluded"</formula>
    </cfRule>
  </conditionalFormatting>
  <conditionalFormatting sqref="E41:E45">
    <cfRule type="cellIs" dxfId="1" priority="460" operator="equal">
      <formula>"patellar"</formula>
    </cfRule>
  </conditionalFormatting>
  <conditionalFormatting sqref="E41:E45">
    <cfRule type="cellIs" dxfId="2" priority="461" operator="equal">
      <formula>"hamstring"</formula>
    </cfRule>
  </conditionalFormatting>
  <conditionalFormatting sqref="E41:E45">
    <cfRule type="cellIs" dxfId="3" priority="462" operator="equal">
      <formula>"quadriceps"</formula>
    </cfRule>
  </conditionalFormatting>
  <conditionalFormatting sqref="E41:E45">
    <cfRule type="cellIs" dxfId="4" priority="463" operator="equal">
      <formula>"tibialis"</formula>
    </cfRule>
  </conditionalFormatting>
  <conditionalFormatting sqref="E39:E40">
    <cfRule type="expression" dxfId="0" priority="464">
      <formula>$Z39="Excluded"</formula>
    </cfRule>
  </conditionalFormatting>
  <conditionalFormatting sqref="E39:E40">
    <cfRule type="cellIs" dxfId="1" priority="465" operator="equal">
      <formula>"patellar"</formula>
    </cfRule>
  </conditionalFormatting>
  <conditionalFormatting sqref="E39:E40">
    <cfRule type="cellIs" dxfId="2" priority="466" operator="equal">
      <formula>"hamstring"</formula>
    </cfRule>
  </conditionalFormatting>
  <conditionalFormatting sqref="E39:E40">
    <cfRule type="cellIs" dxfId="3" priority="467" operator="equal">
      <formula>"quadriceps"</formula>
    </cfRule>
  </conditionalFormatting>
  <conditionalFormatting sqref="E39:E40">
    <cfRule type="cellIs" dxfId="4" priority="468" operator="equal">
      <formula>"tibialis"</formula>
    </cfRule>
  </conditionalFormatting>
  <conditionalFormatting sqref="E30:E38">
    <cfRule type="expression" dxfId="0" priority="469">
      <formula>$Z30="Excluded"</formula>
    </cfRule>
  </conditionalFormatting>
  <conditionalFormatting sqref="E30:E38">
    <cfRule type="cellIs" dxfId="1" priority="470" operator="equal">
      <formula>"patellar"</formula>
    </cfRule>
  </conditionalFormatting>
  <conditionalFormatting sqref="E30:E38">
    <cfRule type="cellIs" dxfId="2" priority="471" operator="equal">
      <formula>"hamstring"</formula>
    </cfRule>
  </conditionalFormatting>
  <conditionalFormatting sqref="E30:E38">
    <cfRule type="cellIs" dxfId="3" priority="472" operator="equal">
      <formula>"quadriceps"</formula>
    </cfRule>
  </conditionalFormatting>
  <conditionalFormatting sqref="E30:E38">
    <cfRule type="cellIs" dxfId="4" priority="473" operator="equal">
      <formula>"tibialis"</formula>
    </cfRule>
  </conditionalFormatting>
  <conditionalFormatting sqref="E28:E29">
    <cfRule type="expression" dxfId="0" priority="474">
      <formula>$Z28="Excluded"</formula>
    </cfRule>
  </conditionalFormatting>
  <conditionalFormatting sqref="E28:E29">
    <cfRule type="cellIs" dxfId="1" priority="475" operator="equal">
      <formula>"patellar"</formula>
    </cfRule>
  </conditionalFormatting>
  <conditionalFormatting sqref="E28:E29">
    <cfRule type="cellIs" dxfId="2" priority="476" operator="equal">
      <formula>"hamstring"</formula>
    </cfRule>
  </conditionalFormatting>
  <conditionalFormatting sqref="E28:E29">
    <cfRule type="cellIs" dxfId="3" priority="477" operator="equal">
      <formula>"quadriceps"</formula>
    </cfRule>
  </conditionalFormatting>
  <conditionalFormatting sqref="E28:E29">
    <cfRule type="cellIs" dxfId="4" priority="478" operator="equal">
      <formula>"tibialis"</formula>
    </cfRule>
  </conditionalFormatting>
  <conditionalFormatting sqref="E18:E27">
    <cfRule type="expression" dxfId="0" priority="479">
      <formula>$Z18="Excluded"</formula>
    </cfRule>
  </conditionalFormatting>
  <conditionalFormatting sqref="E18:E27">
    <cfRule type="cellIs" dxfId="1" priority="480" operator="equal">
      <formula>"patellar"</formula>
    </cfRule>
  </conditionalFormatting>
  <conditionalFormatting sqref="E18:E27">
    <cfRule type="cellIs" dxfId="2" priority="481" operator="equal">
      <formula>"hamstring"</formula>
    </cfRule>
  </conditionalFormatting>
  <conditionalFormatting sqref="E18:E27">
    <cfRule type="cellIs" dxfId="3" priority="482" operator="equal">
      <formula>"quadriceps"</formula>
    </cfRule>
  </conditionalFormatting>
  <conditionalFormatting sqref="E18:E27">
    <cfRule type="cellIs" dxfId="4" priority="483" operator="equal">
      <formula>"tibialis"</formula>
    </cfRule>
  </conditionalFormatting>
  <conditionalFormatting sqref="E16:E17">
    <cfRule type="expression" dxfId="0" priority="484">
      <formula>$Z16="Excluded"</formula>
    </cfRule>
  </conditionalFormatting>
  <conditionalFormatting sqref="E16:E17">
    <cfRule type="cellIs" dxfId="1" priority="485" operator="equal">
      <formula>"patellar"</formula>
    </cfRule>
  </conditionalFormatting>
  <conditionalFormatting sqref="E16:E17">
    <cfRule type="cellIs" dxfId="2" priority="486" operator="equal">
      <formula>"hamstring"</formula>
    </cfRule>
  </conditionalFormatting>
  <conditionalFormatting sqref="E16:E17">
    <cfRule type="cellIs" dxfId="3" priority="487" operator="equal">
      <formula>"quadriceps"</formula>
    </cfRule>
  </conditionalFormatting>
  <conditionalFormatting sqref="E16:E17">
    <cfRule type="cellIs" dxfId="4" priority="488" operator="equal">
      <formula>"tibialis"</formula>
    </cfRule>
  </conditionalFormatting>
  <conditionalFormatting sqref="E13:E15 F13">
    <cfRule type="expression" dxfId="0" priority="489">
      <formula>$Z13="Excluded"</formula>
    </cfRule>
  </conditionalFormatting>
  <conditionalFormatting sqref="E13:E15 F13">
    <cfRule type="cellIs" dxfId="1" priority="490" operator="equal">
      <formula>"patellar"</formula>
    </cfRule>
  </conditionalFormatting>
  <conditionalFormatting sqref="E13:E15 F13">
    <cfRule type="cellIs" dxfId="2" priority="491" operator="equal">
      <formula>"hamstring"</formula>
    </cfRule>
  </conditionalFormatting>
  <conditionalFormatting sqref="E13:E15 F13">
    <cfRule type="cellIs" dxfId="3" priority="492" operator="equal">
      <formula>"quadriceps"</formula>
    </cfRule>
  </conditionalFormatting>
  <conditionalFormatting sqref="E13:E15 F13">
    <cfRule type="cellIs" dxfId="4" priority="493" operator="equal">
      <formula>"tibialis"</formula>
    </cfRule>
  </conditionalFormatting>
  <conditionalFormatting sqref="E4 H4:I4 E7:E12 H7:I7 H10:I10 F12:F13 H181:I181">
    <cfRule type="expression" dxfId="0" priority="494">
      <formula>$Z4="Excluded"</formula>
    </cfRule>
  </conditionalFormatting>
  <conditionalFormatting sqref="E4 H4:I4 E7:E12 H7:I7 H10:I10 F12:F13 H181:I181">
    <cfRule type="cellIs" dxfId="1" priority="495" operator="equal">
      <formula>"patellar"</formula>
    </cfRule>
  </conditionalFormatting>
  <conditionalFormatting sqref="E4 H4:I4 E7:E12 H7:I7 H10:I10 F12:F13 H181:I181">
    <cfRule type="cellIs" dxfId="2" priority="496" operator="equal">
      <formula>"hamstring"</formula>
    </cfRule>
  </conditionalFormatting>
  <conditionalFormatting sqref="E4 H4:I4 E7:E12 H7:I7 H10:I10 F12:F13 H181:I181">
    <cfRule type="cellIs" dxfId="3" priority="497" operator="equal">
      <formula>"quadriceps"</formula>
    </cfRule>
  </conditionalFormatting>
  <conditionalFormatting sqref="E4 H4:I4 E7:E12 H7:I7 H10:I10 F12:F13 H181:I181">
    <cfRule type="cellIs" dxfId="4" priority="498" operator="equal">
      <formula>"tibialis"</formula>
    </cfRule>
  </conditionalFormatting>
  <conditionalFormatting sqref="E2:E123 H4:I4 H7:I7 H10:I10 E181 H181:I181">
    <cfRule type="expression" dxfId="0" priority="499">
      <formula>$Z2="Excluded"</formula>
    </cfRule>
  </conditionalFormatting>
  <conditionalFormatting sqref="E2:E123 H4:I4 H7:I7 H10:I10 E181 H181:I181">
    <cfRule type="cellIs" dxfId="1" priority="500" operator="equal">
      <formula>"patellar"</formula>
    </cfRule>
  </conditionalFormatting>
  <conditionalFormatting sqref="E2:E123 H4:I4 H7:I7 H10:I10 E181 H181:I181">
    <cfRule type="cellIs" dxfId="2" priority="501" operator="equal">
      <formula>"hamstring"</formula>
    </cfRule>
  </conditionalFormatting>
  <conditionalFormatting sqref="E2:E123 H4:I4 H7:I7 H10:I10 E181 H181:I181">
    <cfRule type="cellIs" dxfId="3" priority="502" operator="equal">
      <formula>"quadriceps"</formula>
    </cfRule>
  </conditionalFormatting>
  <conditionalFormatting sqref="E1:E123 H4:I4 H7:I7 H10:I10 E181 H181:I181">
    <cfRule type="cellIs" dxfId="4" priority="503" operator="equal">
      <formula>"tibialis"</formula>
    </cfRule>
  </conditionalFormatting>
  <conditionalFormatting sqref="A118:D123 C181">
    <cfRule type="expression" dxfId="0" priority="504">
      <formula>$Z118="Excluded"</formula>
    </cfRule>
  </conditionalFormatting>
  <conditionalFormatting sqref="D118:D123">
    <cfRule type="cellIs" dxfId="1" priority="505" operator="equal">
      <formula>"patellar"</formula>
    </cfRule>
  </conditionalFormatting>
  <conditionalFormatting sqref="D118:D123">
    <cfRule type="cellIs" dxfId="2" priority="506" operator="equal">
      <formula>"hamstring"</formula>
    </cfRule>
  </conditionalFormatting>
  <conditionalFormatting sqref="D118:D123">
    <cfRule type="cellIs" dxfId="3" priority="507" operator="equal">
      <formula>"quadriceps"</formula>
    </cfRule>
  </conditionalFormatting>
  <conditionalFormatting sqref="D118:D123">
    <cfRule type="cellIs" dxfId="4" priority="508" operator="equal">
      <formula>"tibialis"</formula>
    </cfRule>
  </conditionalFormatting>
  <conditionalFormatting sqref="A116:D117">
    <cfRule type="expression" dxfId="0" priority="509">
      <formula>$Z116="Excluded"</formula>
    </cfRule>
  </conditionalFormatting>
  <conditionalFormatting sqref="D116:D117">
    <cfRule type="cellIs" dxfId="1" priority="510" operator="equal">
      <formula>"patellar"</formula>
    </cfRule>
  </conditionalFormatting>
  <conditionalFormatting sqref="D116:D117">
    <cfRule type="cellIs" dxfId="2" priority="511" operator="equal">
      <formula>"hamstring"</formula>
    </cfRule>
  </conditionalFormatting>
  <conditionalFormatting sqref="D116:D117">
    <cfRule type="cellIs" dxfId="3" priority="512" operator="equal">
      <formula>"quadriceps"</formula>
    </cfRule>
  </conditionalFormatting>
  <conditionalFormatting sqref="D116:D117">
    <cfRule type="cellIs" dxfId="4" priority="513" operator="equal">
      <formula>"tibialis"</formula>
    </cfRule>
  </conditionalFormatting>
  <conditionalFormatting sqref="A110:D115">
    <cfRule type="expression" dxfId="0" priority="514">
      <formula>$Z110="Excluded"</formula>
    </cfRule>
  </conditionalFormatting>
  <conditionalFormatting sqref="D110:D115">
    <cfRule type="cellIs" dxfId="1" priority="515" operator="equal">
      <formula>"patellar"</formula>
    </cfRule>
  </conditionalFormatting>
  <conditionalFormatting sqref="D110:D115">
    <cfRule type="cellIs" dxfId="2" priority="516" operator="equal">
      <formula>"hamstring"</formula>
    </cfRule>
  </conditionalFormatting>
  <conditionalFormatting sqref="D110:D115">
    <cfRule type="cellIs" dxfId="3" priority="517" operator="equal">
      <formula>"quadriceps"</formula>
    </cfRule>
  </conditionalFormatting>
  <conditionalFormatting sqref="D110:D115">
    <cfRule type="cellIs" dxfId="4" priority="518" operator="equal">
      <formula>"tibialis"</formula>
    </cfRule>
  </conditionalFormatting>
  <conditionalFormatting sqref="A105:D123 C181">
    <cfRule type="expression" dxfId="0" priority="519">
      <formula>$Z105="Excluded"</formula>
    </cfRule>
  </conditionalFormatting>
  <conditionalFormatting sqref="D105:D123">
    <cfRule type="cellIs" dxfId="1" priority="520" operator="equal">
      <formula>"patellar"</formula>
    </cfRule>
  </conditionalFormatting>
  <conditionalFormatting sqref="D105:D123">
    <cfRule type="cellIs" dxfId="2" priority="521" operator="equal">
      <formula>"hamstring"</formula>
    </cfRule>
  </conditionalFormatting>
  <conditionalFormatting sqref="D105:D123">
    <cfRule type="cellIs" dxfId="3" priority="522" operator="equal">
      <formula>"quadriceps"</formula>
    </cfRule>
  </conditionalFormatting>
  <conditionalFormatting sqref="D105:D123">
    <cfRule type="cellIs" dxfId="4" priority="523" operator="equal">
      <formula>"tibialis"</formula>
    </cfRule>
  </conditionalFormatting>
  <conditionalFormatting sqref="A97:D104 A106:D108 A110:D112 A114:D116 A118:D120">
    <cfRule type="expression" dxfId="0" priority="524">
      <formula>$Z97="Excluded"</formula>
    </cfRule>
  </conditionalFormatting>
  <conditionalFormatting sqref="D97:D104 D106:D108 D110:D112 D114:D116 D118:D120">
    <cfRule type="cellIs" dxfId="1" priority="525" operator="equal">
      <formula>"patellar"</formula>
    </cfRule>
  </conditionalFormatting>
  <conditionalFormatting sqref="D97:D104 D106:D108 D110:D112 D114:D116 D118:D120">
    <cfRule type="cellIs" dxfId="2" priority="526" operator="equal">
      <formula>"hamstring"</formula>
    </cfRule>
  </conditionalFormatting>
  <conditionalFormatting sqref="D97:D104 D106:D108 D110:D112 D114:D116 D118:D120">
    <cfRule type="cellIs" dxfId="3" priority="527" operator="equal">
      <formula>"quadriceps"</formula>
    </cfRule>
  </conditionalFormatting>
  <conditionalFormatting sqref="D97:D104 D106:D108 D110:D112 D114:D116 D118:D120">
    <cfRule type="cellIs" dxfId="4" priority="528" operator="equal">
      <formula>"tibialis"</formula>
    </cfRule>
  </conditionalFormatting>
  <conditionalFormatting sqref="A95:D96">
    <cfRule type="expression" dxfId="0" priority="529">
      <formula>$Z95="Excluded"</formula>
    </cfRule>
  </conditionalFormatting>
  <conditionalFormatting sqref="D95:D96">
    <cfRule type="cellIs" dxfId="1" priority="530" operator="equal">
      <formula>"patellar"</formula>
    </cfRule>
  </conditionalFormatting>
  <conditionalFormatting sqref="D95:D96">
    <cfRule type="cellIs" dxfId="2" priority="531" operator="equal">
      <formula>"hamstring"</formula>
    </cfRule>
  </conditionalFormatting>
  <conditionalFormatting sqref="D95:D96">
    <cfRule type="cellIs" dxfId="3" priority="532" operator="equal">
      <formula>"quadriceps"</formula>
    </cfRule>
  </conditionalFormatting>
  <conditionalFormatting sqref="D95:D96">
    <cfRule type="cellIs" dxfId="4" priority="533" operator="equal">
      <formula>"tibialis"</formula>
    </cfRule>
  </conditionalFormatting>
  <conditionalFormatting sqref="A93:D94">
    <cfRule type="expression" dxfId="0" priority="534">
      <formula>$Z93="Excluded"</formula>
    </cfRule>
  </conditionalFormatting>
  <conditionalFormatting sqref="D93:D94">
    <cfRule type="cellIs" dxfId="1" priority="535" operator="equal">
      <formula>"patellar"</formula>
    </cfRule>
  </conditionalFormatting>
  <conditionalFormatting sqref="D93:D94">
    <cfRule type="cellIs" dxfId="2" priority="536" operator="equal">
      <formula>"hamstring"</formula>
    </cfRule>
  </conditionalFormatting>
  <conditionalFormatting sqref="D93:D94">
    <cfRule type="cellIs" dxfId="3" priority="537" operator="equal">
      <formula>"quadriceps"</formula>
    </cfRule>
  </conditionalFormatting>
  <conditionalFormatting sqref="D93:D94">
    <cfRule type="cellIs" dxfId="4" priority="538" operator="equal">
      <formula>"tibialis"</formula>
    </cfRule>
  </conditionalFormatting>
  <conditionalFormatting sqref="A90:D92">
    <cfRule type="expression" dxfId="0" priority="539">
      <formula>$Z90="Excluded"</formula>
    </cfRule>
  </conditionalFormatting>
  <conditionalFormatting sqref="D90:D92">
    <cfRule type="cellIs" dxfId="1" priority="540" operator="equal">
      <formula>"patellar"</formula>
    </cfRule>
  </conditionalFormatting>
  <conditionalFormatting sqref="D90:D92">
    <cfRule type="cellIs" dxfId="2" priority="541" operator="equal">
      <formula>"hamstring"</formula>
    </cfRule>
  </conditionalFormatting>
  <conditionalFormatting sqref="D90:D92">
    <cfRule type="cellIs" dxfId="3" priority="542" operator="equal">
      <formula>"quadriceps"</formula>
    </cfRule>
  </conditionalFormatting>
  <conditionalFormatting sqref="D90:D92">
    <cfRule type="cellIs" dxfId="4" priority="543" operator="equal">
      <formula>"tibialis"</formula>
    </cfRule>
  </conditionalFormatting>
  <conditionalFormatting sqref="A85:D89">
    <cfRule type="expression" dxfId="0" priority="544">
      <formula>$Z85="Excluded"</formula>
    </cfRule>
  </conditionalFormatting>
  <conditionalFormatting sqref="D85:D89">
    <cfRule type="cellIs" dxfId="1" priority="545" operator="equal">
      <formula>"patellar"</formula>
    </cfRule>
  </conditionalFormatting>
  <conditionalFormatting sqref="D85:D89">
    <cfRule type="cellIs" dxfId="2" priority="546" operator="equal">
      <formula>"hamstring"</formula>
    </cfRule>
  </conditionalFormatting>
  <conditionalFormatting sqref="D85:D89">
    <cfRule type="cellIs" dxfId="3" priority="547" operator="equal">
      <formula>"quadriceps"</formula>
    </cfRule>
  </conditionalFormatting>
  <conditionalFormatting sqref="D85:D89">
    <cfRule type="cellIs" dxfId="4" priority="548" operator="equal">
      <formula>"tibialis"</formula>
    </cfRule>
  </conditionalFormatting>
  <conditionalFormatting sqref="A71:D84">
    <cfRule type="expression" dxfId="0" priority="549">
      <formula>$Z71="Excluded"</formula>
    </cfRule>
  </conditionalFormatting>
  <conditionalFormatting sqref="D71:D84">
    <cfRule type="cellIs" dxfId="1" priority="550" operator="equal">
      <formula>"patellar"</formula>
    </cfRule>
  </conditionalFormatting>
  <conditionalFormatting sqref="D71:D84">
    <cfRule type="cellIs" dxfId="2" priority="551" operator="equal">
      <formula>"hamstring"</formula>
    </cfRule>
  </conditionalFormatting>
  <conditionalFormatting sqref="D71:D84">
    <cfRule type="cellIs" dxfId="3" priority="552" operator="equal">
      <formula>"quadriceps"</formula>
    </cfRule>
  </conditionalFormatting>
  <conditionalFormatting sqref="D71:D84">
    <cfRule type="cellIs" dxfId="4" priority="553" operator="equal">
      <formula>"tibialis"</formula>
    </cfRule>
  </conditionalFormatting>
  <conditionalFormatting sqref="A67:D70">
    <cfRule type="expression" dxfId="0" priority="554">
      <formula>$Z67="Excluded"</formula>
    </cfRule>
  </conditionalFormatting>
  <conditionalFormatting sqref="D67:D70">
    <cfRule type="cellIs" dxfId="1" priority="555" operator="equal">
      <formula>"patellar"</formula>
    </cfRule>
  </conditionalFormatting>
  <conditionalFormatting sqref="D67:D70">
    <cfRule type="cellIs" dxfId="2" priority="556" operator="equal">
      <formula>"hamstring"</formula>
    </cfRule>
  </conditionalFormatting>
  <conditionalFormatting sqref="D67:D70">
    <cfRule type="cellIs" dxfId="3" priority="557" operator="equal">
      <formula>"quadriceps"</formula>
    </cfRule>
  </conditionalFormatting>
  <conditionalFormatting sqref="D67:D70">
    <cfRule type="cellIs" dxfId="4" priority="558" operator="equal">
      <formula>"tibialis"</formula>
    </cfRule>
  </conditionalFormatting>
  <conditionalFormatting sqref="A65:D66">
    <cfRule type="expression" dxfId="0" priority="559">
      <formula>$Z65="Excluded"</formula>
    </cfRule>
  </conditionalFormatting>
  <conditionalFormatting sqref="D65:D66">
    <cfRule type="cellIs" dxfId="1" priority="560" operator="equal">
      <formula>"patellar"</formula>
    </cfRule>
  </conditionalFormatting>
  <conditionalFormatting sqref="D65:D66">
    <cfRule type="cellIs" dxfId="2" priority="561" operator="equal">
      <formula>"hamstring"</formula>
    </cfRule>
  </conditionalFormatting>
  <conditionalFormatting sqref="D65:D66">
    <cfRule type="cellIs" dxfId="3" priority="562" operator="equal">
      <formula>"quadriceps"</formula>
    </cfRule>
  </conditionalFormatting>
  <conditionalFormatting sqref="D65:D66">
    <cfRule type="cellIs" dxfId="4" priority="563" operator="equal">
      <formula>"tibialis"</formula>
    </cfRule>
  </conditionalFormatting>
  <conditionalFormatting sqref="A63:D64">
    <cfRule type="expression" dxfId="0" priority="564">
      <formula>$Z63="Excluded"</formula>
    </cfRule>
  </conditionalFormatting>
  <conditionalFormatting sqref="D63:D64">
    <cfRule type="cellIs" dxfId="1" priority="565" operator="equal">
      <formula>"patellar"</formula>
    </cfRule>
  </conditionalFormatting>
  <conditionalFormatting sqref="D63:D64">
    <cfRule type="cellIs" dxfId="2" priority="566" operator="equal">
      <formula>"hamstring"</formula>
    </cfRule>
  </conditionalFormatting>
  <conditionalFormatting sqref="D63:D64">
    <cfRule type="cellIs" dxfId="3" priority="567" operator="equal">
      <formula>"quadriceps"</formula>
    </cfRule>
  </conditionalFormatting>
  <conditionalFormatting sqref="D63:D64">
    <cfRule type="cellIs" dxfId="4" priority="568" operator="equal">
      <formula>"tibialis"</formula>
    </cfRule>
  </conditionalFormatting>
  <conditionalFormatting sqref="A54:D62">
    <cfRule type="expression" dxfId="0" priority="569">
      <formula>$Z54="Excluded"</formula>
    </cfRule>
  </conditionalFormatting>
  <conditionalFormatting sqref="D54:D62">
    <cfRule type="cellIs" dxfId="1" priority="570" operator="equal">
      <formula>"patellar"</formula>
    </cfRule>
  </conditionalFormatting>
  <conditionalFormatting sqref="D54:D62">
    <cfRule type="cellIs" dxfId="2" priority="571" operator="equal">
      <formula>"hamstring"</formula>
    </cfRule>
  </conditionalFormatting>
  <conditionalFormatting sqref="D54:D62">
    <cfRule type="cellIs" dxfId="3" priority="572" operator="equal">
      <formula>"quadriceps"</formula>
    </cfRule>
  </conditionalFormatting>
  <conditionalFormatting sqref="D54:D62">
    <cfRule type="cellIs" dxfId="4" priority="573" operator="equal">
      <formula>"tibialis"</formula>
    </cfRule>
  </conditionalFormatting>
  <conditionalFormatting sqref="A49:D53">
    <cfRule type="expression" dxfId="0" priority="574">
      <formula>$Z49="Excluded"</formula>
    </cfRule>
  </conditionalFormatting>
  <conditionalFormatting sqref="D49:D53">
    <cfRule type="cellIs" dxfId="1" priority="575" operator="equal">
      <formula>"patellar"</formula>
    </cfRule>
  </conditionalFormatting>
  <conditionalFormatting sqref="D49:D53">
    <cfRule type="cellIs" dxfId="2" priority="576" operator="equal">
      <formula>"hamstring"</formula>
    </cfRule>
  </conditionalFormatting>
  <conditionalFormatting sqref="D49:D53">
    <cfRule type="cellIs" dxfId="3" priority="577" operator="equal">
      <formula>"quadriceps"</formula>
    </cfRule>
  </conditionalFormatting>
  <conditionalFormatting sqref="D49:D53">
    <cfRule type="cellIs" dxfId="4" priority="578" operator="equal">
      <formula>"tibialis"</formula>
    </cfRule>
  </conditionalFormatting>
  <conditionalFormatting sqref="A46:D48">
    <cfRule type="expression" dxfId="0" priority="579">
      <formula>$Z46="Excluded"</formula>
    </cfRule>
  </conditionalFormatting>
  <conditionalFormatting sqref="D46:D48">
    <cfRule type="cellIs" dxfId="1" priority="580" operator="equal">
      <formula>"patellar"</formula>
    </cfRule>
  </conditionalFormatting>
  <conditionalFormatting sqref="D46:D48">
    <cfRule type="cellIs" dxfId="2" priority="581" operator="equal">
      <formula>"hamstring"</formula>
    </cfRule>
  </conditionalFormatting>
  <conditionalFormatting sqref="D46:D48">
    <cfRule type="cellIs" dxfId="3" priority="582" operator="equal">
      <formula>"quadriceps"</formula>
    </cfRule>
  </conditionalFormatting>
  <conditionalFormatting sqref="D46:D48">
    <cfRule type="cellIs" dxfId="4" priority="583" operator="equal">
      <formula>"tibialis"</formula>
    </cfRule>
  </conditionalFormatting>
  <conditionalFormatting sqref="A41:D45">
    <cfRule type="expression" dxfId="0" priority="584">
      <formula>$Z41="Excluded"</formula>
    </cfRule>
  </conditionalFormatting>
  <conditionalFormatting sqref="D41:D45">
    <cfRule type="cellIs" dxfId="1" priority="585" operator="equal">
      <formula>"patellar"</formula>
    </cfRule>
  </conditionalFormatting>
  <conditionalFormatting sqref="D41:D45">
    <cfRule type="cellIs" dxfId="2" priority="586" operator="equal">
      <formula>"hamstring"</formula>
    </cfRule>
  </conditionalFormatting>
  <conditionalFormatting sqref="D41:D45">
    <cfRule type="cellIs" dxfId="3" priority="587" operator="equal">
      <formula>"quadriceps"</formula>
    </cfRule>
  </conditionalFormatting>
  <conditionalFormatting sqref="D41:D45">
    <cfRule type="cellIs" dxfId="4" priority="588" operator="equal">
      <formula>"tibialis"</formula>
    </cfRule>
  </conditionalFormatting>
  <conditionalFormatting sqref="A39:D40">
    <cfRule type="expression" dxfId="0" priority="589">
      <formula>$Z39="Excluded"</formula>
    </cfRule>
  </conditionalFormatting>
  <conditionalFormatting sqref="D39:D40">
    <cfRule type="cellIs" dxfId="1" priority="590" operator="equal">
      <formula>"patellar"</formula>
    </cfRule>
  </conditionalFormatting>
  <conditionalFormatting sqref="D39:D40">
    <cfRule type="cellIs" dxfId="2" priority="591" operator="equal">
      <formula>"hamstring"</formula>
    </cfRule>
  </conditionalFormatting>
  <conditionalFormatting sqref="D39:D40">
    <cfRule type="cellIs" dxfId="3" priority="592" operator="equal">
      <formula>"quadriceps"</formula>
    </cfRule>
  </conditionalFormatting>
  <conditionalFormatting sqref="D39:D40">
    <cfRule type="cellIs" dxfId="4" priority="593" operator="equal">
      <formula>"tibialis"</formula>
    </cfRule>
  </conditionalFormatting>
  <conditionalFormatting sqref="A30:D38">
    <cfRule type="expression" dxfId="0" priority="594">
      <formula>$Z30="Excluded"</formula>
    </cfRule>
  </conditionalFormatting>
  <conditionalFormatting sqref="D30:D38">
    <cfRule type="cellIs" dxfId="1" priority="595" operator="equal">
      <formula>"patellar"</formula>
    </cfRule>
  </conditionalFormatting>
  <conditionalFormatting sqref="D30:D38">
    <cfRule type="cellIs" dxfId="2" priority="596" operator="equal">
      <formula>"hamstring"</formula>
    </cfRule>
  </conditionalFormatting>
  <conditionalFormatting sqref="D30:D38">
    <cfRule type="cellIs" dxfId="3" priority="597" operator="equal">
      <formula>"quadriceps"</formula>
    </cfRule>
  </conditionalFormatting>
  <conditionalFormatting sqref="D30:D38">
    <cfRule type="cellIs" dxfId="4" priority="598" operator="equal">
      <formula>"tibialis"</formula>
    </cfRule>
  </conditionalFormatting>
  <conditionalFormatting sqref="A28:D29">
    <cfRule type="expression" dxfId="0" priority="599">
      <formula>$Z28="Excluded"</formula>
    </cfRule>
  </conditionalFormatting>
  <conditionalFormatting sqref="D28:D29">
    <cfRule type="cellIs" dxfId="1" priority="600" operator="equal">
      <formula>"patellar"</formula>
    </cfRule>
  </conditionalFormatting>
  <conditionalFormatting sqref="D28:D29">
    <cfRule type="cellIs" dxfId="2" priority="601" operator="equal">
      <formula>"hamstring"</formula>
    </cfRule>
  </conditionalFormatting>
  <conditionalFormatting sqref="D28:D29">
    <cfRule type="cellIs" dxfId="3" priority="602" operator="equal">
      <formula>"quadriceps"</formula>
    </cfRule>
  </conditionalFormatting>
  <conditionalFormatting sqref="D28:D29">
    <cfRule type="cellIs" dxfId="4" priority="603" operator="equal">
      <formula>"tibialis"</formula>
    </cfRule>
  </conditionalFormatting>
  <conditionalFormatting sqref="A18:D27">
    <cfRule type="expression" dxfId="0" priority="604">
      <formula>$Z18="Excluded"</formula>
    </cfRule>
  </conditionalFormatting>
  <conditionalFormatting sqref="D18:D27">
    <cfRule type="cellIs" dxfId="1" priority="605" operator="equal">
      <formula>"patellar"</formula>
    </cfRule>
  </conditionalFormatting>
  <conditionalFormatting sqref="D18:D27">
    <cfRule type="cellIs" dxfId="2" priority="606" operator="equal">
      <formula>"hamstring"</formula>
    </cfRule>
  </conditionalFormatting>
  <conditionalFormatting sqref="D18:D27">
    <cfRule type="cellIs" dxfId="3" priority="607" operator="equal">
      <formula>"quadriceps"</formula>
    </cfRule>
  </conditionalFormatting>
  <conditionalFormatting sqref="D18:D27">
    <cfRule type="cellIs" dxfId="4" priority="608" operator="equal">
      <formula>"tibialis"</formula>
    </cfRule>
  </conditionalFormatting>
  <conditionalFormatting sqref="A16:D17">
    <cfRule type="expression" dxfId="0" priority="609">
      <formula>$Z16="Excluded"</formula>
    </cfRule>
  </conditionalFormatting>
  <conditionalFormatting sqref="D16:D17">
    <cfRule type="cellIs" dxfId="1" priority="610" operator="equal">
      <formula>"patellar"</formula>
    </cfRule>
  </conditionalFormatting>
  <conditionalFormatting sqref="D16:D17">
    <cfRule type="cellIs" dxfId="2" priority="611" operator="equal">
      <formula>"hamstring"</formula>
    </cfRule>
  </conditionalFormatting>
  <conditionalFormatting sqref="D16:D17">
    <cfRule type="cellIs" dxfId="3" priority="612" operator="equal">
      <formula>"quadriceps"</formula>
    </cfRule>
  </conditionalFormatting>
  <conditionalFormatting sqref="D16:D17">
    <cfRule type="cellIs" dxfId="4" priority="613" operator="equal">
      <formula>"tibialis"</formula>
    </cfRule>
  </conditionalFormatting>
  <conditionalFormatting sqref="A13:D15">
    <cfRule type="expression" dxfId="0" priority="614">
      <formula>$Z13="Excluded"</formula>
    </cfRule>
  </conditionalFormatting>
  <conditionalFormatting sqref="D13:D15">
    <cfRule type="cellIs" dxfId="1" priority="615" operator="equal">
      <formula>"patellar"</formula>
    </cfRule>
  </conditionalFormatting>
  <conditionalFormatting sqref="D13:D15">
    <cfRule type="cellIs" dxfId="2" priority="616" operator="equal">
      <formula>"hamstring"</formula>
    </cfRule>
  </conditionalFormatting>
  <conditionalFormatting sqref="D13:D15">
    <cfRule type="cellIs" dxfId="3" priority="617" operator="equal">
      <formula>"quadriceps"</formula>
    </cfRule>
  </conditionalFormatting>
  <conditionalFormatting sqref="D13:D15">
    <cfRule type="cellIs" dxfId="4" priority="618" operator="equal">
      <formula>"tibialis"</formula>
    </cfRule>
  </conditionalFormatting>
  <conditionalFormatting sqref="A4:D4 A7:D12 A181 C181:D181">
    <cfRule type="expression" dxfId="0" priority="619">
      <formula>$Z4="Excluded"</formula>
    </cfRule>
  </conditionalFormatting>
  <conditionalFormatting sqref="D4 D7:D12 D181">
    <cfRule type="cellIs" dxfId="1" priority="620" operator="equal">
      <formula>"patellar"</formula>
    </cfRule>
  </conditionalFormatting>
  <conditionalFormatting sqref="D4 D7:D12 D181">
    <cfRule type="cellIs" dxfId="2" priority="621" operator="equal">
      <formula>"hamstring"</formula>
    </cfRule>
  </conditionalFormatting>
  <conditionalFormatting sqref="D4 D7:D12 D181">
    <cfRule type="cellIs" dxfId="3" priority="622" operator="equal">
      <formula>"quadriceps"</formula>
    </cfRule>
  </conditionalFormatting>
  <conditionalFormatting sqref="D4 D7:D12 D181">
    <cfRule type="cellIs" dxfId="4" priority="623" operator="equal">
      <formula>"tibialis"</formula>
    </cfRule>
  </conditionalFormatting>
  <conditionalFormatting sqref="A2:D123 A181 C181:D181">
    <cfRule type="expression" dxfId="0" priority="624">
      <formula>$Z2="Excluded"</formula>
    </cfRule>
  </conditionalFormatting>
  <conditionalFormatting sqref="D2:D123 D181">
    <cfRule type="cellIs" dxfId="1" priority="625" operator="equal">
      <formula>"patellar"</formula>
    </cfRule>
  </conditionalFormatting>
  <conditionalFormatting sqref="D2:D123 D181">
    <cfRule type="cellIs" dxfId="2" priority="626" operator="equal">
      <formula>"hamstring"</formula>
    </cfRule>
  </conditionalFormatting>
  <conditionalFormatting sqref="D2:D123 D181">
    <cfRule type="cellIs" dxfId="3" priority="627" operator="equal">
      <formula>"quadriceps"</formula>
    </cfRule>
  </conditionalFormatting>
  <conditionalFormatting sqref="D1:D123 D181">
    <cfRule type="cellIs" dxfId="4" priority="628" operator="equal">
      <formula>"tibialis"</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3.0"/>
    <col customWidth="1" min="2" max="2" width="24.25"/>
    <col customWidth="1" min="3" max="3" width="11.88"/>
    <col customWidth="1" min="4" max="4" width="4.5"/>
    <col customWidth="1" min="5" max="5" width="15.13"/>
    <col customWidth="1" min="6" max="6" width="13.75"/>
    <col customWidth="1" min="7" max="7" width="19.38"/>
    <col customWidth="1" min="8" max="8" width="7.0"/>
    <col customWidth="1" min="9" max="9" width="5.5"/>
    <col customWidth="1" min="10" max="10" width="11.13"/>
  </cols>
  <sheetData>
    <row r="1">
      <c r="A1" s="92" t="s">
        <v>0</v>
      </c>
      <c r="B1" s="93" t="s">
        <v>3</v>
      </c>
      <c r="C1" s="92" t="s">
        <v>4</v>
      </c>
      <c r="D1" s="94" t="s">
        <v>166</v>
      </c>
      <c r="E1" s="92" t="s">
        <v>372</v>
      </c>
      <c r="F1" s="92" t="s">
        <v>373</v>
      </c>
      <c r="G1" s="97" t="s">
        <v>374</v>
      </c>
      <c r="H1" s="92" t="s">
        <v>375</v>
      </c>
      <c r="I1" s="92" t="s">
        <v>376</v>
      </c>
      <c r="J1" s="97" t="s">
        <v>377</v>
      </c>
    </row>
    <row r="2">
      <c r="A2" s="94">
        <v>1.0</v>
      </c>
      <c r="B2" s="93" t="s">
        <v>1</v>
      </c>
      <c r="C2" s="94" t="s">
        <v>42</v>
      </c>
      <c r="D2" s="94">
        <v>20.0</v>
      </c>
      <c r="E2" s="94">
        <v>32.0</v>
      </c>
      <c r="F2" s="94">
        <v>35.0</v>
      </c>
      <c r="G2" s="94">
        <v>0.75</v>
      </c>
      <c r="H2" s="94">
        <v>36.0</v>
      </c>
      <c r="I2" s="94">
        <v>3.0</v>
      </c>
      <c r="J2" s="94" t="s">
        <v>378</v>
      </c>
    </row>
    <row r="3">
      <c r="A3" s="94">
        <v>1.0</v>
      </c>
      <c r="B3" s="93" t="s">
        <v>1</v>
      </c>
      <c r="C3" s="94" t="s">
        <v>84</v>
      </c>
      <c r="D3" s="94">
        <v>16.0</v>
      </c>
      <c r="E3" s="94">
        <v>28.0</v>
      </c>
      <c r="F3" s="94">
        <v>31.0</v>
      </c>
      <c r="G3" s="94">
        <v>0.75</v>
      </c>
      <c r="H3" s="94">
        <v>36.0</v>
      </c>
      <c r="I3" s="94">
        <v>3.0</v>
      </c>
      <c r="J3" s="94" t="s">
        <v>378</v>
      </c>
    </row>
    <row r="4">
      <c r="A4" s="94">
        <v>2.0</v>
      </c>
      <c r="B4" s="93" t="s">
        <v>11</v>
      </c>
      <c r="C4" s="94" t="s">
        <v>42</v>
      </c>
      <c r="D4" s="94">
        <v>60.0</v>
      </c>
      <c r="E4" s="94">
        <v>25.0</v>
      </c>
      <c r="F4" s="94">
        <v>27.0</v>
      </c>
      <c r="G4" s="94">
        <v>0.77</v>
      </c>
      <c r="H4" s="94">
        <v>24.0</v>
      </c>
      <c r="I4" s="94">
        <v>2.0</v>
      </c>
      <c r="J4" s="94" t="s">
        <v>379</v>
      </c>
    </row>
    <row r="5">
      <c r="A5" s="94">
        <v>2.0</v>
      </c>
      <c r="B5" s="93" t="s">
        <v>11</v>
      </c>
      <c r="C5" s="94" t="s">
        <v>84</v>
      </c>
      <c r="D5" s="94">
        <v>60.0</v>
      </c>
      <c r="E5" s="94">
        <v>25.0</v>
      </c>
      <c r="F5" s="94">
        <v>27.0</v>
      </c>
      <c r="G5" s="94">
        <v>0.77</v>
      </c>
      <c r="H5" s="94">
        <v>24.0</v>
      </c>
      <c r="I5" s="94">
        <v>2.0</v>
      </c>
      <c r="J5" s="94" t="s">
        <v>379</v>
      </c>
    </row>
    <row r="6">
      <c r="A6" s="94">
        <v>3.0</v>
      </c>
      <c r="B6" s="93" t="s">
        <v>16</v>
      </c>
      <c r="C6" s="94" t="s">
        <v>42</v>
      </c>
      <c r="D6" s="94">
        <v>22.0</v>
      </c>
      <c r="E6" s="94">
        <v>27.4</v>
      </c>
      <c r="F6" s="94">
        <v>34.9</v>
      </c>
      <c r="G6" s="94">
        <v>0.64</v>
      </c>
      <c r="H6" s="94">
        <v>90.3</v>
      </c>
      <c r="I6" s="94">
        <v>7.5</v>
      </c>
      <c r="J6" s="94" t="s">
        <v>378</v>
      </c>
    </row>
    <row r="7">
      <c r="A7" s="94">
        <v>3.0</v>
      </c>
      <c r="B7" s="93" t="s">
        <v>16</v>
      </c>
      <c r="C7" s="94" t="s">
        <v>84</v>
      </c>
      <c r="D7" s="94">
        <v>25.0</v>
      </c>
      <c r="E7" s="94">
        <v>28.6</v>
      </c>
      <c r="F7" s="94">
        <v>35.8</v>
      </c>
      <c r="G7" s="94">
        <v>0.72</v>
      </c>
      <c r="H7" s="94">
        <v>86.8</v>
      </c>
      <c r="I7" s="94">
        <v>7.2</v>
      </c>
      <c r="J7" s="94" t="s">
        <v>378</v>
      </c>
    </row>
    <row r="8">
      <c r="A8" s="94">
        <v>4.0</v>
      </c>
      <c r="B8" s="93" t="s">
        <v>22</v>
      </c>
      <c r="C8" s="94" t="s">
        <v>42</v>
      </c>
      <c r="D8" s="94">
        <v>35.0</v>
      </c>
      <c r="E8" s="94">
        <v>23.6</v>
      </c>
      <c r="F8" s="94">
        <v>26.5</v>
      </c>
      <c r="G8" s="94">
        <v>0.66</v>
      </c>
      <c r="H8" s="94">
        <v>34.6</v>
      </c>
      <c r="I8" s="94">
        <v>2.9</v>
      </c>
      <c r="J8" s="94" t="s">
        <v>378</v>
      </c>
    </row>
    <row r="9">
      <c r="A9" s="94">
        <v>4.0</v>
      </c>
      <c r="B9" s="93" t="s">
        <v>22</v>
      </c>
      <c r="C9" s="94" t="s">
        <v>192</v>
      </c>
      <c r="D9" s="94">
        <v>33.0</v>
      </c>
      <c r="E9" s="94">
        <v>22.0</v>
      </c>
      <c r="F9" s="94">
        <v>25.0</v>
      </c>
      <c r="G9" s="94">
        <v>0.67</v>
      </c>
      <c r="H9" s="94">
        <v>35.7</v>
      </c>
      <c r="I9" s="94">
        <v>3.0</v>
      </c>
      <c r="J9" s="94" t="s">
        <v>378</v>
      </c>
    </row>
    <row r="10">
      <c r="A10" s="94">
        <v>4.0</v>
      </c>
      <c r="B10" s="93" t="s">
        <v>22</v>
      </c>
      <c r="C10" s="94" t="s">
        <v>195</v>
      </c>
      <c r="D10" s="94">
        <v>35.0</v>
      </c>
      <c r="E10" s="94">
        <v>20.1</v>
      </c>
      <c r="F10" s="94">
        <v>23.1</v>
      </c>
      <c r="G10" s="94">
        <v>0.66</v>
      </c>
      <c r="H10" s="94">
        <v>35.9</v>
      </c>
      <c r="I10" s="94">
        <v>3.0</v>
      </c>
      <c r="J10" s="94" t="s">
        <v>378</v>
      </c>
    </row>
    <row r="11">
      <c r="A11" s="94">
        <v>4.0</v>
      </c>
      <c r="B11" s="93" t="s">
        <v>22</v>
      </c>
      <c r="C11" s="94" t="s">
        <v>84</v>
      </c>
      <c r="D11" s="94">
        <v>68.0</v>
      </c>
      <c r="E11" s="94">
        <v>21.0</v>
      </c>
      <c r="F11" s="94">
        <v>24.0</v>
      </c>
      <c r="G11" s="99">
        <v>0.66</v>
      </c>
      <c r="H11" s="94">
        <v>35.8</v>
      </c>
      <c r="I11" s="94">
        <v>3.0</v>
      </c>
      <c r="J11" s="94" t="s">
        <v>378</v>
      </c>
    </row>
    <row r="12">
      <c r="A12" s="94">
        <v>5.0</v>
      </c>
      <c r="B12" s="93" t="s">
        <v>26</v>
      </c>
      <c r="C12" s="94" t="s">
        <v>42</v>
      </c>
      <c r="D12" s="94">
        <v>10.0</v>
      </c>
      <c r="E12" s="94">
        <v>29.4</v>
      </c>
      <c r="F12" s="94">
        <v>30.4</v>
      </c>
      <c r="G12" s="94">
        <v>0.4</v>
      </c>
      <c r="H12" s="94">
        <v>12.0</v>
      </c>
      <c r="I12" s="94">
        <v>1.0</v>
      </c>
      <c r="J12" s="94" t="s">
        <v>380</v>
      </c>
    </row>
    <row r="13">
      <c r="A13" s="94">
        <v>5.0</v>
      </c>
      <c r="B13" s="93" t="s">
        <v>26</v>
      </c>
      <c r="C13" s="94" t="s">
        <v>84</v>
      </c>
      <c r="D13" s="94">
        <v>10.0</v>
      </c>
      <c r="E13" s="94">
        <v>27.6</v>
      </c>
      <c r="F13" s="94">
        <v>28.6</v>
      </c>
      <c r="G13" s="94">
        <v>0.3</v>
      </c>
      <c r="H13" s="94">
        <v>12.0</v>
      </c>
      <c r="I13" s="94">
        <v>1.0</v>
      </c>
      <c r="J13" s="94" t="s">
        <v>380</v>
      </c>
    </row>
    <row r="14">
      <c r="A14" s="94">
        <v>6.0</v>
      </c>
      <c r="B14" s="93" t="s">
        <v>30</v>
      </c>
      <c r="C14" s="94" t="s">
        <v>42</v>
      </c>
      <c r="D14" s="94">
        <v>35.0</v>
      </c>
      <c r="E14" s="94">
        <v>25.0</v>
      </c>
      <c r="F14" s="94">
        <v>27.0</v>
      </c>
      <c r="G14" s="94">
        <v>0.54</v>
      </c>
      <c r="H14" s="94">
        <v>24.0</v>
      </c>
      <c r="I14" s="94">
        <v>2.0</v>
      </c>
      <c r="J14" s="94" t="s">
        <v>379</v>
      </c>
    </row>
    <row r="15">
      <c r="A15" s="94">
        <v>6.0</v>
      </c>
      <c r="B15" s="93" t="s">
        <v>30</v>
      </c>
      <c r="C15" s="94" t="s">
        <v>84</v>
      </c>
      <c r="D15" s="94">
        <v>37.0</v>
      </c>
      <c r="E15" s="94">
        <v>27.0</v>
      </c>
      <c r="F15" s="94">
        <v>29.0</v>
      </c>
      <c r="G15" s="94">
        <v>0.57</v>
      </c>
      <c r="H15" s="94">
        <v>24.0</v>
      </c>
      <c r="I15" s="94">
        <v>2.0</v>
      </c>
      <c r="J15" s="94" t="s">
        <v>379</v>
      </c>
    </row>
    <row r="16">
      <c r="A16" s="94">
        <v>7.0</v>
      </c>
      <c r="B16" s="93" t="s">
        <v>32</v>
      </c>
      <c r="C16" s="94" t="s">
        <v>42</v>
      </c>
      <c r="D16" s="94">
        <v>78.0</v>
      </c>
      <c r="E16" s="94">
        <v>25.0</v>
      </c>
      <c r="F16" s="94">
        <v>33.0</v>
      </c>
      <c r="G16" s="94">
        <v>0.49</v>
      </c>
      <c r="H16" s="94">
        <v>96.0</v>
      </c>
      <c r="I16" s="94">
        <v>8.0</v>
      </c>
      <c r="J16" s="94" t="s">
        <v>378</v>
      </c>
    </row>
    <row r="17">
      <c r="A17" s="94">
        <v>7.0</v>
      </c>
      <c r="B17" s="93" t="s">
        <v>32</v>
      </c>
      <c r="C17" s="94" t="s">
        <v>84</v>
      </c>
      <c r="D17" s="94">
        <v>75.0</v>
      </c>
      <c r="E17" s="94">
        <v>27.0</v>
      </c>
      <c r="F17" s="94">
        <v>35.0</v>
      </c>
      <c r="G17" s="94">
        <v>0.68</v>
      </c>
      <c r="H17" s="94">
        <v>96.0</v>
      </c>
      <c r="I17" s="94">
        <v>8.0</v>
      </c>
      <c r="J17" s="94" t="s">
        <v>378</v>
      </c>
    </row>
    <row r="18">
      <c r="A18" s="94">
        <v>8.0</v>
      </c>
      <c r="B18" s="93" t="s">
        <v>35</v>
      </c>
      <c r="C18" s="94" t="s">
        <v>42</v>
      </c>
      <c r="D18" s="94">
        <v>30.0</v>
      </c>
      <c r="E18" s="94">
        <v>30.6</v>
      </c>
      <c r="F18" s="94">
        <v>40.8</v>
      </c>
      <c r="G18" s="94">
        <v>0.57</v>
      </c>
      <c r="H18" s="94">
        <v>122.4</v>
      </c>
      <c r="I18" s="94">
        <v>10.2</v>
      </c>
      <c r="J18" s="94" t="s">
        <v>378</v>
      </c>
    </row>
    <row r="19">
      <c r="A19" s="94">
        <v>8.0</v>
      </c>
      <c r="B19" s="93" t="s">
        <v>35</v>
      </c>
      <c r="C19" s="94" t="s">
        <v>200</v>
      </c>
      <c r="D19" s="94">
        <v>30.0</v>
      </c>
      <c r="E19" s="94">
        <v>30.5</v>
      </c>
      <c r="F19" s="94">
        <v>40.8</v>
      </c>
      <c r="G19" s="94">
        <v>0.57</v>
      </c>
      <c r="H19" s="94">
        <v>123.6</v>
      </c>
      <c r="I19" s="94">
        <v>10.3</v>
      </c>
      <c r="J19" s="94" t="s">
        <v>378</v>
      </c>
    </row>
    <row r="20">
      <c r="A20" s="94">
        <v>9.0</v>
      </c>
      <c r="B20" s="93" t="s">
        <v>37</v>
      </c>
      <c r="C20" s="94" t="s">
        <v>42</v>
      </c>
      <c r="D20" s="94">
        <v>28.0</v>
      </c>
      <c r="E20" s="94">
        <v>28.5</v>
      </c>
      <c r="F20" s="94">
        <v>31.5</v>
      </c>
      <c r="G20" s="94">
        <v>0.64</v>
      </c>
      <c r="H20" s="94">
        <v>36.0</v>
      </c>
      <c r="I20" s="94">
        <v>3.0</v>
      </c>
      <c r="J20" s="94" t="s">
        <v>378</v>
      </c>
    </row>
    <row r="21">
      <c r="A21" s="94">
        <v>9.0</v>
      </c>
      <c r="B21" s="93" t="s">
        <v>37</v>
      </c>
      <c r="C21" s="94" t="s">
        <v>84</v>
      </c>
      <c r="D21" s="94">
        <v>28.0</v>
      </c>
      <c r="E21" s="94">
        <v>29.9</v>
      </c>
      <c r="F21" s="94">
        <v>32.9</v>
      </c>
      <c r="G21" s="94">
        <v>0.46</v>
      </c>
      <c r="H21" s="94">
        <v>36.0</v>
      </c>
      <c r="I21" s="94">
        <v>3.0</v>
      </c>
      <c r="J21" s="94" t="s">
        <v>378</v>
      </c>
    </row>
    <row r="22">
      <c r="A22" s="94">
        <v>10.0</v>
      </c>
      <c r="B22" s="93" t="s">
        <v>39</v>
      </c>
      <c r="C22" s="94" t="s">
        <v>84</v>
      </c>
      <c r="D22" s="94">
        <v>62.0</v>
      </c>
      <c r="E22" s="94">
        <v>27.9</v>
      </c>
      <c r="F22" s="94">
        <v>30.4</v>
      </c>
      <c r="G22" s="94">
        <v>0.5</v>
      </c>
      <c r="H22" s="94">
        <v>30.3</v>
      </c>
      <c r="I22" s="94">
        <v>2.5</v>
      </c>
      <c r="J22" s="94" t="s">
        <v>378</v>
      </c>
    </row>
    <row r="23">
      <c r="A23" s="94">
        <v>10.0</v>
      </c>
      <c r="B23" s="93" t="s">
        <v>39</v>
      </c>
      <c r="C23" s="94" t="s">
        <v>186</v>
      </c>
      <c r="D23" s="94">
        <v>62.0</v>
      </c>
      <c r="E23" s="94">
        <v>29.1</v>
      </c>
      <c r="F23" s="94">
        <v>31.6</v>
      </c>
      <c r="G23" s="94">
        <v>0.55</v>
      </c>
      <c r="H23" s="94">
        <v>29.7</v>
      </c>
      <c r="I23" s="94">
        <v>2.5</v>
      </c>
      <c r="J23" s="94" t="s">
        <v>378</v>
      </c>
    </row>
    <row r="24">
      <c r="A24" s="94">
        <v>11.0</v>
      </c>
      <c r="B24" s="93" t="s">
        <v>43</v>
      </c>
      <c r="C24" s="94" t="s">
        <v>42</v>
      </c>
      <c r="D24" s="94">
        <v>61.0</v>
      </c>
      <c r="E24" s="94">
        <v>28.2</v>
      </c>
      <c r="F24" s="94">
        <v>45.1</v>
      </c>
      <c r="G24" s="94">
        <v>0.69</v>
      </c>
      <c r="H24" s="94">
        <v>202.6</v>
      </c>
      <c r="I24" s="94">
        <v>16.9</v>
      </c>
      <c r="J24" s="94" t="s">
        <v>378</v>
      </c>
    </row>
    <row r="25">
      <c r="A25" s="94">
        <v>11.0</v>
      </c>
      <c r="B25" s="93" t="s">
        <v>43</v>
      </c>
      <c r="C25" s="94" t="s">
        <v>84</v>
      </c>
      <c r="D25" s="94">
        <v>86.0</v>
      </c>
      <c r="E25" s="94">
        <v>26.8</v>
      </c>
      <c r="F25" s="94">
        <v>42.8</v>
      </c>
      <c r="G25" s="94">
        <v>0.62</v>
      </c>
      <c r="H25" s="94">
        <v>191.9</v>
      </c>
      <c r="I25" s="94">
        <v>16.0</v>
      </c>
      <c r="J25" s="94" t="s">
        <v>378</v>
      </c>
    </row>
    <row r="26">
      <c r="A26" s="94">
        <v>12.0</v>
      </c>
      <c r="B26" s="93" t="s">
        <v>45</v>
      </c>
      <c r="C26" s="94" t="s">
        <v>84</v>
      </c>
      <c r="D26" s="94">
        <v>48.0</v>
      </c>
      <c r="E26" s="94">
        <v>28.9</v>
      </c>
      <c r="F26" s="94">
        <v>38.9</v>
      </c>
      <c r="G26" s="94">
        <v>0.85</v>
      </c>
      <c r="H26" s="94">
        <v>120.0</v>
      </c>
      <c r="I26" s="94">
        <v>10.0</v>
      </c>
      <c r="J26" s="94" t="s">
        <v>378</v>
      </c>
    </row>
    <row r="27">
      <c r="A27" s="94">
        <v>12.0</v>
      </c>
      <c r="B27" s="93" t="s">
        <v>45</v>
      </c>
      <c r="C27" s="94" t="s">
        <v>205</v>
      </c>
      <c r="D27" s="94">
        <v>49.0</v>
      </c>
      <c r="E27" s="94">
        <v>29.2</v>
      </c>
      <c r="F27" s="94">
        <v>39.2</v>
      </c>
      <c r="G27" s="94">
        <v>0.88</v>
      </c>
      <c r="H27" s="94">
        <v>120.0</v>
      </c>
      <c r="I27" s="94">
        <v>10.0</v>
      </c>
      <c r="J27" s="94" t="s">
        <v>378</v>
      </c>
    </row>
    <row r="28">
      <c r="A28" s="94">
        <v>13.0</v>
      </c>
      <c r="B28" s="93" t="s">
        <v>47</v>
      </c>
      <c r="C28" s="94" t="s">
        <v>84</v>
      </c>
      <c r="D28" s="94">
        <v>30.0</v>
      </c>
      <c r="E28" s="94">
        <v>29.2</v>
      </c>
      <c r="F28" s="94">
        <v>34.2</v>
      </c>
      <c r="G28" s="94">
        <v>0.97</v>
      </c>
      <c r="H28" s="94">
        <v>60.0</v>
      </c>
      <c r="I28" s="94">
        <v>5.0</v>
      </c>
      <c r="J28" s="94" t="s">
        <v>378</v>
      </c>
    </row>
    <row r="29">
      <c r="A29" s="94">
        <v>13.0</v>
      </c>
      <c r="B29" s="93" t="s">
        <v>47</v>
      </c>
      <c r="C29" s="94" t="s">
        <v>186</v>
      </c>
      <c r="D29" s="94">
        <v>30.0</v>
      </c>
      <c r="E29" s="94">
        <v>27.7</v>
      </c>
      <c r="F29" s="94">
        <v>32.7</v>
      </c>
      <c r="G29" s="94">
        <v>1.0</v>
      </c>
      <c r="H29" s="94">
        <v>60.0</v>
      </c>
      <c r="I29" s="94">
        <v>5.0</v>
      </c>
      <c r="J29" s="94" t="s">
        <v>378</v>
      </c>
    </row>
    <row r="30">
      <c r="A30" s="94">
        <v>14.0</v>
      </c>
      <c r="B30" s="93" t="s">
        <v>52</v>
      </c>
      <c r="C30" s="94" t="s">
        <v>84</v>
      </c>
      <c r="D30" s="94">
        <v>55.0</v>
      </c>
      <c r="E30" s="94">
        <v>29.4</v>
      </c>
      <c r="F30" s="94">
        <v>31.4</v>
      </c>
      <c r="G30" s="94">
        <v>0.51</v>
      </c>
      <c r="H30" s="94">
        <v>24.0</v>
      </c>
      <c r="I30" s="94">
        <v>2.0</v>
      </c>
      <c r="J30" s="94" t="s">
        <v>379</v>
      </c>
    </row>
    <row r="31">
      <c r="A31" s="94">
        <v>14.0</v>
      </c>
      <c r="B31" s="93" t="s">
        <v>52</v>
      </c>
      <c r="C31" s="94" t="s">
        <v>200</v>
      </c>
      <c r="D31" s="94">
        <v>57.0</v>
      </c>
      <c r="E31" s="94">
        <v>28.1</v>
      </c>
      <c r="F31" s="94">
        <v>30.1</v>
      </c>
      <c r="G31" s="94">
        <v>0.49</v>
      </c>
      <c r="H31" s="94">
        <v>24.0</v>
      </c>
      <c r="I31" s="94">
        <v>2.0</v>
      </c>
      <c r="J31" s="94" t="s">
        <v>379</v>
      </c>
    </row>
    <row r="32">
      <c r="A32" s="94">
        <v>15.0</v>
      </c>
      <c r="B32" s="93" t="s">
        <v>56</v>
      </c>
      <c r="C32" s="94" t="s">
        <v>42</v>
      </c>
      <c r="D32" s="94">
        <v>32.0</v>
      </c>
      <c r="E32" s="94">
        <v>27.3</v>
      </c>
      <c r="F32" s="94">
        <v>29.3</v>
      </c>
      <c r="G32" s="94">
        <v>0.66</v>
      </c>
      <c r="H32" s="94">
        <v>24.0</v>
      </c>
      <c r="I32" s="94">
        <v>2.0</v>
      </c>
      <c r="J32" s="94" t="s">
        <v>379</v>
      </c>
    </row>
    <row r="33">
      <c r="A33" s="94">
        <v>15.0</v>
      </c>
      <c r="B33" s="93" t="s">
        <v>56</v>
      </c>
      <c r="C33" s="94" t="s">
        <v>84</v>
      </c>
      <c r="D33" s="94">
        <v>34.0</v>
      </c>
      <c r="E33" s="94">
        <v>30.8</v>
      </c>
      <c r="F33" s="94">
        <v>32.8</v>
      </c>
      <c r="G33" s="94">
        <v>0.74</v>
      </c>
      <c r="H33" s="94">
        <v>24.0</v>
      </c>
      <c r="I33" s="94">
        <v>2.0</v>
      </c>
      <c r="J33" s="94" t="s">
        <v>379</v>
      </c>
    </row>
    <row r="34">
      <c r="A34" s="94">
        <v>16.0</v>
      </c>
      <c r="B34" s="93" t="s">
        <v>58</v>
      </c>
      <c r="C34" s="94" t="s">
        <v>42</v>
      </c>
      <c r="D34" s="94">
        <v>59.0</v>
      </c>
      <c r="E34" s="94">
        <v>27.0</v>
      </c>
      <c r="F34" s="94">
        <v>27.6</v>
      </c>
      <c r="G34" s="94">
        <v>0.0</v>
      </c>
      <c r="H34" s="94">
        <v>6.7</v>
      </c>
      <c r="I34" s="94">
        <v>0.6</v>
      </c>
      <c r="J34" s="94" t="s">
        <v>380</v>
      </c>
    </row>
    <row r="35">
      <c r="A35" s="94">
        <v>16.0</v>
      </c>
      <c r="B35" s="93" t="s">
        <v>58</v>
      </c>
      <c r="C35" s="94" t="s">
        <v>84</v>
      </c>
      <c r="D35" s="94">
        <v>57.0</v>
      </c>
      <c r="E35" s="94">
        <v>27.0</v>
      </c>
      <c r="F35" s="94">
        <v>27.6</v>
      </c>
      <c r="G35" s="94">
        <v>0.0</v>
      </c>
      <c r="H35" s="94">
        <v>6.7</v>
      </c>
      <c r="I35" s="94">
        <v>0.6</v>
      </c>
      <c r="J35" s="94" t="s">
        <v>380</v>
      </c>
    </row>
    <row r="36">
      <c r="A36" s="94">
        <v>17.0</v>
      </c>
      <c r="B36" s="93" t="s">
        <v>60</v>
      </c>
      <c r="C36" s="94" t="s">
        <v>42</v>
      </c>
      <c r="D36" s="94">
        <v>31.0</v>
      </c>
      <c r="E36" s="94">
        <v>25.8</v>
      </c>
      <c r="F36" s="94">
        <v>28.8</v>
      </c>
      <c r="G36" s="94">
        <v>0.74</v>
      </c>
      <c r="H36" s="94">
        <v>36.0</v>
      </c>
      <c r="I36" s="94">
        <v>3.0</v>
      </c>
      <c r="J36" s="94" t="s">
        <v>378</v>
      </c>
    </row>
    <row r="37">
      <c r="A37" s="94">
        <v>17.0</v>
      </c>
      <c r="B37" s="93" t="s">
        <v>60</v>
      </c>
      <c r="C37" s="94" t="s">
        <v>84</v>
      </c>
      <c r="D37" s="94">
        <v>34.0</v>
      </c>
      <c r="E37" s="94">
        <v>26.3</v>
      </c>
      <c r="F37" s="94">
        <v>29.3</v>
      </c>
      <c r="G37" s="94">
        <v>0.71</v>
      </c>
      <c r="H37" s="94">
        <v>36.0</v>
      </c>
      <c r="I37" s="94">
        <v>3.0</v>
      </c>
      <c r="J37" s="94" t="s">
        <v>378</v>
      </c>
    </row>
    <row r="38">
      <c r="A38" s="94">
        <v>18.0</v>
      </c>
      <c r="B38" s="93" t="s">
        <v>62</v>
      </c>
      <c r="C38" s="94" t="s">
        <v>42</v>
      </c>
      <c r="D38" s="94">
        <v>41.0</v>
      </c>
      <c r="E38" s="94">
        <v>27.0</v>
      </c>
      <c r="F38" s="94">
        <v>27.0</v>
      </c>
      <c r="G38" s="99">
        <v>0.0</v>
      </c>
      <c r="H38" s="99"/>
      <c r="I38" s="94">
        <v>0.0</v>
      </c>
      <c r="J38" s="94" t="s">
        <v>380</v>
      </c>
    </row>
    <row r="39">
      <c r="A39" s="94">
        <v>18.0</v>
      </c>
      <c r="B39" s="93" t="s">
        <v>62</v>
      </c>
      <c r="C39" s="94" t="s">
        <v>84</v>
      </c>
      <c r="D39" s="94">
        <v>36.0</v>
      </c>
      <c r="E39" s="94">
        <v>27.0</v>
      </c>
      <c r="F39" s="94">
        <v>27.0</v>
      </c>
      <c r="G39" s="99">
        <v>0.0</v>
      </c>
      <c r="H39" s="99"/>
      <c r="I39" s="94">
        <v>0.0</v>
      </c>
      <c r="J39" s="94" t="s">
        <v>380</v>
      </c>
    </row>
    <row r="40">
      <c r="A40" s="94">
        <v>19.0</v>
      </c>
      <c r="B40" s="93" t="s">
        <v>65</v>
      </c>
      <c r="C40" s="94" t="s">
        <v>42</v>
      </c>
      <c r="D40" s="94">
        <v>31.0</v>
      </c>
      <c r="E40" s="94">
        <v>25.2</v>
      </c>
      <c r="F40" s="94">
        <v>27.2</v>
      </c>
      <c r="G40" s="94">
        <v>0.74</v>
      </c>
      <c r="H40" s="94">
        <v>24.0</v>
      </c>
      <c r="I40" s="94">
        <v>2.0</v>
      </c>
      <c r="J40" s="94" t="s">
        <v>379</v>
      </c>
    </row>
    <row r="41">
      <c r="A41" s="94">
        <v>19.0</v>
      </c>
      <c r="B41" s="93" t="s">
        <v>65</v>
      </c>
      <c r="C41" s="94" t="s">
        <v>84</v>
      </c>
      <c r="D41" s="94">
        <v>31.0</v>
      </c>
      <c r="E41" s="94">
        <v>24.6</v>
      </c>
      <c r="F41" s="94">
        <v>26.6</v>
      </c>
      <c r="G41" s="94">
        <v>0.61</v>
      </c>
      <c r="H41" s="94">
        <v>24.0</v>
      </c>
      <c r="I41" s="94">
        <v>2.0</v>
      </c>
      <c r="J41" s="94" t="s">
        <v>379</v>
      </c>
    </row>
    <row r="42">
      <c r="A42" s="94">
        <v>20.0</v>
      </c>
      <c r="B42" s="93" t="s">
        <v>67</v>
      </c>
      <c r="C42" s="94" t="s">
        <v>42</v>
      </c>
      <c r="D42" s="94">
        <v>40.0</v>
      </c>
      <c r="E42" s="99"/>
      <c r="F42" s="94">
        <v>5.1</v>
      </c>
      <c r="G42" s="99">
        <v>0.0</v>
      </c>
      <c r="H42" s="94">
        <v>60.6</v>
      </c>
      <c r="I42" s="94">
        <v>5.1</v>
      </c>
      <c r="J42" s="94" t="s">
        <v>378</v>
      </c>
    </row>
    <row r="43">
      <c r="A43" s="94">
        <v>20.0</v>
      </c>
      <c r="B43" s="93" t="s">
        <v>67</v>
      </c>
      <c r="C43" s="94" t="s">
        <v>84</v>
      </c>
      <c r="D43" s="94">
        <v>39.0</v>
      </c>
      <c r="E43" s="99"/>
      <c r="F43" s="94">
        <v>5.1</v>
      </c>
      <c r="G43" s="99">
        <v>0.0</v>
      </c>
      <c r="H43" s="94">
        <v>60.6</v>
      </c>
      <c r="I43" s="94">
        <v>5.1</v>
      </c>
      <c r="J43" s="94" t="s">
        <v>378</v>
      </c>
    </row>
    <row r="44">
      <c r="A44" s="94">
        <v>21.0</v>
      </c>
      <c r="B44" s="93" t="s">
        <v>69</v>
      </c>
      <c r="C44" s="94" t="s">
        <v>42</v>
      </c>
      <c r="D44" s="94">
        <v>34.0</v>
      </c>
      <c r="E44" s="94">
        <v>29.0</v>
      </c>
      <c r="F44" s="94">
        <v>31.1</v>
      </c>
      <c r="G44" s="94">
        <v>0.65</v>
      </c>
      <c r="H44" s="94">
        <v>24.7</v>
      </c>
      <c r="I44" s="94">
        <v>2.1</v>
      </c>
      <c r="J44" s="94" t="s">
        <v>378</v>
      </c>
    </row>
    <row r="45">
      <c r="A45" s="94">
        <v>21.0</v>
      </c>
      <c r="B45" s="93" t="s">
        <v>69</v>
      </c>
      <c r="C45" s="94" t="s">
        <v>84</v>
      </c>
      <c r="D45" s="94">
        <v>34.0</v>
      </c>
      <c r="E45" s="94">
        <v>30.0</v>
      </c>
      <c r="F45" s="94">
        <v>32.1</v>
      </c>
      <c r="G45" s="94">
        <v>0.41</v>
      </c>
      <c r="H45" s="94">
        <v>24.7</v>
      </c>
      <c r="I45" s="94">
        <v>2.1</v>
      </c>
      <c r="J45" s="94" t="s">
        <v>378</v>
      </c>
    </row>
    <row r="46">
      <c r="A46" s="94">
        <v>22.0</v>
      </c>
      <c r="B46" s="93" t="s">
        <v>71</v>
      </c>
      <c r="C46" s="94" t="s">
        <v>42</v>
      </c>
      <c r="D46" s="94">
        <v>28.0</v>
      </c>
      <c r="E46" s="94">
        <v>33.9</v>
      </c>
      <c r="F46" s="94">
        <v>34.8</v>
      </c>
      <c r="G46" s="94">
        <v>0.64</v>
      </c>
      <c r="H46" s="94">
        <v>10.2</v>
      </c>
      <c r="I46" s="94">
        <v>0.9</v>
      </c>
      <c r="J46" s="94" t="s">
        <v>380</v>
      </c>
    </row>
    <row r="47">
      <c r="A47" s="94">
        <v>22.0</v>
      </c>
      <c r="B47" s="93" t="s">
        <v>71</v>
      </c>
      <c r="C47" s="94" t="s">
        <v>84</v>
      </c>
      <c r="D47" s="94">
        <v>29.0</v>
      </c>
      <c r="E47" s="94">
        <v>37.9</v>
      </c>
      <c r="F47" s="94">
        <v>38.8</v>
      </c>
      <c r="G47" s="94">
        <v>0.52</v>
      </c>
      <c r="H47" s="94">
        <v>10.7</v>
      </c>
      <c r="I47" s="94">
        <v>0.9</v>
      </c>
      <c r="J47" s="94" t="s">
        <v>380</v>
      </c>
    </row>
    <row r="48">
      <c r="A48" s="94">
        <v>23.0</v>
      </c>
      <c r="B48" s="93" t="s">
        <v>73</v>
      </c>
      <c r="C48" s="94" t="s">
        <v>84</v>
      </c>
      <c r="D48" s="94">
        <v>27.0</v>
      </c>
      <c r="E48" s="94">
        <v>32.7</v>
      </c>
      <c r="F48" s="94">
        <v>34.7</v>
      </c>
      <c r="G48" s="94">
        <v>0.44</v>
      </c>
      <c r="H48" s="94">
        <v>24.0</v>
      </c>
      <c r="I48" s="94">
        <v>2.0</v>
      </c>
      <c r="J48" s="94" t="s">
        <v>379</v>
      </c>
    </row>
    <row r="49">
      <c r="A49" s="94">
        <v>23.0</v>
      </c>
      <c r="B49" s="93" t="s">
        <v>73</v>
      </c>
      <c r="C49" s="94" t="s">
        <v>200</v>
      </c>
      <c r="D49" s="94">
        <v>24.0</v>
      </c>
      <c r="E49" s="94">
        <v>24.1</v>
      </c>
      <c r="F49" s="94">
        <v>26.1</v>
      </c>
      <c r="G49" s="94">
        <v>0.88</v>
      </c>
      <c r="H49" s="94">
        <v>24.0</v>
      </c>
      <c r="I49" s="94">
        <v>2.0</v>
      </c>
      <c r="J49" s="94" t="s">
        <v>379</v>
      </c>
    </row>
    <row r="50">
      <c r="A50" s="94">
        <v>24.0</v>
      </c>
      <c r="B50" s="93" t="s">
        <v>75</v>
      </c>
      <c r="C50" s="94" t="s">
        <v>42</v>
      </c>
      <c r="D50" s="94">
        <v>40.0</v>
      </c>
      <c r="E50" s="94">
        <v>22.3</v>
      </c>
      <c r="F50" s="94">
        <v>29.1</v>
      </c>
      <c r="G50" s="94">
        <v>1.0</v>
      </c>
      <c r="H50" s="94">
        <v>81.0</v>
      </c>
      <c r="I50" s="94">
        <v>6.8</v>
      </c>
      <c r="J50" s="94" t="s">
        <v>378</v>
      </c>
    </row>
    <row r="51">
      <c r="A51" s="94">
        <v>24.0</v>
      </c>
      <c r="B51" s="93" t="s">
        <v>75</v>
      </c>
      <c r="C51" s="94" t="s">
        <v>84</v>
      </c>
      <c r="D51" s="94">
        <v>46.0</v>
      </c>
      <c r="E51" s="94">
        <v>22.3</v>
      </c>
      <c r="F51" s="94">
        <v>29.1</v>
      </c>
      <c r="G51" s="94">
        <v>1.0</v>
      </c>
      <c r="H51" s="94">
        <v>81.0</v>
      </c>
      <c r="I51" s="94">
        <v>6.8</v>
      </c>
      <c r="J51" s="94" t="s">
        <v>378</v>
      </c>
    </row>
    <row r="52">
      <c r="A52" s="94">
        <v>25.0</v>
      </c>
      <c r="B52" s="93" t="s">
        <v>77</v>
      </c>
      <c r="C52" s="94" t="s">
        <v>42</v>
      </c>
      <c r="D52" s="94">
        <v>10.0</v>
      </c>
      <c r="E52" s="94">
        <v>24.8</v>
      </c>
      <c r="F52" s="94">
        <v>25.6</v>
      </c>
      <c r="G52" s="94">
        <v>1.0</v>
      </c>
      <c r="H52" s="94">
        <v>9.0</v>
      </c>
      <c r="I52" s="94">
        <v>0.8</v>
      </c>
      <c r="J52" s="94" t="s">
        <v>380</v>
      </c>
    </row>
    <row r="53">
      <c r="A53" s="94">
        <v>25.0</v>
      </c>
      <c r="B53" s="93" t="s">
        <v>77</v>
      </c>
      <c r="C53" s="94" t="s">
        <v>84</v>
      </c>
      <c r="D53" s="94">
        <v>10.0</v>
      </c>
      <c r="E53" s="94">
        <v>26.7</v>
      </c>
      <c r="F53" s="94">
        <v>27.5</v>
      </c>
      <c r="G53" s="94">
        <v>1.0</v>
      </c>
      <c r="H53" s="94">
        <v>9.0</v>
      </c>
      <c r="I53" s="94">
        <v>0.8</v>
      </c>
      <c r="J53" s="94" t="s">
        <v>380</v>
      </c>
    </row>
    <row r="54">
      <c r="A54" s="94">
        <v>26.0</v>
      </c>
      <c r="B54" s="93" t="s">
        <v>79</v>
      </c>
      <c r="C54" s="94" t="s">
        <v>42</v>
      </c>
      <c r="D54" s="94">
        <v>43.0</v>
      </c>
      <c r="E54" s="99"/>
      <c r="F54" s="94">
        <v>1.8</v>
      </c>
      <c r="G54" s="94">
        <v>0.0</v>
      </c>
      <c r="H54" s="94">
        <v>21.0</v>
      </c>
      <c r="I54" s="94">
        <v>1.8</v>
      </c>
      <c r="J54" s="94" t="s">
        <v>379</v>
      </c>
    </row>
    <row r="55">
      <c r="A55" s="94">
        <v>26.0</v>
      </c>
      <c r="B55" s="93" t="s">
        <v>79</v>
      </c>
      <c r="C55" s="94" t="s">
        <v>84</v>
      </c>
      <c r="D55" s="94">
        <v>46.0</v>
      </c>
      <c r="E55" s="99"/>
      <c r="F55" s="94">
        <v>1.8</v>
      </c>
      <c r="G55" s="94">
        <v>0.0</v>
      </c>
      <c r="H55" s="94">
        <v>21.0</v>
      </c>
      <c r="I55" s="94">
        <v>1.8</v>
      </c>
      <c r="J55" s="94" t="s">
        <v>379</v>
      </c>
    </row>
    <row r="56">
      <c r="A56" s="94">
        <v>27.0</v>
      </c>
      <c r="B56" s="93" t="s">
        <v>82</v>
      </c>
      <c r="C56" s="94" t="s">
        <v>42</v>
      </c>
      <c r="D56" s="94">
        <v>74.0</v>
      </c>
      <c r="E56" s="94">
        <v>26.0</v>
      </c>
      <c r="F56" s="94">
        <v>28.0</v>
      </c>
      <c r="G56" s="94">
        <v>0.0</v>
      </c>
      <c r="H56" s="94">
        <v>24.0</v>
      </c>
      <c r="I56" s="94">
        <v>2.0</v>
      </c>
      <c r="J56" s="94" t="s">
        <v>379</v>
      </c>
    </row>
    <row r="57">
      <c r="A57" s="94">
        <v>27.0</v>
      </c>
      <c r="B57" s="93" t="s">
        <v>82</v>
      </c>
      <c r="C57" s="94" t="s">
        <v>84</v>
      </c>
      <c r="D57" s="94">
        <v>73.0</v>
      </c>
      <c r="E57" s="94">
        <v>26.0</v>
      </c>
      <c r="F57" s="94">
        <v>28.0</v>
      </c>
      <c r="G57" s="94">
        <v>0.0</v>
      </c>
      <c r="H57" s="94">
        <v>24.0</v>
      </c>
      <c r="I57" s="94">
        <v>2.0</v>
      </c>
      <c r="J57" s="94" t="s">
        <v>379</v>
      </c>
    </row>
    <row r="58">
      <c r="A58" s="94">
        <v>28.0</v>
      </c>
      <c r="B58" s="93" t="s">
        <v>85</v>
      </c>
      <c r="C58" s="94" t="s">
        <v>42</v>
      </c>
      <c r="D58" s="94">
        <v>36.0</v>
      </c>
      <c r="E58" s="94">
        <v>31.0</v>
      </c>
      <c r="F58" s="94">
        <v>33.3</v>
      </c>
      <c r="G58" s="99">
        <v>0.64</v>
      </c>
      <c r="H58" s="94">
        <v>28.0</v>
      </c>
      <c r="I58" s="94">
        <v>2.3</v>
      </c>
      <c r="J58" s="94" t="s">
        <v>378</v>
      </c>
    </row>
    <row r="59">
      <c r="A59" s="94">
        <v>28.0</v>
      </c>
      <c r="B59" s="93" t="s">
        <v>85</v>
      </c>
      <c r="C59" s="94" t="s">
        <v>200</v>
      </c>
      <c r="D59" s="94">
        <v>36.0</v>
      </c>
      <c r="E59" s="94">
        <v>29.8</v>
      </c>
      <c r="F59" s="94">
        <v>32.1</v>
      </c>
      <c r="G59" s="99">
        <v>0.58</v>
      </c>
      <c r="H59" s="94">
        <v>28.0</v>
      </c>
      <c r="I59" s="94">
        <v>2.3</v>
      </c>
      <c r="J59" s="94" t="s">
        <v>378</v>
      </c>
    </row>
    <row r="60">
      <c r="A60" s="94">
        <v>29.0</v>
      </c>
      <c r="B60" s="93" t="s">
        <v>88</v>
      </c>
      <c r="C60" s="94" t="s">
        <v>42</v>
      </c>
      <c r="D60" s="94">
        <v>31.0</v>
      </c>
      <c r="E60" s="94">
        <v>29.8</v>
      </c>
      <c r="F60" s="94">
        <v>39.8</v>
      </c>
      <c r="G60" s="94">
        <v>0.71</v>
      </c>
      <c r="H60" s="94">
        <v>120.0</v>
      </c>
      <c r="I60" s="94">
        <v>10.0</v>
      </c>
      <c r="J60" s="94" t="s">
        <v>378</v>
      </c>
    </row>
    <row r="61">
      <c r="A61" s="94">
        <v>29.0</v>
      </c>
      <c r="B61" s="93" t="s">
        <v>88</v>
      </c>
      <c r="C61" s="94" t="s">
        <v>84</v>
      </c>
      <c r="D61" s="94">
        <v>31.0</v>
      </c>
      <c r="E61" s="94">
        <v>29.8</v>
      </c>
      <c r="F61" s="94">
        <v>39.8</v>
      </c>
      <c r="G61" s="94">
        <v>0.74</v>
      </c>
      <c r="H61" s="94">
        <v>120.0</v>
      </c>
      <c r="I61" s="94">
        <v>10.0</v>
      </c>
      <c r="J61" s="94" t="s">
        <v>378</v>
      </c>
    </row>
    <row r="62">
      <c r="A62" s="94">
        <v>30.0</v>
      </c>
      <c r="B62" s="93" t="s">
        <v>90</v>
      </c>
      <c r="C62" s="94" t="s">
        <v>42</v>
      </c>
      <c r="D62" s="94">
        <v>15.0</v>
      </c>
      <c r="E62" s="94">
        <v>29.9</v>
      </c>
      <c r="F62" s="94">
        <v>31.5</v>
      </c>
      <c r="G62" s="99">
        <v>0.0</v>
      </c>
      <c r="H62" s="94">
        <v>19.0</v>
      </c>
      <c r="I62" s="94">
        <v>1.6</v>
      </c>
      <c r="J62" s="94" t="s">
        <v>379</v>
      </c>
    </row>
    <row r="63">
      <c r="A63" s="94">
        <v>30.0</v>
      </c>
      <c r="B63" s="93" t="s">
        <v>90</v>
      </c>
      <c r="C63" s="94" t="s">
        <v>84</v>
      </c>
      <c r="D63" s="94">
        <v>13.0</v>
      </c>
      <c r="E63" s="94">
        <v>28.7</v>
      </c>
      <c r="F63" s="94">
        <v>30.3</v>
      </c>
      <c r="G63" s="99">
        <v>0.0</v>
      </c>
      <c r="H63" s="94">
        <v>19.0</v>
      </c>
      <c r="I63" s="94">
        <v>1.6</v>
      </c>
      <c r="J63" s="94" t="s">
        <v>379</v>
      </c>
    </row>
    <row r="64">
      <c r="A64" s="94">
        <v>31.0</v>
      </c>
      <c r="B64" s="93" t="s">
        <v>91</v>
      </c>
      <c r="C64" s="94" t="s">
        <v>84</v>
      </c>
      <c r="D64" s="94">
        <v>44.0</v>
      </c>
      <c r="E64" s="94">
        <v>32.0</v>
      </c>
      <c r="F64" s="94">
        <v>32.0</v>
      </c>
      <c r="G64" s="94">
        <v>0.73</v>
      </c>
      <c r="H64" s="99"/>
      <c r="I64" s="94">
        <v>0.0</v>
      </c>
      <c r="J64" s="94" t="s">
        <v>380</v>
      </c>
    </row>
    <row r="65">
      <c r="A65" s="94">
        <v>31.0</v>
      </c>
      <c r="B65" s="93" t="s">
        <v>91</v>
      </c>
      <c r="C65" s="94" t="s">
        <v>205</v>
      </c>
      <c r="D65" s="94">
        <v>48.0</v>
      </c>
      <c r="E65" s="94">
        <v>33.0</v>
      </c>
      <c r="F65" s="94">
        <v>33.0</v>
      </c>
      <c r="G65" s="94">
        <v>0.79</v>
      </c>
      <c r="H65" s="99"/>
      <c r="I65" s="94">
        <v>0.0</v>
      </c>
      <c r="J65" s="94" t="s">
        <v>380</v>
      </c>
    </row>
    <row r="66">
      <c r="A66" s="94">
        <v>32.0</v>
      </c>
      <c r="B66" s="93" t="s">
        <v>93</v>
      </c>
      <c r="C66" s="94" t="s">
        <v>42</v>
      </c>
      <c r="D66" s="94">
        <v>40.0</v>
      </c>
      <c r="E66" s="94">
        <v>28.0</v>
      </c>
      <c r="F66" s="94">
        <v>28.0</v>
      </c>
      <c r="G66" s="99">
        <v>0.0</v>
      </c>
      <c r="H66" s="99"/>
      <c r="I66" s="94">
        <v>0.0</v>
      </c>
      <c r="J66" s="94" t="s">
        <v>380</v>
      </c>
    </row>
    <row r="67">
      <c r="A67" s="94">
        <v>32.0</v>
      </c>
      <c r="B67" s="93" t="s">
        <v>93</v>
      </c>
      <c r="C67" s="94" t="s">
        <v>84</v>
      </c>
      <c r="D67" s="94">
        <v>78.0</v>
      </c>
      <c r="E67" s="94">
        <v>25.0</v>
      </c>
      <c r="F67" s="94">
        <v>25.0</v>
      </c>
      <c r="G67" s="99">
        <v>0.0</v>
      </c>
      <c r="H67" s="99"/>
      <c r="I67" s="94">
        <v>0.0</v>
      </c>
      <c r="J67" s="94" t="s">
        <v>380</v>
      </c>
    </row>
    <row r="68">
      <c r="A68" s="94">
        <v>33.0</v>
      </c>
      <c r="B68" s="93" t="s">
        <v>96</v>
      </c>
      <c r="C68" s="94" t="s">
        <v>84</v>
      </c>
      <c r="D68" s="94">
        <v>32.0</v>
      </c>
      <c r="E68" s="94">
        <v>29.8</v>
      </c>
      <c r="F68" s="94">
        <v>35.6</v>
      </c>
      <c r="G68" s="94">
        <v>0.53</v>
      </c>
      <c r="H68" s="94">
        <v>69.6</v>
      </c>
      <c r="I68" s="94">
        <v>5.8</v>
      </c>
      <c r="J68" s="94" t="s">
        <v>378</v>
      </c>
    </row>
    <row r="69">
      <c r="A69" s="94">
        <v>33.0</v>
      </c>
      <c r="B69" s="93" t="s">
        <v>96</v>
      </c>
      <c r="C69" s="94" t="s">
        <v>205</v>
      </c>
      <c r="D69" s="94">
        <v>32.0</v>
      </c>
      <c r="E69" s="94">
        <v>30.5</v>
      </c>
      <c r="F69" s="94">
        <v>36.6</v>
      </c>
      <c r="G69" s="94">
        <v>0.47</v>
      </c>
      <c r="H69" s="94">
        <v>73.2</v>
      </c>
      <c r="I69" s="94">
        <v>6.1</v>
      </c>
      <c r="J69" s="94" t="s">
        <v>378</v>
      </c>
    </row>
    <row r="70">
      <c r="A70" s="94">
        <v>34.0</v>
      </c>
      <c r="B70" s="93" t="s">
        <v>98</v>
      </c>
      <c r="C70" s="94" t="s">
        <v>42</v>
      </c>
      <c r="D70" s="94">
        <v>30.0</v>
      </c>
      <c r="E70" s="94">
        <v>28.0</v>
      </c>
      <c r="F70" s="94">
        <v>28.0</v>
      </c>
      <c r="G70" s="94">
        <v>0.77</v>
      </c>
      <c r="H70" s="99"/>
      <c r="I70" s="94">
        <v>0.0</v>
      </c>
      <c r="J70" s="94" t="s">
        <v>380</v>
      </c>
    </row>
    <row r="71">
      <c r="A71" s="94">
        <v>34.0</v>
      </c>
      <c r="B71" s="93" t="s">
        <v>98</v>
      </c>
      <c r="C71" s="94" t="s">
        <v>84</v>
      </c>
      <c r="D71" s="94">
        <v>32.0</v>
      </c>
      <c r="E71" s="94">
        <v>29.0</v>
      </c>
      <c r="F71" s="94">
        <v>29.0</v>
      </c>
      <c r="G71" s="94">
        <v>0.81</v>
      </c>
      <c r="H71" s="99"/>
      <c r="I71" s="94">
        <v>0.0</v>
      </c>
      <c r="J71" s="94" t="s">
        <v>380</v>
      </c>
    </row>
    <row r="72">
      <c r="A72" s="94">
        <v>35.0</v>
      </c>
      <c r="B72" s="93" t="s">
        <v>102</v>
      </c>
      <c r="C72" s="94" t="s">
        <v>84</v>
      </c>
      <c r="D72" s="94">
        <v>49.0</v>
      </c>
      <c r="E72" s="94">
        <v>27.1</v>
      </c>
      <c r="F72" s="94">
        <v>29.1</v>
      </c>
      <c r="G72" s="94">
        <v>0.51</v>
      </c>
      <c r="H72" s="94">
        <v>24.0</v>
      </c>
      <c r="I72" s="94">
        <v>2.0</v>
      </c>
      <c r="J72" s="94" t="s">
        <v>379</v>
      </c>
    </row>
    <row r="73">
      <c r="A73" s="94">
        <v>35.0</v>
      </c>
      <c r="B73" s="93" t="s">
        <v>102</v>
      </c>
      <c r="C73" s="94" t="s">
        <v>200</v>
      </c>
      <c r="D73" s="94">
        <v>47.0</v>
      </c>
      <c r="E73" s="94">
        <v>27.2</v>
      </c>
      <c r="F73" s="94">
        <v>29.2</v>
      </c>
      <c r="G73" s="94">
        <v>0.62</v>
      </c>
      <c r="H73" s="94">
        <v>24.0</v>
      </c>
      <c r="I73" s="94">
        <v>2.0</v>
      </c>
      <c r="J73" s="94" t="s">
        <v>379</v>
      </c>
    </row>
    <row r="74">
      <c r="A74" s="94">
        <v>36.0</v>
      </c>
      <c r="B74" s="93" t="s">
        <v>104</v>
      </c>
      <c r="C74" s="94" t="s">
        <v>42</v>
      </c>
      <c r="D74" s="94">
        <v>19.0</v>
      </c>
      <c r="E74" s="94">
        <v>52.8</v>
      </c>
      <c r="F74" s="94">
        <v>72.8</v>
      </c>
      <c r="G74" s="94">
        <v>0.0</v>
      </c>
      <c r="H74" s="94">
        <v>240.0</v>
      </c>
      <c r="I74" s="94">
        <v>20.0</v>
      </c>
      <c r="J74" s="94" t="s">
        <v>378</v>
      </c>
    </row>
    <row r="75">
      <c r="A75" s="94">
        <v>36.0</v>
      </c>
      <c r="B75" s="93" t="s">
        <v>104</v>
      </c>
      <c r="C75" s="94" t="s">
        <v>84</v>
      </c>
      <c r="D75" s="94">
        <v>20.0</v>
      </c>
      <c r="E75" s="94">
        <v>54.5</v>
      </c>
      <c r="F75" s="94">
        <v>74.5</v>
      </c>
      <c r="G75" s="99">
        <v>0.0</v>
      </c>
      <c r="H75" s="94">
        <v>240.0</v>
      </c>
      <c r="I75" s="94">
        <v>20.0</v>
      </c>
      <c r="J75" s="94" t="s">
        <v>378</v>
      </c>
    </row>
    <row r="76">
      <c r="A76" s="94">
        <v>37.0</v>
      </c>
      <c r="B76" s="93" t="s">
        <v>106</v>
      </c>
      <c r="C76" s="94" t="s">
        <v>42</v>
      </c>
      <c r="D76" s="94">
        <v>14.0</v>
      </c>
      <c r="E76" s="94">
        <v>26.5</v>
      </c>
      <c r="F76" s="94">
        <v>27.5</v>
      </c>
      <c r="G76" s="94">
        <v>1.0</v>
      </c>
      <c r="H76" s="94">
        <v>12.0</v>
      </c>
      <c r="I76" s="94">
        <v>1.0</v>
      </c>
      <c r="J76" s="94" t="s">
        <v>380</v>
      </c>
    </row>
    <row r="77">
      <c r="A77" s="94">
        <v>37.0</v>
      </c>
      <c r="B77" s="93" t="s">
        <v>106</v>
      </c>
      <c r="C77" s="94" t="s">
        <v>238</v>
      </c>
      <c r="D77" s="94">
        <v>21.0</v>
      </c>
      <c r="E77" s="94">
        <v>23.2</v>
      </c>
      <c r="F77" s="94">
        <v>24.2</v>
      </c>
      <c r="G77" s="94">
        <v>1.0</v>
      </c>
      <c r="H77" s="94">
        <v>12.0</v>
      </c>
      <c r="I77" s="94">
        <v>1.0</v>
      </c>
      <c r="J77" s="94" t="s">
        <v>380</v>
      </c>
    </row>
    <row r="78">
      <c r="A78" s="94">
        <v>38.0</v>
      </c>
      <c r="B78" s="93" t="s">
        <v>106</v>
      </c>
      <c r="C78" s="94" t="s">
        <v>239</v>
      </c>
      <c r="D78" s="94">
        <v>17.0</v>
      </c>
      <c r="E78" s="94">
        <v>26.4</v>
      </c>
      <c r="F78" s="94">
        <v>27.4</v>
      </c>
      <c r="G78" s="94">
        <v>1.0</v>
      </c>
      <c r="H78" s="94">
        <v>12.0</v>
      </c>
      <c r="I78" s="94">
        <v>1.0</v>
      </c>
      <c r="J78" s="94" t="s">
        <v>380</v>
      </c>
    </row>
    <row r="79">
      <c r="A79" s="94">
        <v>38.0</v>
      </c>
      <c r="B79" s="93" t="s">
        <v>106</v>
      </c>
      <c r="C79" s="94" t="s">
        <v>84</v>
      </c>
      <c r="D79" s="94">
        <v>38.0</v>
      </c>
      <c r="E79" s="94">
        <v>24.6</v>
      </c>
      <c r="F79" s="94">
        <v>25.6</v>
      </c>
      <c r="G79" s="94">
        <v>1.0</v>
      </c>
      <c r="H79" s="94">
        <v>12.0</v>
      </c>
      <c r="I79" s="94">
        <v>1.0</v>
      </c>
      <c r="J79" s="94" t="s">
        <v>380</v>
      </c>
    </row>
    <row r="80">
      <c r="A80" s="94">
        <v>39.0</v>
      </c>
      <c r="B80" s="93" t="s">
        <v>110</v>
      </c>
      <c r="C80" s="94" t="s">
        <v>42</v>
      </c>
      <c r="D80" s="94">
        <v>18.0</v>
      </c>
      <c r="E80" s="94">
        <v>31.0</v>
      </c>
      <c r="F80" s="94">
        <v>33.0</v>
      </c>
      <c r="G80" s="94">
        <v>0.83</v>
      </c>
      <c r="H80" s="94">
        <v>24.0</v>
      </c>
      <c r="I80" s="94">
        <v>2.0</v>
      </c>
      <c r="J80" s="94" t="s">
        <v>379</v>
      </c>
    </row>
    <row r="81">
      <c r="A81" s="94">
        <v>39.0</v>
      </c>
      <c r="B81" s="93" t="s">
        <v>110</v>
      </c>
      <c r="C81" s="94" t="s">
        <v>200</v>
      </c>
      <c r="D81" s="94">
        <v>21.0</v>
      </c>
      <c r="E81" s="94">
        <v>30.0</v>
      </c>
      <c r="F81" s="94">
        <v>32.0</v>
      </c>
      <c r="G81" s="94">
        <v>0.81</v>
      </c>
      <c r="H81" s="94">
        <v>24.0</v>
      </c>
      <c r="I81" s="94">
        <v>2.0</v>
      </c>
      <c r="J81" s="94" t="s">
        <v>379</v>
      </c>
    </row>
    <row r="82">
      <c r="A82" s="94">
        <v>40.0</v>
      </c>
      <c r="B82" s="93" t="s">
        <v>112</v>
      </c>
      <c r="C82" s="94" t="s">
        <v>84</v>
      </c>
      <c r="D82" s="94">
        <v>25.0</v>
      </c>
      <c r="E82" s="94">
        <v>28.1</v>
      </c>
      <c r="F82" s="94">
        <v>28.6</v>
      </c>
      <c r="G82" s="94">
        <v>0.72</v>
      </c>
      <c r="H82" s="94">
        <v>6.0</v>
      </c>
      <c r="I82" s="94">
        <v>0.5</v>
      </c>
      <c r="J82" s="94" t="s">
        <v>380</v>
      </c>
    </row>
    <row r="83">
      <c r="A83" s="94">
        <v>40.0</v>
      </c>
      <c r="B83" s="93" t="s">
        <v>112</v>
      </c>
      <c r="C83" s="94" t="s">
        <v>186</v>
      </c>
      <c r="D83" s="94">
        <v>25.0</v>
      </c>
      <c r="E83" s="94">
        <v>27.8</v>
      </c>
      <c r="F83" s="94">
        <v>28.3</v>
      </c>
      <c r="G83" s="94">
        <v>0.68</v>
      </c>
      <c r="H83" s="94">
        <v>6.0</v>
      </c>
      <c r="I83" s="94">
        <v>0.5</v>
      </c>
      <c r="J83" s="94" t="s">
        <v>380</v>
      </c>
    </row>
    <row r="84">
      <c r="A84" s="94">
        <v>41.0</v>
      </c>
      <c r="B84" s="93" t="s">
        <v>114</v>
      </c>
      <c r="C84" s="94" t="s">
        <v>42</v>
      </c>
      <c r="D84" s="94">
        <v>37.0</v>
      </c>
      <c r="E84" s="94">
        <v>23.7</v>
      </c>
      <c r="F84" s="94">
        <v>31.0</v>
      </c>
      <c r="G84" s="94">
        <v>0.57</v>
      </c>
      <c r="H84" s="94">
        <v>87.0</v>
      </c>
      <c r="I84" s="94">
        <v>7.3</v>
      </c>
      <c r="J84" s="94" t="s">
        <v>378</v>
      </c>
    </row>
    <row r="85">
      <c r="A85" s="94">
        <v>41.0</v>
      </c>
      <c r="B85" s="93" t="s">
        <v>114</v>
      </c>
      <c r="C85" s="94" t="s">
        <v>84</v>
      </c>
      <c r="D85" s="94">
        <v>35.0</v>
      </c>
      <c r="E85" s="94">
        <v>24.4</v>
      </c>
      <c r="F85" s="94">
        <v>31.1</v>
      </c>
      <c r="G85" s="94">
        <v>0.57</v>
      </c>
      <c r="H85" s="94">
        <v>80.7</v>
      </c>
      <c r="I85" s="94">
        <v>6.7</v>
      </c>
      <c r="J85" s="94" t="s">
        <v>378</v>
      </c>
    </row>
    <row r="86">
      <c r="A86" s="94">
        <v>42.0</v>
      </c>
      <c r="B86" s="93" t="s">
        <v>116</v>
      </c>
      <c r="C86" s="94" t="s">
        <v>42</v>
      </c>
      <c r="D86" s="94">
        <v>110.0</v>
      </c>
      <c r="E86" s="94">
        <v>28.7</v>
      </c>
      <c r="F86" s="94">
        <v>30.7</v>
      </c>
      <c r="G86" s="94">
        <v>0.57</v>
      </c>
      <c r="H86" s="94">
        <v>24.0</v>
      </c>
      <c r="I86" s="94">
        <v>2.0</v>
      </c>
      <c r="J86" s="94" t="s">
        <v>379</v>
      </c>
    </row>
    <row r="87">
      <c r="A87" s="94">
        <v>42.0</v>
      </c>
      <c r="B87" s="93" t="s">
        <v>116</v>
      </c>
      <c r="C87" s="94" t="s">
        <v>243</v>
      </c>
      <c r="D87" s="94">
        <v>110.0</v>
      </c>
      <c r="E87" s="94">
        <v>28.3</v>
      </c>
      <c r="F87" s="94">
        <v>30.3</v>
      </c>
      <c r="G87" s="94">
        <v>0.55</v>
      </c>
      <c r="H87" s="94">
        <v>24.0</v>
      </c>
      <c r="I87" s="94">
        <v>2.0</v>
      </c>
      <c r="J87" s="94" t="s">
        <v>379</v>
      </c>
    </row>
    <row r="88">
      <c r="A88" s="94">
        <v>43.0</v>
      </c>
      <c r="B88" s="93" t="s">
        <v>116</v>
      </c>
      <c r="C88" s="94" t="s">
        <v>239</v>
      </c>
      <c r="D88" s="94">
        <v>110.0</v>
      </c>
      <c r="E88" s="94">
        <v>28.5</v>
      </c>
      <c r="F88" s="94">
        <v>30.5</v>
      </c>
      <c r="G88" s="94">
        <v>0.54</v>
      </c>
      <c r="H88" s="94">
        <v>24.0</v>
      </c>
      <c r="I88" s="94">
        <v>2.0</v>
      </c>
      <c r="J88" s="94" t="s">
        <v>379</v>
      </c>
    </row>
    <row r="89">
      <c r="A89" s="94">
        <v>43.0</v>
      </c>
      <c r="B89" s="93" t="s">
        <v>116</v>
      </c>
      <c r="C89" s="94" t="s">
        <v>84</v>
      </c>
      <c r="D89" s="94">
        <v>220.0</v>
      </c>
      <c r="E89" s="94">
        <v>28.4</v>
      </c>
      <c r="F89" s="94">
        <v>30.4</v>
      </c>
      <c r="G89" s="94">
        <v>0.55</v>
      </c>
      <c r="H89" s="94">
        <v>24.0</v>
      </c>
      <c r="I89" s="94">
        <v>2.0</v>
      </c>
      <c r="J89" s="94" t="s">
        <v>379</v>
      </c>
    </row>
    <row r="90">
      <c r="A90" s="94">
        <v>44.0</v>
      </c>
      <c r="B90" s="93" t="s">
        <v>119</v>
      </c>
      <c r="C90" s="94" t="s">
        <v>42</v>
      </c>
      <c r="D90" s="94">
        <v>6.0</v>
      </c>
      <c r="E90" s="94">
        <v>23.0</v>
      </c>
      <c r="F90" s="94">
        <v>24.8</v>
      </c>
      <c r="G90" s="94">
        <v>1.0</v>
      </c>
      <c r="H90" s="94">
        <v>21.0</v>
      </c>
      <c r="I90" s="94">
        <v>1.8</v>
      </c>
      <c r="J90" s="94" t="s">
        <v>379</v>
      </c>
    </row>
    <row r="91">
      <c r="A91" s="94">
        <v>44.0</v>
      </c>
      <c r="B91" s="93" t="s">
        <v>119</v>
      </c>
      <c r="C91" s="94" t="s">
        <v>84</v>
      </c>
      <c r="D91" s="94">
        <v>6.0</v>
      </c>
      <c r="E91" s="94">
        <v>24.0</v>
      </c>
      <c r="F91" s="94">
        <v>26.1</v>
      </c>
      <c r="G91" s="94">
        <v>1.0</v>
      </c>
      <c r="H91" s="94">
        <v>25.0</v>
      </c>
      <c r="I91" s="94">
        <v>2.1</v>
      </c>
      <c r="J91" s="94" t="s">
        <v>378</v>
      </c>
    </row>
    <row r="92">
      <c r="A92" s="94">
        <v>45.0</v>
      </c>
      <c r="B92" s="93" t="s">
        <v>121</v>
      </c>
      <c r="C92" s="94" t="s">
        <v>84</v>
      </c>
      <c r="D92" s="94">
        <v>33.0</v>
      </c>
      <c r="E92" s="94">
        <v>25.8</v>
      </c>
      <c r="F92" s="94">
        <v>28.1</v>
      </c>
      <c r="G92" s="94">
        <v>0.91</v>
      </c>
      <c r="H92" s="94">
        <v>28.1</v>
      </c>
      <c r="I92" s="94">
        <v>2.3</v>
      </c>
      <c r="J92" s="94" t="s">
        <v>378</v>
      </c>
    </row>
    <row r="93">
      <c r="A93" s="94">
        <v>45.0</v>
      </c>
      <c r="B93" s="93" t="s">
        <v>121</v>
      </c>
      <c r="C93" s="94" t="s">
        <v>246</v>
      </c>
      <c r="D93" s="94">
        <v>32.0</v>
      </c>
      <c r="E93" s="94">
        <v>25.6</v>
      </c>
      <c r="F93" s="94">
        <v>28.2</v>
      </c>
      <c r="G93" s="94">
        <v>0.81</v>
      </c>
      <c r="H93" s="94">
        <v>31.6</v>
      </c>
      <c r="I93" s="94">
        <v>2.6</v>
      </c>
      <c r="J93" s="94" t="s">
        <v>378</v>
      </c>
    </row>
    <row r="94">
      <c r="A94" s="94">
        <v>46.0</v>
      </c>
      <c r="B94" s="93" t="s">
        <v>123</v>
      </c>
      <c r="C94" s="94" t="s">
        <v>42</v>
      </c>
      <c r="D94" s="94">
        <v>20.0</v>
      </c>
      <c r="E94" s="94">
        <v>24.7</v>
      </c>
      <c r="F94" s="94">
        <v>25.2</v>
      </c>
      <c r="G94" s="94">
        <v>0.0</v>
      </c>
      <c r="H94" s="94">
        <v>6.0</v>
      </c>
      <c r="I94" s="94">
        <v>0.5</v>
      </c>
      <c r="J94" s="94" t="s">
        <v>380</v>
      </c>
    </row>
    <row r="95">
      <c r="A95" s="94">
        <v>46.0</v>
      </c>
      <c r="B95" s="93" t="s">
        <v>123</v>
      </c>
      <c r="C95" s="94" t="s">
        <v>84</v>
      </c>
      <c r="D95" s="94">
        <v>20.0</v>
      </c>
      <c r="E95" s="94">
        <v>25.4</v>
      </c>
      <c r="F95" s="94">
        <v>25.9</v>
      </c>
      <c r="G95" s="94">
        <v>0.0</v>
      </c>
      <c r="H95" s="94">
        <v>6.0</v>
      </c>
      <c r="I95" s="94">
        <v>0.5</v>
      </c>
      <c r="J95" s="94" t="s">
        <v>380</v>
      </c>
    </row>
    <row r="96">
      <c r="A96" s="94">
        <v>47.0</v>
      </c>
      <c r="B96" s="93" t="s">
        <v>125</v>
      </c>
      <c r="C96" s="94" t="s">
        <v>42</v>
      </c>
      <c r="D96" s="94">
        <v>90.0</v>
      </c>
      <c r="E96" s="94">
        <v>25.0</v>
      </c>
      <c r="F96" s="94">
        <v>35.0</v>
      </c>
      <c r="G96" s="94">
        <v>0.53</v>
      </c>
      <c r="H96" s="94">
        <v>120.0</v>
      </c>
      <c r="I96" s="94">
        <v>10.0</v>
      </c>
      <c r="J96" s="94" t="s">
        <v>378</v>
      </c>
    </row>
    <row r="97">
      <c r="A97" s="94">
        <v>47.0</v>
      </c>
      <c r="B97" s="93" t="s">
        <v>125</v>
      </c>
      <c r="C97" s="94" t="s">
        <v>84</v>
      </c>
      <c r="D97" s="94">
        <v>90.0</v>
      </c>
      <c r="E97" s="94">
        <v>24.0</v>
      </c>
      <c r="F97" s="94">
        <v>34.0</v>
      </c>
      <c r="G97" s="94">
        <v>0.52</v>
      </c>
      <c r="H97" s="94">
        <v>120.0</v>
      </c>
      <c r="I97" s="94">
        <v>10.0</v>
      </c>
      <c r="J97" s="94" t="s">
        <v>378</v>
      </c>
    </row>
    <row r="98">
      <c r="A98" s="94">
        <v>48.0</v>
      </c>
      <c r="B98" s="93" t="s">
        <v>128</v>
      </c>
      <c r="C98" s="94" t="s">
        <v>42</v>
      </c>
      <c r="D98" s="94">
        <v>54.0</v>
      </c>
      <c r="E98" s="94">
        <v>27.0</v>
      </c>
      <c r="F98" s="94">
        <v>46.0</v>
      </c>
      <c r="G98" s="99">
        <v>0.0</v>
      </c>
      <c r="H98" s="94">
        <v>228.0</v>
      </c>
      <c r="I98" s="94">
        <v>19.0</v>
      </c>
      <c r="J98" s="94" t="s">
        <v>378</v>
      </c>
    </row>
    <row r="99">
      <c r="A99" s="94">
        <v>48.0</v>
      </c>
      <c r="B99" s="93" t="s">
        <v>128</v>
      </c>
      <c r="C99" s="94" t="s">
        <v>84</v>
      </c>
      <c r="D99" s="94">
        <v>90.0</v>
      </c>
      <c r="E99" s="94">
        <v>27.0</v>
      </c>
      <c r="F99" s="94">
        <v>46.0</v>
      </c>
      <c r="G99" s="99">
        <v>0.0</v>
      </c>
      <c r="H99" s="94">
        <v>228.0</v>
      </c>
      <c r="I99" s="94">
        <v>19.0</v>
      </c>
      <c r="J99" s="94" t="s">
        <v>378</v>
      </c>
    </row>
    <row r="100">
      <c r="A100" s="94">
        <v>49.0</v>
      </c>
      <c r="B100" s="93" t="s">
        <v>130</v>
      </c>
      <c r="C100" s="94" t="s">
        <v>42</v>
      </c>
      <c r="D100" s="94">
        <v>24.0</v>
      </c>
      <c r="E100" s="94">
        <v>28.5</v>
      </c>
      <c r="F100" s="94">
        <v>45.5</v>
      </c>
      <c r="G100" s="94">
        <v>0.63</v>
      </c>
      <c r="H100" s="94">
        <v>204.0</v>
      </c>
      <c r="I100" s="94">
        <v>17.0</v>
      </c>
      <c r="J100" s="94" t="s">
        <v>378</v>
      </c>
    </row>
    <row r="101">
      <c r="A101" s="94">
        <v>49.0</v>
      </c>
      <c r="B101" s="93" t="s">
        <v>130</v>
      </c>
      <c r="C101" s="94" t="s">
        <v>84</v>
      </c>
      <c r="D101" s="94">
        <v>24.0</v>
      </c>
      <c r="E101" s="94">
        <v>25.5</v>
      </c>
      <c r="F101" s="94">
        <v>42.5</v>
      </c>
      <c r="G101" s="94">
        <v>0.54</v>
      </c>
      <c r="H101" s="94">
        <v>204.0</v>
      </c>
      <c r="I101" s="94">
        <v>17.0</v>
      </c>
      <c r="J101" s="94" t="s">
        <v>378</v>
      </c>
    </row>
    <row r="102">
      <c r="A102" s="94">
        <v>50.0</v>
      </c>
      <c r="B102" s="93" t="s">
        <v>132</v>
      </c>
      <c r="C102" s="94" t="s">
        <v>84</v>
      </c>
      <c r="D102" s="94">
        <v>43.0</v>
      </c>
      <c r="E102" s="94">
        <v>28.3</v>
      </c>
      <c r="F102" s="94">
        <v>29.3</v>
      </c>
      <c r="G102" s="94">
        <v>0.53</v>
      </c>
      <c r="H102" s="94">
        <v>12.5</v>
      </c>
      <c r="I102" s="94">
        <v>1.0</v>
      </c>
      <c r="J102" s="94" t="s">
        <v>379</v>
      </c>
    </row>
    <row r="103">
      <c r="A103" s="94">
        <v>50.0</v>
      </c>
      <c r="B103" s="93" t="s">
        <v>132</v>
      </c>
      <c r="C103" s="94" t="s">
        <v>200</v>
      </c>
      <c r="D103" s="94">
        <v>42.0</v>
      </c>
      <c r="E103" s="94">
        <v>28.7</v>
      </c>
      <c r="F103" s="94">
        <v>29.7</v>
      </c>
      <c r="G103" s="94">
        <v>0.6</v>
      </c>
      <c r="H103" s="94">
        <v>12.4</v>
      </c>
      <c r="I103" s="94">
        <v>1.0</v>
      </c>
      <c r="J103" s="94" t="s">
        <v>379</v>
      </c>
    </row>
    <row r="104">
      <c r="A104" s="94">
        <v>51.0</v>
      </c>
      <c r="B104" s="93" t="s">
        <v>134</v>
      </c>
      <c r="C104" s="94" t="s">
        <v>42</v>
      </c>
      <c r="D104" s="94">
        <v>32.0</v>
      </c>
      <c r="E104" s="94">
        <v>17.7</v>
      </c>
      <c r="F104" s="94">
        <v>19.7</v>
      </c>
      <c r="G104" s="94">
        <v>0.47</v>
      </c>
      <c r="H104" s="94">
        <v>24.0</v>
      </c>
      <c r="I104" s="94">
        <v>2.0</v>
      </c>
      <c r="J104" s="94" t="s">
        <v>379</v>
      </c>
    </row>
    <row r="105">
      <c r="A105" s="94">
        <v>51.0</v>
      </c>
      <c r="B105" s="93" t="s">
        <v>134</v>
      </c>
      <c r="C105" s="94" t="s">
        <v>84</v>
      </c>
      <c r="D105" s="94">
        <v>32.0</v>
      </c>
      <c r="E105" s="94">
        <v>17.7</v>
      </c>
      <c r="F105" s="94">
        <v>19.7</v>
      </c>
      <c r="G105" s="94">
        <v>0.41</v>
      </c>
      <c r="H105" s="94">
        <v>24.0</v>
      </c>
      <c r="I105" s="94">
        <v>2.0</v>
      </c>
      <c r="J105" s="94" t="s">
        <v>379</v>
      </c>
    </row>
    <row r="106">
      <c r="A106" s="94">
        <v>52.0</v>
      </c>
      <c r="B106" s="93" t="s">
        <v>255</v>
      </c>
      <c r="C106" s="94" t="s">
        <v>42</v>
      </c>
      <c r="D106" s="94">
        <v>283.0</v>
      </c>
      <c r="E106" s="94">
        <v>24.8</v>
      </c>
      <c r="F106" s="94">
        <v>29.9</v>
      </c>
      <c r="G106" s="94">
        <v>0.76</v>
      </c>
      <c r="H106" s="94">
        <v>61.5</v>
      </c>
      <c r="I106" s="94">
        <v>5.1</v>
      </c>
      <c r="J106" s="94" t="s">
        <v>378</v>
      </c>
    </row>
    <row r="107">
      <c r="A107" s="94">
        <v>52.0</v>
      </c>
      <c r="B107" s="93" t="s">
        <v>255</v>
      </c>
      <c r="C107" s="94" t="s">
        <v>84</v>
      </c>
      <c r="D107" s="94">
        <v>273.0</v>
      </c>
      <c r="E107" s="94">
        <v>25.2</v>
      </c>
      <c r="F107" s="94">
        <v>30.5</v>
      </c>
      <c r="G107" s="94">
        <v>0.85</v>
      </c>
      <c r="H107" s="94">
        <v>63.9</v>
      </c>
      <c r="I107" s="94">
        <v>5.3</v>
      </c>
      <c r="J107" s="94" t="s">
        <v>378</v>
      </c>
    </row>
    <row r="108">
      <c r="A108" s="94">
        <v>53.0</v>
      </c>
      <c r="B108" s="93" t="s">
        <v>139</v>
      </c>
      <c r="C108" s="94" t="s">
        <v>84</v>
      </c>
      <c r="D108" s="94">
        <v>16.0</v>
      </c>
      <c r="E108" s="94">
        <v>28.3</v>
      </c>
      <c r="F108" s="94">
        <v>30.3</v>
      </c>
      <c r="G108" s="94">
        <v>0.81</v>
      </c>
      <c r="H108" s="94">
        <v>24.0</v>
      </c>
      <c r="I108" s="94">
        <v>2.0</v>
      </c>
      <c r="J108" s="94" t="s">
        <v>379</v>
      </c>
    </row>
    <row r="109">
      <c r="A109" s="94">
        <v>53.0</v>
      </c>
      <c r="B109" s="93" t="s">
        <v>139</v>
      </c>
      <c r="C109" s="94" t="s">
        <v>200</v>
      </c>
      <c r="D109" s="94">
        <v>17.0</v>
      </c>
      <c r="E109" s="94">
        <v>28.1</v>
      </c>
      <c r="F109" s="94">
        <v>30.1</v>
      </c>
      <c r="G109" s="94">
        <v>1.0</v>
      </c>
      <c r="H109" s="94">
        <v>24.0</v>
      </c>
      <c r="I109" s="94">
        <v>2.0</v>
      </c>
      <c r="J109" s="94" t="s">
        <v>379</v>
      </c>
    </row>
    <row r="110">
      <c r="A110" s="94">
        <v>54.0</v>
      </c>
      <c r="B110" s="93" t="s">
        <v>141</v>
      </c>
      <c r="C110" s="94" t="s">
        <v>42</v>
      </c>
      <c r="D110" s="94">
        <v>32.0</v>
      </c>
      <c r="E110" s="94">
        <v>21.7</v>
      </c>
      <c r="F110" s="94">
        <v>24.4</v>
      </c>
      <c r="G110" s="94">
        <v>0.78</v>
      </c>
      <c r="H110" s="94">
        <v>32.4</v>
      </c>
      <c r="I110" s="94">
        <v>2.7</v>
      </c>
      <c r="J110" s="94" t="s">
        <v>378</v>
      </c>
    </row>
    <row r="111">
      <c r="A111" s="94">
        <v>54.0</v>
      </c>
      <c r="B111" s="93" t="s">
        <v>141</v>
      </c>
      <c r="C111" s="94" t="s">
        <v>84</v>
      </c>
      <c r="D111" s="94">
        <v>32.0</v>
      </c>
      <c r="E111" s="94">
        <v>22.1</v>
      </c>
      <c r="F111" s="94">
        <v>25.3</v>
      </c>
      <c r="G111" s="94">
        <v>0.88</v>
      </c>
      <c r="H111" s="94">
        <v>38.4</v>
      </c>
      <c r="I111" s="94">
        <v>3.2</v>
      </c>
      <c r="J111" s="94" t="s">
        <v>378</v>
      </c>
    </row>
    <row r="112">
      <c r="A112" s="94">
        <v>55.0</v>
      </c>
      <c r="B112" s="93" t="s">
        <v>260</v>
      </c>
      <c r="C112" s="94" t="s">
        <v>84</v>
      </c>
      <c r="D112" s="94">
        <v>14.0</v>
      </c>
      <c r="E112" s="94">
        <v>24.5</v>
      </c>
      <c r="F112" s="94">
        <v>24.5</v>
      </c>
      <c r="G112" s="99">
        <v>0.0</v>
      </c>
      <c r="H112" s="99"/>
      <c r="I112" s="99"/>
      <c r="J112" s="94" t="s">
        <v>380</v>
      </c>
    </row>
    <row r="113">
      <c r="A113" s="94">
        <v>55.0</v>
      </c>
      <c r="B113" s="93" t="s">
        <v>260</v>
      </c>
      <c r="C113" s="94" t="s">
        <v>200</v>
      </c>
      <c r="D113" s="94">
        <v>14.0</v>
      </c>
      <c r="E113" s="94">
        <v>24.5</v>
      </c>
      <c r="F113" s="94">
        <v>24.5</v>
      </c>
      <c r="G113" s="99">
        <v>0.0</v>
      </c>
      <c r="H113" s="99"/>
      <c r="I113" s="99"/>
      <c r="J113" s="94" t="s">
        <v>380</v>
      </c>
    </row>
    <row r="114">
      <c r="A114" s="94">
        <v>56.0</v>
      </c>
      <c r="B114" s="93" t="s">
        <v>145</v>
      </c>
      <c r="C114" s="94" t="s">
        <v>42</v>
      </c>
      <c r="D114" s="94">
        <v>28.0</v>
      </c>
      <c r="E114" s="94">
        <v>26.0</v>
      </c>
      <c r="F114" s="94">
        <v>28.0</v>
      </c>
      <c r="G114" s="94">
        <v>0.71</v>
      </c>
      <c r="H114" s="94">
        <v>24.0</v>
      </c>
      <c r="I114" s="94">
        <v>2.0</v>
      </c>
      <c r="J114" s="94" t="s">
        <v>379</v>
      </c>
    </row>
    <row r="115">
      <c r="A115" s="94">
        <v>56.0</v>
      </c>
      <c r="B115" s="93" t="s">
        <v>145</v>
      </c>
      <c r="C115" s="94" t="s">
        <v>84</v>
      </c>
      <c r="D115" s="94">
        <v>33.0</v>
      </c>
      <c r="E115" s="94">
        <v>27.0</v>
      </c>
      <c r="F115" s="94">
        <v>29.0</v>
      </c>
      <c r="G115" s="94">
        <v>0.7</v>
      </c>
      <c r="H115" s="94">
        <v>24.0</v>
      </c>
      <c r="I115" s="94">
        <v>2.0</v>
      </c>
      <c r="J115" s="94" t="s">
        <v>379</v>
      </c>
    </row>
    <row r="116">
      <c r="A116" s="94">
        <v>57.0</v>
      </c>
      <c r="B116" s="93" t="s">
        <v>147</v>
      </c>
      <c r="C116" s="94" t="s">
        <v>42</v>
      </c>
      <c r="D116" s="94">
        <v>31.0</v>
      </c>
      <c r="E116" s="94">
        <v>29.9</v>
      </c>
      <c r="F116" s="94">
        <v>38.9</v>
      </c>
      <c r="G116" s="94">
        <v>0.61</v>
      </c>
      <c r="H116" s="94">
        <v>108.0</v>
      </c>
      <c r="I116" s="94">
        <v>9.0</v>
      </c>
      <c r="J116" s="94" t="s">
        <v>378</v>
      </c>
    </row>
    <row r="117">
      <c r="A117" s="94">
        <v>57.0</v>
      </c>
      <c r="B117" s="93" t="s">
        <v>147</v>
      </c>
      <c r="C117" s="94" t="s">
        <v>84</v>
      </c>
      <c r="D117" s="94">
        <v>31.0</v>
      </c>
      <c r="E117" s="94">
        <v>34.2</v>
      </c>
      <c r="F117" s="94">
        <v>43.2</v>
      </c>
      <c r="G117" s="94">
        <v>0.58</v>
      </c>
      <c r="H117" s="94">
        <v>108.0</v>
      </c>
      <c r="I117" s="94">
        <v>9.0</v>
      </c>
      <c r="J117" s="94" t="s">
        <v>378</v>
      </c>
    </row>
    <row r="118">
      <c r="A118" s="94">
        <v>58.0</v>
      </c>
      <c r="B118" s="93" t="s">
        <v>149</v>
      </c>
      <c r="C118" s="94" t="s">
        <v>84</v>
      </c>
      <c r="D118" s="94">
        <v>36.0</v>
      </c>
      <c r="E118" s="94">
        <v>30.1</v>
      </c>
      <c r="F118" s="94">
        <v>31.1</v>
      </c>
      <c r="G118" s="94">
        <v>0.89</v>
      </c>
      <c r="H118" s="94">
        <v>12.0</v>
      </c>
      <c r="I118" s="94">
        <v>1.0</v>
      </c>
      <c r="J118" s="94" t="s">
        <v>380</v>
      </c>
    </row>
    <row r="119">
      <c r="A119" s="94">
        <v>58.0</v>
      </c>
      <c r="B119" s="93" t="s">
        <v>149</v>
      </c>
      <c r="C119" s="94" t="s">
        <v>200</v>
      </c>
      <c r="D119" s="94">
        <v>33.0</v>
      </c>
      <c r="E119" s="94">
        <v>28.7</v>
      </c>
      <c r="F119" s="94">
        <v>29.7</v>
      </c>
      <c r="G119" s="94">
        <v>0.91</v>
      </c>
      <c r="H119" s="94">
        <v>12.0</v>
      </c>
      <c r="I119" s="94">
        <v>1.0</v>
      </c>
      <c r="J119" s="94" t="s">
        <v>380</v>
      </c>
    </row>
    <row r="120">
      <c r="A120" s="94">
        <v>59.0</v>
      </c>
      <c r="B120" s="93" t="s">
        <v>152</v>
      </c>
      <c r="C120" s="94" t="s">
        <v>84</v>
      </c>
      <c r="D120" s="94">
        <v>68.0</v>
      </c>
      <c r="E120" s="94">
        <v>30.0</v>
      </c>
      <c r="F120" s="94">
        <v>32.7</v>
      </c>
      <c r="G120" s="94">
        <v>0.9</v>
      </c>
      <c r="H120" s="94">
        <v>32.8</v>
      </c>
      <c r="I120" s="94">
        <v>2.7</v>
      </c>
      <c r="J120" s="94" t="s">
        <v>378</v>
      </c>
    </row>
    <row r="121">
      <c r="A121" s="94">
        <v>59.0</v>
      </c>
      <c r="B121" s="93" t="s">
        <v>152</v>
      </c>
      <c r="C121" s="94" t="s">
        <v>205</v>
      </c>
      <c r="D121" s="94">
        <v>64.0</v>
      </c>
      <c r="E121" s="94">
        <v>24.0</v>
      </c>
      <c r="F121" s="94">
        <v>26.9</v>
      </c>
      <c r="G121" s="94">
        <v>0.92</v>
      </c>
      <c r="H121" s="94">
        <v>34.5</v>
      </c>
      <c r="I121" s="94">
        <v>2.9</v>
      </c>
      <c r="J121" s="94" t="s">
        <v>378</v>
      </c>
    </row>
    <row r="122">
      <c r="A122" s="94">
        <v>60.0</v>
      </c>
      <c r="B122" s="93" t="s">
        <v>154</v>
      </c>
      <c r="C122" s="94" t="s">
        <v>42</v>
      </c>
      <c r="D122" s="94">
        <v>39.0</v>
      </c>
      <c r="E122" s="94">
        <v>26.0</v>
      </c>
      <c r="F122" s="94">
        <v>34.6</v>
      </c>
      <c r="G122" s="94">
        <v>0.51</v>
      </c>
      <c r="H122" s="94">
        <v>103.2</v>
      </c>
      <c r="I122" s="94">
        <v>8.6</v>
      </c>
      <c r="J122" s="94" t="s">
        <v>378</v>
      </c>
    </row>
    <row r="123">
      <c r="A123" s="94">
        <v>60.0</v>
      </c>
      <c r="B123" s="93" t="s">
        <v>154</v>
      </c>
      <c r="C123" s="94" t="s">
        <v>84</v>
      </c>
      <c r="D123" s="94">
        <v>40.0</v>
      </c>
      <c r="E123" s="94">
        <v>27.0</v>
      </c>
      <c r="F123" s="94">
        <v>35.6</v>
      </c>
      <c r="G123" s="94">
        <v>0.55</v>
      </c>
      <c r="H123" s="94">
        <v>103.2</v>
      </c>
      <c r="I123" s="94">
        <v>8.6</v>
      </c>
      <c r="J123" s="94" t="s">
        <v>378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sheetData>
    <row r="1">
      <c r="A1" s="95"/>
      <c r="B1" s="96"/>
      <c r="C1" s="96"/>
    </row>
    <row r="2">
      <c r="A2" s="98">
        <v>36.0</v>
      </c>
      <c r="B2" s="96">
        <v>27.0</v>
      </c>
      <c r="C2" s="96">
        <v>9.0</v>
      </c>
    </row>
    <row r="3" hidden="1">
      <c r="A3" s="96"/>
      <c r="B3" s="96"/>
      <c r="C3" s="96"/>
    </row>
    <row r="4">
      <c r="A4" s="98">
        <v>120.0</v>
      </c>
      <c r="B4" s="96">
        <v>92.0</v>
      </c>
      <c r="C4" s="96">
        <v>28.0</v>
      </c>
    </row>
    <row r="5" hidden="1">
      <c r="A5" s="96"/>
      <c r="B5" s="96"/>
      <c r="C5" s="96"/>
    </row>
    <row r="6">
      <c r="A6" s="98">
        <v>47.0</v>
      </c>
      <c r="B6" s="96">
        <v>32.0</v>
      </c>
      <c r="C6" s="96">
        <v>15.0</v>
      </c>
    </row>
    <row r="7" hidden="1">
      <c r="A7" s="96"/>
      <c r="B7" s="96"/>
      <c r="C7" s="96"/>
    </row>
    <row r="8">
      <c r="A8" s="98">
        <v>68.0</v>
      </c>
      <c r="B8" s="96">
        <v>45.0</v>
      </c>
      <c r="C8" s="96">
        <v>23.0</v>
      </c>
    </row>
    <row r="9" hidden="1">
      <c r="A9" s="96"/>
      <c r="B9" s="96"/>
      <c r="C9" s="96"/>
    </row>
    <row r="10">
      <c r="A10" s="98">
        <v>103.0</v>
      </c>
      <c r="B10" s="96">
        <v>68.0</v>
      </c>
      <c r="C10" s="96">
        <v>35.0</v>
      </c>
    </row>
    <row r="11" hidden="1">
      <c r="A11" s="96"/>
      <c r="B11" s="96"/>
      <c r="C11" s="96"/>
    </row>
    <row r="12">
      <c r="A12" s="98">
        <v>20.0</v>
      </c>
      <c r="B12" s="96">
        <v>7.0</v>
      </c>
      <c r="C12" s="96">
        <v>13.0</v>
      </c>
    </row>
    <row r="13" hidden="1">
      <c r="A13" s="96"/>
      <c r="B13" s="96"/>
      <c r="C13" s="96"/>
    </row>
    <row r="14">
      <c r="A14" s="98">
        <v>72.0</v>
      </c>
      <c r="B14" s="96">
        <v>40.0</v>
      </c>
      <c r="C14" s="96">
        <v>32.0</v>
      </c>
    </row>
    <row r="15" hidden="1">
      <c r="A15" s="96"/>
      <c r="B15" s="96"/>
      <c r="C15" s="96"/>
    </row>
    <row r="16">
      <c r="A16" s="98">
        <v>153.0</v>
      </c>
      <c r="B16" s="96">
        <v>89.0</v>
      </c>
      <c r="C16" s="96">
        <v>64.0</v>
      </c>
    </row>
    <row r="17" hidden="1">
      <c r="A17" s="96"/>
      <c r="B17" s="96"/>
      <c r="C17" s="96"/>
    </row>
    <row r="18">
      <c r="A18" s="98">
        <v>60.0</v>
      </c>
      <c r="B18" s="96">
        <v>34.0</v>
      </c>
      <c r="C18" s="96">
        <v>26.0</v>
      </c>
    </row>
    <row r="19" hidden="1">
      <c r="A19" s="96"/>
      <c r="B19" s="96"/>
      <c r="C19" s="96"/>
    </row>
    <row r="20">
      <c r="A20" s="98">
        <v>56.0</v>
      </c>
      <c r="B20" s="96">
        <v>31.0</v>
      </c>
      <c r="C20" s="96">
        <v>25.0</v>
      </c>
    </row>
    <row r="21" hidden="1">
      <c r="A21" s="96"/>
      <c r="B21" s="96"/>
      <c r="C21" s="96"/>
    </row>
    <row r="22">
      <c r="A22" s="98">
        <v>124.0</v>
      </c>
      <c r="B22" s="96">
        <v>65.0</v>
      </c>
      <c r="C22" s="96">
        <v>59.0</v>
      </c>
    </row>
    <row r="23" hidden="1">
      <c r="A23" s="96"/>
      <c r="B23" s="96"/>
      <c r="C23" s="96"/>
    </row>
    <row r="24">
      <c r="A24" s="98">
        <v>147.0</v>
      </c>
      <c r="B24" s="96">
        <v>95.0</v>
      </c>
      <c r="C24" s="96">
        <v>52.0</v>
      </c>
    </row>
    <row r="25" hidden="1">
      <c r="A25" s="96"/>
      <c r="B25" s="96"/>
      <c r="C25" s="96"/>
    </row>
    <row r="26">
      <c r="A26" s="98">
        <v>97.0</v>
      </c>
      <c r="B26" s="96">
        <v>84.0</v>
      </c>
      <c r="C26" s="96">
        <v>13.0</v>
      </c>
    </row>
    <row r="27" hidden="1">
      <c r="A27" s="96"/>
      <c r="B27" s="96"/>
      <c r="C27" s="96"/>
    </row>
    <row r="28">
      <c r="A28" s="98">
        <v>60.0</v>
      </c>
      <c r="B28" s="96">
        <v>59.0</v>
      </c>
      <c r="C28" s="96">
        <v>1.0</v>
      </c>
    </row>
    <row r="29" hidden="1">
      <c r="A29" s="96"/>
      <c r="B29" s="96"/>
      <c r="C29" s="96"/>
    </row>
    <row r="30">
      <c r="A30" s="98">
        <v>112.0</v>
      </c>
      <c r="B30" s="96">
        <v>56.0</v>
      </c>
      <c r="C30" s="96">
        <v>56.0</v>
      </c>
    </row>
    <row r="31" hidden="1">
      <c r="A31" s="96"/>
      <c r="B31" s="96"/>
      <c r="C31" s="96"/>
    </row>
    <row r="32">
      <c r="A32" s="98">
        <v>66.0</v>
      </c>
      <c r="B32" s="96">
        <v>46.0</v>
      </c>
      <c r="C32" s="96">
        <v>20.0</v>
      </c>
    </row>
    <row r="33" hidden="1">
      <c r="A33" s="96"/>
      <c r="B33" s="96"/>
      <c r="C33" s="96"/>
    </row>
    <row r="34">
      <c r="A34" s="98">
        <v>116.0</v>
      </c>
      <c r="B34" s="96">
        <v>0.0</v>
      </c>
      <c r="C34" s="96">
        <v>0.0</v>
      </c>
    </row>
    <row r="35" hidden="1">
      <c r="A35" s="96"/>
      <c r="B35" s="96"/>
      <c r="C35" s="96"/>
    </row>
    <row r="36">
      <c r="A36" s="98">
        <v>65.0</v>
      </c>
      <c r="B36" s="96">
        <v>47.0</v>
      </c>
      <c r="C36" s="96">
        <v>18.0</v>
      </c>
    </row>
    <row r="37" hidden="1">
      <c r="A37" s="96"/>
      <c r="B37" s="96"/>
      <c r="C37" s="96"/>
    </row>
    <row r="38">
      <c r="A38" s="98">
        <v>77.0</v>
      </c>
      <c r="B38" s="96">
        <v>0.0</v>
      </c>
      <c r="C38" s="96">
        <v>0.0</v>
      </c>
    </row>
    <row r="39" hidden="1">
      <c r="A39" s="96"/>
      <c r="B39" s="96"/>
      <c r="C39" s="96"/>
    </row>
    <row r="40">
      <c r="A40" s="98">
        <v>62.0</v>
      </c>
      <c r="B40" s="96">
        <v>42.0</v>
      </c>
      <c r="C40" s="96">
        <v>20.0</v>
      </c>
    </row>
    <row r="41" hidden="1">
      <c r="A41" s="96"/>
      <c r="B41" s="96"/>
      <c r="C41" s="96"/>
    </row>
    <row r="42">
      <c r="A42" s="98">
        <v>79.0</v>
      </c>
      <c r="B42" s="96">
        <v>0.0</v>
      </c>
      <c r="C42" s="96">
        <v>0.0</v>
      </c>
    </row>
    <row r="43" hidden="1">
      <c r="A43" s="96"/>
      <c r="B43" s="96"/>
      <c r="C43" s="96"/>
    </row>
    <row r="44">
      <c r="A44" s="98">
        <v>68.0</v>
      </c>
      <c r="B44" s="96">
        <v>36.0</v>
      </c>
      <c r="C44" s="96">
        <v>32.0</v>
      </c>
    </row>
    <row r="45" hidden="1">
      <c r="A45" s="96"/>
      <c r="B45" s="96"/>
      <c r="C45" s="96"/>
    </row>
    <row r="46">
      <c r="A46" s="98">
        <v>57.0</v>
      </c>
      <c r="B46" s="96">
        <v>33.0</v>
      </c>
      <c r="C46" s="96">
        <v>24.0</v>
      </c>
    </row>
    <row r="47" hidden="1">
      <c r="A47" s="96"/>
      <c r="B47" s="96"/>
      <c r="C47" s="96"/>
    </row>
    <row r="48">
      <c r="A48" s="98">
        <v>51.0</v>
      </c>
      <c r="B48" s="96">
        <v>33.0</v>
      </c>
      <c r="C48" s="96">
        <v>18.0</v>
      </c>
    </row>
    <row r="49" hidden="1">
      <c r="A49" s="96"/>
      <c r="B49" s="96"/>
      <c r="C49" s="96"/>
    </row>
    <row r="50">
      <c r="A50" s="98">
        <v>86.0</v>
      </c>
      <c r="B50" s="96">
        <v>86.0</v>
      </c>
      <c r="C50" s="96">
        <v>0.0</v>
      </c>
    </row>
    <row r="51" hidden="1">
      <c r="A51" s="96"/>
      <c r="B51" s="96"/>
      <c r="C51" s="96"/>
    </row>
    <row r="52">
      <c r="A52" s="98">
        <v>20.0</v>
      </c>
      <c r="B52" s="96">
        <v>20.0</v>
      </c>
      <c r="C52" s="96">
        <v>0.0</v>
      </c>
    </row>
    <row r="53" hidden="1">
      <c r="A53" s="96"/>
      <c r="B53" s="96"/>
      <c r="C53" s="96"/>
    </row>
    <row r="54">
      <c r="A54" s="98">
        <v>89.0</v>
      </c>
      <c r="B54" s="96">
        <v>0.0</v>
      </c>
      <c r="C54" s="96">
        <v>0.0</v>
      </c>
    </row>
    <row r="55" hidden="1">
      <c r="A55" s="96"/>
      <c r="B55" s="96"/>
      <c r="C55" s="96"/>
    </row>
    <row r="56">
      <c r="A56" s="98">
        <v>147.0</v>
      </c>
      <c r="B56" s="96">
        <v>0.0</v>
      </c>
      <c r="C56" s="96">
        <v>147.0</v>
      </c>
    </row>
    <row r="57" hidden="1">
      <c r="A57" s="96"/>
      <c r="B57" s="96"/>
      <c r="C57" s="96"/>
    </row>
    <row r="58">
      <c r="A58" s="98">
        <v>72.0</v>
      </c>
      <c r="B58" s="96">
        <v>44.0</v>
      </c>
      <c r="C58" s="96">
        <v>36.0</v>
      </c>
    </row>
    <row r="59" hidden="1">
      <c r="A59" s="96"/>
      <c r="B59" s="96"/>
      <c r="C59" s="96"/>
    </row>
    <row r="60">
      <c r="A60" s="98">
        <v>62.0</v>
      </c>
      <c r="B60" s="96">
        <v>45.0</v>
      </c>
      <c r="C60" s="96">
        <v>17.0</v>
      </c>
    </row>
    <row r="61" hidden="1">
      <c r="A61" s="96"/>
      <c r="B61" s="96"/>
      <c r="C61" s="96"/>
    </row>
    <row r="62">
      <c r="A62" s="98">
        <v>28.0</v>
      </c>
      <c r="B62" s="96">
        <v>0.0</v>
      </c>
      <c r="C62" s="96">
        <v>0.0</v>
      </c>
    </row>
    <row r="63" hidden="1">
      <c r="A63" s="96"/>
      <c r="B63" s="96"/>
      <c r="C63" s="96"/>
    </row>
    <row r="64">
      <c r="A64" s="98">
        <v>92.0</v>
      </c>
      <c r="B64" s="96">
        <v>70.0</v>
      </c>
      <c r="C64" s="96">
        <v>32.0</v>
      </c>
    </row>
    <row r="65" hidden="1">
      <c r="A65" s="96"/>
      <c r="B65" s="96"/>
      <c r="C65" s="96"/>
    </row>
    <row r="66">
      <c r="A66" s="98">
        <v>118.0</v>
      </c>
      <c r="B66" s="96">
        <v>0.0</v>
      </c>
      <c r="C66" s="96">
        <v>0.0</v>
      </c>
    </row>
    <row r="67" hidden="1">
      <c r="A67" s="96"/>
      <c r="B67" s="96"/>
      <c r="C67" s="96"/>
    </row>
    <row r="68">
      <c r="A68" s="98">
        <v>64.0</v>
      </c>
      <c r="B68" s="96">
        <v>32.0</v>
      </c>
      <c r="C68" s="96">
        <v>32.0</v>
      </c>
    </row>
    <row r="69" hidden="1">
      <c r="A69" s="96"/>
      <c r="B69" s="96"/>
      <c r="C69" s="96"/>
    </row>
    <row r="70">
      <c r="A70" s="98">
        <v>71.0</v>
      </c>
      <c r="B70" s="96">
        <v>49.0</v>
      </c>
      <c r="C70" s="96">
        <v>22.0</v>
      </c>
    </row>
    <row r="71" hidden="1">
      <c r="A71" s="96"/>
      <c r="B71" s="96"/>
      <c r="C71" s="96"/>
    </row>
    <row r="72">
      <c r="A72" s="98">
        <v>96.0</v>
      </c>
      <c r="B72" s="96">
        <v>54.0</v>
      </c>
      <c r="C72" s="96">
        <v>45.0</v>
      </c>
    </row>
    <row r="73" hidden="1">
      <c r="A73" s="96"/>
      <c r="B73" s="96"/>
      <c r="C73" s="96"/>
    </row>
    <row r="74">
      <c r="A74" s="98">
        <v>39.0</v>
      </c>
      <c r="B74" s="96">
        <v>0.0</v>
      </c>
      <c r="C74" s="96">
        <v>0.0</v>
      </c>
    </row>
    <row r="75" hidden="1">
      <c r="A75" s="96"/>
      <c r="B75" s="96"/>
      <c r="C75" s="96"/>
    </row>
    <row r="76">
      <c r="A76" s="98">
        <v>35.0</v>
      </c>
      <c r="B76" s="96">
        <v>35.0</v>
      </c>
      <c r="C76" s="96">
        <v>0.0</v>
      </c>
    </row>
    <row r="77" hidden="1">
      <c r="A77" s="96"/>
      <c r="B77" s="96"/>
      <c r="C77" s="96"/>
    </row>
    <row r="78">
      <c r="A78" s="98">
        <v>55.0</v>
      </c>
      <c r="B78" s="96">
        <v>55.0</v>
      </c>
      <c r="C78" s="96">
        <v>0.0</v>
      </c>
    </row>
    <row r="79" hidden="1">
      <c r="A79" s="96"/>
      <c r="B79" s="96"/>
      <c r="C79" s="96"/>
    </row>
    <row r="80">
      <c r="A80" s="98">
        <v>39.0</v>
      </c>
      <c r="B80" s="96">
        <v>32.0</v>
      </c>
      <c r="C80" s="96">
        <v>7.0</v>
      </c>
    </row>
    <row r="81" hidden="1">
      <c r="A81" s="96"/>
      <c r="B81" s="96"/>
      <c r="C81" s="96"/>
    </row>
    <row r="82">
      <c r="A82" s="98">
        <v>50.0</v>
      </c>
      <c r="B82" s="96">
        <v>35.0</v>
      </c>
      <c r="C82" s="96">
        <v>15.0</v>
      </c>
    </row>
    <row r="83" hidden="1">
      <c r="A83" s="96"/>
      <c r="B83" s="96"/>
      <c r="C83" s="96"/>
    </row>
    <row r="84">
      <c r="A84" s="98">
        <v>72.0</v>
      </c>
      <c r="B84" s="96">
        <v>41.0</v>
      </c>
      <c r="C84" s="96">
        <v>31.0</v>
      </c>
    </row>
    <row r="85" hidden="1">
      <c r="A85" s="96"/>
      <c r="B85" s="96"/>
      <c r="C85" s="96"/>
    </row>
    <row r="86">
      <c r="A86" s="98">
        <v>220.0</v>
      </c>
      <c r="B86" s="96">
        <v>124.0</v>
      </c>
      <c r="C86" s="96">
        <v>96.0</v>
      </c>
    </row>
    <row r="87" hidden="1">
      <c r="A87" s="96"/>
      <c r="B87" s="96"/>
      <c r="C87" s="96"/>
    </row>
    <row r="88">
      <c r="A88" s="98">
        <v>330.0</v>
      </c>
      <c r="B88" s="96">
        <v>179.0</v>
      </c>
      <c r="C88" s="96">
        <v>151.0</v>
      </c>
    </row>
    <row r="89" hidden="1">
      <c r="A89" s="96"/>
      <c r="B89" s="96"/>
      <c r="C89" s="96"/>
    </row>
    <row r="90">
      <c r="A90" s="98">
        <v>12.0</v>
      </c>
      <c r="B90" s="96">
        <v>12.0</v>
      </c>
      <c r="C90" s="96">
        <v>0.0</v>
      </c>
    </row>
    <row r="91" hidden="1">
      <c r="A91" s="96"/>
      <c r="B91" s="96"/>
      <c r="C91" s="96"/>
    </row>
    <row r="92">
      <c r="A92" s="98">
        <v>65.0</v>
      </c>
      <c r="B92" s="96">
        <v>56.0</v>
      </c>
      <c r="C92" s="96">
        <v>9.0</v>
      </c>
    </row>
    <row r="93" hidden="1">
      <c r="A93" s="96"/>
      <c r="B93" s="96"/>
      <c r="C93" s="96"/>
    </row>
    <row r="94">
      <c r="A94" s="98">
        <v>40.0</v>
      </c>
      <c r="B94" s="96">
        <v>0.0</v>
      </c>
      <c r="C94" s="96">
        <v>40.0</v>
      </c>
    </row>
    <row r="95" hidden="1">
      <c r="A95" s="96"/>
      <c r="B95" s="96"/>
      <c r="C95" s="96"/>
    </row>
    <row r="96">
      <c r="A96" s="98">
        <v>180.0</v>
      </c>
      <c r="B96" s="96">
        <v>95.0</v>
      </c>
      <c r="C96" s="96">
        <v>85.0</v>
      </c>
    </row>
    <row r="97" hidden="1">
      <c r="A97" s="96"/>
      <c r="B97" s="96"/>
      <c r="C97" s="96"/>
    </row>
    <row r="98">
      <c r="A98" s="98">
        <v>144.0</v>
      </c>
      <c r="B98" s="96">
        <v>0.0</v>
      </c>
      <c r="C98" s="96">
        <v>0.0</v>
      </c>
    </row>
    <row r="99" hidden="1">
      <c r="A99" s="96"/>
      <c r="B99" s="96"/>
      <c r="C99" s="96"/>
    </row>
    <row r="100">
      <c r="A100" s="98">
        <v>48.0</v>
      </c>
      <c r="B100" s="96">
        <v>28.0</v>
      </c>
      <c r="C100" s="96">
        <v>20.0</v>
      </c>
    </row>
    <row r="101" hidden="1">
      <c r="A101" s="96"/>
      <c r="B101" s="96"/>
      <c r="C101" s="96"/>
    </row>
    <row r="102">
      <c r="A102" s="98">
        <v>85.0</v>
      </c>
      <c r="B102" s="96">
        <v>48.0</v>
      </c>
      <c r="C102" s="96">
        <v>37.0</v>
      </c>
    </row>
    <row r="103" hidden="1">
      <c r="A103" s="96"/>
      <c r="B103" s="96"/>
      <c r="C103" s="96"/>
    </row>
    <row r="104">
      <c r="A104" s="98">
        <v>64.0</v>
      </c>
      <c r="B104" s="96">
        <v>28.0</v>
      </c>
      <c r="C104" s="96">
        <v>36.0</v>
      </c>
    </row>
    <row r="105" hidden="1">
      <c r="A105" s="96"/>
      <c r="B105" s="96"/>
      <c r="C105" s="96"/>
    </row>
    <row r="106">
      <c r="A106" s="98">
        <v>556.0</v>
      </c>
      <c r="B106" s="96">
        <v>447.0</v>
      </c>
      <c r="C106" s="96">
        <v>109.0</v>
      </c>
    </row>
    <row r="107" hidden="1">
      <c r="A107" s="96"/>
      <c r="B107" s="96"/>
      <c r="C107" s="96"/>
    </row>
    <row r="108">
      <c r="A108" s="98">
        <v>33.0</v>
      </c>
      <c r="B108" s="96">
        <v>30.0</v>
      </c>
      <c r="C108" s="96">
        <v>3.0</v>
      </c>
    </row>
    <row r="109" hidden="1">
      <c r="A109" s="96"/>
      <c r="B109" s="96"/>
      <c r="C109" s="96"/>
    </row>
    <row r="110">
      <c r="A110" s="98">
        <v>64.0</v>
      </c>
      <c r="B110" s="96">
        <v>53.0</v>
      </c>
      <c r="C110" s="96">
        <v>11.0</v>
      </c>
    </row>
    <row r="111" hidden="1">
      <c r="A111" s="96"/>
      <c r="B111" s="96"/>
      <c r="C111" s="96"/>
    </row>
    <row r="112">
      <c r="A112" s="98">
        <v>28.0</v>
      </c>
      <c r="B112" s="96">
        <v>23.0</v>
      </c>
      <c r="C112" s="96">
        <v>6.0</v>
      </c>
    </row>
    <row r="113" hidden="1">
      <c r="A113" s="96"/>
      <c r="B113" s="96"/>
      <c r="C113" s="96"/>
    </row>
    <row r="114">
      <c r="A114" s="98">
        <v>61.0</v>
      </c>
      <c r="B114" s="96">
        <v>43.0</v>
      </c>
      <c r="C114" s="96">
        <v>18.0</v>
      </c>
    </row>
    <row r="115" hidden="1">
      <c r="A115" s="96"/>
      <c r="B115" s="96"/>
      <c r="C115" s="96"/>
    </row>
    <row r="116">
      <c r="A116" s="98">
        <v>62.0</v>
      </c>
      <c r="B116" s="96">
        <v>37.0</v>
      </c>
      <c r="C116" s="96">
        <v>25.0</v>
      </c>
    </row>
    <row r="117" hidden="1">
      <c r="A117" s="96"/>
      <c r="B117" s="96"/>
      <c r="C117" s="96"/>
    </row>
    <row r="118">
      <c r="A118" s="98">
        <v>69.0</v>
      </c>
      <c r="B118" s="96">
        <v>62.0</v>
      </c>
      <c r="C118" s="96">
        <v>7.0</v>
      </c>
    </row>
    <row r="119" hidden="1">
      <c r="A119" s="96"/>
      <c r="B119" s="96"/>
      <c r="C119" s="96"/>
    </row>
    <row r="120">
      <c r="A120" s="98">
        <v>132.0</v>
      </c>
      <c r="B120" s="96">
        <v>120.0</v>
      </c>
      <c r="C120" s="96">
        <v>12.0</v>
      </c>
    </row>
    <row r="121" hidden="1">
      <c r="A121" s="96"/>
      <c r="B121" s="96"/>
      <c r="C121" s="96"/>
    </row>
    <row r="122">
      <c r="A122" s="98">
        <v>79.0</v>
      </c>
      <c r="B122" s="96">
        <v>42.0</v>
      </c>
      <c r="C122" s="96">
        <v>37.0</v>
      </c>
    </row>
    <row r="123" hidden="1">
      <c r="A123" s="96"/>
      <c r="B123" s="96"/>
      <c r="C123" s="96"/>
    </row>
    <row r="124" hidden="1">
      <c r="A124" s="95"/>
      <c r="B124" s="96"/>
      <c r="C124" s="96"/>
    </row>
    <row r="125" hidden="1">
      <c r="A125" s="95"/>
      <c r="B125" s="96"/>
      <c r="C125" s="96"/>
    </row>
    <row r="126" hidden="1">
      <c r="A126" s="95"/>
      <c r="B126" s="96"/>
      <c r="C126" s="96"/>
    </row>
    <row r="127" hidden="1">
      <c r="A127" s="95"/>
      <c r="B127" s="96"/>
      <c r="C127" s="96"/>
    </row>
    <row r="128" hidden="1">
      <c r="A128" s="95"/>
      <c r="B128" s="96"/>
      <c r="C128" s="96"/>
    </row>
    <row r="129" hidden="1">
      <c r="A129" s="95"/>
      <c r="B129" s="96"/>
      <c r="C129" s="96"/>
    </row>
    <row r="130" hidden="1">
      <c r="A130" s="95"/>
      <c r="B130" s="96"/>
      <c r="C130" s="96"/>
    </row>
    <row r="131" hidden="1">
      <c r="A131" s="95"/>
      <c r="B131" s="96"/>
      <c r="C131" s="96"/>
    </row>
    <row r="132" hidden="1">
      <c r="A132" s="95"/>
      <c r="B132" s="96"/>
      <c r="C132" s="96"/>
    </row>
    <row r="133" hidden="1">
      <c r="A133" s="95"/>
      <c r="B133" s="96"/>
      <c r="C133" s="96"/>
    </row>
    <row r="134" hidden="1">
      <c r="A134" s="95"/>
      <c r="B134" s="96"/>
      <c r="C134" s="96"/>
    </row>
    <row r="135" hidden="1">
      <c r="A135" s="95"/>
      <c r="B135" s="96"/>
      <c r="C135" s="96"/>
    </row>
    <row r="136" hidden="1">
      <c r="A136" s="95"/>
      <c r="B136" s="96"/>
      <c r="C136" s="96"/>
    </row>
    <row r="137" hidden="1">
      <c r="A137" s="95"/>
      <c r="B137" s="96"/>
      <c r="C137" s="96"/>
    </row>
    <row r="138" hidden="1">
      <c r="A138" s="95"/>
      <c r="B138" s="96"/>
      <c r="C138" s="96"/>
    </row>
    <row r="139" hidden="1">
      <c r="A139" s="95"/>
      <c r="B139" s="96"/>
      <c r="C139" s="96"/>
    </row>
    <row r="140" hidden="1">
      <c r="A140" s="95"/>
      <c r="B140" s="96"/>
      <c r="C140" s="96"/>
    </row>
    <row r="141" hidden="1">
      <c r="A141" s="95"/>
      <c r="B141" s="96"/>
      <c r="C141" s="96"/>
    </row>
    <row r="142" hidden="1">
      <c r="A142" s="95"/>
      <c r="B142" s="96"/>
      <c r="C142" s="96"/>
    </row>
    <row r="143" hidden="1">
      <c r="A143" s="95"/>
      <c r="B143" s="96"/>
      <c r="C143" s="96"/>
    </row>
    <row r="144" hidden="1">
      <c r="A144" s="95"/>
      <c r="B144" s="96"/>
      <c r="C144" s="96"/>
    </row>
    <row r="145" hidden="1">
      <c r="A145" s="95"/>
      <c r="B145" s="96"/>
      <c r="C145" s="96"/>
    </row>
    <row r="146" hidden="1">
      <c r="A146" s="95"/>
      <c r="B146" s="96"/>
      <c r="C146" s="96"/>
    </row>
    <row r="147" hidden="1">
      <c r="A147" s="95"/>
      <c r="B147" s="96"/>
      <c r="C147" s="96"/>
    </row>
    <row r="148" hidden="1">
      <c r="A148" s="95"/>
      <c r="B148" s="96"/>
      <c r="C148" s="96"/>
    </row>
    <row r="149" hidden="1">
      <c r="A149" s="95"/>
      <c r="B149" s="96"/>
      <c r="C149" s="96"/>
    </row>
    <row r="150" hidden="1">
      <c r="A150" s="95"/>
      <c r="B150" s="96"/>
      <c r="C150" s="96"/>
    </row>
    <row r="151" hidden="1">
      <c r="A151" s="95"/>
      <c r="B151" s="96"/>
      <c r="C151" s="96"/>
    </row>
    <row r="152" hidden="1">
      <c r="A152" s="95"/>
      <c r="B152" s="96"/>
      <c r="C152" s="96"/>
    </row>
    <row r="153" hidden="1">
      <c r="A153" s="95"/>
      <c r="B153" s="96"/>
      <c r="C153" s="96"/>
    </row>
    <row r="154" hidden="1">
      <c r="A154" s="95"/>
      <c r="B154" s="96"/>
      <c r="C154" s="96"/>
    </row>
    <row r="155" hidden="1">
      <c r="A155" s="95"/>
      <c r="B155" s="96"/>
      <c r="C155" s="96"/>
    </row>
    <row r="156" hidden="1">
      <c r="A156" s="95"/>
      <c r="B156" s="96"/>
      <c r="C156" s="96"/>
    </row>
    <row r="157" hidden="1">
      <c r="A157" s="95"/>
      <c r="B157" s="96"/>
      <c r="C157" s="96"/>
    </row>
    <row r="158" hidden="1">
      <c r="A158" s="95"/>
      <c r="B158" s="96"/>
      <c r="C158" s="96"/>
    </row>
    <row r="159" hidden="1">
      <c r="A159" s="95"/>
      <c r="B159" s="96"/>
      <c r="C159" s="96"/>
    </row>
    <row r="160" hidden="1">
      <c r="A160" s="95"/>
      <c r="B160" s="96"/>
      <c r="C160" s="96"/>
    </row>
    <row r="161" hidden="1">
      <c r="A161" s="95"/>
      <c r="B161" s="96"/>
      <c r="C161" s="96"/>
    </row>
    <row r="162" hidden="1">
      <c r="A162" s="95"/>
      <c r="B162" s="96"/>
      <c r="C162" s="96"/>
    </row>
    <row r="163" hidden="1">
      <c r="A163" s="95"/>
      <c r="B163" s="96"/>
      <c r="C163" s="96"/>
    </row>
    <row r="164" hidden="1">
      <c r="A164" s="95"/>
      <c r="B164" s="96"/>
      <c r="C164" s="96"/>
    </row>
    <row r="165" hidden="1">
      <c r="A165" s="95"/>
      <c r="B165" s="96"/>
      <c r="C165" s="96"/>
    </row>
    <row r="166" hidden="1">
      <c r="A166" s="95"/>
      <c r="B166" s="96"/>
      <c r="C166" s="96"/>
    </row>
    <row r="167" hidden="1">
      <c r="A167" s="95"/>
      <c r="B167" s="96"/>
      <c r="C167" s="96"/>
    </row>
    <row r="168" hidden="1">
      <c r="A168" s="95"/>
      <c r="B168" s="96"/>
      <c r="C168" s="96"/>
    </row>
    <row r="169" hidden="1">
      <c r="A169" s="95"/>
      <c r="B169" s="96"/>
      <c r="C169" s="96"/>
    </row>
    <row r="170" hidden="1">
      <c r="A170" s="95"/>
      <c r="B170" s="96"/>
      <c r="C170" s="96"/>
    </row>
    <row r="171" hidden="1">
      <c r="A171" s="95"/>
      <c r="B171" s="96"/>
      <c r="C171" s="96"/>
    </row>
    <row r="172" hidden="1">
      <c r="A172" s="95"/>
      <c r="B172" s="96"/>
      <c r="C172" s="96"/>
    </row>
    <row r="173" hidden="1">
      <c r="A173" s="95"/>
      <c r="B173" s="96"/>
      <c r="C173" s="96"/>
    </row>
    <row r="174" hidden="1">
      <c r="A174" s="95"/>
      <c r="B174" s="96"/>
      <c r="C174" s="96"/>
    </row>
    <row r="175" hidden="1">
      <c r="A175" s="95"/>
      <c r="B175" s="96"/>
      <c r="C175" s="96"/>
    </row>
    <row r="176" hidden="1">
      <c r="A176" s="95"/>
      <c r="B176" s="96"/>
      <c r="C176" s="96"/>
    </row>
    <row r="177" hidden="1">
      <c r="A177" s="95"/>
      <c r="B177" s="96"/>
      <c r="C177" s="96"/>
    </row>
    <row r="178" hidden="1">
      <c r="A178" s="95"/>
      <c r="B178" s="96"/>
      <c r="C178" s="96"/>
    </row>
    <row r="179" hidden="1">
      <c r="A179" s="95"/>
      <c r="B179" s="96"/>
      <c r="C179" s="96"/>
    </row>
    <row r="180" hidden="1">
      <c r="A180" s="95"/>
      <c r="B180" s="96"/>
      <c r="C180" s="96"/>
    </row>
    <row r="181" hidden="1">
      <c r="A181" s="95"/>
      <c r="B181" s="96"/>
      <c r="C181" s="96"/>
    </row>
    <row r="182" hidden="1">
      <c r="A182" s="95"/>
      <c r="B182" s="96"/>
      <c r="C182" s="96"/>
    </row>
    <row r="183" hidden="1">
      <c r="A183" s="95"/>
      <c r="B183" s="96"/>
      <c r="C183" s="96"/>
    </row>
    <row r="184" hidden="1">
      <c r="A184" s="95"/>
      <c r="B184" s="96"/>
      <c r="C184" s="96"/>
    </row>
    <row r="185" hidden="1">
      <c r="A185" s="95"/>
      <c r="B185" s="96"/>
      <c r="C185" s="96"/>
    </row>
    <row r="186" hidden="1">
      <c r="A186" s="95"/>
      <c r="B186" s="96"/>
      <c r="C186" s="96"/>
    </row>
    <row r="187" hidden="1">
      <c r="A187" s="95"/>
      <c r="B187" s="96"/>
      <c r="C187" s="96"/>
    </row>
    <row r="188" hidden="1">
      <c r="A188" s="95"/>
      <c r="B188" s="96"/>
      <c r="C188" s="96"/>
    </row>
    <row r="189" hidden="1">
      <c r="A189" s="95"/>
      <c r="B189" s="96"/>
      <c r="C189" s="96"/>
    </row>
    <row r="190" hidden="1">
      <c r="A190" s="95"/>
      <c r="B190" s="96"/>
      <c r="C190" s="96"/>
    </row>
    <row r="191" hidden="1">
      <c r="A191" s="95"/>
      <c r="B191" s="96"/>
      <c r="C191" s="96"/>
    </row>
    <row r="192" hidden="1">
      <c r="A192" s="95"/>
      <c r="B192" s="96"/>
      <c r="C192" s="96"/>
    </row>
    <row r="193" hidden="1">
      <c r="A193" s="95"/>
      <c r="B193" s="96"/>
      <c r="C193" s="96"/>
    </row>
    <row r="194" hidden="1">
      <c r="A194" s="95"/>
      <c r="B194" s="96"/>
      <c r="C194" s="96"/>
    </row>
    <row r="195" hidden="1">
      <c r="A195" s="95"/>
      <c r="B195" s="96"/>
      <c r="C195" s="96"/>
    </row>
    <row r="196" hidden="1">
      <c r="A196" s="95"/>
      <c r="B196" s="96"/>
      <c r="C196" s="96"/>
    </row>
    <row r="197" hidden="1">
      <c r="A197" s="95"/>
      <c r="B197" s="96"/>
      <c r="C197" s="96"/>
    </row>
    <row r="198" hidden="1">
      <c r="A198" s="95"/>
      <c r="B198" s="96"/>
      <c r="C198" s="96"/>
    </row>
    <row r="199" hidden="1">
      <c r="A199" s="95"/>
      <c r="B199" s="96"/>
      <c r="C199" s="96"/>
    </row>
    <row r="200" hidden="1">
      <c r="A200" s="95"/>
      <c r="B200" s="96"/>
      <c r="C200" s="96"/>
    </row>
    <row r="201" hidden="1">
      <c r="A201" s="95"/>
      <c r="B201" s="96"/>
      <c r="C201" s="96"/>
    </row>
    <row r="202" hidden="1">
      <c r="A202" s="95"/>
      <c r="B202" s="96"/>
      <c r="C202" s="96"/>
    </row>
    <row r="203" hidden="1">
      <c r="A203" s="95"/>
      <c r="B203" s="96"/>
      <c r="C203" s="96"/>
    </row>
    <row r="204" hidden="1">
      <c r="A204" s="95"/>
      <c r="B204" s="96"/>
      <c r="C204" s="96"/>
    </row>
    <row r="205" hidden="1">
      <c r="A205" s="95"/>
      <c r="B205" s="96"/>
      <c r="C205" s="96"/>
    </row>
    <row r="206" hidden="1">
      <c r="A206" s="95"/>
      <c r="B206" s="96"/>
      <c r="C206" s="96"/>
    </row>
    <row r="207" hidden="1">
      <c r="A207" s="95"/>
      <c r="B207" s="96"/>
      <c r="C207" s="96"/>
    </row>
    <row r="208" hidden="1">
      <c r="A208" s="95"/>
      <c r="B208" s="96"/>
      <c r="C208" s="96"/>
    </row>
    <row r="209" hidden="1">
      <c r="A209" s="95"/>
      <c r="B209" s="96"/>
      <c r="C209" s="96"/>
    </row>
    <row r="210" hidden="1">
      <c r="A210" s="95"/>
      <c r="B210" s="96"/>
      <c r="C210" s="96"/>
    </row>
    <row r="211" hidden="1">
      <c r="A211" s="95"/>
      <c r="B211" s="96"/>
      <c r="C211" s="96"/>
    </row>
    <row r="212" hidden="1">
      <c r="A212" s="95"/>
      <c r="B212" s="96"/>
      <c r="C212" s="96"/>
    </row>
    <row r="213" hidden="1">
      <c r="A213" s="95"/>
      <c r="B213" s="96"/>
      <c r="C213" s="96"/>
    </row>
    <row r="214" hidden="1">
      <c r="A214" s="95"/>
      <c r="B214" s="96"/>
      <c r="C214" s="96"/>
    </row>
    <row r="215" hidden="1">
      <c r="A215" s="95"/>
      <c r="B215" s="96"/>
      <c r="C215" s="96"/>
    </row>
    <row r="216" hidden="1">
      <c r="A216" s="95"/>
      <c r="B216" s="96"/>
      <c r="C216" s="96"/>
    </row>
    <row r="217" hidden="1">
      <c r="A217" s="95"/>
      <c r="B217" s="96"/>
      <c r="C217" s="96"/>
    </row>
    <row r="218" hidden="1">
      <c r="A218" s="95"/>
      <c r="B218" s="96"/>
      <c r="C218" s="96"/>
    </row>
    <row r="219" hidden="1">
      <c r="A219" s="95"/>
      <c r="B219" s="96"/>
      <c r="C219" s="96"/>
    </row>
    <row r="220" hidden="1">
      <c r="A220" s="95"/>
      <c r="B220" s="96"/>
      <c r="C220" s="96"/>
    </row>
    <row r="221" hidden="1">
      <c r="A221" s="95"/>
      <c r="B221" s="96"/>
      <c r="C221" s="96"/>
    </row>
    <row r="222" hidden="1">
      <c r="A222" s="95"/>
      <c r="B222" s="96"/>
      <c r="C222" s="96"/>
    </row>
    <row r="223" hidden="1">
      <c r="A223" s="95"/>
      <c r="B223" s="96"/>
      <c r="C223" s="96"/>
    </row>
    <row r="224" hidden="1">
      <c r="A224" s="95"/>
      <c r="B224" s="96"/>
      <c r="C224" s="96"/>
    </row>
    <row r="225" hidden="1">
      <c r="A225" s="95"/>
      <c r="B225" s="96"/>
      <c r="C225" s="96"/>
    </row>
    <row r="226" hidden="1">
      <c r="A226" s="95"/>
      <c r="B226" s="96"/>
      <c r="C226" s="96"/>
    </row>
    <row r="227" hidden="1">
      <c r="A227" s="95"/>
      <c r="B227" s="96"/>
      <c r="C227" s="96"/>
    </row>
    <row r="228" hidden="1">
      <c r="A228" s="95"/>
      <c r="B228" s="96"/>
      <c r="C228" s="96"/>
    </row>
    <row r="229" hidden="1">
      <c r="A229" s="95"/>
      <c r="B229" s="96"/>
      <c r="C229" s="96"/>
    </row>
    <row r="230" hidden="1">
      <c r="A230" s="95"/>
      <c r="B230" s="96"/>
      <c r="C230" s="96"/>
    </row>
    <row r="231" hidden="1">
      <c r="A231" s="95"/>
      <c r="B231" s="96"/>
      <c r="C231" s="96"/>
    </row>
    <row r="232" hidden="1">
      <c r="A232" s="95"/>
      <c r="B232" s="96"/>
      <c r="C232" s="96"/>
    </row>
    <row r="233" hidden="1">
      <c r="A233" s="95"/>
      <c r="B233" s="96"/>
      <c r="C233" s="96"/>
    </row>
    <row r="234" hidden="1">
      <c r="A234" s="95"/>
      <c r="B234" s="96"/>
      <c r="C234" s="96"/>
    </row>
    <row r="235" hidden="1">
      <c r="A235" s="95"/>
      <c r="B235" s="96"/>
      <c r="C235" s="96"/>
    </row>
    <row r="236" hidden="1">
      <c r="A236" s="95"/>
      <c r="B236" s="96"/>
      <c r="C236" s="96"/>
    </row>
    <row r="237" hidden="1">
      <c r="A237" s="95"/>
      <c r="B237" s="96"/>
      <c r="C237" s="96"/>
    </row>
    <row r="238" hidden="1">
      <c r="A238" s="95"/>
      <c r="B238" s="96"/>
      <c r="C238" s="96"/>
    </row>
    <row r="239" hidden="1">
      <c r="A239" s="95"/>
      <c r="B239" s="96"/>
      <c r="C239" s="96"/>
    </row>
    <row r="240" hidden="1">
      <c r="A240" s="95"/>
      <c r="B240" s="96"/>
      <c r="C240" s="96"/>
    </row>
    <row r="241" hidden="1">
      <c r="A241" s="95"/>
      <c r="B241" s="96"/>
      <c r="C241" s="96"/>
    </row>
    <row r="242" hidden="1">
      <c r="A242" s="95"/>
      <c r="B242" s="96"/>
      <c r="C242" s="96"/>
    </row>
    <row r="243" hidden="1">
      <c r="A243" s="95"/>
      <c r="B243" s="96"/>
      <c r="C243" s="96"/>
    </row>
    <row r="244" hidden="1">
      <c r="A244" s="95"/>
      <c r="B244" s="96"/>
      <c r="C244" s="96"/>
    </row>
    <row r="245" hidden="1">
      <c r="A245" s="95"/>
      <c r="B245" s="96"/>
      <c r="C245" s="96"/>
    </row>
    <row r="246" hidden="1">
      <c r="A246" s="95"/>
      <c r="B246" s="96"/>
      <c r="C246" s="96"/>
    </row>
    <row r="247" hidden="1">
      <c r="A247" s="95"/>
      <c r="B247" s="96"/>
      <c r="C247" s="96"/>
    </row>
    <row r="248" hidden="1">
      <c r="A248" s="95"/>
      <c r="B248" s="96"/>
      <c r="C248" s="96"/>
    </row>
    <row r="249" hidden="1">
      <c r="A249" s="95"/>
      <c r="B249" s="96"/>
      <c r="C249" s="96"/>
    </row>
    <row r="250" hidden="1">
      <c r="A250" s="95"/>
      <c r="B250" s="96"/>
      <c r="C250" s="96"/>
    </row>
    <row r="251" hidden="1">
      <c r="A251" s="95"/>
      <c r="B251" s="96"/>
      <c r="C251" s="96"/>
    </row>
    <row r="252" hidden="1">
      <c r="A252" s="95"/>
      <c r="B252" s="96"/>
      <c r="C252" s="96"/>
    </row>
    <row r="253" hidden="1">
      <c r="A253" s="95"/>
      <c r="B253" s="96"/>
      <c r="C253" s="96"/>
    </row>
    <row r="254" hidden="1">
      <c r="A254" s="95"/>
      <c r="B254" s="96"/>
      <c r="C254" s="96"/>
    </row>
    <row r="255" hidden="1">
      <c r="A255" s="95"/>
      <c r="B255" s="96"/>
      <c r="C255" s="96"/>
    </row>
    <row r="256" hidden="1">
      <c r="A256" s="95"/>
      <c r="B256" s="96"/>
      <c r="C256" s="96"/>
    </row>
    <row r="257" hidden="1">
      <c r="A257" s="95"/>
      <c r="B257" s="96"/>
      <c r="C257" s="96"/>
    </row>
    <row r="258" hidden="1">
      <c r="A258" s="95"/>
      <c r="B258" s="96"/>
      <c r="C258" s="96"/>
    </row>
    <row r="259" hidden="1">
      <c r="A259" s="95"/>
      <c r="B259" s="96"/>
      <c r="C259" s="96"/>
    </row>
    <row r="260" hidden="1">
      <c r="A260" s="95"/>
      <c r="B260" s="96"/>
      <c r="C260" s="96"/>
    </row>
    <row r="261" hidden="1">
      <c r="A261" s="95"/>
      <c r="B261" s="96"/>
      <c r="C261" s="96"/>
    </row>
    <row r="262" hidden="1">
      <c r="A262" s="95"/>
      <c r="B262" s="96"/>
      <c r="C262" s="96"/>
    </row>
    <row r="263" hidden="1">
      <c r="A263" s="95"/>
      <c r="B263" s="96"/>
      <c r="C263" s="96"/>
    </row>
    <row r="264" hidden="1">
      <c r="A264" s="95"/>
      <c r="B264" s="96"/>
      <c r="C264" s="96"/>
    </row>
    <row r="265" hidden="1">
      <c r="A265" s="95"/>
      <c r="B265" s="96"/>
      <c r="C265" s="96"/>
    </row>
    <row r="266" hidden="1">
      <c r="A266" s="95"/>
      <c r="B266" s="96"/>
      <c r="C266" s="96"/>
    </row>
    <row r="267" hidden="1">
      <c r="A267" s="95"/>
      <c r="B267" s="96"/>
      <c r="C267" s="96"/>
    </row>
    <row r="268" hidden="1">
      <c r="A268" s="95"/>
      <c r="B268" s="96"/>
      <c r="C268" s="96"/>
    </row>
    <row r="269" hidden="1">
      <c r="A269" s="95"/>
      <c r="B269" s="96"/>
      <c r="C269" s="96"/>
    </row>
    <row r="270" hidden="1">
      <c r="A270" s="95"/>
      <c r="B270" s="96"/>
      <c r="C270" s="96"/>
    </row>
    <row r="271" hidden="1">
      <c r="A271" s="95"/>
      <c r="B271" s="96"/>
      <c r="C271" s="96"/>
    </row>
    <row r="272" hidden="1">
      <c r="A272" s="95"/>
      <c r="B272" s="96"/>
      <c r="C272" s="96"/>
    </row>
    <row r="273" hidden="1">
      <c r="A273" s="95"/>
      <c r="B273" s="96"/>
      <c r="C273" s="96"/>
    </row>
    <row r="274" hidden="1">
      <c r="A274" s="95"/>
      <c r="B274" s="96"/>
      <c r="C274" s="96"/>
    </row>
    <row r="275" hidden="1">
      <c r="A275" s="95"/>
      <c r="B275" s="96"/>
      <c r="C275" s="96"/>
    </row>
    <row r="276" hidden="1">
      <c r="A276" s="95"/>
      <c r="B276" s="96"/>
      <c r="C276" s="96"/>
    </row>
    <row r="277" hidden="1">
      <c r="A277" s="95"/>
      <c r="B277" s="96"/>
      <c r="C277" s="96"/>
    </row>
    <row r="278" hidden="1">
      <c r="A278" s="95"/>
      <c r="B278" s="96"/>
      <c r="C278" s="96"/>
    </row>
    <row r="279" hidden="1">
      <c r="A279" s="95"/>
      <c r="B279" s="96"/>
      <c r="C279" s="96"/>
    </row>
    <row r="280" hidden="1">
      <c r="A280" s="95"/>
      <c r="B280" s="96"/>
      <c r="C280" s="96"/>
    </row>
    <row r="281" hidden="1">
      <c r="A281" s="95"/>
      <c r="B281" s="96"/>
      <c r="C281" s="96"/>
    </row>
    <row r="282" hidden="1">
      <c r="A282" s="95"/>
      <c r="B282" s="96"/>
      <c r="C282" s="96"/>
    </row>
    <row r="283" hidden="1">
      <c r="A283" s="95"/>
      <c r="B283" s="96"/>
      <c r="C283" s="96"/>
    </row>
    <row r="284" hidden="1">
      <c r="A284" s="95"/>
      <c r="B284" s="96"/>
      <c r="C284" s="96"/>
    </row>
    <row r="285" hidden="1">
      <c r="A285" s="95"/>
      <c r="B285" s="96"/>
      <c r="C285" s="96"/>
    </row>
    <row r="286" hidden="1">
      <c r="A286" s="95"/>
      <c r="B286" s="96"/>
      <c r="C286" s="96"/>
    </row>
    <row r="287" hidden="1">
      <c r="A287" s="95"/>
      <c r="B287" s="96"/>
      <c r="C287" s="96"/>
    </row>
    <row r="288" hidden="1">
      <c r="A288" s="95"/>
      <c r="B288" s="96"/>
      <c r="C288" s="96"/>
    </row>
    <row r="289" hidden="1">
      <c r="A289" s="95"/>
      <c r="B289" s="96"/>
      <c r="C289" s="96"/>
    </row>
    <row r="290" hidden="1">
      <c r="A290" s="95"/>
      <c r="B290" s="96"/>
      <c r="C290" s="96"/>
    </row>
    <row r="291" hidden="1">
      <c r="A291" s="95"/>
      <c r="B291" s="96"/>
      <c r="C291" s="96"/>
    </row>
    <row r="292" hidden="1">
      <c r="A292" s="95"/>
      <c r="B292" s="96"/>
      <c r="C292" s="96"/>
    </row>
    <row r="293" hidden="1">
      <c r="A293" s="95"/>
      <c r="B293" s="96"/>
      <c r="C293" s="96"/>
    </row>
    <row r="294" hidden="1">
      <c r="A294" s="95"/>
      <c r="B294" s="96"/>
      <c r="C294" s="96"/>
    </row>
    <row r="295" hidden="1">
      <c r="A295" s="95"/>
      <c r="B295" s="96"/>
      <c r="C295" s="96"/>
    </row>
    <row r="296" hidden="1">
      <c r="A296" s="95"/>
      <c r="B296" s="96"/>
      <c r="C296" s="96"/>
    </row>
    <row r="297" hidden="1">
      <c r="A297" s="95"/>
      <c r="B297" s="96"/>
      <c r="C297" s="96"/>
    </row>
    <row r="298" hidden="1">
      <c r="A298" s="95"/>
      <c r="B298" s="96"/>
      <c r="C298" s="96"/>
    </row>
    <row r="299" hidden="1">
      <c r="A299" s="95"/>
      <c r="B299" s="96"/>
      <c r="C299" s="96"/>
    </row>
    <row r="300" hidden="1">
      <c r="A300" s="95"/>
      <c r="B300" s="96"/>
      <c r="C300" s="96"/>
    </row>
    <row r="301" hidden="1">
      <c r="A301" s="95"/>
      <c r="B301" s="96"/>
      <c r="C301" s="96"/>
    </row>
    <row r="302" hidden="1">
      <c r="A302" s="95"/>
      <c r="B302" s="96"/>
      <c r="C302" s="96"/>
    </row>
    <row r="303" hidden="1">
      <c r="A303" s="95"/>
      <c r="B303" s="96"/>
      <c r="C303" s="96"/>
    </row>
    <row r="304" hidden="1">
      <c r="A304" s="95"/>
      <c r="B304" s="96"/>
      <c r="C304" s="96"/>
    </row>
    <row r="305" hidden="1">
      <c r="A305" s="95"/>
      <c r="B305" s="96"/>
      <c r="C305" s="96"/>
    </row>
    <row r="306" hidden="1">
      <c r="A306" s="95"/>
      <c r="B306" s="96"/>
      <c r="C306" s="96"/>
    </row>
    <row r="307" hidden="1">
      <c r="A307" s="95"/>
      <c r="B307" s="96"/>
      <c r="C307" s="96"/>
    </row>
    <row r="308" hidden="1">
      <c r="A308" s="95"/>
      <c r="B308" s="96"/>
      <c r="C308" s="96"/>
    </row>
    <row r="309" hidden="1">
      <c r="A309" s="95"/>
      <c r="B309" s="96"/>
      <c r="C309" s="96"/>
    </row>
    <row r="310" hidden="1">
      <c r="A310" s="95"/>
      <c r="B310" s="96"/>
      <c r="C310" s="96"/>
    </row>
    <row r="311" hidden="1">
      <c r="A311" s="95"/>
      <c r="B311" s="96"/>
      <c r="C311" s="96"/>
    </row>
    <row r="312" hidden="1">
      <c r="A312" s="95"/>
      <c r="B312" s="96"/>
      <c r="C312" s="96"/>
    </row>
    <row r="313" hidden="1">
      <c r="A313" s="95"/>
      <c r="B313" s="96"/>
      <c r="C313" s="96"/>
    </row>
    <row r="314" hidden="1">
      <c r="A314" s="95"/>
      <c r="B314" s="96"/>
      <c r="C314" s="96"/>
    </row>
    <row r="315" hidden="1">
      <c r="A315" s="95"/>
      <c r="B315" s="96"/>
      <c r="C315" s="96"/>
    </row>
    <row r="316" hidden="1">
      <c r="A316" s="95"/>
      <c r="B316" s="96"/>
      <c r="C316" s="96"/>
    </row>
    <row r="317" hidden="1">
      <c r="A317" s="95"/>
      <c r="B317" s="96"/>
      <c r="C317" s="96"/>
    </row>
    <row r="318" hidden="1">
      <c r="A318" s="95"/>
      <c r="B318" s="96"/>
      <c r="C318" s="96"/>
    </row>
    <row r="319" hidden="1">
      <c r="A319" s="95"/>
      <c r="B319" s="96"/>
      <c r="C319" s="96"/>
    </row>
    <row r="320" hidden="1">
      <c r="A320" s="95"/>
      <c r="B320" s="96"/>
      <c r="C320" s="96"/>
    </row>
    <row r="321" hidden="1">
      <c r="A321" s="95"/>
      <c r="B321" s="96"/>
      <c r="C321" s="96"/>
    </row>
    <row r="322" hidden="1">
      <c r="A322" s="95"/>
      <c r="B322" s="96"/>
      <c r="C322" s="96"/>
    </row>
    <row r="323" hidden="1">
      <c r="A323" s="95"/>
      <c r="B323" s="96"/>
      <c r="C323" s="96"/>
    </row>
    <row r="324" hidden="1">
      <c r="A324" s="95"/>
      <c r="B324" s="96"/>
      <c r="C324" s="96"/>
    </row>
    <row r="325" hidden="1">
      <c r="A325" s="95"/>
      <c r="B325" s="96"/>
      <c r="C325" s="96"/>
    </row>
    <row r="326" hidden="1">
      <c r="A326" s="95"/>
      <c r="B326" s="96"/>
      <c r="C326" s="96"/>
    </row>
    <row r="327" hidden="1">
      <c r="A327" s="95"/>
      <c r="B327" s="96"/>
      <c r="C327" s="96"/>
    </row>
    <row r="328" hidden="1">
      <c r="A328" s="95"/>
      <c r="B328" s="96"/>
      <c r="C328" s="96"/>
    </row>
    <row r="329" hidden="1">
      <c r="A329" s="95"/>
      <c r="B329" s="96"/>
      <c r="C329" s="96"/>
    </row>
    <row r="330" hidden="1">
      <c r="A330" s="95"/>
      <c r="B330" s="96"/>
      <c r="C330" s="96"/>
    </row>
    <row r="331" hidden="1">
      <c r="A331" s="95"/>
      <c r="B331" s="96"/>
      <c r="C331" s="96"/>
    </row>
    <row r="332" hidden="1">
      <c r="A332" s="95"/>
      <c r="B332" s="96"/>
      <c r="C332" s="96"/>
    </row>
    <row r="333" hidden="1">
      <c r="A333" s="95"/>
      <c r="B333" s="96"/>
      <c r="C333" s="96"/>
    </row>
    <row r="334" hidden="1">
      <c r="A334" s="95"/>
      <c r="B334" s="96"/>
      <c r="C334" s="96"/>
    </row>
    <row r="335" hidden="1">
      <c r="A335" s="95"/>
      <c r="B335" s="96"/>
      <c r="C335" s="96"/>
    </row>
    <row r="336" hidden="1">
      <c r="A336" s="95"/>
      <c r="B336" s="96"/>
      <c r="C336" s="96"/>
    </row>
    <row r="337" hidden="1">
      <c r="A337" s="95"/>
      <c r="B337" s="96"/>
      <c r="C337" s="96"/>
    </row>
    <row r="338" hidden="1">
      <c r="A338" s="95"/>
      <c r="B338" s="96"/>
      <c r="C338" s="96"/>
    </row>
    <row r="339" hidden="1">
      <c r="A339" s="95"/>
      <c r="B339" s="96"/>
      <c r="C339" s="96"/>
    </row>
    <row r="340" hidden="1">
      <c r="A340" s="95"/>
      <c r="B340" s="96"/>
      <c r="C340" s="96"/>
    </row>
    <row r="341" hidden="1">
      <c r="A341" s="95"/>
      <c r="B341" s="96"/>
      <c r="C341" s="96"/>
    </row>
    <row r="342" hidden="1">
      <c r="A342" s="95"/>
      <c r="B342" s="96"/>
      <c r="C342" s="96"/>
    </row>
    <row r="343" hidden="1">
      <c r="A343" s="95"/>
      <c r="B343" s="96"/>
      <c r="C343" s="96"/>
    </row>
    <row r="344" hidden="1">
      <c r="A344" s="95"/>
      <c r="B344" s="96"/>
      <c r="C344" s="96"/>
    </row>
    <row r="345" hidden="1">
      <c r="A345" s="95"/>
      <c r="B345" s="96"/>
      <c r="C345" s="96"/>
    </row>
    <row r="346" hidden="1">
      <c r="A346" s="95"/>
      <c r="B346" s="96"/>
      <c r="C346" s="96"/>
    </row>
    <row r="347" hidden="1">
      <c r="A347" s="95"/>
      <c r="B347" s="96"/>
      <c r="C347" s="96"/>
    </row>
    <row r="348" hidden="1">
      <c r="A348" s="95"/>
      <c r="B348" s="96"/>
      <c r="C348" s="96"/>
    </row>
    <row r="349" hidden="1">
      <c r="A349" s="95"/>
      <c r="B349" s="96"/>
      <c r="C349" s="96"/>
    </row>
    <row r="350" hidden="1">
      <c r="A350" s="95"/>
      <c r="B350" s="96"/>
      <c r="C350" s="96"/>
    </row>
    <row r="351" hidden="1">
      <c r="A351" s="95"/>
      <c r="B351" s="96"/>
      <c r="C351" s="96"/>
    </row>
    <row r="352" hidden="1">
      <c r="A352" s="95"/>
      <c r="B352" s="96"/>
      <c r="C352" s="96"/>
    </row>
    <row r="353" hidden="1">
      <c r="A353" s="95"/>
      <c r="B353" s="96"/>
      <c r="C353" s="96"/>
    </row>
    <row r="354" hidden="1">
      <c r="A354" s="95"/>
      <c r="B354" s="96"/>
      <c r="C354" s="96"/>
    </row>
    <row r="355" hidden="1">
      <c r="A355" s="95"/>
      <c r="B355" s="96"/>
      <c r="C355" s="96"/>
    </row>
    <row r="356" hidden="1">
      <c r="A356" s="95"/>
      <c r="B356" s="96"/>
      <c r="C356" s="96"/>
    </row>
    <row r="357" hidden="1">
      <c r="A357" s="95"/>
      <c r="B357" s="96"/>
      <c r="C357" s="96"/>
    </row>
    <row r="358" hidden="1">
      <c r="A358" s="95"/>
      <c r="B358" s="96"/>
      <c r="C358" s="96"/>
    </row>
    <row r="359" hidden="1">
      <c r="A359" s="95"/>
      <c r="B359" s="96"/>
      <c r="C359" s="96"/>
    </row>
    <row r="360" hidden="1">
      <c r="A360" s="95"/>
      <c r="B360" s="96"/>
      <c r="C360" s="96"/>
    </row>
    <row r="361" hidden="1">
      <c r="A361" s="95"/>
      <c r="B361" s="96"/>
      <c r="C361" s="96"/>
    </row>
    <row r="362" hidden="1">
      <c r="A362" s="95"/>
      <c r="B362" s="96"/>
      <c r="C362" s="96"/>
    </row>
    <row r="363" hidden="1">
      <c r="A363" s="95"/>
      <c r="B363" s="96"/>
      <c r="C363" s="96"/>
    </row>
    <row r="364" hidden="1">
      <c r="A364" s="95"/>
      <c r="B364" s="96"/>
      <c r="C364" s="96"/>
    </row>
    <row r="365" hidden="1">
      <c r="A365" s="95"/>
      <c r="B365" s="96"/>
      <c r="C365" s="96"/>
    </row>
    <row r="366" hidden="1">
      <c r="A366" s="95"/>
      <c r="B366" s="96"/>
      <c r="C366" s="96"/>
    </row>
    <row r="367" hidden="1">
      <c r="A367" s="95"/>
      <c r="B367" s="96"/>
      <c r="C367" s="96"/>
    </row>
    <row r="368" hidden="1">
      <c r="A368" s="95"/>
      <c r="B368" s="96"/>
      <c r="C368" s="96"/>
    </row>
    <row r="369" hidden="1">
      <c r="A369" s="95"/>
      <c r="B369" s="96"/>
      <c r="C369" s="96"/>
    </row>
    <row r="370" hidden="1">
      <c r="A370" s="95"/>
      <c r="B370" s="96"/>
      <c r="C370" s="96"/>
    </row>
    <row r="371" hidden="1">
      <c r="A371" s="95"/>
      <c r="B371" s="96"/>
      <c r="C371" s="96"/>
    </row>
    <row r="372" hidden="1">
      <c r="A372" s="95"/>
      <c r="B372" s="96"/>
      <c r="C372" s="96"/>
    </row>
    <row r="373" hidden="1">
      <c r="A373" s="95"/>
      <c r="B373" s="96"/>
      <c r="C373" s="96"/>
    </row>
    <row r="374" hidden="1">
      <c r="A374" s="95"/>
      <c r="B374" s="96"/>
      <c r="C374" s="96"/>
    </row>
    <row r="375" hidden="1">
      <c r="A375" s="95"/>
      <c r="B375" s="96"/>
      <c r="C375" s="96"/>
    </row>
    <row r="376" hidden="1">
      <c r="A376" s="95"/>
      <c r="B376" s="96"/>
      <c r="C376" s="96"/>
    </row>
    <row r="377" hidden="1">
      <c r="A377" s="95"/>
      <c r="B377" s="96"/>
      <c r="C377" s="96"/>
    </row>
    <row r="378" hidden="1">
      <c r="A378" s="95"/>
      <c r="B378" s="96"/>
      <c r="C378" s="96"/>
    </row>
    <row r="379" hidden="1">
      <c r="A379" s="95"/>
      <c r="B379" s="96"/>
      <c r="C379" s="96"/>
    </row>
    <row r="380" hidden="1">
      <c r="A380" s="95"/>
      <c r="B380" s="96"/>
      <c r="C380" s="96"/>
    </row>
    <row r="381" hidden="1">
      <c r="A381" s="95"/>
      <c r="B381" s="96"/>
      <c r="C381" s="96"/>
    </row>
    <row r="382" hidden="1">
      <c r="A382" s="95"/>
      <c r="B382" s="96"/>
      <c r="C382" s="96"/>
    </row>
    <row r="383" hidden="1">
      <c r="A383" s="95"/>
      <c r="B383" s="96"/>
      <c r="C383" s="96"/>
    </row>
    <row r="384" hidden="1">
      <c r="A384" s="95"/>
      <c r="B384" s="96"/>
      <c r="C384" s="96"/>
    </row>
    <row r="385" hidden="1">
      <c r="A385" s="95"/>
      <c r="B385" s="96"/>
      <c r="C385" s="96"/>
    </row>
    <row r="386" hidden="1">
      <c r="A386" s="95"/>
      <c r="B386" s="96"/>
      <c r="C386" s="96"/>
    </row>
    <row r="387" hidden="1">
      <c r="A387" s="95"/>
      <c r="B387" s="96"/>
      <c r="C387" s="96"/>
    </row>
    <row r="388" hidden="1">
      <c r="A388" s="95"/>
      <c r="B388" s="96"/>
      <c r="C388" s="96"/>
    </row>
    <row r="389" hidden="1">
      <c r="A389" s="95"/>
      <c r="B389" s="96"/>
      <c r="C389" s="96"/>
    </row>
    <row r="390" hidden="1">
      <c r="A390" s="95"/>
      <c r="B390" s="96"/>
      <c r="C390" s="96"/>
    </row>
    <row r="391" hidden="1">
      <c r="A391" s="95"/>
      <c r="B391" s="96"/>
      <c r="C391" s="96"/>
    </row>
    <row r="392" hidden="1">
      <c r="A392" s="95"/>
      <c r="B392" s="96"/>
      <c r="C392" s="96"/>
    </row>
    <row r="393" hidden="1">
      <c r="A393" s="95"/>
      <c r="B393" s="96"/>
      <c r="C393" s="96"/>
    </row>
    <row r="394" hidden="1">
      <c r="A394" s="95"/>
      <c r="B394" s="96"/>
      <c r="C394" s="96"/>
    </row>
    <row r="395" hidden="1">
      <c r="A395" s="95"/>
      <c r="B395" s="96"/>
      <c r="C395" s="96"/>
    </row>
    <row r="396" hidden="1">
      <c r="A396" s="95"/>
      <c r="B396" s="96"/>
      <c r="C396" s="96"/>
    </row>
    <row r="397" hidden="1">
      <c r="A397" s="95"/>
      <c r="B397" s="96"/>
      <c r="C397" s="96"/>
    </row>
    <row r="398" hidden="1">
      <c r="A398" s="95"/>
      <c r="B398" s="96"/>
      <c r="C398" s="96"/>
    </row>
    <row r="399" hidden="1">
      <c r="A399" s="95"/>
      <c r="B399" s="96"/>
      <c r="C399" s="96"/>
    </row>
    <row r="400" hidden="1">
      <c r="A400" s="95"/>
      <c r="B400" s="96"/>
      <c r="C400" s="96"/>
    </row>
    <row r="401" hidden="1">
      <c r="A401" s="95"/>
      <c r="B401" s="96"/>
      <c r="C401" s="96"/>
    </row>
    <row r="402" hidden="1">
      <c r="A402" s="95"/>
      <c r="B402" s="96"/>
      <c r="C402" s="96"/>
    </row>
    <row r="403" hidden="1">
      <c r="A403" s="95"/>
      <c r="B403" s="96"/>
      <c r="C403" s="96"/>
    </row>
    <row r="404" hidden="1">
      <c r="A404" s="95"/>
      <c r="B404" s="96"/>
      <c r="C404" s="96"/>
    </row>
    <row r="405" hidden="1">
      <c r="A405" s="95"/>
      <c r="B405" s="96"/>
      <c r="C405" s="96"/>
    </row>
    <row r="406" hidden="1">
      <c r="A406" s="95"/>
      <c r="B406" s="96"/>
      <c r="C406" s="96"/>
    </row>
    <row r="407" hidden="1">
      <c r="A407" s="95"/>
      <c r="B407" s="96"/>
      <c r="C407" s="96"/>
    </row>
    <row r="408" hidden="1">
      <c r="A408" s="95"/>
      <c r="B408" s="96"/>
      <c r="C408" s="96"/>
    </row>
    <row r="409" hidden="1">
      <c r="A409" s="95"/>
      <c r="B409" s="96"/>
      <c r="C409" s="96"/>
    </row>
    <row r="410" hidden="1">
      <c r="A410" s="95"/>
      <c r="B410" s="96"/>
      <c r="C410" s="96"/>
    </row>
    <row r="411" hidden="1">
      <c r="A411" s="95"/>
      <c r="B411" s="96"/>
      <c r="C411" s="96"/>
    </row>
    <row r="412" hidden="1">
      <c r="A412" s="95"/>
      <c r="B412" s="96"/>
      <c r="C412" s="96"/>
    </row>
    <row r="413" hidden="1">
      <c r="A413" s="95"/>
      <c r="B413" s="96"/>
      <c r="C413" s="96"/>
    </row>
    <row r="414" hidden="1">
      <c r="A414" s="95"/>
      <c r="B414" s="96"/>
      <c r="C414" s="96"/>
    </row>
    <row r="415" hidden="1">
      <c r="A415" s="95"/>
      <c r="B415" s="96"/>
      <c r="C415" s="96"/>
    </row>
    <row r="416" hidden="1">
      <c r="A416" s="95"/>
      <c r="B416" s="96"/>
      <c r="C416" s="96"/>
    </row>
    <row r="417" hidden="1">
      <c r="A417" s="95"/>
      <c r="B417" s="96"/>
      <c r="C417" s="96"/>
    </row>
    <row r="418" hidden="1">
      <c r="A418" s="95"/>
      <c r="B418" s="96"/>
      <c r="C418" s="96"/>
    </row>
    <row r="419" hidden="1">
      <c r="A419" s="95"/>
      <c r="B419" s="96"/>
      <c r="C419" s="96"/>
    </row>
    <row r="420" hidden="1">
      <c r="A420" s="95"/>
      <c r="B420" s="96"/>
      <c r="C420" s="96"/>
    </row>
    <row r="421" hidden="1">
      <c r="A421" s="95"/>
      <c r="B421" s="96"/>
      <c r="C421" s="96"/>
    </row>
    <row r="422" hidden="1">
      <c r="A422" s="95"/>
      <c r="B422" s="96"/>
      <c r="C422" s="96"/>
    </row>
    <row r="423" hidden="1">
      <c r="A423" s="95"/>
      <c r="B423" s="96"/>
      <c r="C423" s="96"/>
    </row>
    <row r="424" hidden="1">
      <c r="A424" s="95"/>
      <c r="B424" s="96"/>
      <c r="C424" s="96"/>
    </row>
    <row r="425" hidden="1">
      <c r="A425" s="95"/>
      <c r="B425" s="96"/>
      <c r="C425" s="96"/>
    </row>
    <row r="426" hidden="1">
      <c r="A426" s="95"/>
      <c r="B426" s="96"/>
      <c r="C426" s="96"/>
    </row>
    <row r="427" hidden="1">
      <c r="A427" s="95"/>
      <c r="B427" s="96"/>
      <c r="C427" s="96"/>
    </row>
    <row r="428" hidden="1">
      <c r="A428" s="95"/>
      <c r="B428" s="96"/>
      <c r="C428" s="96"/>
    </row>
    <row r="429" hidden="1">
      <c r="A429" s="95"/>
      <c r="B429" s="96"/>
      <c r="C429" s="96"/>
    </row>
    <row r="430" hidden="1">
      <c r="A430" s="95"/>
      <c r="B430" s="96"/>
      <c r="C430" s="96"/>
    </row>
    <row r="431" hidden="1">
      <c r="A431" s="95"/>
      <c r="B431" s="96"/>
      <c r="C431" s="96"/>
    </row>
    <row r="432" hidden="1">
      <c r="A432" s="95"/>
      <c r="B432" s="96"/>
      <c r="C432" s="96"/>
    </row>
    <row r="433" hidden="1">
      <c r="A433" s="95"/>
      <c r="B433" s="96"/>
      <c r="C433" s="96"/>
    </row>
    <row r="434" hidden="1">
      <c r="A434" s="95"/>
      <c r="B434" s="96"/>
      <c r="C434" s="96"/>
    </row>
    <row r="435" hidden="1">
      <c r="A435" s="95"/>
      <c r="B435" s="96"/>
      <c r="C435" s="96"/>
    </row>
    <row r="436" hidden="1">
      <c r="A436" s="95"/>
      <c r="B436" s="96"/>
      <c r="C436" s="96"/>
    </row>
    <row r="437" hidden="1">
      <c r="A437" s="95"/>
      <c r="B437" s="96"/>
      <c r="C437" s="96"/>
    </row>
    <row r="438" hidden="1">
      <c r="A438" s="95"/>
      <c r="B438" s="96"/>
      <c r="C438" s="96"/>
    </row>
    <row r="439" hidden="1">
      <c r="A439" s="95"/>
      <c r="B439" s="96"/>
      <c r="C439" s="96"/>
    </row>
    <row r="440" hidden="1">
      <c r="A440" s="95"/>
      <c r="B440" s="96"/>
      <c r="C440" s="96"/>
    </row>
    <row r="441" hidden="1">
      <c r="A441" s="95"/>
      <c r="B441" s="96"/>
      <c r="C441" s="96"/>
    </row>
    <row r="442" hidden="1">
      <c r="A442" s="95"/>
      <c r="B442" s="96"/>
      <c r="C442" s="96"/>
    </row>
    <row r="443" hidden="1">
      <c r="A443" s="95"/>
      <c r="B443" s="96"/>
      <c r="C443" s="96"/>
    </row>
    <row r="444" hidden="1">
      <c r="A444" s="95"/>
      <c r="B444" s="96"/>
      <c r="C444" s="96"/>
    </row>
    <row r="445" hidden="1">
      <c r="A445" s="95"/>
      <c r="B445" s="96"/>
      <c r="C445" s="96"/>
    </row>
    <row r="446" hidden="1">
      <c r="A446" s="95"/>
      <c r="B446" s="96"/>
      <c r="C446" s="96"/>
    </row>
    <row r="447" hidden="1">
      <c r="A447" s="95"/>
      <c r="B447" s="96"/>
      <c r="C447" s="96"/>
    </row>
    <row r="448" hidden="1">
      <c r="A448" s="95"/>
      <c r="B448" s="96"/>
      <c r="C448" s="96"/>
    </row>
    <row r="449" hidden="1">
      <c r="A449" s="95"/>
      <c r="B449" s="96"/>
      <c r="C449" s="96"/>
    </row>
    <row r="450" hidden="1">
      <c r="A450" s="95"/>
      <c r="B450" s="96"/>
      <c r="C450" s="96"/>
    </row>
    <row r="451" hidden="1">
      <c r="A451" s="95"/>
      <c r="B451" s="96"/>
      <c r="C451" s="96"/>
    </row>
    <row r="452" hidden="1">
      <c r="A452" s="95"/>
      <c r="B452" s="96"/>
      <c r="C452" s="96"/>
    </row>
    <row r="453" hidden="1">
      <c r="A453" s="95"/>
      <c r="B453" s="96"/>
      <c r="C453" s="96"/>
    </row>
    <row r="454" hidden="1">
      <c r="A454" s="95"/>
      <c r="B454" s="96"/>
      <c r="C454" s="96"/>
    </row>
    <row r="455" hidden="1">
      <c r="A455" s="95"/>
      <c r="B455" s="96"/>
      <c r="C455" s="96"/>
    </row>
    <row r="456" hidden="1">
      <c r="A456" s="95"/>
      <c r="B456" s="96"/>
      <c r="C456" s="96"/>
    </row>
    <row r="457" hidden="1">
      <c r="A457" s="95"/>
      <c r="B457" s="96"/>
      <c r="C457" s="96"/>
    </row>
    <row r="458" hidden="1">
      <c r="A458" s="95"/>
      <c r="B458" s="96"/>
      <c r="C458" s="96"/>
    </row>
    <row r="459" hidden="1">
      <c r="A459" s="95"/>
      <c r="B459" s="96"/>
      <c r="C459" s="96"/>
    </row>
    <row r="460" hidden="1">
      <c r="A460" s="95"/>
      <c r="B460" s="96"/>
      <c r="C460" s="96"/>
    </row>
    <row r="461" hidden="1">
      <c r="A461" s="95"/>
      <c r="B461" s="96"/>
      <c r="C461" s="96"/>
    </row>
    <row r="462" hidden="1">
      <c r="A462" s="95"/>
      <c r="B462" s="96"/>
      <c r="C462" s="96"/>
    </row>
    <row r="463" hidden="1">
      <c r="A463" s="95"/>
      <c r="B463" s="96"/>
      <c r="C463" s="96"/>
    </row>
    <row r="464" hidden="1">
      <c r="A464" s="95"/>
      <c r="B464" s="96"/>
      <c r="C464" s="96"/>
    </row>
    <row r="465" hidden="1">
      <c r="A465" s="95"/>
      <c r="B465" s="96"/>
      <c r="C465" s="96"/>
    </row>
    <row r="466" hidden="1">
      <c r="A466" s="95"/>
      <c r="B466" s="96"/>
      <c r="C466" s="96"/>
    </row>
    <row r="467" hidden="1">
      <c r="A467" s="95"/>
      <c r="B467" s="96"/>
      <c r="C467" s="96"/>
    </row>
    <row r="468" hidden="1">
      <c r="A468" s="95"/>
      <c r="B468" s="96"/>
      <c r="C468" s="96"/>
    </row>
    <row r="469" hidden="1">
      <c r="A469" s="95"/>
      <c r="B469" s="96"/>
      <c r="C469" s="96"/>
    </row>
    <row r="470" hidden="1">
      <c r="A470" s="95"/>
      <c r="B470" s="96"/>
      <c r="C470" s="96"/>
    </row>
    <row r="471" hidden="1">
      <c r="A471" s="95"/>
      <c r="B471" s="96"/>
      <c r="C471" s="96"/>
    </row>
    <row r="472" hidden="1">
      <c r="A472" s="95"/>
      <c r="B472" s="96"/>
      <c r="C472" s="96"/>
    </row>
    <row r="473" hidden="1">
      <c r="A473" s="95"/>
      <c r="B473" s="96"/>
      <c r="C473" s="96"/>
    </row>
    <row r="474" hidden="1">
      <c r="A474" s="95"/>
      <c r="B474" s="96"/>
      <c r="C474" s="96"/>
    </row>
    <row r="475" hidden="1">
      <c r="A475" s="95"/>
      <c r="B475" s="96"/>
      <c r="C475" s="96"/>
    </row>
    <row r="476" hidden="1">
      <c r="A476" s="95"/>
      <c r="B476" s="96"/>
      <c r="C476" s="96"/>
    </row>
    <row r="477" hidden="1">
      <c r="A477" s="95"/>
      <c r="B477" s="96"/>
      <c r="C477" s="96"/>
    </row>
    <row r="478" hidden="1">
      <c r="A478" s="95"/>
      <c r="B478" s="96"/>
      <c r="C478" s="96"/>
    </row>
    <row r="479" hidden="1">
      <c r="A479" s="95"/>
      <c r="B479" s="96"/>
      <c r="C479" s="96"/>
    </row>
    <row r="480" hidden="1">
      <c r="A480" s="95"/>
      <c r="B480" s="96"/>
      <c r="C480" s="96"/>
    </row>
    <row r="481" hidden="1">
      <c r="A481" s="95"/>
      <c r="B481" s="96"/>
      <c r="C481" s="96"/>
    </row>
    <row r="482" hidden="1">
      <c r="A482" s="95"/>
      <c r="B482" s="96"/>
      <c r="C482" s="96"/>
    </row>
    <row r="483" hidden="1">
      <c r="A483" s="95"/>
      <c r="B483" s="96"/>
      <c r="C483" s="96"/>
    </row>
    <row r="484" hidden="1">
      <c r="A484" s="95"/>
      <c r="B484" s="96"/>
      <c r="C484" s="96"/>
    </row>
    <row r="485" hidden="1">
      <c r="A485" s="95"/>
      <c r="B485" s="96"/>
      <c r="C485" s="96"/>
    </row>
    <row r="486" hidden="1">
      <c r="A486" s="95"/>
      <c r="B486" s="96"/>
      <c r="C486" s="96"/>
    </row>
    <row r="487" hidden="1">
      <c r="A487" s="95"/>
      <c r="B487" s="96"/>
      <c r="C487" s="96"/>
    </row>
    <row r="488" hidden="1">
      <c r="A488" s="95"/>
      <c r="B488" s="96"/>
      <c r="C488" s="96"/>
    </row>
    <row r="489" hidden="1">
      <c r="A489" s="95"/>
      <c r="B489" s="96"/>
      <c r="C489" s="96"/>
    </row>
    <row r="490" hidden="1">
      <c r="A490" s="95"/>
      <c r="B490" s="96"/>
      <c r="C490" s="96"/>
    </row>
    <row r="491" hidden="1">
      <c r="A491" s="95"/>
      <c r="B491" s="96"/>
      <c r="C491" s="96"/>
    </row>
    <row r="492" hidden="1">
      <c r="A492" s="95"/>
      <c r="B492" s="96"/>
      <c r="C492" s="96"/>
    </row>
    <row r="493" hidden="1">
      <c r="A493" s="95"/>
      <c r="B493" s="96"/>
      <c r="C493" s="96"/>
    </row>
    <row r="494" hidden="1">
      <c r="A494" s="95"/>
      <c r="B494" s="96"/>
      <c r="C494" s="96"/>
    </row>
    <row r="495" hidden="1">
      <c r="A495" s="95"/>
      <c r="B495" s="96"/>
      <c r="C495" s="96"/>
    </row>
    <row r="496" hidden="1">
      <c r="A496" s="95"/>
      <c r="B496" s="96"/>
      <c r="C496" s="96"/>
    </row>
    <row r="497" hidden="1">
      <c r="A497" s="95"/>
      <c r="B497" s="96"/>
      <c r="C497" s="96"/>
    </row>
    <row r="498" hidden="1">
      <c r="A498" s="95"/>
      <c r="B498" s="96"/>
      <c r="C498" s="96"/>
    </row>
    <row r="499" hidden="1">
      <c r="A499" s="95"/>
      <c r="B499" s="96"/>
      <c r="C499" s="96"/>
    </row>
    <row r="500" hidden="1">
      <c r="A500" s="95"/>
      <c r="B500" s="96"/>
      <c r="C500" s="96"/>
    </row>
    <row r="501" hidden="1">
      <c r="A501" s="95"/>
      <c r="B501" s="96"/>
      <c r="C501" s="96"/>
    </row>
    <row r="502" hidden="1">
      <c r="A502" s="95"/>
      <c r="B502" s="96"/>
      <c r="C502" s="96"/>
    </row>
    <row r="503" hidden="1">
      <c r="A503" s="95"/>
      <c r="B503" s="96"/>
      <c r="C503" s="96"/>
    </row>
    <row r="504" hidden="1">
      <c r="A504" s="95"/>
      <c r="B504" s="96"/>
      <c r="C504" s="96"/>
    </row>
    <row r="505" hidden="1">
      <c r="A505" s="95"/>
      <c r="B505" s="96"/>
      <c r="C505" s="96"/>
    </row>
    <row r="506" hidden="1">
      <c r="A506" s="95"/>
      <c r="B506" s="96"/>
      <c r="C506" s="96"/>
    </row>
    <row r="507" hidden="1">
      <c r="A507" s="95"/>
      <c r="B507" s="96"/>
      <c r="C507" s="96"/>
    </row>
    <row r="508" hidden="1">
      <c r="A508" s="95"/>
      <c r="B508" s="96"/>
      <c r="C508" s="96"/>
    </row>
    <row r="509" hidden="1">
      <c r="A509" s="95"/>
      <c r="B509" s="96"/>
      <c r="C509" s="96"/>
    </row>
    <row r="510" hidden="1">
      <c r="A510" s="95"/>
      <c r="B510" s="96"/>
      <c r="C510" s="96"/>
    </row>
    <row r="511" hidden="1">
      <c r="A511" s="95"/>
      <c r="B511" s="96"/>
      <c r="C511" s="96"/>
    </row>
    <row r="512" hidden="1">
      <c r="A512" s="95"/>
      <c r="B512" s="96"/>
      <c r="C512" s="96"/>
    </row>
    <row r="513" hidden="1">
      <c r="A513" s="95"/>
      <c r="B513" s="96"/>
      <c r="C513" s="96"/>
    </row>
    <row r="514" hidden="1">
      <c r="A514" s="95"/>
      <c r="B514" s="96"/>
      <c r="C514" s="96"/>
    </row>
    <row r="515" hidden="1">
      <c r="A515" s="95"/>
      <c r="B515" s="96"/>
      <c r="C515" s="96"/>
    </row>
    <row r="516" hidden="1">
      <c r="A516" s="95"/>
      <c r="B516" s="96"/>
      <c r="C516" s="96"/>
    </row>
    <row r="517" hidden="1">
      <c r="A517" s="95"/>
      <c r="B517" s="96"/>
      <c r="C517" s="96"/>
    </row>
    <row r="518" hidden="1">
      <c r="A518" s="95"/>
      <c r="B518" s="96"/>
      <c r="C518" s="96"/>
    </row>
    <row r="519" hidden="1">
      <c r="A519" s="95"/>
      <c r="B519" s="96"/>
      <c r="C519" s="96"/>
    </row>
    <row r="520" hidden="1">
      <c r="A520" s="95"/>
      <c r="B520" s="96"/>
      <c r="C520" s="96"/>
    </row>
    <row r="521" hidden="1">
      <c r="A521" s="95"/>
      <c r="B521" s="96"/>
      <c r="C521" s="96"/>
    </row>
    <row r="522" hidden="1">
      <c r="A522" s="95"/>
      <c r="B522" s="96"/>
      <c r="C522" s="96"/>
    </row>
    <row r="523" hidden="1">
      <c r="A523" s="95"/>
      <c r="B523" s="96"/>
      <c r="C523" s="96"/>
    </row>
    <row r="524" hidden="1">
      <c r="A524" s="95"/>
      <c r="B524" s="96"/>
      <c r="C524" s="96"/>
    </row>
    <row r="525" hidden="1">
      <c r="A525" s="95"/>
      <c r="B525" s="96"/>
      <c r="C525" s="96"/>
    </row>
    <row r="526" hidden="1">
      <c r="A526" s="95"/>
      <c r="B526" s="96"/>
      <c r="C526" s="96"/>
    </row>
    <row r="527" hidden="1">
      <c r="A527" s="95"/>
      <c r="B527" s="96"/>
      <c r="C527" s="96"/>
    </row>
    <row r="528" hidden="1">
      <c r="A528" s="95"/>
      <c r="B528" s="96"/>
      <c r="C528" s="96"/>
    </row>
    <row r="529" hidden="1">
      <c r="A529" s="95"/>
      <c r="B529" s="96"/>
      <c r="C529" s="96"/>
    </row>
    <row r="530" hidden="1">
      <c r="A530" s="95"/>
      <c r="B530" s="96"/>
      <c r="C530" s="96"/>
    </row>
    <row r="531" hidden="1">
      <c r="A531" s="95"/>
      <c r="B531" s="96"/>
      <c r="C531" s="96"/>
    </row>
    <row r="532" hidden="1">
      <c r="A532" s="95"/>
      <c r="B532" s="96"/>
      <c r="C532" s="96"/>
    </row>
    <row r="533" hidden="1">
      <c r="A533" s="95"/>
      <c r="B533" s="96"/>
      <c r="C533" s="96"/>
    </row>
    <row r="534" hidden="1">
      <c r="A534" s="95"/>
      <c r="B534" s="96"/>
      <c r="C534" s="96"/>
    </row>
    <row r="535" hidden="1">
      <c r="A535" s="95"/>
      <c r="B535" s="96"/>
      <c r="C535" s="96"/>
    </row>
    <row r="536" hidden="1">
      <c r="A536" s="95"/>
      <c r="B536" s="96"/>
      <c r="C536" s="96"/>
    </row>
    <row r="537" hidden="1">
      <c r="A537" s="95"/>
      <c r="B537" s="96"/>
      <c r="C537" s="96"/>
    </row>
    <row r="538" hidden="1">
      <c r="A538" s="95"/>
      <c r="B538" s="96"/>
      <c r="C538" s="96"/>
    </row>
    <row r="539" hidden="1">
      <c r="A539" s="95"/>
      <c r="B539" s="96"/>
      <c r="C539" s="96"/>
    </row>
    <row r="540" hidden="1">
      <c r="A540" s="95"/>
      <c r="B540" s="96"/>
      <c r="C540" s="96"/>
    </row>
    <row r="541" hidden="1">
      <c r="A541" s="95"/>
      <c r="B541" s="96"/>
      <c r="C541" s="96"/>
    </row>
    <row r="542" hidden="1">
      <c r="A542" s="95"/>
      <c r="B542" s="96"/>
      <c r="C542" s="96"/>
    </row>
    <row r="543" hidden="1">
      <c r="A543" s="95"/>
      <c r="B543" s="96"/>
      <c r="C543" s="96"/>
    </row>
    <row r="544" hidden="1">
      <c r="A544" s="95"/>
      <c r="B544" s="96"/>
      <c r="C544" s="96"/>
    </row>
    <row r="545" hidden="1">
      <c r="A545" s="95"/>
      <c r="B545" s="96"/>
      <c r="C545" s="96"/>
    </row>
    <row r="546" hidden="1">
      <c r="A546" s="95"/>
      <c r="B546" s="96"/>
      <c r="C546" s="96"/>
    </row>
    <row r="547" hidden="1">
      <c r="A547" s="95"/>
      <c r="B547" s="96"/>
      <c r="C547" s="96"/>
    </row>
    <row r="548" hidden="1">
      <c r="A548" s="95"/>
      <c r="B548" s="96"/>
      <c r="C548" s="96"/>
    </row>
    <row r="549" hidden="1">
      <c r="A549" s="95"/>
      <c r="B549" s="96"/>
      <c r="C549" s="96"/>
    </row>
    <row r="550" hidden="1">
      <c r="A550" s="95"/>
      <c r="B550" s="96"/>
      <c r="C550" s="96"/>
    </row>
    <row r="551" hidden="1">
      <c r="A551" s="95"/>
      <c r="B551" s="96"/>
      <c r="C551" s="96"/>
    </row>
    <row r="552" hidden="1">
      <c r="A552" s="95"/>
      <c r="B552" s="96"/>
      <c r="C552" s="96"/>
    </row>
    <row r="553" hidden="1">
      <c r="A553" s="95"/>
      <c r="B553" s="96"/>
      <c r="C553" s="96"/>
    </row>
    <row r="554" hidden="1">
      <c r="A554" s="95"/>
      <c r="B554" s="96"/>
      <c r="C554" s="96"/>
    </row>
    <row r="555" hidden="1">
      <c r="A555" s="95"/>
      <c r="B555" s="96"/>
      <c r="C555" s="96"/>
    </row>
    <row r="556" hidden="1">
      <c r="A556" s="95"/>
      <c r="B556" s="96"/>
      <c r="C556" s="96"/>
    </row>
    <row r="557" hidden="1">
      <c r="A557" s="95"/>
      <c r="B557" s="96"/>
      <c r="C557" s="96"/>
    </row>
    <row r="558" hidden="1">
      <c r="A558" s="95"/>
      <c r="B558" s="96"/>
      <c r="C558" s="96"/>
    </row>
    <row r="559" hidden="1">
      <c r="A559" s="95"/>
      <c r="B559" s="96"/>
      <c r="C559" s="96"/>
    </row>
    <row r="560" hidden="1">
      <c r="A560" s="95"/>
      <c r="B560" s="96"/>
      <c r="C560" s="96"/>
    </row>
    <row r="561" hidden="1">
      <c r="A561" s="95"/>
      <c r="B561" s="96"/>
      <c r="C561" s="96"/>
    </row>
    <row r="562" hidden="1">
      <c r="A562" s="95"/>
      <c r="B562" s="96"/>
      <c r="C562" s="96"/>
    </row>
    <row r="563" hidden="1">
      <c r="A563" s="95"/>
      <c r="B563" s="96"/>
      <c r="C563" s="96"/>
    </row>
    <row r="564" hidden="1">
      <c r="A564" s="95"/>
      <c r="B564" s="96"/>
      <c r="C564" s="96"/>
    </row>
    <row r="565" hidden="1">
      <c r="A565" s="95"/>
      <c r="B565" s="96"/>
      <c r="C565" s="96"/>
    </row>
    <row r="566" hidden="1">
      <c r="A566" s="95"/>
      <c r="B566" s="96"/>
      <c r="C566" s="96"/>
    </row>
    <row r="567" hidden="1">
      <c r="A567" s="95"/>
      <c r="B567" s="96"/>
      <c r="C567" s="96"/>
    </row>
    <row r="568" hidden="1">
      <c r="A568" s="95"/>
      <c r="B568" s="96"/>
      <c r="C568" s="96"/>
    </row>
    <row r="569" hidden="1">
      <c r="A569" s="95"/>
      <c r="B569" s="96"/>
      <c r="C569" s="96"/>
    </row>
    <row r="570" hidden="1">
      <c r="A570" s="95"/>
      <c r="B570" s="96"/>
      <c r="C570" s="96"/>
    </row>
    <row r="571" hidden="1">
      <c r="A571" s="95"/>
      <c r="B571" s="96"/>
      <c r="C571" s="96"/>
    </row>
    <row r="572" hidden="1">
      <c r="A572" s="95"/>
      <c r="B572" s="96"/>
      <c r="C572" s="96"/>
    </row>
    <row r="573" hidden="1">
      <c r="A573" s="95"/>
      <c r="B573" s="96"/>
      <c r="C573" s="96"/>
    </row>
    <row r="574" hidden="1">
      <c r="A574" s="95"/>
      <c r="B574" s="96"/>
      <c r="C574" s="96"/>
    </row>
    <row r="575" hidden="1">
      <c r="A575" s="95"/>
      <c r="B575" s="96"/>
      <c r="C575" s="96"/>
    </row>
    <row r="576" hidden="1">
      <c r="A576" s="95"/>
      <c r="B576" s="96"/>
      <c r="C576" s="96"/>
    </row>
    <row r="577" hidden="1">
      <c r="A577" s="95"/>
      <c r="B577" s="96"/>
      <c r="C577" s="96"/>
    </row>
    <row r="578" hidden="1">
      <c r="A578" s="95"/>
      <c r="B578" s="96"/>
      <c r="C578" s="96"/>
    </row>
    <row r="579" hidden="1">
      <c r="A579" s="95"/>
      <c r="B579" s="96"/>
      <c r="C579" s="96"/>
    </row>
    <row r="580" hidden="1">
      <c r="A580" s="95"/>
      <c r="B580" s="96"/>
      <c r="C580" s="96"/>
    </row>
    <row r="581" hidden="1">
      <c r="A581" s="95"/>
      <c r="B581" s="96"/>
      <c r="C581" s="96"/>
    </row>
    <row r="582" hidden="1">
      <c r="A582" s="95"/>
      <c r="B582" s="96"/>
      <c r="C582" s="96"/>
    </row>
    <row r="583" hidden="1">
      <c r="A583" s="95"/>
      <c r="B583" s="96"/>
      <c r="C583" s="96"/>
    </row>
    <row r="584" hidden="1">
      <c r="A584" s="95"/>
      <c r="B584" s="96"/>
      <c r="C584" s="96"/>
    </row>
    <row r="585" hidden="1">
      <c r="A585" s="95"/>
      <c r="B585" s="96"/>
      <c r="C585" s="96"/>
    </row>
    <row r="586" hidden="1">
      <c r="A586" s="95"/>
      <c r="B586" s="96"/>
      <c r="C586" s="96"/>
    </row>
    <row r="587" hidden="1">
      <c r="A587" s="95"/>
      <c r="B587" s="96"/>
      <c r="C587" s="96"/>
    </row>
    <row r="588" hidden="1">
      <c r="A588" s="95"/>
      <c r="B588" s="96"/>
      <c r="C588" s="96"/>
    </row>
    <row r="589" hidden="1">
      <c r="A589" s="95"/>
      <c r="B589" s="96"/>
      <c r="C589" s="96"/>
    </row>
    <row r="590" hidden="1">
      <c r="A590" s="95"/>
      <c r="B590" s="96"/>
      <c r="C590" s="96"/>
    </row>
    <row r="591" hidden="1">
      <c r="A591" s="95"/>
      <c r="B591" s="96"/>
      <c r="C591" s="96"/>
    </row>
    <row r="592" hidden="1">
      <c r="A592" s="95"/>
      <c r="B592" s="96"/>
      <c r="C592" s="96"/>
    </row>
    <row r="593" hidden="1">
      <c r="A593" s="95"/>
      <c r="B593" s="96"/>
      <c r="C593" s="96"/>
    </row>
    <row r="594" hidden="1">
      <c r="A594" s="95"/>
      <c r="B594" s="96"/>
      <c r="C594" s="96"/>
    </row>
    <row r="595" hidden="1">
      <c r="A595" s="95"/>
      <c r="B595" s="96"/>
      <c r="C595" s="96"/>
    </row>
    <row r="596" hidden="1">
      <c r="A596" s="95"/>
      <c r="B596" s="96"/>
      <c r="C596" s="96"/>
    </row>
    <row r="597" hidden="1">
      <c r="A597" s="95"/>
      <c r="B597" s="96"/>
      <c r="C597" s="96"/>
    </row>
    <row r="598" hidden="1">
      <c r="A598" s="95"/>
      <c r="B598" s="96"/>
      <c r="C598" s="96"/>
    </row>
    <row r="599" hidden="1">
      <c r="A599" s="95"/>
      <c r="B599" s="96"/>
      <c r="C599" s="96"/>
    </row>
    <row r="600" hidden="1">
      <c r="A600" s="95"/>
      <c r="B600" s="96"/>
      <c r="C600" s="96"/>
    </row>
    <row r="601" hidden="1">
      <c r="A601" s="95"/>
      <c r="B601" s="96"/>
      <c r="C601" s="96"/>
    </row>
    <row r="602" hidden="1">
      <c r="A602" s="95"/>
      <c r="B602" s="96"/>
      <c r="C602" s="96"/>
    </row>
    <row r="603" hidden="1">
      <c r="A603" s="95"/>
      <c r="B603" s="96"/>
      <c r="C603" s="96"/>
    </row>
    <row r="604" hidden="1">
      <c r="A604" s="95"/>
      <c r="B604" s="96"/>
      <c r="C604" s="96"/>
    </row>
    <row r="605" hidden="1">
      <c r="A605" s="95"/>
      <c r="B605" s="96"/>
      <c r="C605" s="96"/>
    </row>
    <row r="606" hidden="1">
      <c r="A606" s="95"/>
      <c r="B606" s="96"/>
      <c r="C606" s="96"/>
    </row>
    <row r="607" hidden="1">
      <c r="A607" s="95"/>
      <c r="B607" s="96"/>
      <c r="C607" s="96"/>
    </row>
    <row r="608" hidden="1">
      <c r="A608" s="95"/>
      <c r="B608" s="96"/>
      <c r="C608" s="96"/>
    </row>
    <row r="609" hidden="1">
      <c r="A609" s="95"/>
      <c r="B609" s="96"/>
      <c r="C609" s="96"/>
    </row>
    <row r="610" hidden="1">
      <c r="A610" s="95"/>
      <c r="B610" s="96"/>
      <c r="C610" s="96"/>
    </row>
    <row r="611" hidden="1">
      <c r="A611" s="95"/>
      <c r="B611" s="96"/>
      <c r="C611" s="96"/>
    </row>
    <row r="612" hidden="1">
      <c r="A612" s="95"/>
      <c r="B612" s="96"/>
      <c r="C612" s="96"/>
    </row>
    <row r="613" hidden="1">
      <c r="A613" s="95"/>
      <c r="B613" s="96"/>
      <c r="C613" s="96"/>
    </row>
    <row r="614" hidden="1">
      <c r="A614" s="95"/>
      <c r="B614" s="96"/>
      <c r="C614" s="96"/>
    </row>
    <row r="615" hidden="1">
      <c r="A615" s="95"/>
      <c r="B615" s="96"/>
      <c r="C615" s="96"/>
    </row>
    <row r="616" hidden="1">
      <c r="A616" s="95"/>
      <c r="B616" s="96"/>
      <c r="C616" s="96"/>
    </row>
    <row r="617" hidden="1">
      <c r="A617" s="95"/>
      <c r="B617" s="96"/>
      <c r="C617" s="96"/>
    </row>
    <row r="618" hidden="1">
      <c r="A618" s="95"/>
      <c r="B618" s="96"/>
      <c r="C618" s="96"/>
    </row>
    <row r="619" hidden="1">
      <c r="A619" s="95"/>
      <c r="B619" s="96"/>
      <c r="C619" s="96"/>
    </row>
    <row r="620" hidden="1">
      <c r="A620" s="95"/>
      <c r="B620" s="96"/>
      <c r="C620" s="96"/>
    </row>
    <row r="621" hidden="1">
      <c r="A621" s="95"/>
      <c r="B621" s="96"/>
      <c r="C621" s="96"/>
    </row>
    <row r="622" hidden="1">
      <c r="A622" s="95"/>
      <c r="B622" s="96"/>
      <c r="C622" s="96"/>
    </row>
    <row r="623" hidden="1">
      <c r="A623" s="95"/>
      <c r="B623" s="96"/>
      <c r="C623" s="96"/>
    </row>
    <row r="624" hidden="1">
      <c r="A624" s="95"/>
      <c r="B624" s="96"/>
      <c r="C624" s="96"/>
    </row>
    <row r="625" hidden="1">
      <c r="A625" s="95"/>
      <c r="B625" s="96"/>
      <c r="C625" s="96"/>
    </row>
    <row r="626" hidden="1">
      <c r="A626" s="95"/>
      <c r="B626" s="96"/>
      <c r="C626" s="96"/>
    </row>
    <row r="627" hidden="1">
      <c r="A627" s="95"/>
      <c r="B627" s="96"/>
      <c r="C627" s="96"/>
    </row>
    <row r="628" hidden="1">
      <c r="A628" s="95"/>
      <c r="B628" s="96"/>
      <c r="C628" s="96"/>
    </row>
    <row r="629" hidden="1">
      <c r="A629" s="95"/>
      <c r="B629" s="96"/>
      <c r="C629" s="96"/>
    </row>
    <row r="630" hidden="1">
      <c r="A630" s="95"/>
      <c r="B630" s="96"/>
      <c r="C630" s="96"/>
    </row>
    <row r="631" hidden="1">
      <c r="A631" s="95"/>
      <c r="B631" s="96"/>
      <c r="C631" s="96"/>
    </row>
    <row r="632" hidden="1">
      <c r="A632" s="95"/>
      <c r="B632" s="96"/>
      <c r="C632" s="96"/>
    </row>
    <row r="633" hidden="1">
      <c r="A633" s="95"/>
      <c r="B633" s="96"/>
      <c r="C633" s="96"/>
    </row>
    <row r="634" hidden="1">
      <c r="A634" s="95"/>
      <c r="B634" s="96"/>
      <c r="C634" s="96"/>
    </row>
    <row r="635" hidden="1">
      <c r="A635" s="95"/>
      <c r="B635" s="96"/>
      <c r="C635" s="96"/>
    </row>
    <row r="636" hidden="1">
      <c r="A636" s="95"/>
      <c r="B636" s="96"/>
      <c r="C636" s="96"/>
    </row>
    <row r="637" hidden="1">
      <c r="A637" s="95"/>
      <c r="B637" s="96"/>
      <c r="C637" s="96"/>
    </row>
    <row r="638" hidden="1">
      <c r="A638" s="95"/>
      <c r="B638" s="96"/>
      <c r="C638" s="96"/>
    </row>
    <row r="639" hidden="1">
      <c r="A639" s="95"/>
      <c r="B639" s="96"/>
      <c r="C639" s="96"/>
    </row>
    <row r="640" hidden="1">
      <c r="A640" s="95"/>
      <c r="B640" s="96"/>
      <c r="C640" s="96"/>
    </row>
    <row r="641" hidden="1">
      <c r="A641" s="95"/>
      <c r="B641" s="96"/>
      <c r="C641" s="96"/>
    </row>
    <row r="642" hidden="1">
      <c r="A642" s="95"/>
      <c r="B642" s="96"/>
      <c r="C642" s="96"/>
    </row>
    <row r="643" hidden="1">
      <c r="A643" s="95"/>
      <c r="B643" s="96"/>
      <c r="C643" s="96"/>
    </row>
    <row r="644" hidden="1">
      <c r="A644" s="95"/>
      <c r="B644" s="96"/>
      <c r="C644" s="96"/>
    </row>
    <row r="645" hidden="1">
      <c r="A645" s="95"/>
      <c r="B645" s="96"/>
      <c r="C645" s="96"/>
    </row>
    <row r="646" hidden="1">
      <c r="A646" s="95"/>
      <c r="B646" s="96"/>
      <c r="C646" s="96"/>
    </row>
    <row r="647" hidden="1">
      <c r="A647" s="95"/>
      <c r="B647" s="96"/>
      <c r="C647" s="96"/>
    </row>
    <row r="648" hidden="1">
      <c r="A648" s="95"/>
      <c r="B648" s="96"/>
      <c r="C648" s="96"/>
    </row>
    <row r="649" hidden="1">
      <c r="A649" s="95"/>
      <c r="B649" s="96"/>
      <c r="C649" s="96"/>
    </row>
    <row r="650" hidden="1">
      <c r="A650" s="95"/>
      <c r="B650" s="96"/>
      <c r="C650" s="96"/>
    </row>
    <row r="651" hidden="1">
      <c r="A651" s="95"/>
      <c r="B651" s="96"/>
      <c r="C651" s="96"/>
    </row>
    <row r="652" hidden="1">
      <c r="A652" s="95"/>
      <c r="B652" s="96"/>
      <c r="C652" s="96"/>
    </row>
    <row r="653" hidden="1">
      <c r="A653" s="95"/>
      <c r="B653" s="96"/>
      <c r="C653" s="96"/>
    </row>
    <row r="654" hidden="1">
      <c r="A654" s="95"/>
      <c r="B654" s="96"/>
      <c r="C654" s="96"/>
    </row>
    <row r="655" hidden="1">
      <c r="A655" s="95"/>
      <c r="B655" s="96"/>
      <c r="C655" s="96"/>
    </row>
    <row r="656" hidden="1">
      <c r="A656" s="95"/>
      <c r="B656" s="96"/>
      <c r="C656" s="96"/>
    </row>
    <row r="657" hidden="1">
      <c r="A657" s="95"/>
      <c r="B657" s="96"/>
      <c r="C657" s="96"/>
    </row>
    <row r="658" hidden="1">
      <c r="A658" s="95"/>
      <c r="B658" s="96"/>
      <c r="C658" s="96"/>
    </row>
    <row r="659" hidden="1">
      <c r="A659" s="95"/>
      <c r="B659" s="96"/>
      <c r="C659" s="96"/>
    </row>
    <row r="660" hidden="1">
      <c r="A660" s="95"/>
      <c r="B660" s="96"/>
      <c r="C660" s="96"/>
    </row>
    <row r="661" hidden="1">
      <c r="A661" s="95"/>
      <c r="B661" s="96"/>
      <c r="C661" s="96"/>
    </row>
    <row r="662" hidden="1">
      <c r="A662" s="95"/>
      <c r="B662" s="96"/>
      <c r="C662" s="96"/>
    </row>
    <row r="663" hidden="1">
      <c r="A663" s="95"/>
      <c r="B663" s="96"/>
      <c r="C663" s="96"/>
    </row>
    <row r="664" hidden="1">
      <c r="A664" s="95"/>
      <c r="B664" s="96"/>
      <c r="C664" s="96"/>
    </row>
    <row r="665" hidden="1">
      <c r="A665" s="95"/>
      <c r="B665" s="96"/>
      <c r="C665" s="96"/>
    </row>
    <row r="666" hidden="1">
      <c r="A666" s="95"/>
      <c r="B666" s="96"/>
      <c r="C666" s="96"/>
    </row>
    <row r="667" hidden="1">
      <c r="A667" s="95"/>
      <c r="B667" s="96"/>
      <c r="C667" s="96"/>
    </row>
    <row r="668" hidden="1">
      <c r="A668" s="95"/>
      <c r="B668" s="96"/>
      <c r="C668" s="96"/>
    </row>
    <row r="669" hidden="1">
      <c r="A669" s="95"/>
      <c r="B669" s="96"/>
      <c r="C669" s="96"/>
    </row>
    <row r="670" hidden="1">
      <c r="A670" s="95"/>
      <c r="B670" s="96"/>
      <c r="C670" s="96"/>
    </row>
    <row r="671" hidden="1">
      <c r="A671" s="95"/>
      <c r="B671" s="96"/>
      <c r="C671" s="96"/>
    </row>
    <row r="672" hidden="1">
      <c r="A672" s="95"/>
      <c r="B672" s="96"/>
      <c r="C672" s="96"/>
    </row>
    <row r="673" hidden="1">
      <c r="A673" s="95"/>
      <c r="B673" s="96"/>
      <c r="C673" s="96"/>
    </row>
    <row r="674" hidden="1">
      <c r="A674" s="95"/>
      <c r="B674" s="96"/>
      <c r="C674" s="96"/>
    </row>
    <row r="675" hidden="1">
      <c r="A675" s="95"/>
      <c r="B675" s="96"/>
      <c r="C675" s="96"/>
    </row>
    <row r="676" hidden="1">
      <c r="A676" s="95"/>
      <c r="B676" s="96"/>
      <c r="C676" s="96"/>
    </row>
    <row r="677" hidden="1">
      <c r="A677" s="95"/>
      <c r="B677" s="96"/>
      <c r="C677" s="96"/>
    </row>
    <row r="678" hidden="1">
      <c r="A678" s="95"/>
      <c r="B678" s="96"/>
      <c r="C678" s="96"/>
    </row>
    <row r="679" hidden="1">
      <c r="A679" s="95"/>
      <c r="B679" s="96"/>
      <c r="C679" s="96"/>
    </row>
    <row r="680" hidden="1">
      <c r="A680" s="95"/>
      <c r="B680" s="96"/>
      <c r="C680" s="96"/>
    </row>
    <row r="681" hidden="1">
      <c r="A681" s="95"/>
      <c r="B681" s="96"/>
      <c r="C681" s="96"/>
    </row>
    <row r="682" hidden="1">
      <c r="A682" s="95"/>
      <c r="B682" s="96"/>
      <c r="C682" s="96"/>
    </row>
    <row r="683" hidden="1">
      <c r="A683" s="95"/>
      <c r="B683" s="96"/>
      <c r="C683" s="96"/>
    </row>
    <row r="684" hidden="1">
      <c r="A684" s="95"/>
      <c r="B684" s="96"/>
      <c r="C684" s="96"/>
    </row>
    <row r="685" hidden="1">
      <c r="A685" s="95"/>
      <c r="B685" s="96"/>
      <c r="C685" s="96"/>
    </row>
    <row r="686" hidden="1">
      <c r="A686" s="95"/>
      <c r="B686" s="96"/>
      <c r="C686" s="96"/>
    </row>
    <row r="687" hidden="1">
      <c r="A687" s="95"/>
      <c r="B687" s="96"/>
      <c r="C687" s="96"/>
    </row>
    <row r="688" hidden="1">
      <c r="A688" s="95"/>
      <c r="B688" s="96"/>
      <c r="C688" s="96"/>
    </row>
    <row r="689" hidden="1">
      <c r="A689" s="95"/>
      <c r="B689" s="96"/>
      <c r="C689" s="96"/>
    </row>
    <row r="690" hidden="1">
      <c r="A690" s="95"/>
      <c r="B690" s="96"/>
      <c r="C690" s="96"/>
    </row>
    <row r="691" hidden="1">
      <c r="A691" s="95"/>
      <c r="B691" s="96"/>
      <c r="C691" s="96"/>
    </row>
    <row r="692" hidden="1">
      <c r="A692" s="95"/>
      <c r="B692" s="96"/>
      <c r="C692" s="96"/>
    </row>
    <row r="693" hidden="1">
      <c r="A693" s="95"/>
      <c r="B693" s="96"/>
      <c r="C693" s="96"/>
    </row>
    <row r="694" hidden="1">
      <c r="A694" s="95"/>
      <c r="B694" s="96"/>
      <c r="C694" s="96"/>
    </row>
    <row r="695" hidden="1">
      <c r="A695" s="95"/>
      <c r="B695" s="96"/>
      <c r="C695" s="96"/>
    </row>
    <row r="696" hidden="1">
      <c r="A696" s="95"/>
      <c r="B696" s="96"/>
      <c r="C696" s="96"/>
    </row>
    <row r="697" hidden="1">
      <c r="A697" s="95"/>
      <c r="B697" s="96"/>
      <c r="C697" s="96"/>
    </row>
    <row r="698" hidden="1">
      <c r="A698" s="95"/>
      <c r="B698" s="96"/>
      <c r="C698" s="96"/>
    </row>
    <row r="699" hidden="1">
      <c r="A699" s="95"/>
      <c r="B699" s="96"/>
      <c r="C699" s="96"/>
    </row>
    <row r="700" hidden="1">
      <c r="A700" s="95"/>
      <c r="B700" s="96"/>
      <c r="C700" s="96"/>
    </row>
    <row r="701" hidden="1">
      <c r="A701" s="95"/>
      <c r="B701" s="96"/>
      <c r="C701" s="96"/>
    </row>
    <row r="702" hidden="1">
      <c r="A702" s="95"/>
      <c r="B702" s="96"/>
      <c r="C702" s="96"/>
    </row>
    <row r="703" hidden="1">
      <c r="A703" s="95"/>
      <c r="B703" s="96"/>
      <c r="C703" s="96"/>
    </row>
    <row r="704" hidden="1">
      <c r="A704" s="95"/>
      <c r="B704" s="96"/>
      <c r="C704" s="96"/>
    </row>
    <row r="705" hidden="1">
      <c r="A705" s="95"/>
      <c r="B705" s="96"/>
      <c r="C705" s="96"/>
    </row>
    <row r="706" hidden="1">
      <c r="A706" s="95"/>
      <c r="B706" s="96"/>
      <c r="C706" s="96"/>
    </row>
    <row r="707" hidden="1">
      <c r="A707" s="95"/>
      <c r="B707" s="96"/>
      <c r="C707" s="96"/>
    </row>
    <row r="708" hidden="1">
      <c r="A708" s="95"/>
      <c r="B708" s="96"/>
      <c r="C708" s="96"/>
    </row>
    <row r="709" hidden="1">
      <c r="A709" s="95"/>
      <c r="B709" s="96"/>
      <c r="C709" s="96"/>
    </row>
    <row r="710" hidden="1">
      <c r="A710" s="95"/>
      <c r="B710" s="96"/>
      <c r="C710" s="96"/>
    </row>
    <row r="711" hidden="1">
      <c r="A711" s="95"/>
      <c r="B711" s="96"/>
      <c r="C711" s="96"/>
    </row>
    <row r="712" hidden="1">
      <c r="A712" s="95"/>
      <c r="B712" s="96"/>
      <c r="C712" s="96"/>
    </row>
    <row r="713" hidden="1">
      <c r="A713" s="95"/>
      <c r="B713" s="96"/>
      <c r="C713" s="96"/>
    </row>
    <row r="714" hidden="1">
      <c r="A714" s="95"/>
      <c r="B714" s="96"/>
      <c r="C714" s="96"/>
    </row>
    <row r="715" hidden="1">
      <c r="A715" s="95"/>
      <c r="B715" s="96"/>
      <c r="C715" s="96"/>
    </row>
    <row r="716" hidden="1">
      <c r="A716" s="95"/>
      <c r="B716" s="96"/>
      <c r="C716" s="96"/>
    </row>
    <row r="717" hidden="1">
      <c r="A717" s="95"/>
      <c r="B717" s="96"/>
      <c r="C717" s="96"/>
    </row>
    <row r="718" hidden="1">
      <c r="A718" s="95"/>
      <c r="B718" s="96"/>
      <c r="C718" s="96"/>
    </row>
    <row r="719" hidden="1">
      <c r="A719" s="95"/>
      <c r="B719" s="96"/>
      <c r="C719" s="96"/>
    </row>
    <row r="720" hidden="1">
      <c r="A720" s="95"/>
      <c r="B720" s="96"/>
      <c r="C720" s="96"/>
    </row>
    <row r="721" hidden="1">
      <c r="A721" s="95"/>
      <c r="B721" s="96"/>
      <c r="C721" s="96"/>
    </row>
    <row r="722" hidden="1">
      <c r="A722" s="95"/>
      <c r="B722" s="96"/>
      <c r="C722" s="96"/>
    </row>
    <row r="723" hidden="1">
      <c r="A723" s="95"/>
      <c r="B723" s="96"/>
      <c r="C723" s="96"/>
    </row>
    <row r="724" hidden="1">
      <c r="A724" s="95"/>
      <c r="B724" s="96"/>
      <c r="C724" s="96"/>
    </row>
    <row r="725" hidden="1">
      <c r="A725" s="95"/>
      <c r="B725" s="96"/>
      <c r="C725" s="96"/>
    </row>
    <row r="726" hidden="1">
      <c r="A726" s="95"/>
      <c r="B726" s="96"/>
      <c r="C726" s="96"/>
    </row>
    <row r="727" hidden="1">
      <c r="A727" s="95"/>
      <c r="B727" s="96"/>
      <c r="C727" s="96"/>
    </row>
    <row r="728" hidden="1">
      <c r="A728" s="95"/>
      <c r="B728" s="96"/>
      <c r="C728" s="96"/>
    </row>
    <row r="729" hidden="1">
      <c r="A729" s="95"/>
      <c r="B729" s="96"/>
      <c r="C729" s="96"/>
    </row>
    <row r="730" hidden="1">
      <c r="A730" s="95"/>
      <c r="B730" s="96"/>
      <c r="C730" s="96"/>
    </row>
    <row r="731" hidden="1">
      <c r="A731" s="95"/>
      <c r="B731" s="96"/>
      <c r="C731" s="96"/>
    </row>
    <row r="732" hidden="1">
      <c r="A732" s="95"/>
      <c r="B732" s="96"/>
      <c r="C732" s="96"/>
    </row>
    <row r="733" hidden="1">
      <c r="A733" s="95"/>
      <c r="B733" s="96"/>
      <c r="C733" s="96"/>
    </row>
    <row r="734" hidden="1">
      <c r="A734" s="95"/>
      <c r="B734" s="96"/>
      <c r="C734" s="96"/>
    </row>
    <row r="735" hidden="1">
      <c r="A735" s="95"/>
      <c r="B735" s="96"/>
      <c r="C735" s="96"/>
    </row>
    <row r="736" hidden="1">
      <c r="A736" s="95"/>
      <c r="B736" s="96"/>
      <c r="C736" s="96"/>
    </row>
    <row r="737" hidden="1">
      <c r="A737" s="95"/>
      <c r="B737" s="96"/>
      <c r="C737" s="96"/>
    </row>
    <row r="738" hidden="1">
      <c r="A738" s="95"/>
      <c r="B738" s="96"/>
      <c r="C738" s="96"/>
    </row>
    <row r="739" hidden="1">
      <c r="A739" s="95"/>
      <c r="B739" s="96"/>
      <c r="C739" s="96"/>
    </row>
    <row r="740" hidden="1">
      <c r="A740" s="95"/>
      <c r="B740" s="96"/>
      <c r="C740" s="96"/>
    </row>
    <row r="741" hidden="1">
      <c r="A741" s="95"/>
      <c r="B741" s="96"/>
      <c r="C741" s="96"/>
    </row>
    <row r="742" hidden="1">
      <c r="A742" s="95"/>
      <c r="B742" s="96"/>
      <c r="C742" s="96"/>
    </row>
    <row r="743" hidden="1">
      <c r="A743" s="95"/>
      <c r="B743" s="96"/>
      <c r="C743" s="96"/>
    </row>
    <row r="744" hidden="1">
      <c r="A744" s="95"/>
      <c r="B744" s="96"/>
      <c r="C744" s="96"/>
    </row>
    <row r="745" hidden="1">
      <c r="A745" s="95"/>
      <c r="B745" s="96"/>
      <c r="C745" s="96"/>
    </row>
    <row r="746" hidden="1">
      <c r="A746" s="95"/>
      <c r="B746" s="96"/>
      <c r="C746" s="96"/>
    </row>
    <row r="747" hidden="1">
      <c r="A747" s="95"/>
      <c r="B747" s="96"/>
      <c r="C747" s="96"/>
    </row>
    <row r="748" hidden="1">
      <c r="A748" s="95"/>
      <c r="B748" s="96"/>
      <c r="C748" s="96"/>
    </row>
    <row r="749" hidden="1">
      <c r="A749" s="95"/>
      <c r="B749" s="96"/>
      <c r="C749" s="96"/>
    </row>
    <row r="750" hidden="1">
      <c r="A750" s="95"/>
      <c r="B750" s="96"/>
      <c r="C750" s="96"/>
    </row>
    <row r="751" hidden="1">
      <c r="A751" s="95"/>
      <c r="B751" s="96"/>
      <c r="C751" s="96"/>
    </row>
    <row r="752" hidden="1">
      <c r="A752" s="95"/>
      <c r="B752" s="96"/>
      <c r="C752" s="96"/>
    </row>
    <row r="753" hidden="1">
      <c r="A753" s="95"/>
      <c r="B753" s="96"/>
      <c r="C753" s="96"/>
    </row>
    <row r="754" hidden="1">
      <c r="A754" s="95"/>
      <c r="B754" s="96"/>
      <c r="C754" s="96"/>
    </row>
    <row r="755" hidden="1">
      <c r="A755" s="95"/>
      <c r="B755" s="96"/>
      <c r="C755" s="96"/>
    </row>
    <row r="756" hidden="1">
      <c r="A756" s="95"/>
      <c r="B756" s="96"/>
      <c r="C756" s="96"/>
    </row>
    <row r="757" hidden="1">
      <c r="A757" s="95"/>
      <c r="B757" s="96"/>
      <c r="C757" s="96"/>
    </row>
    <row r="758" hidden="1">
      <c r="A758" s="95"/>
      <c r="B758" s="96"/>
      <c r="C758" s="96"/>
    </row>
    <row r="759" hidden="1">
      <c r="A759" s="95"/>
      <c r="B759" s="96"/>
      <c r="C759" s="96"/>
    </row>
    <row r="760" hidden="1">
      <c r="A760" s="95"/>
      <c r="B760" s="96"/>
      <c r="C760" s="96"/>
    </row>
    <row r="761" hidden="1">
      <c r="A761" s="95"/>
      <c r="B761" s="96"/>
      <c r="C761" s="96"/>
    </row>
    <row r="762" hidden="1">
      <c r="A762" s="95"/>
      <c r="B762" s="96"/>
      <c r="C762" s="96"/>
    </row>
    <row r="763" hidden="1">
      <c r="A763" s="95"/>
      <c r="B763" s="96"/>
      <c r="C763" s="96"/>
    </row>
    <row r="764" hidden="1">
      <c r="A764" s="95"/>
      <c r="B764" s="96"/>
      <c r="C764" s="96"/>
    </row>
    <row r="765" hidden="1">
      <c r="A765" s="95"/>
      <c r="B765" s="96"/>
      <c r="C765" s="96"/>
    </row>
    <row r="766" hidden="1">
      <c r="A766" s="95"/>
      <c r="B766" s="96"/>
      <c r="C766" s="96"/>
    </row>
    <row r="767" hidden="1">
      <c r="A767" s="95"/>
      <c r="B767" s="96"/>
      <c r="C767" s="96"/>
    </row>
    <row r="768" hidden="1">
      <c r="A768" s="95"/>
      <c r="B768" s="96"/>
      <c r="C768" s="96"/>
    </row>
    <row r="769" hidden="1">
      <c r="A769" s="95"/>
      <c r="B769" s="96"/>
      <c r="C769" s="96"/>
    </row>
    <row r="770" hidden="1">
      <c r="A770" s="95"/>
      <c r="B770" s="96"/>
      <c r="C770" s="96"/>
    </row>
    <row r="771" hidden="1">
      <c r="A771" s="95"/>
      <c r="B771" s="96"/>
      <c r="C771" s="96"/>
    </row>
    <row r="772" hidden="1">
      <c r="A772" s="95"/>
      <c r="B772" s="96"/>
      <c r="C772" s="96"/>
    </row>
    <row r="773" hidden="1">
      <c r="A773" s="95"/>
      <c r="B773" s="96"/>
      <c r="C773" s="96"/>
    </row>
    <row r="774" hidden="1">
      <c r="A774" s="95"/>
      <c r="B774" s="96"/>
      <c r="C774" s="96"/>
    </row>
    <row r="775" hidden="1">
      <c r="A775" s="95"/>
      <c r="B775" s="96"/>
      <c r="C775" s="96"/>
    </row>
    <row r="776" hidden="1">
      <c r="A776" s="95"/>
      <c r="B776" s="96"/>
      <c r="C776" s="96"/>
    </row>
    <row r="777" hidden="1">
      <c r="A777" s="95"/>
      <c r="B777" s="96"/>
      <c r="C777" s="96"/>
    </row>
    <row r="778" hidden="1">
      <c r="A778" s="95"/>
      <c r="B778" s="96"/>
      <c r="C778" s="96"/>
    </row>
    <row r="779" hidden="1">
      <c r="A779" s="95"/>
      <c r="B779" s="96"/>
      <c r="C779" s="96"/>
    </row>
    <row r="780" hidden="1">
      <c r="A780" s="95"/>
      <c r="B780" s="96"/>
      <c r="C780" s="96"/>
    </row>
    <row r="781" hidden="1">
      <c r="A781" s="95"/>
      <c r="B781" s="96"/>
      <c r="C781" s="96"/>
    </row>
    <row r="782" hidden="1">
      <c r="A782" s="95"/>
      <c r="B782" s="96"/>
      <c r="C782" s="96"/>
    </row>
    <row r="783" hidden="1">
      <c r="A783" s="95"/>
      <c r="B783" s="96"/>
      <c r="C783" s="96"/>
    </row>
    <row r="784" hidden="1">
      <c r="A784" s="95"/>
      <c r="B784" s="96"/>
      <c r="C784" s="96"/>
    </row>
    <row r="785" hidden="1">
      <c r="A785" s="95"/>
      <c r="B785" s="96"/>
      <c r="C785" s="96"/>
    </row>
    <row r="786" hidden="1">
      <c r="A786" s="95"/>
      <c r="B786" s="96"/>
      <c r="C786" s="96"/>
    </row>
    <row r="787" hidden="1">
      <c r="A787" s="95"/>
      <c r="B787" s="96"/>
      <c r="C787" s="96"/>
    </row>
    <row r="788" hidden="1">
      <c r="A788" s="95"/>
      <c r="B788" s="96"/>
      <c r="C788" s="96"/>
    </row>
    <row r="789" hidden="1">
      <c r="A789" s="95"/>
      <c r="B789" s="96"/>
      <c r="C789" s="96"/>
    </row>
    <row r="790" hidden="1">
      <c r="A790" s="95"/>
      <c r="B790" s="96"/>
      <c r="C790" s="96"/>
    </row>
    <row r="791" hidden="1">
      <c r="A791" s="95"/>
      <c r="B791" s="96"/>
      <c r="C791" s="96"/>
    </row>
    <row r="792" hidden="1">
      <c r="A792" s="95"/>
      <c r="B792" s="96"/>
      <c r="C792" s="96"/>
    </row>
    <row r="793" hidden="1">
      <c r="A793" s="95"/>
      <c r="B793" s="96"/>
      <c r="C793" s="96"/>
    </row>
    <row r="794" hidden="1">
      <c r="A794" s="95"/>
      <c r="B794" s="96"/>
      <c r="C794" s="96"/>
    </row>
    <row r="795" hidden="1">
      <c r="A795" s="95"/>
      <c r="B795" s="96"/>
      <c r="C795" s="96"/>
    </row>
    <row r="796" hidden="1">
      <c r="A796" s="95"/>
      <c r="B796" s="96"/>
      <c r="C796" s="96"/>
    </row>
    <row r="797" hidden="1">
      <c r="A797" s="95"/>
      <c r="B797" s="96"/>
      <c r="C797" s="96"/>
    </row>
    <row r="798" hidden="1">
      <c r="A798" s="95"/>
      <c r="B798" s="96"/>
      <c r="C798" s="96"/>
    </row>
    <row r="799" hidden="1">
      <c r="A799" s="95"/>
      <c r="B799" s="96"/>
      <c r="C799" s="96"/>
    </row>
    <row r="800" hidden="1">
      <c r="A800" s="95"/>
      <c r="B800" s="96"/>
      <c r="C800" s="96"/>
    </row>
    <row r="801" hidden="1">
      <c r="A801" s="95"/>
      <c r="B801" s="96"/>
      <c r="C801" s="96"/>
    </row>
    <row r="802" hidden="1">
      <c r="A802" s="95"/>
      <c r="B802" s="96"/>
      <c r="C802" s="96"/>
    </row>
    <row r="803" hidden="1">
      <c r="A803" s="95"/>
      <c r="B803" s="96"/>
      <c r="C803" s="96"/>
    </row>
    <row r="804" hidden="1">
      <c r="A804" s="95"/>
      <c r="B804" s="96"/>
      <c r="C804" s="96"/>
    </row>
    <row r="805" hidden="1">
      <c r="A805" s="95"/>
      <c r="B805" s="96"/>
      <c r="C805" s="96"/>
    </row>
    <row r="806" hidden="1">
      <c r="A806" s="95"/>
      <c r="B806" s="96"/>
      <c r="C806" s="96"/>
    </row>
    <row r="807" hidden="1">
      <c r="A807" s="95"/>
      <c r="B807" s="96"/>
      <c r="C807" s="96"/>
    </row>
    <row r="808" hidden="1">
      <c r="A808" s="95"/>
      <c r="B808" s="96"/>
      <c r="C808" s="96"/>
    </row>
    <row r="809" hidden="1">
      <c r="A809" s="95"/>
      <c r="B809" s="96"/>
      <c r="C809" s="96"/>
    </row>
    <row r="810" hidden="1">
      <c r="A810" s="95"/>
      <c r="B810" s="96"/>
      <c r="C810" s="96"/>
    </row>
    <row r="811" hidden="1">
      <c r="A811" s="95"/>
      <c r="B811" s="96"/>
      <c r="C811" s="96"/>
    </row>
    <row r="812" hidden="1">
      <c r="A812" s="95"/>
      <c r="B812" s="96"/>
      <c r="C812" s="96"/>
    </row>
    <row r="813" hidden="1">
      <c r="A813" s="95"/>
      <c r="B813" s="96"/>
      <c r="C813" s="96"/>
    </row>
    <row r="814" hidden="1">
      <c r="A814" s="95"/>
      <c r="B814" s="96"/>
      <c r="C814" s="96"/>
    </row>
    <row r="815" hidden="1">
      <c r="A815" s="95"/>
      <c r="B815" s="96"/>
      <c r="C815" s="96"/>
    </row>
    <row r="816" hidden="1">
      <c r="A816" s="95"/>
      <c r="B816" s="96"/>
      <c r="C816" s="96"/>
    </row>
    <row r="817" hidden="1">
      <c r="A817" s="95"/>
      <c r="B817" s="96"/>
      <c r="C817" s="96"/>
    </row>
    <row r="818" hidden="1">
      <c r="A818" s="95"/>
      <c r="B818" s="96"/>
      <c r="C818" s="96"/>
    </row>
    <row r="819" hidden="1">
      <c r="A819" s="95"/>
      <c r="B819" s="96"/>
      <c r="C819" s="96"/>
    </row>
    <row r="820" hidden="1">
      <c r="A820" s="95"/>
      <c r="B820" s="96"/>
      <c r="C820" s="96"/>
    </row>
    <row r="821" hidden="1">
      <c r="A821" s="95"/>
      <c r="B821" s="96"/>
      <c r="C821" s="96"/>
    </row>
    <row r="822" hidden="1">
      <c r="A822" s="95"/>
      <c r="B822" s="96"/>
      <c r="C822" s="96"/>
    </row>
    <row r="823" hidden="1">
      <c r="A823" s="95"/>
      <c r="B823" s="96"/>
      <c r="C823" s="96"/>
    </row>
    <row r="824" hidden="1">
      <c r="A824" s="95"/>
      <c r="B824" s="96"/>
      <c r="C824" s="96"/>
    </row>
    <row r="825" hidden="1">
      <c r="A825" s="95"/>
      <c r="B825" s="96"/>
      <c r="C825" s="96"/>
    </row>
    <row r="826" hidden="1">
      <c r="A826" s="95"/>
      <c r="B826" s="96"/>
      <c r="C826" s="96"/>
    </row>
    <row r="827" hidden="1">
      <c r="A827" s="95"/>
      <c r="B827" s="96"/>
      <c r="C827" s="96"/>
    </row>
    <row r="828" hidden="1">
      <c r="A828" s="95"/>
      <c r="B828" s="96"/>
      <c r="C828" s="96"/>
    </row>
    <row r="829" hidden="1">
      <c r="A829" s="95"/>
      <c r="B829" s="96"/>
      <c r="C829" s="96"/>
    </row>
    <row r="830" hidden="1">
      <c r="A830" s="95"/>
      <c r="B830" s="96"/>
      <c r="C830" s="96"/>
    </row>
    <row r="831" hidden="1">
      <c r="A831" s="95"/>
      <c r="B831" s="96"/>
      <c r="C831" s="96"/>
    </row>
    <row r="832" hidden="1">
      <c r="A832" s="95"/>
      <c r="B832" s="96"/>
      <c r="C832" s="96"/>
    </row>
    <row r="833" hidden="1">
      <c r="A833" s="95"/>
      <c r="B833" s="96"/>
      <c r="C833" s="96"/>
    </row>
    <row r="834" hidden="1">
      <c r="A834" s="95"/>
      <c r="B834" s="96"/>
      <c r="C834" s="96"/>
    </row>
    <row r="835" hidden="1">
      <c r="A835" s="95"/>
      <c r="B835" s="96"/>
      <c r="C835" s="96"/>
    </row>
    <row r="836" hidden="1">
      <c r="A836" s="95"/>
      <c r="B836" s="96"/>
      <c r="C836" s="96"/>
    </row>
    <row r="837" hidden="1">
      <c r="A837" s="95"/>
      <c r="B837" s="96"/>
      <c r="C837" s="96"/>
    </row>
    <row r="838" hidden="1">
      <c r="A838" s="95"/>
      <c r="B838" s="96"/>
      <c r="C838" s="96"/>
    </row>
    <row r="839" hidden="1">
      <c r="A839" s="95"/>
      <c r="B839" s="96"/>
      <c r="C839" s="96"/>
    </row>
    <row r="840" hidden="1">
      <c r="A840" s="95"/>
      <c r="B840" s="96"/>
      <c r="C840" s="96"/>
    </row>
    <row r="841" hidden="1">
      <c r="A841" s="95"/>
      <c r="B841" s="96"/>
      <c r="C841" s="96"/>
    </row>
    <row r="842" hidden="1">
      <c r="A842" s="95"/>
      <c r="B842" s="96"/>
      <c r="C842" s="96"/>
    </row>
    <row r="843" hidden="1">
      <c r="A843" s="95"/>
      <c r="B843" s="96"/>
      <c r="C843" s="96"/>
    </row>
    <row r="844" hidden="1">
      <c r="A844" s="95"/>
      <c r="B844" s="96"/>
      <c r="C844" s="96"/>
    </row>
    <row r="845" hidden="1">
      <c r="A845" s="95"/>
      <c r="B845" s="96"/>
      <c r="C845" s="96"/>
    </row>
    <row r="846" hidden="1">
      <c r="A846" s="95"/>
      <c r="B846" s="96"/>
      <c r="C846" s="96"/>
    </row>
    <row r="847" hidden="1">
      <c r="A847" s="95"/>
      <c r="B847" s="96"/>
      <c r="C847" s="96"/>
    </row>
    <row r="848" hidden="1">
      <c r="A848" s="95"/>
      <c r="B848" s="96"/>
      <c r="C848" s="96"/>
    </row>
    <row r="849" hidden="1">
      <c r="A849" s="95"/>
      <c r="B849" s="96"/>
      <c r="C849" s="96"/>
    </row>
    <row r="850" hidden="1">
      <c r="A850" s="95"/>
      <c r="B850" s="96"/>
      <c r="C850" s="96"/>
    </row>
    <row r="851" hidden="1">
      <c r="A851" s="95"/>
      <c r="B851" s="96"/>
      <c r="C851" s="96"/>
    </row>
    <row r="852" hidden="1">
      <c r="A852" s="95"/>
      <c r="B852" s="96"/>
      <c r="C852" s="96"/>
    </row>
    <row r="853" hidden="1">
      <c r="A853" s="95"/>
      <c r="B853" s="96"/>
      <c r="C853" s="96"/>
    </row>
    <row r="854" hidden="1">
      <c r="A854" s="95"/>
      <c r="B854" s="96"/>
      <c r="C854" s="96"/>
    </row>
    <row r="855" hidden="1">
      <c r="A855" s="95"/>
      <c r="B855" s="96"/>
      <c r="C855" s="96"/>
    </row>
    <row r="856" hidden="1">
      <c r="A856" s="95"/>
      <c r="B856" s="96"/>
      <c r="C856" s="96"/>
    </row>
    <row r="857" hidden="1">
      <c r="A857" s="95"/>
      <c r="B857" s="96"/>
      <c r="C857" s="96"/>
    </row>
    <row r="858" hidden="1">
      <c r="A858" s="95"/>
      <c r="B858" s="96"/>
      <c r="C858" s="96"/>
    </row>
    <row r="859" hidden="1">
      <c r="A859" s="95"/>
      <c r="B859" s="96"/>
      <c r="C859" s="96"/>
    </row>
    <row r="860" hidden="1">
      <c r="A860" s="95"/>
      <c r="B860" s="96"/>
      <c r="C860" s="96"/>
    </row>
    <row r="861" hidden="1">
      <c r="A861" s="95"/>
      <c r="B861" s="96"/>
      <c r="C861" s="96"/>
    </row>
    <row r="862" hidden="1">
      <c r="A862" s="95"/>
      <c r="B862" s="96"/>
      <c r="C862" s="96"/>
    </row>
    <row r="863" hidden="1">
      <c r="A863" s="95"/>
      <c r="B863" s="96"/>
      <c r="C863" s="96"/>
    </row>
    <row r="864" hidden="1">
      <c r="A864" s="95"/>
      <c r="B864" s="96"/>
      <c r="C864" s="96"/>
    </row>
    <row r="865" hidden="1">
      <c r="A865" s="95"/>
      <c r="B865" s="96"/>
      <c r="C865" s="96"/>
    </row>
    <row r="866" hidden="1">
      <c r="A866" s="95"/>
      <c r="B866" s="96"/>
      <c r="C866" s="96"/>
    </row>
    <row r="867" hidden="1">
      <c r="A867" s="95"/>
      <c r="B867" s="96"/>
      <c r="C867" s="96"/>
    </row>
    <row r="868" hidden="1">
      <c r="A868" s="95"/>
      <c r="B868" s="96"/>
      <c r="C868" s="96"/>
    </row>
    <row r="869" hidden="1">
      <c r="A869" s="95"/>
      <c r="B869" s="96"/>
      <c r="C869" s="96"/>
    </row>
    <row r="870" hidden="1">
      <c r="A870" s="95"/>
      <c r="B870" s="96"/>
      <c r="C870" s="96"/>
    </row>
    <row r="871" hidden="1">
      <c r="A871" s="95"/>
      <c r="B871" s="96"/>
      <c r="C871" s="96"/>
    </row>
    <row r="872" hidden="1">
      <c r="A872" s="95"/>
      <c r="B872" s="96"/>
      <c r="C872" s="96"/>
    </row>
    <row r="873" hidden="1">
      <c r="A873" s="95"/>
      <c r="B873" s="96"/>
      <c r="C873" s="96"/>
    </row>
    <row r="874" hidden="1">
      <c r="A874" s="95"/>
      <c r="B874" s="96"/>
      <c r="C874" s="96"/>
    </row>
    <row r="875" hidden="1">
      <c r="A875" s="95"/>
      <c r="B875" s="96"/>
      <c r="C875" s="96"/>
    </row>
    <row r="876" hidden="1">
      <c r="A876" s="95"/>
      <c r="B876" s="96"/>
      <c r="C876" s="96"/>
    </row>
    <row r="877" hidden="1">
      <c r="A877" s="95"/>
      <c r="B877" s="96"/>
      <c r="C877" s="96"/>
    </row>
    <row r="878" hidden="1">
      <c r="A878" s="95"/>
      <c r="B878" s="96"/>
      <c r="C878" s="96"/>
    </row>
    <row r="879" hidden="1">
      <c r="A879" s="95"/>
      <c r="B879" s="96"/>
      <c r="C879" s="96"/>
    </row>
    <row r="880" hidden="1">
      <c r="A880" s="95"/>
      <c r="B880" s="96"/>
      <c r="C880" s="96"/>
    </row>
    <row r="881" hidden="1">
      <c r="A881" s="95"/>
      <c r="B881" s="96"/>
      <c r="C881" s="96"/>
    </row>
    <row r="882" hidden="1">
      <c r="A882" s="95"/>
      <c r="B882" s="96"/>
      <c r="C882" s="96"/>
    </row>
    <row r="883" hidden="1">
      <c r="A883" s="95"/>
      <c r="B883" s="96"/>
      <c r="C883" s="96"/>
    </row>
    <row r="884" hidden="1">
      <c r="A884" s="95"/>
      <c r="B884" s="96"/>
      <c r="C884" s="96"/>
    </row>
    <row r="885" hidden="1">
      <c r="A885" s="95"/>
      <c r="B885" s="96"/>
      <c r="C885" s="96"/>
    </row>
    <row r="886" hidden="1">
      <c r="A886" s="95"/>
      <c r="B886" s="96"/>
      <c r="C886" s="96"/>
    </row>
    <row r="887" hidden="1">
      <c r="A887" s="95"/>
      <c r="B887" s="96"/>
      <c r="C887" s="96"/>
    </row>
    <row r="888" hidden="1">
      <c r="A888" s="95"/>
      <c r="B888" s="96"/>
      <c r="C888" s="96"/>
    </row>
    <row r="889" hidden="1">
      <c r="A889" s="95"/>
      <c r="B889" s="96"/>
      <c r="C889" s="96"/>
    </row>
    <row r="890" hidden="1">
      <c r="A890" s="95"/>
      <c r="B890" s="96"/>
      <c r="C890" s="96"/>
    </row>
    <row r="891" hidden="1">
      <c r="A891" s="95"/>
      <c r="B891" s="96"/>
      <c r="C891" s="96"/>
    </row>
    <row r="892" hidden="1">
      <c r="A892" s="95"/>
      <c r="B892" s="96"/>
      <c r="C892" s="96"/>
    </row>
    <row r="893" hidden="1">
      <c r="A893" s="95"/>
      <c r="B893" s="96"/>
      <c r="C893" s="96"/>
    </row>
    <row r="894" hidden="1">
      <c r="A894" s="95"/>
      <c r="B894" s="96"/>
      <c r="C894" s="96"/>
    </row>
    <row r="895" hidden="1">
      <c r="A895" s="95"/>
      <c r="B895" s="96"/>
      <c r="C895" s="96"/>
    </row>
    <row r="896" hidden="1">
      <c r="A896" s="95"/>
      <c r="B896" s="96"/>
      <c r="C896" s="96"/>
    </row>
    <row r="897" hidden="1">
      <c r="A897" s="95"/>
      <c r="B897" s="96"/>
      <c r="C897" s="96"/>
    </row>
    <row r="898" hidden="1">
      <c r="A898" s="95"/>
      <c r="B898" s="96"/>
      <c r="C898" s="96"/>
    </row>
    <row r="899" hidden="1">
      <c r="A899" s="95"/>
      <c r="B899" s="96"/>
      <c r="C899" s="96"/>
    </row>
    <row r="900" hidden="1">
      <c r="A900" s="95"/>
      <c r="B900" s="96"/>
      <c r="C900" s="96"/>
    </row>
    <row r="901" hidden="1">
      <c r="A901" s="95"/>
      <c r="B901" s="96"/>
      <c r="C901" s="96"/>
    </row>
    <row r="902" hidden="1">
      <c r="A902" s="95"/>
      <c r="B902" s="96"/>
      <c r="C902" s="96"/>
    </row>
    <row r="903" hidden="1">
      <c r="A903" s="95"/>
      <c r="B903" s="96"/>
      <c r="C903" s="96"/>
    </row>
    <row r="904" hidden="1">
      <c r="A904" s="95"/>
      <c r="B904" s="96"/>
      <c r="C904" s="96"/>
    </row>
    <row r="905" hidden="1">
      <c r="A905" s="95"/>
      <c r="B905" s="96"/>
      <c r="C905" s="96"/>
    </row>
    <row r="906" hidden="1">
      <c r="A906" s="95"/>
      <c r="B906" s="96"/>
      <c r="C906" s="96"/>
    </row>
    <row r="907" hidden="1">
      <c r="A907" s="95"/>
      <c r="B907" s="96"/>
      <c r="C907" s="96"/>
    </row>
    <row r="908" hidden="1">
      <c r="A908" s="95"/>
      <c r="B908" s="96"/>
      <c r="C908" s="96"/>
    </row>
    <row r="909" hidden="1">
      <c r="A909" s="95"/>
      <c r="B909" s="96"/>
      <c r="C909" s="96"/>
    </row>
    <row r="910" hidden="1">
      <c r="A910" s="95"/>
      <c r="B910" s="96"/>
      <c r="C910" s="96"/>
    </row>
    <row r="911" hidden="1">
      <c r="A911" s="95"/>
      <c r="B911" s="96"/>
      <c r="C911" s="96"/>
    </row>
    <row r="912" hidden="1">
      <c r="A912" s="95"/>
      <c r="B912" s="96"/>
      <c r="C912" s="96"/>
    </row>
    <row r="913" hidden="1">
      <c r="A913" s="95"/>
      <c r="B913" s="96"/>
      <c r="C913" s="96"/>
    </row>
    <row r="914" hidden="1">
      <c r="A914" s="95"/>
      <c r="B914" s="96"/>
      <c r="C914" s="96"/>
    </row>
    <row r="915" hidden="1">
      <c r="A915" s="95"/>
      <c r="B915" s="96"/>
      <c r="C915" s="96"/>
    </row>
    <row r="916" hidden="1">
      <c r="A916" s="95"/>
      <c r="B916" s="96"/>
      <c r="C916" s="96"/>
    </row>
    <row r="917" hidden="1">
      <c r="A917" s="95"/>
      <c r="B917" s="96"/>
      <c r="C917" s="96"/>
    </row>
    <row r="918" hidden="1">
      <c r="A918" s="95"/>
      <c r="B918" s="96"/>
      <c r="C918" s="96"/>
    </row>
    <row r="919" hidden="1">
      <c r="A919" s="95"/>
      <c r="B919" s="96"/>
      <c r="C919" s="96"/>
    </row>
    <row r="920" hidden="1">
      <c r="A920" s="95"/>
      <c r="B920" s="96"/>
      <c r="C920" s="96"/>
    </row>
    <row r="921" hidden="1">
      <c r="A921" s="95"/>
      <c r="B921" s="96"/>
      <c r="C921" s="96"/>
    </row>
    <row r="922" hidden="1">
      <c r="A922" s="95"/>
      <c r="B922" s="96"/>
      <c r="C922" s="96"/>
    </row>
    <row r="923" hidden="1">
      <c r="A923" s="95"/>
      <c r="B923" s="96"/>
      <c r="C923" s="96"/>
    </row>
    <row r="924" hidden="1">
      <c r="A924" s="95"/>
      <c r="B924" s="96"/>
      <c r="C924" s="96"/>
    </row>
    <row r="925" hidden="1">
      <c r="A925" s="95"/>
      <c r="B925" s="96"/>
      <c r="C925" s="96"/>
    </row>
    <row r="926" hidden="1">
      <c r="A926" s="95"/>
      <c r="B926" s="96"/>
      <c r="C926" s="96"/>
    </row>
    <row r="927" hidden="1">
      <c r="A927" s="95"/>
      <c r="B927" s="96"/>
      <c r="C927" s="96"/>
    </row>
    <row r="928" hidden="1">
      <c r="A928" s="95"/>
      <c r="B928" s="96"/>
      <c r="C928" s="96"/>
    </row>
    <row r="929" hidden="1">
      <c r="A929" s="95"/>
      <c r="B929" s="96"/>
      <c r="C929" s="96"/>
    </row>
    <row r="930" hidden="1">
      <c r="A930" s="95"/>
      <c r="B930" s="96"/>
      <c r="C930" s="96"/>
    </row>
    <row r="931" hidden="1">
      <c r="A931" s="95"/>
      <c r="B931" s="96"/>
      <c r="C931" s="96"/>
    </row>
    <row r="932" hidden="1">
      <c r="A932" s="95"/>
      <c r="B932" s="96"/>
      <c r="C932" s="96"/>
    </row>
    <row r="933" hidden="1">
      <c r="A933" s="95"/>
      <c r="B933" s="96"/>
      <c r="C933" s="96"/>
    </row>
    <row r="934" hidden="1">
      <c r="A934" s="95"/>
      <c r="B934" s="96"/>
      <c r="C934" s="96"/>
    </row>
    <row r="935" hidden="1">
      <c r="A935" s="95"/>
      <c r="B935" s="96"/>
      <c r="C935" s="96"/>
    </row>
    <row r="936" hidden="1">
      <c r="A936" s="95"/>
      <c r="B936" s="96"/>
      <c r="C936" s="96"/>
    </row>
    <row r="937" hidden="1">
      <c r="A937" s="95"/>
      <c r="B937" s="96"/>
      <c r="C937" s="96"/>
    </row>
    <row r="938" hidden="1">
      <c r="A938" s="95"/>
      <c r="B938" s="96"/>
      <c r="C938" s="96"/>
    </row>
    <row r="939" hidden="1">
      <c r="A939" s="95"/>
      <c r="B939" s="96"/>
      <c r="C939" s="96"/>
    </row>
    <row r="940" hidden="1">
      <c r="A940" s="95"/>
      <c r="B940" s="96"/>
      <c r="C940" s="96"/>
    </row>
    <row r="941" hidden="1">
      <c r="A941" s="95"/>
      <c r="B941" s="96"/>
      <c r="C941" s="96"/>
    </row>
    <row r="942" hidden="1">
      <c r="A942" s="95"/>
      <c r="B942" s="96"/>
      <c r="C942" s="96"/>
    </row>
    <row r="943" hidden="1">
      <c r="A943" s="95"/>
      <c r="B943" s="96"/>
      <c r="C943" s="96"/>
    </row>
    <row r="944" hidden="1">
      <c r="A944" s="95"/>
      <c r="B944" s="96"/>
      <c r="C944" s="96"/>
    </row>
    <row r="945" hidden="1">
      <c r="A945" s="95"/>
      <c r="B945" s="96"/>
      <c r="C945" s="96"/>
    </row>
    <row r="946" hidden="1">
      <c r="A946" s="95"/>
      <c r="B946" s="96"/>
      <c r="C946" s="96"/>
    </row>
    <row r="947" hidden="1">
      <c r="A947" s="95"/>
      <c r="B947" s="96"/>
      <c r="C947" s="96"/>
    </row>
    <row r="948" hidden="1">
      <c r="A948" s="95"/>
      <c r="B948" s="96"/>
      <c r="C948" s="96"/>
    </row>
    <row r="949" hidden="1">
      <c r="A949" s="95"/>
      <c r="B949" s="96"/>
      <c r="C949" s="96"/>
    </row>
    <row r="950" hidden="1">
      <c r="A950" s="95"/>
      <c r="B950" s="96"/>
      <c r="C950" s="96"/>
    </row>
    <row r="951" hidden="1">
      <c r="A951" s="95"/>
      <c r="B951" s="96"/>
      <c r="C951" s="96"/>
    </row>
    <row r="952" hidden="1">
      <c r="A952" s="95"/>
      <c r="B952" s="96"/>
      <c r="C952" s="96"/>
    </row>
    <row r="953" hidden="1">
      <c r="A953" s="95"/>
      <c r="B953" s="96"/>
      <c r="C953" s="96"/>
    </row>
    <row r="954" hidden="1">
      <c r="A954" s="95"/>
      <c r="B954" s="96"/>
      <c r="C954" s="96"/>
    </row>
    <row r="955" hidden="1">
      <c r="A955" s="95"/>
      <c r="B955" s="96"/>
      <c r="C955" s="96"/>
    </row>
    <row r="956" hidden="1">
      <c r="A956" s="95"/>
      <c r="B956" s="96"/>
      <c r="C956" s="96"/>
    </row>
    <row r="957" hidden="1">
      <c r="A957" s="95"/>
      <c r="B957" s="96"/>
      <c r="C957" s="96"/>
    </row>
    <row r="958" hidden="1">
      <c r="A958" s="95"/>
      <c r="B958" s="96"/>
      <c r="C958" s="96"/>
    </row>
    <row r="959" hidden="1">
      <c r="A959" s="95"/>
      <c r="B959" s="96"/>
      <c r="C959" s="96"/>
    </row>
    <row r="960" hidden="1">
      <c r="A960" s="95"/>
      <c r="B960" s="96"/>
      <c r="C960" s="96"/>
    </row>
    <row r="961" hidden="1">
      <c r="A961" s="95"/>
      <c r="B961" s="96"/>
      <c r="C961" s="96"/>
    </row>
    <row r="962" hidden="1">
      <c r="A962" s="95"/>
      <c r="B962" s="96"/>
      <c r="C962" s="96"/>
    </row>
    <row r="963" hidden="1">
      <c r="A963" s="95"/>
      <c r="B963" s="96"/>
      <c r="C963" s="96"/>
    </row>
    <row r="964" hidden="1">
      <c r="A964" s="95"/>
      <c r="B964" s="96"/>
      <c r="C964" s="96"/>
    </row>
    <row r="965" hidden="1">
      <c r="A965" s="95"/>
      <c r="B965" s="96"/>
      <c r="C965" s="96"/>
    </row>
    <row r="966" hidden="1">
      <c r="A966" s="95"/>
      <c r="B966" s="96"/>
      <c r="C966" s="96"/>
    </row>
    <row r="967" hidden="1">
      <c r="A967" s="95"/>
      <c r="B967" s="96"/>
      <c r="C967" s="96"/>
    </row>
    <row r="968" hidden="1">
      <c r="A968" s="95"/>
      <c r="B968" s="96"/>
      <c r="C968" s="96"/>
    </row>
    <row r="969" hidden="1">
      <c r="A969" s="95"/>
      <c r="B969" s="96"/>
      <c r="C969" s="96"/>
    </row>
    <row r="970" hidden="1">
      <c r="A970" s="95"/>
      <c r="B970" s="96"/>
      <c r="C970" s="96"/>
    </row>
    <row r="971" hidden="1">
      <c r="A971" s="95"/>
      <c r="B971" s="96"/>
      <c r="C971" s="96"/>
    </row>
    <row r="972" hidden="1">
      <c r="A972" s="95"/>
      <c r="B972" s="96"/>
      <c r="C972" s="96"/>
    </row>
    <row r="973" hidden="1">
      <c r="A973" s="95"/>
      <c r="B973" s="96"/>
      <c r="C973" s="96"/>
    </row>
    <row r="974" hidden="1">
      <c r="A974" s="95"/>
      <c r="B974" s="96"/>
      <c r="C974" s="96"/>
    </row>
    <row r="975" hidden="1">
      <c r="A975" s="95"/>
      <c r="B975" s="96"/>
      <c r="C975" s="96"/>
    </row>
    <row r="976" hidden="1">
      <c r="A976" s="95"/>
      <c r="B976" s="96"/>
      <c r="C976" s="96"/>
    </row>
    <row r="977" hidden="1">
      <c r="A977" s="95"/>
      <c r="B977" s="96"/>
      <c r="C977" s="96"/>
    </row>
    <row r="978" hidden="1">
      <c r="A978" s="95"/>
      <c r="B978" s="96"/>
      <c r="C978" s="96"/>
    </row>
    <row r="979" hidden="1">
      <c r="A979" s="95"/>
      <c r="B979" s="96"/>
      <c r="C979" s="96"/>
    </row>
    <row r="980" hidden="1">
      <c r="A980" s="95"/>
      <c r="B980" s="96"/>
      <c r="C980" s="96"/>
    </row>
    <row r="981" hidden="1">
      <c r="A981" s="95"/>
      <c r="B981" s="96"/>
      <c r="C981" s="96"/>
    </row>
    <row r="982" hidden="1">
      <c r="A982" s="95"/>
      <c r="B982" s="96"/>
      <c r="C982" s="96"/>
    </row>
    <row r="983" hidden="1">
      <c r="A983" s="95"/>
      <c r="B983" s="96"/>
      <c r="C983" s="96"/>
    </row>
    <row r="984" hidden="1">
      <c r="A984" s="95"/>
      <c r="B984" s="96"/>
      <c r="C984" s="96"/>
    </row>
    <row r="985" hidden="1">
      <c r="A985" s="95"/>
      <c r="B985" s="96"/>
      <c r="C985" s="96"/>
    </row>
    <row r="986" hidden="1">
      <c r="A986" s="95"/>
      <c r="B986" s="96"/>
      <c r="C986" s="96"/>
    </row>
    <row r="987" hidden="1">
      <c r="A987" s="95"/>
      <c r="B987" s="96"/>
      <c r="C987" s="96"/>
    </row>
    <row r="988" hidden="1">
      <c r="A988" s="95"/>
      <c r="B988" s="96"/>
      <c r="C988" s="96"/>
    </row>
    <row r="989" hidden="1">
      <c r="A989" s="95"/>
      <c r="B989" s="96"/>
      <c r="C989" s="96"/>
    </row>
    <row r="990" hidden="1">
      <c r="A990" s="95"/>
      <c r="B990" s="96"/>
      <c r="C990" s="96"/>
    </row>
    <row r="991" hidden="1">
      <c r="A991" s="95"/>
      <c r="B991" s="96"/>
      <c r="C991" s="96"/>
    </row>
    <row r="992" hidden="1">
      <c r="A992" s="95"/>
      <c r="B992" s="96"/>
      <c r="C992" s="96"/>
    </row>
    <row r="993" hidden="1">
      <c r="A993" s="95"/>
      <c r="B993" s="96"/>
      <c r="C993" s="96"/>
    </row>
    <row r="994" hidden="1">
      <c r="A994" s="95"/>
      <c r="B994" s="96"/>
      <c r="C994" s="96"/>
    </row>
    <row r="995" hidden="1">
      <c r="A995" s="95"/>
      <c r="B995" s="96"/>
      <c r="C995" s="96"/>
    </row>
    <row r="996" hidden="1">
      <c r="A996" s="95"/>
      <c r="B996" s="96"/>
      <c r="C996" s="96"/>
    </row>
    <row r="997" hidden="1">
      <c r="A997" s="95"/>
      <c r="B997" s="96"/>
      <c r="C997" s="96"/>
    </row>
    <row r="998" hidden="1">
      <c r="A998" s="95"/>
      <c r="B998" s="96"/>
      <c r="C998" s="96"/>
    </row>
    <row r="999" hidden="1">
      <c r="A999" s="95"/>
      <c r="B999" s="96"/>
      <c r="C999" s="96"/>
    </row>
    <row r="1000" hidden="1">
      <c r="A1000" s="95"/>
      <c r="B1000" s="96"/>
      <c r="C1000" s="96"/>
    </row>
    <row r="1001" hidden="1">
      <c r="A1001" s="95"/>
      <c r="B1001" s="96"/>
      <c r="C1001" s="96"/>
    </row>
    <row r="1002" hidden="1">
      <c r="A1002" s="95"/>
      <c r="B1002" s="96"/>
      <c r="C1002" s="96"/>
    </row>
    <row r="1003" hidden="1">
      <c r="A1003" s="95"/>
      <c r="B1003" s="96"/>
      <c r="C1003" s="96"/>
    </row>
    <row r="1004" hidden="1">
      <c r="A1004" s="95"/>
      <c r="B1004" s="96"/>
      <c r="C1004" s="96"/>
    </row>
    <row r="1005" hidden="1">
      <c r="A1005" s="95"/>
      <c r="B1005" s="96"/>
      <c r="C1005" s="96"/>
    </row>
    <row r="1006" hidden="1">
      <c r="A1006" s="95"/>
      <c r="B1006" s="96"/>
      <c r="C1006" s="96"/>
    </row>
    <row r="1007" hidden="1">
      <c r="A1007" s="95"/>
      <c r="B1007" s="96"/>
      <c r="C1007" s="96"/>
    </row>
    <row r="1008" hidden="1">
      <c r="A1008" s="95"/>
      <c r="B1008" s="96"/>
      <c r="C1008" s="96"/>
    </row>
    <row r="1009" hidden="1">
      <c r="A1009" s="95"/>
      <c r="B1009" s="96"/>
      <c r="C1009" s="96"/>
    </row>
    <row r="1010" hidden="1">
      <c r="A1010" s="95"/>
      <c r="B1010" s="96"/>
      <c r="C1010" s="96"/>
    </row>
    <row r="1011" hidden="1">
      <c r="A1011" s="95"/>
      <c r="B1011" s="96"/>
      <c r="C1011" s="96"/>
    </row>
    <row r="1012" hidden="1">
      <c r="A1012" s="95"/>
      <c r="B1012" s="96"/>
      <c r="C1012" s="96"/>
    </row>
    <row r="1013" hidden="1">
      <c r="A1013" s="95"/>
      <c r="B1013" s="96"/>
      <c r="C1013" s="96"/>
    </row>
    <row r="1014" hidden="1">
      <c r="A1014" s="95"/>
      <c r="B1014" s="96"/>
      <c r="C1014" s="96"/>
    </row>
    <row r="1015" hidden="1">
      <c r="A1015" s="95"/>
      <c r="B1015" s="96"/>
      <c r="C1015" s="96"/>
    </row>
    <row r="1016" hidden="1">
      <c r="A1016" s="95"/>
      <c r="B1016" s="96"/>
      <c r="C1016" s="96"/>
    </row>
    <row r="1017" hidden="1">
      <c r="A1017" s="95"/>
      <c r="B1017" s="96"/>
      <c r="C1017" s="96"/>
    </row>
    <row r="1018" hidden="1">
      <c r="A1018" s="95"/>
      <c r="B1018" s="96"/>
      <c r="C1018" s="96"/>
    </row>
    <row r="1019" hidden="1">
      <c r="A1019" s="95"/>
      <c r="B1019" s="96"/>
      <c r="C1019" s="96"/>
    </row>
    <row r="1020" hidden="1">
      <c r="A1020" s="95"/>
      <c r="B1020" s="96"/>
      <c r="C1020" s="96"/>
    </row>
    <row r="1021" hidden="1">
      <c r="A1021" s="95"/>
      <c r="B1021" s="96"/>
      <c r="C1021" s="96"/>
    </row>
    <row r="1022" hidden="1">
      <c r="A1022" s="95"/>
      <c r="B1022" s="96"/>
      <c r="C1022" s="96"/>
    </row>
    <row r="1023" hidden="1">
      <c r="A1023" s="95"/>
      <c r="B1023" s="96"/>
      <c r="C1023" s="96"/>
    </row>
    <row r="1024" hidden="1">
      <c r="A1024" s="95"/>
      <c r="B1024" s="96"/>
      <c r="C1024" s="96"/>
    </row>
    <row r="1025" hidden="1">
      <c r="A1025" s="95"/>
      <c r="B1025" s="96"/>
      <c r="C1025" s="96"/>
    </row>
    <row r="1026" hidden="1">
      <c r="A1026" s="95"/>
      <c r="B1026" s="96"/>
      <c r="C1026" s="96"/>
    </row>
    <row r="1027" hidden="1">
      <c r="A1027" s="95"/>
      <c r="B1027" s="96"/>
      <c r="C1027" s="96"/>
    </row>
    <row r="1028" hidden="1">
      <c r="A1028" s="95"/>
      <c r="B1028" s="96"/>
      <c r="C1028" s="96"/>
    </row>
    <row r="1029" hidden="1">
      <c r="A1029" s="95"/>
      <c r="B1029" s="96"/>
      <c r="C1029" s="96"/>
    </row>
    <row r="1030" hidden="1">
      <c r="A1030" s="95"/>
      <c r="B1030" s="96"/>
      <c r="C1030" s="96"/>
    </row>
    <row r="1031" hidden="1">
      <c r="A1031" s="95"/>
      <c r="B1031" s="96"/>
      <c r="C1031" s="96"/>
    </row>
    <row r="1032" hidden="1">
      <c r="A1032" s="95"/>
      <c r="B1032" s="96"/>
      <c r="C1032" s="96"/>
    </row>
    <row r="1033" hidden="1">
      <c r="A1033" s="95"/>
      <c r="B1033" s="96"/>
      <c r="C1033" s="96"/>
    </row>
    <row r="1034" hidden="1">
      <c r="A1034" s="95"/>
      <c r="B1034" s="96"/>
      <c r="C1034" s="96"/>
    </row>
    <row r="1035" hidden="1">
      <c r="A1035" s="95"/>
      <c r="B1035" s="96"/>
      <c r="C1035" s="96"/>
    </row>
    <row r="1036" hidden="1">
      <c r="A1036" s="95"/>
      <c r="B1036" s="96"/>
      <c r="C1036" s="96"/>
    </row>
    <row r="1037" hidden="1">
      <c r="A1037" s="95"/>
      <c r="B1037" s="96"/>
      <c r="C1037" s="96"/>
    </row>
    <row r="1038" hidden="1">
      <c r="A1038" s="95"/>
      <c r="B1038" s="96"/>
      <c r="C1038" s="96"/>
    </row>
    <row r="1039" hidden="1">
      <c r="A1039" s="95"/>
      <c r="B1039" s="96"/>
      <c r="C1039" s="96"/>
    </row>
    <row r="1040" hidden="1">
      <c r="A1040" s="95"/>
      <c r="B1040" s="96"/>
      <c r="C1040" s="96"/>
    </row>
    <row r="1041" hidden="1">
      <c r="A1041" s="95"/>
      <c r="B1041" s="96"/>
      <c r="C1041" s="96"/>
    </row>
    <row r="1042" hidden="1">
      <c r="A1042" s="95"/>
      <c r="B1042" s="96"/>
      <c r="C1042" s="96"/>
    </row>
    <row r="1043" hidden="1">
      <c r="A1043" s="95"/>
      <c r="B1043" s="96"/>
      <c r="C1043" s="96"/>
    </row>
    <row r="1044" hidden="1">
      <c r="A1044" s="95"/>
      <c r="B1044" s="96"/>
      <c r="C1044" s="96"/>
    </row>
    <row r="1045" hidden="1">
      <c r="A1045" s="95"/>
      <c r="B1045" s="96"/>
      <c r="C1045" s="96"/>
    </row>
    <row r="1046" hidden="1">
      <c r="A1046" s="95"/>
      <c r="B1046" s="96"/>
      <c r="C1046" s="96"/>
    </row>
    <row r="1047" hidden="1">
      <c r="A1047" s="95"/>
      <c r="B1047" s="96"/>
      <c r="C1047" s="96"/>
    </row>
    <row r="1048" hidden="1">
      <c r="A1048" s="95"/>
      <c r="B1048" s="96"/>
      <c r="C1048" s="96"/>
    </row>
    <row r="1049" hidden="1">
      <c r="A1049" s="95"/>
      <c r="B1049" s="96"/>
      <c r="C1049" s="96"/>
    </row>
    <row r="1050" hidden="1">
      <c r="A1050" s="95"/>
      <c r="B1050" s="96"/>
      <c r="C1050" s="96"/>
    </row>
    <row r="1051" hidden="1">
      <c r="A1051" s="95"/>
      <c r="B1051" s="96"/>
      <c r="C1051" s="96"/>
    </row>
    <row r="1052" hidden="1">
      <c r="A1052" s="95"/>
      <c r="B1052" s="96"/>
      <c r="C1052" s="96"/>
    </row>
    <row r="1053" hidden="1">
      <c r="A1053" s="95"/>
      <c r="B1053" s="96"/>
      <c r="C1053" s="96"/>
    </row>
    <row r="1054" hidden="1">
      <c r="A1054" s="95"/>
      <c r="B1054" s="96"/>
      <c r="C1054" s="96"/>
    </row>
    <row r="1055" hidden="1">
      <c r="A1055" s="95"/>
      <c r="B1055" s="96"/>
      <c r="C1055" s="96"/>
    </row>
    <row r="1056" hidden="1">
      <c r="A1056" s="95"/>
      <c r="B1056" s="96"/>
      <c r="C1056" s="96"/>
    </row>
    <row r="1057" hidden="1">
      <c r="A1057" s="95"/>
      <c r="B1057" s="96"/>
      <c r="C1057" s="96"/>
    </row>
    <row r="1058" hidden="1">
      <c r="A1058" s="95"/>
      <c r="B1058" s="96"/>
      <c r="C1058" s="96"/>
    </row>
    <row r="1059" hidden="1">
      <c r="A1059" s="95"/>
      <c r="B1059" s="96"/>
      <c r="C1059" s="96"/>
    </row>
    <row r="1060" hidden="1">
      <c r="A1060" s="95"/>
      <c r="B1060" s="96"/>
      <c r="C1060" s="96"/>
    </row>
    <row r="1061" hidden="1">
      <c r="A1061" s="95"/>
      <c r="B1061" s="96"/>
      <c r="C1061" s="96"/>
    </row>
    <row r="1062" hidden="1">
      <c r="A1062" s="95"/>
      <c r="B1062" s="96"/>
      <c r="C1062" s="96"/>
    </row>
    <row r="1063" hidden="1">
      <c r="A1063" s="95"/>
      <c r="B1063" s="96"/>
      <c r="C1063" s="96"/>
    </row>
    <row r="1064" hidden="1">
      <c r="A1064" s="95"/>
      <c r="B1064" s="96"/>
      <c r="C1064" s="96"/>
    </row>
    <row r="1065" hidden="1">
      <c r="A1065" s="95"/>
      <c r="B1065" s="96"/>
      <c r="C1065" s="96"/>
    </row>
    <row r="1066" hidden="1">
      <c r="A1066" s="95"/>
      <c r="B1066" s="96"/>
      <c r="C1066" s="96"/>
    </row>
    <row r="1067" hidden="1">
      <c r="A1067" s="95"/>
      <c r="B1067" s="96"/>
      <c r="C1067" s="96"/>
    </row>
    <row r="1068" hidden="1">
      <c r="A1068" s="95"/>
      <c r="B1068" s="96"/>
      <c r="C1068" s="96"/>
    </row>
    <row r="1069" hidden="1">
      <c r="A1069" s="95"/>
      <c r="B1069" s="96"/>
      <c r="C1069" s="96"/>
    </row>
    <row r="1070" hidden="1">
      <c r="A1070" s="95"/>
      <c r="B1070" s="96"/>
      <c r="C1070" s="96"/>
    </row>
    <row r="1071" hidden="1">
      <c r="A1071" s="95"/>
      <c r="B1071" s="96"/>
      <c r="C1071" s="96"/>
    </row>
    <row r="1072" hidden="1">
      <c r="A1072" s="95"/>
      <c r="B1072" s="96"/>
      <c r="C1072" s="96"/>
    </row>
    <row r="1073" hidden="1">
      <c r="A1073" s="95"/>
      <c r="B1073" s="96"/>
      <c r="C1073" s="96"/>
    </row>
    <row r="1074" hidden="1">
      <c r="A1074" s="95"/>
      <c r="B1074" s="96"/>
      <c r="C1074" s="96"/>
    </row>
    <row r="1075" hidden="1">
      <c r="A1075" s="95"/>
      <c r="B1075" s="96"/>
      <c r="C1075" s="96"/>
    </row>
    <row r="1076" hidden="1">
      <c r="A1076" s="95"/>
      <c r="B1076" s="96"/>
      <c r="C1076" s="96"/>
    </row>
    <row r="1077" hidden="1">
      <c r="A1077" s="95"/>
      <c r="B1077" s="96"/>
      <c r="C1077" s="96"/>
    </row>
    <row r="1078" hidden="1">
      <c r="A1078" s="95"/>
      <c r="B1078" s="96"/>
      <c r="C1078" s="96"/>
    </row>
    <row r="1079" hidden="1">
      <c r="A1079" s="95"/>
      <c r="B1079" s="96"/>
      <c r="C1079" s="96"/>
    </row>
    <row r="1080" hidden="1">
      <c r="A1080" s="95"/>
      <c r="B1080" s="96"/>
      <c r="C1080" s="96"/>
    </row>
    <row r="1081" hidden="1">
      <c r="A1081" s="95"/>
      <c r="B1081" s="96"/>
      <c r="C1081" s="96"/>
    </row>
    <row r="1082" hidden="1">
      <c r="A1082" s="95"/>
      <c r="B1082" s="96"/>
      <c r="C1082" s="96"/>
    </row>
    <row r="1083" hidden="1">
      <c r="A1083" s="95"/>
      <c r="B1083" s="96"/>
      <c r="C1083" s="96"/>
    </row>
    <row r="1084" hidden="1">
      <c r="A1084" s="95"/>
      <c r="B1084" s="96"/>
      <c r="C1084" s="96"/>
    </row>
    <row r="1085" hidden="1">
      <c r="A1085" s="95"/>
      <c r="B1085" s="96"/>
      <c r="C1085" s="96"/>
    </row>
    <row r="1086" hidden="1">
      <c r="A1086" s="95"/>
      <c r="B1086" s="96"/>
      <c r="C1086" s="96"/>
    </row>
    <row r="1087" hidden="1">
      <c r="A1087" s="95"/>
      <c r="B1087" s="96"/>
      <c r="C1087" s="96"/>
    </row>
    <row r="1088" hidden="1">
      <c r="A1088" s="95"/>
      <c r="B1088" s="96"/>
      <c r="C1088" s="96"/>
    </row>
    <row r="1089" hidden="1">
      <c r="A1089" s="95"/>
      <c r="B1089" s="96"/>
      <c r="C1089" s="96"/>
    </row>
    <row r="1090" hidden="1">
      <c r="A1090" s="95"/>
      <c r="B1090" s="96"/>
      <c r="C1090" s="96"/>
    </row>
    <row r="1091" hidden="1">
      <c r="A1091" s="95"/>
      <c r="B1091" s="96"/>
      <c r="C1091" s="96"/>
    </row>
    <row r="1092" hidden="1">
      <c r="A1092" s="95"/>
      <c r="B1092" s="96"/>
      <c r="C1092" s="96"/>
    </row>
    <row r="1093" hidden="1">
      <c r="A1093" s="95"/>
      <c r="B1093" s="96"/>
      <c r="C1093" s="96"/>
    </row>
    <row r="1094" hidden="1">
      <c r="A1094" s="95"/>
      <c r="B1094" s="96"/>
      <c r="C1094" s="96"/>
    </row>
    <row r="1095" hidden="1">
      <c r="A1095" s="95"/>
      <c r="B1095" s="96"/>
      <c r="C1095" s="96"/>
    </row>
    <row r="1096" hidden="1">
      <c r="A1096" s="95"/>
      <c r="B1096" s="96"/>
      <c r="C1096" s="96"/>
    </row>
    <row r="1097" hidden="1">
      <c r="A1097" s="95"/>
      <c r="B1097" s="96"/>
      <c r="C1097" s="96"/>
    </row>
    <row r="1098" hidden="1">
      <c r="A1098" s="95"/>
      <c r="B1098" s="96"/>
      <c r="C1098" s="96"/>
    </row>
    <row r="1099" hidden="1">
      <c r="A1099" s="95"/>
      <c r="B1099" s="96"/>
      <c r="C1099" s="96"/>
    </row>
    <row r="1100" hidden="1">
      <c r="A1100" s="95"/>
      <c r="B1100" s="96"/>
      <c r="C1100" s="96"/>
    </row>
    <row r="1101" hidden="1">
      <c r="A1101" s="95"/>
      <c r="B1101" s="96"/>
      <c r="C1101" s="96"/>
    </row>
    <row r="1102" hidden="1">
      <c r="A1102" s="95"/>
      <c r="B1102" s="96"/>
      <c r="C1102" s="96"/>
    </row>
    <row r="1103" hidden="1">
      <c r="A1103" s="95"/>
      <c r="B1103" s="96"/>
      <c r="C1103" s="96"/>
    </row>
    <row r="1104" hidden="1">
      <c r="A1104" s="95"/>
      <c r="B1104" s="96"/>
      <c r="C1104" s="96"/>
    </row>
    <row r="1105" hidden="1">
      <c r="A1105" s="95"/>
      <c r="B1105" s="96"/>
      <c r="C1105" s="96"/>
    </row>
    <row r="1106" hidden="1">
      <c r="A1106" s="95"/>
      <c r="B1106" s="96"/>
      <c r="C1106" s="96"/>
    </row>
    <row r="1107" hidden="1">
      <c r="A1107" s="95"/>
      <c r="B1107" s="96"/>
      <c r="C1107" s="96"/>
    </row>
    <row r="1108" hidden="1">
      <c r="A1108" s="95"/>
      <c r="B1108" s="96"/>
      <c r="C1108" s="96"/>
    </row>
    <row r="1109" hidden="1">
      <c r="A1109" s="95"/>
      <c r="B1109" s="96"/>
      <c r="C1109" s="96"/>
    </row>
    <row r="1110" hidden="1">
      <c r="A1110" s="95"/>
      <c r="B1110" s="96"/>
      <c r="C1110" s="96"/>
    </row>
    <row r="1111" hidden="1">
      <c r="A1111" s="95"/>
      <c r="B1111" s="96"/>
      <c r="C1111" s="96"/>
    </row>
    <row r="1112" hidden="1">
      <c r="A1112" s="95"/>
      <c r="B1112" s="96"/>
      <c r="C1112" s="96"/>
    </row>
    <row r="1113" hidden="1">
      <c r="A1113" s="95"/>
      <c r="B1113" s="96"/>
      <c r="C1113" s="96"/>
    </row>
    <row r="1114" hidden="1">
      <c r="A1114" s="95"/>
      <c r="B1114" s="96"/>
      <c r="C1114" s="96"/>
    </row>
    <row r="1115" hidden="1">
      <c r="A1115" s="95"/>
      <c r="B1115" s="96"/>
      <c r="C1115" s="96"/>
    </row>
    <row r="1116" hidden="1">
      <c r="A1116" s="95"/>
      <c r="B1116" s="96"/>
      <c r="C1116" s="96"/>
    </row>
    <row r="1117" hidden="1">
      <c r="A1117" s="95"/>
      <c r="B1117" s="96"/>
      <c r="C1117" s="96"/>
    </row>
    <row r="1118" hidden="1">
      <c r="A1118" s="95"/>
      <c r="B1118" s="96"/>
      <c r="C1118" s="96"/>
    </row>
    <row r="1119" hidden="1">
      <c r="A1119" s="95"/>
      <c r="B1119" s="96"/>
      <c r="C1119" s="96"/>
    </row>
    <row r="1120" hidden="1">
      <c r="A1120" s="95"/>
      <c r="B1120" s="96"/>
      <c r="C1120" s="96"/>
    </row>
    <row r="1121" hidden="1">
      <c r="A1121" s="95"/>
      <c r="B1121" s="96"/>
      <c r="C1121" s="96"/>
    </row>
    <row r="1122" hidden="1">
      <c r="A1122" s="95"/>
      <c r="B1122" s="96"/>
      <c r="C1122" s="96"/>
    </row>
    <row r="1123" hidden="1">
      <c r="A1123" s="95"/>
      <c r="B1123" s="96"/>
      <c r="C1123" s="96"/>
    </row>
  </sheetData>
  <autoFilter ref="$A$1:$C$1123">
    <filterColumn colId="0">
      <filters>
        <filter val="66"/>
        <filter val="89"/>
        <filter val="68"/>
        <filter val="47"/>
        <filter val="69"/>
        <filter val="48"/>
        <filter val="28"/>
        <filter val="153"/>
        <filter val="330"/>
        <filter val="132"/>
        <filter val="112"/>
        <filter val="116"/>
        <filter val="556"/>
        <filter val="118"/>
        <filter val="92"/>
        <filter val="71"/>
        <filter val="72"/>
        <filter val="50"/>
        <filter val="51"/>
        <filter val="96"/>
        <filter val="97"/>
        <filter val="77"/>
        <filter val="55"/>
        <filter val="33"/>
        <filter val="56"/>
        <filter val="12"/>
        <filter val="79"/>
        <filter val="57"/>
        <filter val="35"/>
        <filter val="36"/>
        <filter val="39"/>
        <filter val="180"/>
        <filter val="120"/>
        <filter val="220"/>
        <filter val="144"/>
        <filter val="124"/>
        <filter val="103"/>
        <filter val="147"/>
        <filter val="60"/>
        <filter val="61"/>
        <filter val="62"/>
        <filter val="40"/>
        <filter val="85"/>
        <filter val="20"/>
        <filter val="86"/>
        <filter val="64"/>
        <filter val="65"/>
      </filters>
    </filterColumn>
  </autoFil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hidden="1" min="3" max="3" width="12.63"/>
  </cols>
  <sheetData>
    <row r="1">
      <c r="B1" s="100" t="s">
        <v>381</v>
      </c>
      <c r="D1" s="101" t="s">
        <v>10</v>
      </c>
      <c r="E1" s="100" t="s">
        <v>18</v>
      </c>
    </row>
    <row r="2">
      <c r="A2" s="3" t="s">
        <v>382</v>
      </c>
      <c r="B2" s="9">
        <v>39.0</v>
      </c>
      <c r="C2" s="9">
        <f t="shared" ref="C2:C3" si="1">D2*B2</f>
        <v>936</v>
      </c>
      <c r="D2" s="102">
        <v>24.0</v>
      </c>
      <c r="E2" s="9">
        <v>6.7</v>
      </c>
      <c r="G2" s="4">
        <v>40.0</v>
      </c>
      <c r="H2" s="103">
        <v>24.0</v>
      </c>
      <c r="I2" s="103">
        <v>6.724</v>
      </c>
    </row>
    <row r="3">
      <c r="A3" s="3" t="s">
        <v>383</v>
      </c>
      <c r="B3" s="9">
        <v>39.0</v>
      </c>
      <c r="C3" s="9">
        <f t="shared" si="1"/>
        <v>1014</v>
      </c>
      <c r="D3" s="102">
        <v>26.0</v>
      </c>
      <c r="E3" s="9">
        <v>4.2</v>
      </c>
      <c r="G3" s="4">
        <v>78.0</v>
      </c>
      <c r="H3" s="103">
        <v>26.0</v>
      </c>
      <c r="I3" s="103">
        <v>4.15</v>
      </c>
    </row>
    <row r="4">
      <c r="A4" s="3" t="s">
        <v>384</v>
      </c>
      <c r="B4" s="9">
        <f>sum(B2:B3)</f>
        <v>78</v>
      </c>
      <c r="C4" s="9">
        <f>(C2+C3)/20</f>
        <v>97.5</v>
      </c>
      <c r="D4" s="104">
        <f>(C2+C3)/B4</f>
        <v>25</v>
      </c>
      <c r="E4" s="105">
        <f>COMBINE_SD(B2,B3,E2,E3,D2,D3)</f>
        <v>5.645524604</v>
      </c>
    </row>
    <row r="5">
      <c r="D5" s="103"/>
    </row>
    <row r="6">
      <c r="B6" s="3">
        <v>20.0</v>
      </c>
      <c r="C6" s="3">
        <v>29.4</v>
      </c>
      <c r="D6" s="103">
        <v>29.4</v>
      </c>
      <c r="E6" s="3">
        <v>7.343</v>
      </c>
    </row>
    <row r="7">
      <c r="B7" s="3">
        <v>20.0</v>
      </c>
      <c r="C7" s="3">
        <v>27.55</v>
      </c>
      <c r="D7" s="103">
        <v>27.55</v>
      </c>
      <c r="E7" s="3">
        <v>8.643</v>
      </c>
    </row>
    <row r="8">
      <c r="D8" s="103"/>
    </row>
    <row r="9">
      <c r="D9" s="103"/>
    </row>
    <row r="10">
      <c r="D10" s="103"/>
    </row>
    <row r="11">
      <c r="D11" s="103"/>
    </row>
    <row r="12">
      <c r="D12" s="103"/>
    </row>
    <row r="13">
      <c r="D13" s="103"/>
    </row>
    <row r="14">
      <c r="D14" s="103"/>
    </row>
    <row r="15">
      <c r="D15" s="103"/>
    </row>
    <row r="16">
      <c r="D16" s="103"/>
    </row>
    <row r="17">
      <c r="D17" s="103"/>
    </row>
    <row r="18">
      <c r="D18" s="103"/>
    </row>
    <row r="19">
      <c r="D19" s="103"/>
    </row>
    <row r="20">
      <c r="D20" s="103"/>
    </row>
    <row r="21">
      <c r="D21" s="103"/>
    </row>
    <row r="22">
      <c r="D22" s="103"/>
    </row>
    <row r="23">
      <c r="D23" s="103"/>
    </row>
    <row r="24">
      <c r="D24" s="103"/>
    </row>
    <row r="25">
      <c r="D25" s="103"/>
    </row>
    <row r="26">
      <c r="D26" s="103"/>
    </row>
    <row r="27">
      <c r="D27" s="103"/>
    </row>
    <row r="28">
      <c r="D28" s="103"/>
    </row>
    <row r="29">
      <c r="D29" s="103"/>
    </row>
    <row r="30">
      <c r="D30" s="103"/>
    </row>
    <row r="31">
      <c r="D31" s="103"/>
    </row>
    <row r="32">
      <c r="D32" s="103"/>
    </row>
    <row r="33">
      <c r="D33" s="103"/>
    </row>
    <row r="34">
      <c r="D34" s="103"/>
    </row>
    <row r="35">
      <c r="D35" s="103"/>
    </row>
    <row r="36">
      <c r="D36" s="103"/>
    </row>
    <row r="37">
      <c r="D37" s="103"/>
    </row>
    <row r="38">
      <c r="D38" s="103"/>
    </row>
    <row r="39">
      <c r="D39" s="103"/>
    </row>
    <row r="40">
      <c r="D40" s="103"/>
    </row>
    <row r="41">
      <c r="D41" s="103"/>
    </row>
    <row r="42">
      <c r="D42" s="103"/>
    </row>
    <row r="43">
      <c r="D43" s="103"/>
    </row>
    <row r="44">
      <c r="D44" s="103"/>
    </row>
    <row r="45">
      <c r="D45" s="103"/>
    </row>
    <row r="46">
      <c r="D46" s="103"/>
    </row>
    <row r="47">
      <c r="D47" s="103"/>
    </row>
    <row r="48">
      <c r="D48" s="103"/>
    </row>
    <row r="49">
      <c r="D49" s="103"/>
    </row>
    <row r="50">
      <c r="D50" s="103"/>
    </row>
    <row r="51">
      <c r="D51" s="103"/>
    </row>
    <row r="52">
      <c r="D52" s="103"/>
    </row>
    <row r="53">
      <c r="D53" s="103"/>
    </row>
    <row r="54">
      <c r="D54" s="103"/>
    </row>
    <row r="55">
      <c r="D55" s="103"/>
    </row>
    <row r="56">
      <c r="D56" s="103"/>
    </row>
    <row r="57">
      <c r="D57" s="103"/>
    </row>
    <row r="58">
      <c r="D58" s="103"/>
    </row>
    <row r="59">
      <c r="D59" s="103"/>
    </row>
    <row r="60">
      <c r="D60" s="103"/>
    </row>
    <row r="61">
      <c r="D61" s="103"/>
    </row>
    <row r="62">
      <c r="D62" s="103"/>
    </row>
    <row r="63">
      <c r="D63" s="103"/>
    </row>
    <row r="64">
      <c r="D64" s="103"/>
    </row>
    <row r="65">
      <c r="D65" s="103"/>
    </row>
    <row r="66">
      <c r="D66" s="103"/>
    </row>
    <row r="67">
      <c r="D67" s="103"/>
    </row>
    <row r="68">
      <c r="D68" s="103"/>
    </row>
    <row r="69">
      <c r="D69" s="103"/>
    </row>
    <row r="70">
      <c r="D70" s="103"/>
    </row>
    <row r="71">
      <c r="D71" s="103"/>
    </row>
    <row r="72">
      <c r="D72" s="103"/>
    </row>
    <row r="73">
      <c r="D73" s="103"/>
    </row>
    <row r="74">
      <c r="D74" s="103"/>
    </row>
    <row r="75">
      <c r="D75" s="103"/>
    </row>
    <row r="76">
      <c r="D76" s="103"/>
    </row>
    <row r="77">
      <c r="D77" s="103"/>
    </row>
    <row r="78">
      <c r="D78" s="103"/>
    </row>
    <row r="79">
      <c r="D79" s="103"/>
    </row>
    <row r="80">
      <c r="D80" s="103"/>
    </row>
    <row r="81">
      <c r="D81" s="103"/>
    </row>
    <row r="82">
      <c r="D82" s="103"/>
    </row>
    <row r="83">
      <c r="D83" s="103"/>
    </row>
    <row r="84">
      <c r="D84" s="103"/>
    </row>
    <row r="85">
      <c r="D85" s="103"/>
    </row>
    <row r="86">
      <c r="D86" s="103"/>
    </row>
    <row r="87">
      <c r="D87" s="103"/>
    </row>
    <row r="88">
      <c r="D88" s="103"/>
    </row>
    <row r="89">
      <c r="D89" s="103"/>
    </row>
    <row r="90">
      <c r="D90" s="103"/>
    </row>
    <row r="91">
      <c r="D91" s="103"/>
    </row>
    <row r="92">
      <c r="D92" s="103"/>
    </row>
    <row r="93">
      <c r="D93" s="103"/>
    </row>
    <row r="94">
      <c r="D94" s="103"/>
    </row>
    <row r="95">
      <c r="D95" s="103"/>
    </row>
    <row r="96">
      <c r="D96" s="103"/>
    </row>
    <row r="97">
      <c r="D97" s="103"/>
    </row>
    <row r="98">
      <c r="D98" s="103"/>
    </row>
    <row r="99">
      <c r="D99" s="103"/>
    </row>
    <row r="100">
      <c r="D100" s="103"/>
    </row>
    <row r="101">
      <c r="D101" s="103"/>
    </row>
    <row r="102">
      <c r="D102" s="103"/>
    </row>
    <row r="103">
      <c r="D103" s="103"/>
    </row>
    <row r="104">
      <c r="D104" s="103"/>
    </row>
    <row r="105">
      <c r="D105" s="103"/>
    </row>
    <row r="106">
      <c r="D106" s="103"/>
    </row>
    <row r="107">
      <c r="D107" s="103"/>
    </row>
    <row r="108">
      <c r="D108" s="103"/>
    </row>
    <row r="109">
      <c r="D109" s="103"/>
    </row>
    <row r="110">
      <c r="D110" s="103"/>
    </row>
    <row r="111">
      <c r="D111" s="103"/>
    </row>
    <row r="112">
      <c r="D112" s="103"/>
    </row>
    <row r="113">
      <c r="D113" s="103"/>
    </row>
    <row r="114">
      <c r="D114" s="103"/>
    </row>
    <row r="115">
      <c r="D115" s="103"/>
    </row>
    <row r="116">
      <c r="D116" s="103"/>
    </row>
    <row r="117">
      <c r="D117" s="103"/>
    </row>
    <row r="118">
      <c r="D118" s="103"/>
    </row>
    <row r="119">
      <c r="D119" s="103"/>
    </row>
    <row r="120">
      <c r="D120" s="103"/>
    </row>
    <row r="121">
      <c r="D121" s="103"/>
    </row>
    <row r="122">
      <c r="D122" s="103"/>
    </row>
    <row r="123">
      <c r="D123" s="103"/>
    </row>
    <row r="124">
      <c r="D124" s="103"/>
    </row>
    <row r="125">
      <c r="D125" s="103"/>
    </row>
    <row r="126">
      <c r="D126" s="103"/>
    </row>
    <row r="127">
      <c r="D127" s="103"/>
    </row>
    <row r="128">
      <c r="D128" s="103"/>
    </row>
    <row r="129">
      <c r="D129" s="103"/>
    </row>
    <row r="130">
      <c r="D130" s="103"/>
    </row>
    <row r="131">
      <c r="D131" s="103"/>
    </row>
    <row r="132">
      <c r="D132" s="103"/>
    </row>
    <row r="133">
      <c r="D133" s="103"/>
    </row>
    <row r="134">
      <c r="D134" s="103"/>
    </row>
    <row r="135">
      <c r="D135" s="103"/>
    </row>
    <row r="136">
      <c r="D136" s="103"/>
    </row>
    <row r="137">
      <c r="D137" s="103"/>
    </row>
    <row r="138">
      <c r="D138" s="103"/>
    </row>
    <row r="139">
      <c r="D139" s="103"/>
    </row>
    <row r="140">
      <c r="D140" s="103"/>
    </row>
    <row r="141">
      <c r="D141" s="103"/>
    </row>
    <row r="142">
      <c r="D142" s="103"/>
    </row>
    <row r="143">
      <c r="D143" s="103"/>
    </row>
    <row r="144">
      <c r="D144" s="103"/>
    </row>
    <row r="145">
      <c r="D145" s="103"/>
    </row>
    <row r="146">
      <c r="D146" s="103"/>
    </row>
    <row r="147">
      <c r="D147" s="103"/>
    </row>
    <row r="148">
      <c r="D148" s="103"/>
    </row>
    <row r="149">
      <c r="D149" s="103"/>
    </row>
    <row r="150">
      <c r="D150" s="103"/>
    </row>
    <row r="151">
      <c r="D151" s="103"/>
    </row>
    <row r="152">
      <c r="D152" s="103"/>
    </row>
    <row r="153">
      <c r="D153" s="103"/>
    </row>
    <row r="154">
      <c r="D154" s="103"/>
    </row>
    <row r="155">
      <c r="D155" s="103"/>
    </row>
    <row r="156">
      <c r="D156" s="103"/>
    </row>
    <row r="157">
      <c r="D157" s="103"/>
    </row>
    <row r="158">
      <c r="D158" s="103"/>
    </row>
    <row r="159">
      <c r="D159" s="103"/>
    </row>
    <row r="160">
      <c r="D160" s="103"/>
    </row>
    <row r="161">
      <c r="D161" s="103"/>
    </row>
    <row r="162">
      <c r="D162" s="103"/>
    </row>
    <row r="163">
      <c r="D163" s="103"/>
    </row>
    <row r="164">
      <c r="D164" s="103"/>
    </row>
    <row r="165">
      <c r="D165" s="103"/>
    </row>
    <row r="166">
      <c r="D166" s="103"/>
    </row>
    <row r="167">
      <c r="D167" s="103"/>
    </row>
    <row r="168">
      <c r="D168" s="103"/>
    </row>
    <row r="169">
      <c r="D169" s="103"/>
    </row>
    <row r="170">
      <c r="D170" s="103"/>
    </row>
    <row r="171">
      <c r="D171" s="103"/>
    </row>
    <row r="172">
      <c r="D172" s="103"/>
    </row>
    <row r="173">
      <c r="D173" s="103"/>
    </row>
    <row r="174">
      <c r="D174" s="103"/>
    </row>
    <row r="175">
      <c r="D175" s="103"/>
    </row>
    <row r="176">
      <c r="D176" s="103"/>
    </row>
    <row r="177">
      <c r="D177" s="103"/>
    </row>
    <row r="178">
      <c r="D178" s="103"/>
    </row>
    <row r="179">
      <c r="D179" s="103"/>
    </row>
    <row r="180">
      <c r="D180" s="103"/>
    </row>
    <row r="181">
      <c r="D181" s="103"/>
    </row>
    <row r="182">
      <c r="D182" s="103"/>
    </row>
    <row r="183">
      <c r="D183" s="103"/>
    </row>
    <row r="184">
      <c r="D184" s="103"/>
    </row>
    <row r="185">
      <c r="D185" s="103"/>
    </row>
    <row r="186">
      <c r="D186" s="103"/>
    </row>
    <row r="187">
      <c r="D187" s="103"/>
    </row>
    <row r="188">
      <c r="D188" s="103"/>
    </row>
    <row r="189">
      <c r="D189" s="103"/>
    </row>
    <row r="190">
      <c r="D190" s="103"/>
    </row>
    <row r="191">
      <c r="D191" s="103"/>
    </row>
    <row r="192">
      <c r="D192" s="103"/>
    </row>
    <row r="193">
      <c r="D193" s="103"/>
    </row>
    <row r="194">
      <c r="D194" s="103"/>
    </row>
    <row r="195">
      <c r="D195" s="103"/>
    </row>
    <row r="196">
      <c r="D196" s="103"/>
    </row>
    <row r="197">
      <c r="D197" s="103"/>
    </row>
    <row r="198">
      <c r="D198" s="103"/>
    </row>
    <row r="199">
      <c r="D199" s="103"/>
    </row>
    <row r="200">
      <c r="D200" s="103"/>
    </row>
    <row r="201">
      <c r="D201" s="103"/>
    </row>
    <row r="202">
      <c r="D202" s="103"/>
    </row>
    <row r="203">
      <c r="D203" s="103"/>
    </row>
    <row r="204">
      <c r="D204" s="103"/>
    </row>
    <row r="205">
      <c r="D205" s="103"/>
    </row>
    <row r="206">
      <c r="D206" s="103"/>
    </row>
    <row r="207">
      <c r="D207" s="103"/>
    </row>
    <row r="208">
      <c r="D208" s="103"/>
    </row>
    <row r="209">
      <c r="D209" s="103"/>
    </row>
    <row r="210">
      <c r="D210" s="103"/>
    </row>
    <row r="211">
      <c r="D211" s="103"/>
    </row>
    <row r="212">
      <c r="D212" s="103"/>
    </row>
    <row r="213">
      <c r="D213" s="103"/>
    </row>
    <row r="214">
      <c r="D214" s="103"/>
    </row>
    <row r="215">
      <c r="D215" s="103"/>
    </row>
    <row r="216">
      <c r="D216" s="103"/>
    </row>
    <row r="217">
      <c r="D217" s="103"/>
    </row>
    <row r="218">
      <c r="D218" s="103"/>
    </row>
    <row r="219">
      <c r="D219" s="103"/>
    </row>
    <row r="220">
      <c r="D220" s="103"/>
    </row>
    <row r="221">
      <c r="D221" s="103"/>
    </row>
    <row r="222">
      <c r="D222" s="103"/>
    </row>
    <row r="223">
      <c r="D223" s="103"/>
    </row>
    <row r="224">
      <c r="D224" s="103"/>
    </row>
    <row r="225">
      <c r="D225" s="103"/>
    </row>
    <row r="226">
      <c r="D226" s="103"/>
    </row>
    <row r="227">
      <c r="D227" s="103"/>
    </row>
    <row r="228">
      <c r="D228" s="103"/>
    </row>
    <row r="229">
      <c r="D229" s="103"/>
    </row>
    <row r="230">
      <c r="D230" s="103"/>
    </row>
    <row r="231">
      <c r="D231" s="103"/>
    </row>
    <row r="232">
      <c r="D232" s="103"/>
    </row>
    <row r="233">
      <c r="D233" s="103"/>
    </row>
    <row r="234">
      <c r="D234" s="103"/>
    </row>
    <row r="235">
      <c r="D235" s="103"/>
    </row>
    <row r="236">
      <c r="D236" s="103"/>
    </row>
    <row r="237">
      <c r="D237" s="103"/>
    </row>
    <row r="238">
      <c r="D238" s="103"/>
    </row>
    <row r="239">
      <c r="D239" s="103"/>
    </row>
    <row r="240">
      <c r="D240" s="103"/>
    </row>
    <row r="241">
      <c r="D241" s="103"/>
    </row>
    <row r="242">
      <c r="D242" s="103"/>
    </row>
    <row r="243">
      <c r="D243" s="103"/>
    </row>
    <row r="244">
      <c r="D244" s="103"/>
    </row>
    <row r="245">
      <c r="D245" s="103"/>
    </row>
    <row r="246">
      <c r="D246" s="103"/>
    </row>
    <row r="247">
      <c r="D247" s="103"/>
    </row>
    <row r="248">
      <c r="D248" s="103"/>
    </row>
    <row r="249">
      <c r="D249" s="103"/>
    </row>
    <row r="250">
      <c r="D250" s="103"/>
    </row>
    <row r="251">
      <c r="D251" s="103"/>
    </row>
    <row r="252">
      <c r="D252" s="103"/>
    </row>
    <row r="253">
      <c r="D253" s="103"/>
    </row>
    <row r="254">
      <c r="D254" s="103"/>
    </row>
    <row r="255">
      <c r="D255" s="103"/>
    </row>
    <row r="256">
      <c r="D256" s="103"/>
    </row>
    <row r="257">
      <c r="D257" s="103"/>
    </row>
    <row r="258">
      <c r="D258" s="103"/>
    </row>
    <row r="259">
      <c r="D259" s="103"/>
    </row>
    <row r="260">
      <c r="D260" s="103"/>
    </row>
    <row r="261">
      <c r="D261" s="103"/>
    </row>
    <row r="262">
      <c r="D262" s="103"/>
    </row>
    <row r="263">
      <c r="D263" s="103"/>
    </row>
    <row r="264">
      <c r="D264" s="103"/>
    </row>
    <row r="265">
      <c r="D265" s="103"/>
    </row>
    <row r="266">
      <c r="D266" s="103"/>
    </row>
    <row r="267">
      <c r="D267" s="103"/>
    </row>
    <row r="268">
      <c r="D268" s="103"/>
    </row>
    <row r="269">
      <c r="D269" s="103"/>
    </row>
    <row r="270">
      <c r="D270" s="103"/>
    </row>
    <row r="271">
      <c r="D271" s="103"/>
    </row>
    <row r="272">
      <c r="D272" s="103"/>
    </row>
    <row r="273">
      <c r="D273" s="103"/>
    </row>
    <row r="274">
      <c r="D274" s="103"/>
    </row>
    <row r="275">
      <c r="D275" s="103"/>
    </row>
    <row r="276">
      <c r="D276" s="103"/>
    </row>
    <row r="277">
      <c r="D277" s="103"/>
    </row>
    <row r="278">
      <c r="D278" s="103"/>
    </row>
    <row r="279">
      <c r="D279" s="103"/>
    </row>
    <row r="280">
      <c r="D280" s="103"/>
    </row>
    <row r="281">
      <c r="D281" s="103"/>
    </row>
    <row r="282">
      <c r="D282" s="103"/>
    </row>
    <row r="283">
      <c r="D283" s="103"/>
    </row>
    <row r="284">
      <c r="D284" s="103"/>
    </row>
    <row r="285">
      <c r="D285" s="103"/>
    </row>
    <row r="286">
      <c r="D286" s="103"/>
    </row>
    <row r="287">
      <c r="D287" s="103"/>
    </row>
    <row r="288">
      <c r="D288" s="103"/>
    </row>
    <row r="289">
      <c r="D289" s="103"/>
    </row>
    <row r="290">
      <c r="D290" s="103"/>
    </row>
    <row r="291">
      <c r="D291" s="103"/>
    </row>
    <row r="292">
      <c r="D292" s="103"/>
    </row>
    <row r="293">
      <c r="D293" s="103"/>
    </row>
    <row r="294">
      <c r="D294" s="103"/>
    </row>
    <row r="295">
      <c r="D295" s="103"/>
    </row>
    <row r="296">
      <c r="D296" s="103"/>
    </row>
    <row r="297">
      <c r="D297" s="103"/>
    </row>
    <row r="298">
      <c r="D298" s="103"/>
    </row>
    <row r="299">
      <c r="D299" s="103"/>
    </row>
    <row r="300">
      <c r="D300" s="103"/>
    </row>
    <row r="301">
      <c r="D301" s="103"/>
    </row>
    <row r="302">
      <c r="D302" s="103"/>
    </row>
    <row r="303">
      <c r="D303" s="103"/>
    </row>
    <row r="304">
      <c r="D304" s="103"/>
    </row>
    <row r="305">
      <c r="D305" s="103"/>
    </row>
    <row r="306">
      <c r="D306" s="103"/>
    </row>
    <row r="307">
      <c r="D307" s="103"/>
    </row>
    <row r="308">
      <c r="D308" s="103"/>
    </row>
    <row r="309">
      <c r="D309" s="103"/>
    </row>
    <row r="310">
      <c r="D310" s="103"/>
    </row>
    <row r="311">
      <c r="D311" s="103"/>
    </row>
    <row r="312">
      <c r="D312" s="103"/>
    </row>
    <row r="313">
      <c r="D313" s="103"/>
    </row>
    <row r="314">
      <c r="D314" s="103"/>
    </row>
    <row r="315">
      <c r="D315" s="103"/>
    </row>
    <row r="316">
      <c r="D316" s="103"/>
    </row>
    <row r="317">
      <c r="D317" s="103"/>
    </row>
    <row r="318">
      <c r="D318" s="103"/>
    </row>
    <row r="319">
      <c r="D319" s="103"/>
    </row>
    <row r="320">
      <c r="D320" s="103"/>
    </row>
    <row r="321">
      <c r="D321" s="103"/>
    </row>
    <row r="322">
      <c r="D322" s="103"/>
    </row>
    <row r="323">
      <c r="D323" s="103"/>
    </row>
    <row r="324">
      <c r="D324" s="103"/>
    </row>
    <row r="325">
      <c r="D325" s="103"/>
    </row>
    <row r="326">
      <c r="D326" s="103"/>
    </row>
    <row r="327">
      <c r="D327" s="103"/>
    </row>
    <row r="328">
      <c r="D328" s="103"/>
    </row>
    <row r="329">
      <c r="D329" s="103"/>
    </row>
    <row r="330">
      <c r="D330" s="103"/>
    </row>
    <row r="331">
      <c r="D331" s="103"/>
    </row>
    <row r="332">
      <c r="D332" s="103"/>
    </row>
    <row r="333">
      <c r="D333" s="103"/>
    </row>
    <row r="334">
      <c r="D334" s="103"/>
    </row>
    <row r="335">
      <c r="D335" s="103"/>
    </row>
    <row r="336">
      <c r="D336" s="103"/>
    </row>
    <row r="337">
      <c r="D337" s="103"/>
    </row>
    <row r="338">
      <c r="D338" s="103"/>
    </row>
    <row r="339">
      <c r="D339" s="103"/>
    </row>
    <row r="340">
      <c r="D340" s="103"/>
    </row>
    <row r="341">
      <c r="D341" s="103"/>
    </row>
    <row r="342">
      <c r="D342" s="103"/>
    </row>
    <row r="343">
      <c r="D343" s="103"/>
    </row>
    <row r="344">
      <c r="D344" s="103"/>
    </row>
    <row r="345">
      <c r="D345" s="103"/>
    </row>
    <row r="346">
      <c r="D346" s="103"/>
    </row>
    <row r="347">
      <c r="D347" s="103"/>
    </row>
    <row r="348">
      <c r="D348" s="103"/>
    </row>
    <row r="349">
      <c r="D349" s="103"/>
    </row>
    <row r="350">
      <c r="D350" s="103"/>
    </row>
    <row r="351">
      <c r="D351" s="103"/>
    </row>
    <row r="352">
      <c r="D352" s="103"/>
    </row>
    <row r="353">
      <c r="D353" s="103"/>
    </row>
    <row r="354">
      <c r="D354" s="103"/>
    </row>
    <row r="355">
      <c r="D355" s="103"/>
    </row>
    <row r="356">
      <c r="D356" s="103"/>
    </row>
    <row r="357">
      <c r="D357" s="103"/>
    </row>
    <row r="358">
      <c r="D358" s="103"/>
    </row>
    <row r="359">
      <c r="D359" s="103"/>
    </row>
    <row r="360">
      <c r="D360" s="103"/>
    </row>
    <row r="361">
      <c r="D361" s="103"/>
    </row>
    <row r="362">
      <c r="D362" s="103"/>
    </row>
    <row r="363">
      <c r="D363" s="103"/>
    </row>
    <row r="364">
      <c r="D364" s="103"/>
    </row>
    <row r="365">
      <c r="D365" s="103"/>
    </row>
    <row r="366">
      <c r="D366" s="103"/>
    </row>
    <row r="367">
      <c r="D367" s="103"/>
    </row>
    <row r="368">
      <c r="D368" s="103"/>
    </row>
    <row r="369">
      <c r="D369" s="103"/>
    </row>
    <row r="370">
      <c r="D370" s="103"/>
    </row>
    <row r="371">
      <c r="D371" s="103"/>
    </row>
    <row r="372">
      <c r="D372" s="103"/>
    </row>
    <row r="373">
      <c r="D373" s="103"/>
    </row>
    <row r="374">
      <c r="D374" s="103"/>
    </row>
    <row r="375">
      <c r="D375" s="103"/>
    </row>
    <row r="376">
      <c r="D376" s="103"/>
    </row>
    <row r="377">
      <c r="D377" s="103"/>
    </row>
    <row r="378">
      <c r="D378" s="103"/>
    </row>
    <row r="379">
      <c r="D379" s="103"/>
    </row>
    <row r="380">
      <c r="D380" s="103"/>
    </row>
    <row r="381">
      <c r="D381" s="103"/>
    </row>
    <row r="382">
      <c r="D382" s="103"/>
    </row>
    <row r="383">
      <c r="D383" s="103"/>
    </row>
    <row r="384">
      <c r="D384" s="103"/>
    </row>
    <row r="385">
      <c r="D385" s="103"/>
    </row>
    <row r="386">
      <c r="D386" s="103"/>
    </row>
    <row r="387">
      <c r="D387" s="103"/>
    </row>
    <row r="388">
      <c r="D388" s="103"/>
    </row>
    <row r="389">
      <c r="D389" s="103"/>
    </row>
    <row r="390">
      <c r="D390" s="103"/>
    </row>
    <row r="391">
      <c r="D391" s="103"/>
    </row>
    <row r="392">
      <c r="D392" s="103"/>
    </row>
    <row r="393">
      <c r="D393" s="103"/>
    </row>
    <row r="394">
      <c r="D394" s="103"/>
    </row>
    <row r="395">
      <c r="D395" s="103"/>
    </row>
    <row r="396">
      <c r="D396" s="103"/>
    </row>
    <row r="397">
      <c r="D397" s="103"/>
    </row>
    <row r="398">
      <c r="D398" s="103"/>
    </row>
    <row r="399">
      <c r="D399" s="103"/>
    </row>
    <row r="400">
      <c r="D400" s="103"/>
    </row>
    <row r="401">
      <c r="D401" s="103"/>
    </row>
    <row r="402">
      <c r="D402" s="103"/>
    </row>
    <row r="403">
      <c r="D403" s="103"/>
    </row>
    <row r="404">
      <c r="D404" s="103"/>
    </row>
    <row r="405">
      <c r="D405" s="103"/>
    </row>
    <row r="406">
      <c r="D406" s="103"/>
    </row>
    <row r="407">
      <c r="D407" s="103"/>
    </row>
    <row r="408">
      <c r="D408" s="103"/>
    </row>
    <row r="409">
      <c r="D409" s="103"/>
    </row>
    <row r="410">
      <c r="D410" s="103"/>
    </row>
    <row r="411">
      <c r="D411" s="103"/>
    </row>
    <row r="412">
      <c r="D412" s="103"/>
    </row>
    <row r="413">
      <c r="D413" s="103"/>
    </row>
    <row r="414">
      <c r="D414" s="103"/>
    </row>
    <row r="415">
      <c r="D415" s="103"/>
    </row>
    <row r="416">
      <c r="D416" s="103"/>
    </row>
    <row r="417">
      <c r="D417" s="103"/>
    </row>
    <row r="418">
      <c r="D418" s="103"/>
    </row>
    <row r="419">
      <c r="D419" s="103"/>
    </row>
    <row r="420">
      <c r="D420" s="103"/>
    </row>
    <row r="421">
      <c r="D421" s="103"/>
    </row>
    <row r="422">
      <c r="D422" s="103"/>
    </row>
    <row r="423">
      <c r="D423" s="103"/>
    </row>
    <row r="424">
      <c r="D424" s="103"/>
    </row>
    <row r="425">
      <c r="D425" s="103"/>
    </row>
    <row r="426">
      <c r="D426" s="103"/>
    </row>
    <row r="427">
      <c r="D427" s="103"/>
    </row>
    <row r="428">
      <c r="D428" s="103"/>
    </row>
    <row r="429">
      <c r="D429" s="103"/>
    </row>
    <row r="430">
      <c r="D430" s="103"/>
    </row>
    <row r="431">
      <c r="D431" s="103"/>
    </row>
    <row r="432">
      <c r="D432" s="103"/>
    </row>
    <row r="433">
      <c r="D433" s="103"/>
    </row>
    <row r="434">
      <c r="D434" s="103"/>
    </row>
    <row r="435">
      <c r="D435" s="103"/>
    </row>
    <row r="436">
      <c r="D436" s="103"/>
    </row>
    <row r="437">
      <c r="D437" s="103"/>
    </row>
    <row r="438">
      <c r="D438" s="103"/>
    </row>
    <row r="439">
      <c r="D439" s="103"/>
    </row>
    <row r="440">
      <c r="D440" s="103"/>
    </row>
    <row r="441">
      <c r="D441" s="103"/>
    </row>
    <row r="442">
      <c r="D442" s="103"/>
    </row>
    <row r="443">
      <c r="D443" s="103"/>
    </row>
    <row r="444">
      <c r="D444" s="103"/>
    </row>
    <row r="445">
      <c r="D445" s="103"/>
    </row>
    <row r="446">
      <c r="D446" s="103"/>
    </row>
    <row r="447">
      <c r="D447" s="103"/>
    </row>
    <row r="448">
      <c r="D448" s="103"/>
    </row>
    <row r="449">
      <c r="D449" s="103"/>
    </row>
    <row r="450">
      <c r="D450" s="103"/>
    </row>
    <row r="451">
      <c r="D451" s="103"/>
    </row>
    <row r="452">
      <c r="D452" s="103"/>
    </row>
    <row r="453">
      <c r="D453" s="103"/>
    </row>
    <row r="454">
      <c r="D454" s="103"/>
    </row>
    <row r="455">
      <c r="D455" s="103"/>
    </row>
    <row r="456">
      <c r="D456" s="103"/>
    </row>
    <row r="457">
      <c r="D457" s="103"/>
    </row>
    <row r="458">
      <c r="D458" s="103"/>
    </row>
    <row r="459">
      <c r="D459" s="103"/>
    </row>
    <row r="460">
      <c r="D460" s="103"/>
    </row>
    <row r="461">
      <c r="D461" s="103"/>
    </row>
    <row r="462">
      <c r="D462" s="103"/>
    </row>
    <row r="463">
      <c r="D463" s="103"/>
    </row>
    <row r="464">
      <c r="D464" s="103"/>
    </row>
    <row r="465">
      <c r="D465" s="103"/>
    </row>
    <row r="466">
      <c r="D466" s="103"/>
    </row>
    <row r="467">
      <c r="D467" s="103"/>
    </row>
    <row r="468">
      <c r="D468" s="103"/>
    </row>
    <row r="469">
      <c r="D469" s="103"/>
    </row>
    <row r="470">
      <c r="D470" s="103"/>
    </row>
    <row r="471">
      <c r="D471" s="103"/>
    </row>
    <row r="472">
      <c r="D472" s="103"/>
    </row>
    <row r="473">
      <c r="D473" s="103"/>
    </row>
    <row r="474">
      <c r="D474" s="103"/>
    </row>
    <row r="475">
      <c r="D475" s="103"/>
    </row>
    <row r="476">
      <c r="D476" s="103"/>
    </row>
    <row r="477">
      <c r="D477" s="103"/>
    </row>
    <row r="478">
      <c r="D478" s="103"/>
    </row>
    <row r="479">
      <c r="D479" s="103"/>
    </row>
    <row r="480">
      <c r="D480" s="103"/>
    </row>
    <row r="481">
      <c r="D481" s="103"/>
    </row>
    <row r="482">
      <c r="D482" s="103"/>
    </row>
    <row r="483">
      <c r="D483" s="103"/>
    </row>
    <row r="484">
      <c r="D484" s="103"/>
    </row>
    <row r="485">
      <c r="D485" s="103"/>
    </row>
    <row r="486">
      <c r="D486" s="103"/>
    </row>
    <row r="487">
      <c r="D487" s="103"/>
    </row>
    <row r="488">
      <c r="D488" s="103"/>
    </row>
    <row r="489">
      <c r="D489" s="103"/>
    </row>
    <row r="490">
      <c r="D490" s="103"/>
    </row>
    <row r="491">
      <c r="D491" s="103"/>
    </row>
    <row r="492">
      <c r="D492" s="103"/>
    </row>
    <row r="493">
      <c r="D493" s="103"/>
    </row>
    <row r="494">
      <c r="D494" s="103"/>
    </row>
    <row r="495">
      <c r="D495" s="103"/>
    </row>
    <row r="496">
      <c r="D496" s="103"/>
    </row>
    <row r="497">
      <c r="D497" s="103"/>
    </row>
    <row r="498">
      <c r="D498" s="103"/>
    </row>
    <row r="499">
      <c r="D499" s="103"/>
    </row>
    <row r="500">
      <c r="D500" s="103"/>
    </row>
    <row r="501">
      <c r="D501" s="103"/>
    </row>
    <row r="502">
      <c r="D502" s="103"/>
    </row>
    <row r="503">
      <c r="D503" s="103"/>
    </row>
    <row r="504">
      <c r="D504" s="103"/>
    </row>
    <row r="505">
      <c r="D505" s="103"/>
    </row>
    <row r="506">
      <c r="D506" s="103"/>
    </row>
    <row r="507">
      <c r="D507" s="103"/>
    </row>
    <row r="508">
      <c r="D508" s="103"/>
    </row>
    <row r="509">
      <c r="D509" s="103"/>
    </row>
    <row r="510">
      <c r="D510" s="103"/>
    </row>
    <row r="511">
      <c r="D511" s="103"/>
    </row>
    <row r="512">
      <c r="D512" s="103"/>
    </row>
    <row r="513">
      <c r="D513" s="103"/>
    </row>
    <row r="514">
      <c r="D514" s="103"/>
    </row>
    <row r="515">
      <c r="D515" s="103"/>
    </row>
    <row r="516">
      <c r="D516" s="103"/>
    </row>
    <row r="517">
      <c r="D517" s="103"/>
    </row>
    <row r="518">
      <c r="D518" s="103"/>
    </row>
    <row r="519">
      <c r="D519" s="103"/>
    </row>
    <row r="520">
      <c r="D520" s="103"/>
    </row>
    <row r="521">
      <c r="D521" s="103"/>
    </row>
    <row r="522">
      <c r="D522" s="103"/>
    </row>
    <row r="523">
      <c r="D523" s="103"/>
    </row>
    <row r="524">
      <c r="D524" s="103"/>
    </row>
    <row r="525">
      <c r="D525" s="103"/>
    </row>
    <row r="526">
      <c r="D526" s="103"/>
    </row>
    <row r="527">
      <c r="D527" s="103"/>
    </row>
    <row r="528">
      <c r="D528" s="103"/>
    </row>
    <row r="529">
      <c r="D529" s="103"/>
    </row>
    <row r="530">
      <c r="D530" s="103"/>
    </row>
    <row r="531">
      <c r="D531" s="103"/>
    </row>
    <row r="532">
      <c r="D532" s="103"/>
    </row>
    <row r="533">
      <c r="D533" s="103"/>
    </row>
    <row r="534">
      <c r="D534" s="103"/>
    </row>
    <row r="535">
      <c r="D535" s="103"/>
    </row>
    <row r="536">
      <c r="D536" s="103"/>
    </row>
    <row r="537">
      <c r="D537" s="103"/>
    </row>
    <row r="538">
      <c r="D538" s="103"/>
    </row>
    <row r="539">
      <c r="D539" s="103"/>
    </row>
    <row r="540">
      <c r="D540" s="103"/>
    </row>
    <row r="541">
      <c r="D541" s="103"/>
    </row>
    <row r="542">
      <c r="D542" s="103"/>
    </row>
    <row r="543">
      <c r="D543" s="103"/>
    </row>
    <row r="544">
      <c r="D544" s="103"/>
    </row>
    <row r="545">
      <c r="D545" s="103"/>
    </row>
    <row r="546">
      <c r="D546" s="103"/>
    </row>
    <row r="547">
      <c r="D547" s="103"/>
    </row>
    <row r="548">
      <c r="D548" s="103"/>
    </row>
    <row r="549">
      <c r="D549" s="103"/>
    </row>
    <row r="550">
      <c r="D550" s="103"/>
    </row>
    <row r="551">
      <c r="D551" s="103"/>
    </row>
    <row r="552">
      <c r="D552" s="103"/>
    </row>
    <row r="553">
      <c r="D553" s="103"/>
    </row>
    <row r="554">
      <c r="D554" s="103"/>
    </row>
    <row r="555">
      <c r="D555" s="103"/>
    </row>
    <row r="556">
      <c r="D556" s="103"/>
    </row>
    <row r="557">
      <c r="D557" s="103"/>
    </row>
    <row r="558">
      <c r="D558" s="103"/>
    </row>
    <row r="559">
      <c r="D559" s="103"/>
    </row>
    <row r="560">
      <c r="D560" s="103"/>
    </row>
    <row r="561">
      <c r="D561" s="103"/>
    </row>
    <row r="562">
      <c r="D562" s="103"/>
    </row>
    <row r="563">
      <c r="D563" s="103"/>
    </row>
    <row r="564">
      <c r="D564" s="103"/>
    </row>
    <row r="565">
      <c r="D565" s="103"/>
    </row>
    <row r="566">
      <c r="D566" s="103"/>
    </row>
    <row r="567">
      <c r="D567" s="103"/>
    </row>
    <row r="568">
      <c r="D568" s="103"/>
    </row>
    <row r="569">
      <c r="D569" s="103"/>
    </row>
    <row r="570">
      <c r="D570" s="103"/>
    </row>
    <row r="571">
      <c r="D571" s="103"/>
    </row>
    <row r="572">
      <c r="D572" s="103"/>
    </row>
    <row r="573">
      <c r="D573" s="103"/>
    </row>
    <row r="574">
      <c r="D574" s="103"/>
    </row>
    <row r="575">
      <c r="D575" s="103"/>
    </row>
    <row r="576">
      <c r="D576" s="103"/>
    </row>
    <row r="577">
      <c r="D577" s="103"/>
    </row>
    <row r="578">
      <c r="D578" s="103"/>
    </row>
    <row r="579">
      <c r="D579" s="103"/>
    </row>
    <row r="580">
      <c r="D580" s="103"/>
    </row>
    <row r="581">
      <c r="D581" s="103"/>
    </row>
    <row r="582">
      <c r="D582" s="103"/>
    </row>
    <row r="583">
      <c r="D583" s="103"/>
    </row>
    <row r="584">
      <c r="D584" s="103"/>
    </row>
    <row r="585">
      <c r="D585" s="103"/>
    </row>
    <row r="586">
      <c r="D586" s="103"/>
    </row>
    <row r="587">
      <c r="D587" s="103"/>
    </row>
    <row r="588">
      <c r="D588" s="103"/>
    </row>
    <row r="589">
      <c r="D589" s="103"/>
    </row>
    <row r="590">
      <c r="D590" s="103"/>
    </row>
    <row r="591">
      <c r="D591" s="103"/>
    </row>
    <row r="592">
      <c r="D592" s="103"/>
    </row>
    <row r="593">
      <c r="D593" s="103"/>
    </row>
    <row r="594">
      <c r="D594" s="103"/>
    </row>
    <row r="595">
      <c r="D595" s="103"/>
    </row>
    <row r="596">
      <c r="D596" s="103"/>
    </row>
    <row r="597">
      <c r="D597" s="103"/>
    </row>
    <row r="598">
      <c r="D598" s="103"/>
    </row>
    <row r="599">
      <c r="D599" s="103"/>
    </row>
    <row r="600">
      <c r="D600" s="103"/>
    </row>
    <row r="601">
      <c r="D601" s="103"/>
    </row>
    <row r="602">
      <c r="D602" s="103"/>
    </row>
    <row r="603">
      <c r="D603" s="103"/>
    </row>
    <row r="604">
      <c r="D604" s="103"/>
    </row>
    <row r="605">
      <c r="D605" s="103"/>
    </row>
    <row r="606">
      <c r="D606" s="103"/>
    </row>
    <row r="607">
      <c r="D607" s="103"/>
    </row>
    <row r="608">
      <c r="D608" s="103"/>
    </row>
    <row r="609">
      <c r="D609" s="103"/>
    </row>
    <row r="610">
      <c r="D610" s="103"/>
    </row>
    <row r="611">
      <c r="D611" s="103"/>
    </row>
    <row r="612">
      <c r="D612" s="103"/>
    </row>
    <row r="613">
      <c r="D613" s="103"/>
    </row>
    <row r="614">
      <c r="D614" s="103"/>
    </row>
    <row r="615">
      <c r="D615" s="103"/>
    </row>
    <row r="616">
      <c r="D616" s="103"/>
    </row>
    <row r="617">
      <c r="D617" s="103"/>
    </row>
    <row r="618">
      <c r="D618" s="103"/>
    </row>
    <row r="619">
      <c r="D619" s="103"/>
    </row>
    <row r="620">
      <c r="D620" s="103"/>
    </row>
    <row r="621">
      <c r="D621" s="103"/>
    </row>
    <row r="622">
      <c r="D622" s="103"/>
    </row>
    <row r="623">
      <c r="D623" s="103"/>
    </row>
    <row r="624">
      <c r="D624" s="103"/>
    </row>
    <row r="625">
      <c r="D625" s="103"/>
    </row>
    <row r="626">
      <c r="D626" s="103"/>
    </row>
    <row r="627">
      <c r="D627" s="103"/>
    </row>
    <row r="628">
      <c r="D628" s="103"/>
    </row>
    <row r="629">
      <c r="D629" s="103"/>
    </row>
    <row r="630">
      <c r="D630" s="103"/>
    </row>
    <row r="631">
      <c r="D631" s="103"/>
    </row>
    <row r="632">
      <c r="D632" s="103"/>
    </row>
    <row r="633">
      <c r="D633" s="103"/>
    </row>
    <row r="634">
      <c r="D634" s="103"/>
    </row>
    <row r="635">
      <c r="D635" s="103"/>
    </row>
    <row r="636">
      <c r="D636" s="103"/>
    </row>
    <row r="637">
      <c r="D637" s="103"/>
    </row>
    <row r="638">
      <c r="D638" s="103"/>
    </row>
    <row r="639">
      <c r="D639" s="103"/>
    </row>
    <row r="640">
      <c r="D640" s="103"/>
    </row>
    <row r="641">
      <c r="D641" s="103"/>
    </row>
    <row r="642">
      <c r="D642" s="103"/>
    </row>
    <row r="643">
      <c r="D643" s="103"/>
    </row>
    <row r="644">
      <c r="D644" s="103"/>
    </row>
    <row r="645">
      <c r="D645" s="103"/>
    </row>
    <row r="646">
      <c r="D646" s="103"/>
    </row>
    <row r="647">
      <c r="D647" s="103"/>
    </row>
    <row r="648">
      <c r="D648" s="103"/>
    </row>
    <row r="649">
      <c r="D649" s="103"/>
    </row>
    <row r="650">
      <c r="D650" s="103"/>
    </row>
    <row r="651">
      <c r="D651" s="103"/>
    </row>
    <row r="652">
      <c r="D652" s="103"/>
    </row>
    <row r="653">
      <c r="D653" s="103"/>
    </row>
    <row r="654">
      <c r="D654" s="103"/>
    </row>
    <row r="655">
      <c r="D655" s="103"/>
    </row>
    <row r="656">
      <c r="D656" s="103"/>
    </row>
    <row r="657">
      <c r="D657" s="103"/>
    </row>
    <row r="658">
      <c r="D658" s="103"/>
    </row>
    <row r="659">
      <c r="D659" s="103"/>
    </row>
    <row r="660">
      <c r="D660" s="103"/>
    </row>
    <row r="661">
      <c r="D661" s="103"/>
    </row>
    <row r="662">
      <c r="D662" s="103"/>
    </row>
    <row r="663">
      <c r="D663" s="103"/>
    </row>
    <row r="664">
      <c r="D664" s="103"/>
    </row>
    <row r="665">
      <c r="D665" s="103"/>
    </row>
    <row r="666">
      <c r="D666" s="103"/>
    </row>
    <row r="667">
      <c r="D667" s="103"/>
    </row>
    <row r="668">
      <c r="D668" s="103"/>
    </row>
    <row r="669">
      <c r="D669" s="103"/>
    </row>
    <row r="670">
      <c r="D670" s="103"/>
    </row>
    <row r="671">
      <c r="D671" s="103"/>
    </row>
    <row r="672">
      <c r="D672" s="103"/>
    </row>
    <row r="673">
      <c r="D673" s="103"/>
    </row>
    <row r="674">
      <c r="D674" s="103"/>
    </row>
    <row r="675">
      <c r="D675" s="103"/>
    </row>
    <row r="676">
      <c r="D676" s="103"/>
    </row>
    <row r="677">
      <c r="D677" s="103"/>
    </row>
    <row r="678">
      <c r="D678" s="103"/>
    </row>
    <row r="679">
      <c r="D679" s="103"/>
    </row>
    <row r="680">
      <c r="D680" s="103"/>
    </row>
    <row r="681">
      <c r="D681" s="103"/>
    </row>
    <row r="682">
      <c r="D682" s="103"/>
    </row>
    <row r="683">
      <c r="D683" s="103"/>
    </row>
    <row r="684">
      <c r="D684" s="103"/>
    </row>
    <row r="685">
      <c r="D685" s="103"/>
    </row>
    <row r="686">
      <c r="D686" s="103"/>
    </row>
    <row r="687">
      <c r="D687" s="103"/>
    </row>
    <row r="688">
      <c r="D688" s="103"/>
    </row>
    <row r="689">
      <c r="D689" s="103"/>
    </row>
    <row r="690">
      <c r="D690" s="103"/>
    </row>
    <row r="691">
      <c r="D691" s="103"/>
    </row>
    <row r="692">
      <c r="D692" s="103"/>
    </row>
    <row r="693">
      <c r="D693" s="103"/>
    </row>
    <row r="694">
      <c r="D694" s="103"/>
    </row>
    <row r="695">
      <c r="D695" s="103"/>
    </row>
    <row r="696">
      <c r="D696" s="103"/>
    </row>
    <row r="697">
      <c r="D697" s="103"/>
    </row>
    <row r="698">
      <c r="D698" s="103"/>
    </row>
    <row r="699">
      <c r="D699" s="103"/>
    </row>
    <row r="700">
      <c r="D700" s="103"/>
    </row>
    <row r="701">
      <c r="D701" s="103"/>
    </row>
    <row r="702">
      <c r="D702" s="103"/>
    </row>
    <row r="703">
      <c r="D703" s="103"/>
    </row>
    <row r="704">
      <c r="D704" s="103"/>
    </row>
    <row r="705">
      <c r="D705" s="103"/>
    </row>
    <row r="706">
      <c r="D706" s="103"/>
    </row>
    <row r="707">
      <c r="D707" s="103"/>
    </row>
    <row r="708">
      <c r="D708" s="103"/>
    </row>
    <row r="709">
      <c r="D709" s="103"/>
    </row>
    <row r="710">
      <c r="D710" s="103"/>
    </row>
    <row r="711">
      <c r="D711" s="103"/>
    </row>
    <row r="712">
      <c r="D712" s="103"/>
    </row>
    <row r="713">
      <c r="D713" s="103"/>
    </row>
    <row r="714">
      <c r="D714" s="103"/>
    </row>
    <row r="715">
      <c r="D715" s="103"/>
    </row>
    <row r="716">
      <c r="D716" s="103"/>
    </row>
    <row r="717">
      <c r="D717" s="103"/>
    </row>
    <row r="718">
      <c r="D718" s="103"/>
    </row>
    <row r="719">
      <c r="D719" s="103"/>
    </row>
    <row r="720">
      <c r="D720" s="103"/>
    </row>
    <row r="721">
      <c r="D721" s="103"/>
    </row>
    <row r="722">
      <c r="D722" s="103"/>
    </row>
    <row r="723">
      <c r="D723" s="103"/>
    </row>
    <row r="724">
      <c r="D724" s="103"/>
    </row>
    <row r="725">
      <c r="D725" s="103"/>
    </row>
    <row r="726">
      <c r="D726" s="103"/>
    </row>
    <row r="727">
      <c r="D727" s="103"/>
    </row>
    <row r="728">
      <c r="D728" s="103"/>
    </row>
    <row r="729">
      <c r="D729" s="103"/>
    </row>
    <row r="730">
      <c r="D730" s="103"/>
    </row>
    <row r="731">
      <c r="D731" s="103"/>
    </row>
    <row r="732">
      <c r="D732" s="103"/>
    </row>
    <row r="733">
      <c r="D733" s="103"/>
    </row>
    <row r="734">
      <c r="D734" s="103"/>
    </row>
    <row r="735">
      <c r="D735" s="103"/>
    </row>
    <row r="736">
      <c r="D736" s="103"/>
    </row>
    <row r="737">
      <c r="D737" s="103"/>
    </row>
    <row r="738">
      <c r="D738" s="103"/>
    </row>
    <row r="739">
      <c r="D739" s="103"/>
    </row>
    <row r="740">
      <c r="D740" s="103"/>
    </row>
    <row r="741">
      <c r="D741" s="103"/>
    </row>
    <row r="742">
      <c r="D742" s="103"/>
    </row>
    <row r="743">
      <c r="D743" s="103"/>
    </row>
    <row r="744">
      <c r="D744" s="103"/>
    </row>
    <row r="745">
      <c r="D745" s="103"/>
    </row>
    <row r="746">
      <c r="D746" s="103"/>
    </row>
    <row r="747">
      <c r="D747" s="103"/>
    </row>
    <row r="748">
      <c r="D748" s="103"/>
    </row>
    <row r="749">
      <c r="D749" s="103"/>
    </row>
    <row r="750">
      <c r="D750" s="103"/>
    </row>
    <row r="751">
      <c r="D751" s="103"/>
    </row>
    <row r="752">
      <c r="D752" s="103"/>
    </row>
    <row r="753">
      <c r="D753" s="103"/>
    </row>
    <row r="754">
      <c r="D754" s="103"/>
    </row>
    <row r="755">
      <c r="D755" s="103"/>
    </row>
    <row r="756">
      <c r="D756" s="103"/>
    </row>
    <row r="757">
      <c r="D757" s="103"/>
    </row>
    <row r="758">
      <c r="D758" s="103"/>
    </row>
    <row r="759">
      <c r="D759" s="103"/>
    </row>
    <row r="760">
      <c r="D760" s="103"/>
    </row>
    <row r="761">
      <c r="D761" s="103"/>
    </row>
    <row r="762">
      <c r="D762" s="103"/>
    </row>
    <row r="763">
      <c r="D763" s="103"/>
    </row>
    <row r="764">
      <c r="D764" s="103"/>
    </row>
    <row r="765">
      <c r="D765" s="103"/>
    </row>
    <row r="766">
      <c r="D766" s="103"/>
    </row>
    <row r="767">
      <c r="D767" s="103"/>
    </row>
    <row r="768">
      <c r="D768" s="103"/>
    </row>
    <row r="769">
      <c r="D769" s="103"/>
    </row>
    <row r="770">
      <c r="D770" s="103"/>
    </row>
    <row r="771">
      <c r="D771" s="103"/>
    </row>
    <row r="772">
      <c r="D772" s="103"/>
    </row>
    <row r="773">
      <c r="D773" s="103"/>
    </row>
    <row r="774">
      <c r="D774" s="103"/>
    </row>
    <row r="775">
      <c r="D775" s="103"/>
    </row>
    <row r="776">
      <c r="D776" s="103"/>
    </row>
    <row r="777">
      <c r="D777" s="103"/>
    </row>
    <row r="778">
      <c r="D778" s="103"/>
    </row>
    <row r="779">
      <c r="D779" s="103"/>
    </row>
    <row r="780">
      <c r="D780" s="103"/>
    </row>
    <row r="781">
      <c r="D781" s="103"/>
    </row>
    <row r="782">
      <c r="D782" s="103"/>
    </row>
    <row r="783">
      <c r="D783" s="103"/>
    </row>
    <row r="784">
      <c r="D784" s="103"/>
    </row>
    <row r="785">
      <c r="D785" s="103"/>
    </row>
    <row r="786">
      <c r="D786" s="103"/>
    </row>
    <row r="787">
      <c r="D787" s="103"/>
    </row>
    <row r="788">
      <c r="D788" s="103"/>
    </row>
    <row r="789">
      <c r="D789" s="103"/>
    </row>
    <row r="790">
      <c r="D790" s="103"/>
    </row>
    <row r="791">
      <c r="D791" s="103"/>
    </row>
    <row r="792">
      <c r="D792" s="103"/>
    </row>
    <row r="793">
      <c r="D793" s="103"/>
    </row>
    <row r="794">
      <c r="D794" s="103"/>
    </row>
    <row r="795">
      <c r="D795" s="103"/>
    </row>
    <row r="796">
      <c r="D796" s="103"/>
    </row>
    <row r="797">
      <c r="D797" s="103"/>
    </row>
    <row r="798">
      <c r="D798" s="103"/>
    </row>
    <row r="799">
      <c r="D799" s="103"/>
    </row>
    <row r="800">
      <c r="D800" s="103"/>
    </row>
    <row r="801">
      <c r="D801" s="103"/>
    </row>
    <row r="802">
      <c r="D802" s="103"/>
    </row>
    <row r="803">
      <c r="D803" s="103"/>
    </row>
    <row r="804">
      <c r="D804" s="103"/>
    </row>
    <row r="805">
      <c r="D805" s="103"/>
    </row>
    <row r="806">
      <c r="D806" s="103"/>
    </row>
    <row r="807">
      <c r="D807" s="103"/>
    </row>
    <row r="808">
      <c r="D808" s="103"/>
    </row>
    <row r="809">
      <c r="D809" s="103"/>
    </row>
    <row r="810">
      <c r="D810" s="103"/>
    </row>
    <row r="811">
      <c r="D811" s="103"/>
    </row>
    <row r="812">
      <c r="D812" s="103"/>
    </row>
    <row r="813">
      <c r="D813" s="103"/>
    </row>
    <row r="814">
      <c r="D814" s="103"/>
    </row>
    <row r="815">
      <c r="D815" s="103"/>
    </row>
    <row r="816">
      <c r="D816" s="103"/>
    </row>
    <row r="817">
      <c r="D817" s="103"/>
    </row>
    <row r="818">
      <c r="D818" s="103"/>
    </row>
    <row r="819">
      <c r="D819" s="103"/>
    </row>
    <row r="820">
      <c r="D820" s="103"/>
    </row>
    <row r="821">
      <c r="D821" s="103"/>
    </row>
    <row r="822">
      <c r="D822" s="103"/>
    </row>
    <row r="823">
      <c r="D823" s="103"/>
    </row>
    <row r="824">
      <c r="D824" s="103"/>
    </row>
    <row r="825">
      <c r="D825" s="103"/>
    </row>
    <row r="826">
      <c r="D826" s="103"/>
    </row>
    <row r="827">
      <c r="D827" s="103"/>
    </row>
    <row r="828">
      <c r="D828" s="103"/>
    </row>
    <row r="829">
      <c r="D829" s="103"/>
    </row>
    <row r="830">
      <c r="D830" s="103"/>
    </row>
    <row r="831">
      <c r="D831" s="103"/>
    </row>
    <row r="832">
      <c r="D832" s="103"/>
    </row>
    <row r="833">
      <c r="D833" s="103"/>
    </row>
    <row r="834">
      <c r="D834" s="103"/>
    </row>
    <row r="835">
      <c r="D835" s="103"/>
    </row>
    <row r="836">
      <c r="D836" s="103"/>
    </row>
    <row r="837">
      <c r="D837" s="103"/>
    </row>
    <row r="838">
      <c r="D838" s="103"/>
    </row>
    <row r="839">
      <c r="D839" s="103"/>
    </row>
    <row r="840">
      <c r="D840" s="103"/>
    </row>
    <row r="841">
      <c r="D841" s="103"/>
    </row>
    <row r="842">
      <c r="D842" s="103"/>
    </row>
    <row r="843">
      <c r="D843" s="103"/>
    </row>
    <row r="844">
      <c r="D844" s="103"/>
    </row>
    <row r="845">
      <c r="D845" s="103"/>
    </row>
    <row r="846">
      <c r="D846" s="103"/>
    </row>
    <row r="847">
      <c r="D847" s="103"/>
    </row>
    <row r="848">
      <c r="D848" s="103"/>
    </row>
    <row r="849">
      <c r="D849" s="103"/>
    </row>
    <row r="850">
      <c r="D850" s="103"/>
    </row>
    <row r="851">
      <c r="D851" s="103"/>
    </row>
    <row r="852">
      <c r="D852" s="103"/>
    </row>
    <row r="853">
      <c r="D853" s="103"/>
    </row>
    <row r="854">
      <c r="D854" s="103"/>
    </row>
    <row r="855">
      <c r="D855" s="103"/>
    </row>
    <row r="856">
      <c r="D856" s="103"/>
    </row>
    <row r="857">
      <c r="D857" s="103"/>
    </row>
    <row r="858">
      <c r="D858" s="103"/>
    </row>
    <row r="859">
      <c r="D859" s="103"/>
    </row>
    <row r="860">
      <c r="D860" s="103"/>
    </row>
    <row r="861">
      <c r="D861" s="103"/>
    </row>
    <row r="862">
      <c r="D862" s="103"/>
    </row>
    <row r="863">
      <c r="D863" s="103"/>
    </row>
    <row r="864">
      <c r="D864" s="103"/>
    </row>
    <row r="865">
      <c r="D865" s="103"/>
    </row>
    <row r="866">
      <c r="D866" s="103"/>
    </row>
    <row r="867">
      <c r="D867" s="103"/>
    </row>
    <row r="868">
      <c r="D868" s="103"/>
    </row>
    <row r="869">
      <c r="D869" s="103"/>
    </row>
    <row r="870">
      <c r="D870" s="103"/>
    </row>
    <row r="871">
      <c r="D871" s="103"/>
    </row>
    <row r="872">
      <c r="D872" s="103"/>
    </row>
    <row r="873">
      <c r="D873" s="103"/>
    </row>
    <row r="874">
      <c r="D874" s="103"/>
    </row>
    <row r="875">
      <c r="D875" s="103"/>
    </row>
    <row r="876">
      <c r="D876" s="103"/>
    </row>
    <row r="877">
      <c r="D877" s="103"/>
    </row>
    <row r="878">
      <c r="D878" s="103"/>
    </row>
    <row r="879">
      <c r="D879" s="103"/>
    </row>
    <row r="880">
      <c r="D880" s="103"/>
    </row>
    <row r="881">
      <c r="D881" s="103"/>
    </row>
    <row r="882">
      <c r="D882" s="103"/>
    </row>
    <row r="883">
      <c r="D883" s="103"/>
    </row>
    <row r="884">
      <c r="D884" s="103"/>
    </row>
    <row r="885">
      <c r="D885" s="103"/>
    </row>
    <row r="886">
      <c r="D886" s="103"/>
    </row>
    <row r="887">
      <c r="D887" s="103"/>
    </row>
    <row r="888">
      <c r="D888" s="103"/>
    </row>
    <row r="889">
      <c r="D889" s="103"/>
    </row>
    <row r="890">
      <c r="D890" s="103"/>
    </row>
    <row r="891">
      <c r="D891" s="103"/>
    </row>
    <row r="892">
      <c r="D892" s="103"/>
    </row>
    <row r="893">
      <c r="D893" s="103"/>
    </row>
    <row r="894">
      <c r="D894" s="103"/>
    </row>
    <row r="895">
      <c r="D895" s="103"/>
    </row>
    <row r="896">
      <c r="D896" s="103"/>
    </row>
    <row r="897">
      <c r="D897" s="103"/>
    </row>
    <row r="898">
      <c r="D898" s="103"/>
    </row>
    <row r="899">
      <c r="D899" s="103"/>
    </row>
    <row r="900">
      <c r="D900" s="103"/>
    </row>
    <row r="901">
      <c r="D901" s="103"/>
    </row>
    <row r="902">
      <c r="D902" s="103"/>
    </row>
    <row r="903">
      <c r="D903" s="103"/>
    </row>
    <row r="904">
      <c r="D904" s="103"/>
    </row>
    <row r="905">
      <c r="D905" s="103"/>
    </row>
    <row r="906">
      <c r="D906" s="103"/>
    </row>
    <row r="907">
      <c r="D907" s="103"/>
    </row>
    <row r="908">
      <c r="D908" s="103"/>
    </row>
    <row r="909">
      <c r="D909" s="103"/>
    </row>
    <row r="910">
      <c r="D910" s="103"/>
    </row>
    <row r="911">
      <c r="D911" s="103"/>
    </row>
    <row r="912">
      <c r="D912" s="103"/>
    </row>
    <row r="913">
      <c r="D913" s="103"/>
    </row>
    <row r="914">
      <c r="D914" s="103"/>
    </row>
    <row r="915">
      <c r="D915" s="103"/>
    </row>
    <row r="916">
      <c r="D916" s="103"/>
    </row>
    <row r="917">
      <c r="D917" s="103"/>
    </row>
    <row r="918">
      <c r="D918" s="103"/>
    </row>
    <row r="919">
      <c r="D919" s="103"/>
    </row>
    <row r="920">
      <c r="D920" s="103"/>
    </row>
    <row r="921">
      <c r="D921" s="103"/>
    </row>
    <row r="922">
      <c r="D922" s="103"/>
    </row>
    <row r="923">
      <c r="D923" s="103"/>
    </row>
    <row r="924">
      <c r="D924" s="103"/>
    </row>
    <row r="925">
      <c r="D925" s="103"/>
    </row>
    <row r="926">
      <c r="D926" s="103"/>
    </row>
    <row r="927">
      <c r="D927" s="103"/>
    </row>
    <row r="928">
      <c r="D928" s="103"/>
    </row>
    <row r="929">
      <c r="D929" s="103"/>
    </row>
    <row r="930">
      <c r="D930" s="103"/>
    </row>
    <row r="931">
      <c r="D931" s="103"/>
    </row>
    <row r="932">
      <c r="D932" s="103"/>
    </row>
    <row r="933">
      <c r="D933" s="103"/>
    </row>
    <row r="934">
      <c r="D934" s="103"/>
    </row>
    <row r="935">
      <c r="D935" s="103"/>
    </row>
    <row r="936">
      <c r="D936" s="103"/>
    </row>
    <row r="937">
      <c r="D937" s="103"/>
    </row>
    <row r="938">
      <c r="D938" s="103"/>
    </row>
    <row r="939">
      <c r="D939" s="103"/>
    </row>
    <row r="940">
      <c r="D940" s="103"/>
    </row>
    <row r="941">
      <c r="D941" s="103"/>
    </row>
    <row r="942">
      <c r="D942" s="103"/>
    </row>
    <row r="943">
      <c r="D943" s="103"/>
    </row>
    <row r="944">
      <c r="D944" s="103"/>
    </row>
    <row r="945">
      <c r="D945" s="103"/>
    </row>
    <row r="946">
      <c r="D946" s="103"/>
    </row>
    <row r="947">
      <c r="D947" s="103"/>
    </row>
    <row r="948">
      <c r="D948" s="103"/>
    </row>
    <row r="949">
      <c r="D949" s="103"/>
    </row>
    <row r="950">
      <c r="D950" s="103"/>
    </row>
    <row r="951">
      <c r="D951" s="103"/>
    </row>
    <row r="952">
      <c r="D952" s="103"/>
    </row>
    <row r="953">
      <c r="D953" s="103"/>
    </row>
    <row r="954">
      <c r="D954" s="103"/>
    </row>
    <row r="955">
      <c r="D955" s="103"/>
    </row>
    <row r="956">
      <c r="D956" s="103"/>
    </row>
    <row r="957">
      <c r="D957" s="103"/>
    </row>
    <row r="958">
      <c r="D958" s="103"/>
    </row>
    <row r="959">
      <c r="D959" s="103"/>
    </row>
    <row r="960">
      <c r="D960" s="103"/>
    </row>
    <row r="961">
      <c r="D961" s="103"/>
    </row>
    <row r="962">
      <c r="D962" s="103"/>
    </row>
    <row r="963">
      <c r="D963" s="103"/>
    </row>
    <row r="964">
      <c r="D964" s="103"/>
    </row>
    <row r="965">
      <c r="D965" s="103"/>
    </row>
    <row r="966">
      <c r="D966" s="103"/>
    </row>
    <row r="967">
      <c r="D967" s="103"/>
    </row>
    <row r="968">
      <c r="D968" s="103"/>
    </row>
    <row r="969">
      <c r="D969" s="103"/>
    </row>
    <row r="970">
      <c r="D970" s="103"/>
    </row>
    <row r="971">
      <c r="D971" s="103"/>
    </row>
    <row r="972">
      <c r="D972" s="103"/>
    </row>
    <row r="973">
      <c r="D973" s="103"/>
    </row>
    <row r="974">
      <c r="D974" s="103"/>
    </row>
    <row r="975">
      <c r="D975" s="103"/>
    </row>
    <row r="976">
      <c r="D976" s="103"/>
    </row>
    <row r="977">
      <c r="D977" s="103"/>
    </row>
    <row r="978">
      <c r="D978" s="103"/>
    </row>
    <row r="979">
      <c r="D979" s="103"/>
    </row>
    <row r="980">
      <c r="D980" s="103"/>
    </row>
    <row r="981">
      <c r="D981" s="103"/>
    </row>
    <row r="982">
      <c r="D982" s="103"/>
    </row>
    <row r="983">
      <c r="D983" s="103"/>
    </row>
    <row r="984">
      <c r="D984" s="103"/>
    </row>
    <row r="985">
      <c r="D985" s="103"/>
    </row>
    <row r="986">
      <c r="D986" s="103"/>
    </row>
    <row r="987">
      <c r="D987" s="103"/>
    </row>
    <row r="988">
      <c r="D988" s="103"/>
    </row>
    <row r="989">
      <c r="D989" s="103"/>
    </row>
    <row r="990">
      <c r="D990" s="103"/>
    </row>
    <row r="991">
      <c r="D991" s="103"/>
    </row>
    <row r="992">
      <c r="D992" s="103"/>
    </row>
    <row r="993">
      <c r="D993" s="103"/>
    </row>
    <row r="994">
      <c r="D994" s="103"/>
    </row>
    <row r="995">
      <c r="D995" s="103"/>
    </row>
    <row r="996">
      <c r="D996" s="103"/>
    </row>
    <row r="997">
      <c r="D997" s="103"/>
    </row>
    <row r="998">
      <c r="D998" s="103"/>
    </row>
    <row r="999">
      <c r="D999" s="103"/>
    </row>
    <row r="1000">
      <c r="D1000" s="103"/>
    </row>
  </sheetData>
  <conditionalFormatting sqref="D3:E4">
    <cfRule type="expression" dxfId="0" priority="1">
      <formula>$AI3="Excluded"</formula>
    </cfRule>
  </conditionalFormatting>
  <conditionalFormatting sqref="E3:E4">
    <cfRule type="cellIs" dxfId="1" priority="2" operator="equal">
      <formula>"patellar"</formula>
    </cfRule>
  </conditionalFormatting>
  <conditionalFormatting sqref="E3:E4">
    <cfRule type="cellIs" dxfId="2" priority="3" operator="equal">
      <formula>"hamstring"</formula>
    </cfRule>
  </conditionalFormatting>
  <conditionalFormatting sqref="E3:E4">
    <cfRule type="cellIs" dxfId="3" priority="4" operator="equal">
      <formula>"quadriceps"</formula>
    </cfRule>
  </conditionalFormatting>
  <conditionalFormatting sqref="E3:E4">
    <cfRule type="cellIs" dxfId="4" priority="5" operator="equal">
      <formula>"tibialis"</formula>
    </cfRule>
  </conditionalFormatting>
  <conditionalFormatting sqref="D2:E2">
    <cfRule type="expression" dxfId="0" priority="6">
      <formula>$AI2="Excluded"</formula>
    </cfRule>
  </conditionalFormatting>
  <conditionalFormatting sqref="E2">
    <cfRule type="cellIs" dxfId="1" priority="7" operator="equal">
      <formula>"patellar"</formula>
    </cfRule>
  </conditionalFormatting>
  <conditionalFormatting sqref="E2">
    <cfRule type="cellIs" dxfId="2" priority="8" operator="equal">
      <formula>"hamstring"</formula>
    </cfRule>
  </conditionalFormatting>
  <conditionalFormatting sqref="E2">
    <cfRule type="cellIs" dxfId="3" priority="9" operator="equal">
      <formula>"quadriceps"</formula>
    </cfRule>
  </conditionalFormatting>
  <conditionalFormatting sqref="E2">
    <cfRule type="cellIs" dxfId="4" priority="10" operator="equal">
      <formula>"tibialis"</formula>
    </cfRule>
  </conditionalFormatting>
  <conditionalFormatting sqref="B3:C4">
    <cfRule type="expression" dxfId="0" priority="11">
      <formula>$AI3="Excluded"</formula>
    </cfRule>
  </conditionalFormatting>
  <conditionalFormatting sqref="B3:C4">
    <cfRule type="cellIs" dxfId="1" priority="12" operator="equal">
      <formula>"patellar"</formula>
    </cfRule>
  </conditionalFormatting>
  <conditionalFormatting sqref="B3:C4">
    <cfRule type="cellIs" dxfId="2" priority="13" operator="equal">
      <formula>"hamstring"</formula>
    </cfRule>
  </conditionalFormatting>
  <conditionalFormatting sqref="B3:C4">
    <cfRule type="cellIs" dxfId="3" priority="14" operator="equal">
      <formula>"quadriceps"</formula>
    </cfRule>
  </conditionalFormatting>
  <conditionalFormatting sqref="B3:C4">
    <cfRule type="cellIs" dxfId="4" priority="15" operator="equal">
      <formula>"tibialis"</formula>
    </cfRule>
  </conditionalFormatting>
  <conditionalFormatting sqref="B2 C2:C3">
    <cfRule type="expression" dxfId="0" priority="16">
      <formula>$AI2="Excluded"</formula>
    </cfRule>
  </conditionalFormatting>
  <conditionalFormatting sqref="B2 C2:C3">
    <cfRule type="cellIs" dxfId="1" priority="17" operator="equal">
      <formula>"patellar"</formula>
    </cfRule>
  </conditionalFormatting>
  <conditionalFormatting sqref="B2 C2:C3">
    <cfRule type="cellIs" dxfId="2" priority="18" operator="equal">
      <formula>"hamstring"</formula>
    </cfRule>
  </conditionalFormatting>
  <conditionalFormatting sqref="B2 C2:C3">
    <cfRule type="cellIs" dxfId="3" priority="19" operator="equal">
      <formula>"quadriceps"</formula>
    </cfRule>
  </conditionalFormatting>
  <conditionalFormatting sqref="B2 C2:C3">
    <cfRule type="cellIs" dxfId="4" priority="20" operator="equal">
      <formula>"tibialis"</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21.0"/>
    <col customWidth="1" min="2" max="2" width="11.13"/>
    <col customWidth="1" min="3" max="3" width="21.75"/>
    <col customWidth="1" min="6" max="6" width="11.0"/>
    <col customWidth="1" min="7" max="7" width="11.13"/>
  </cols>
  <sheetData>
    <row r="1">
      <c r="A1" s="5" t="s">
        <v>3</v>
      </c>
      <c r="B1" s="2" t="s">
        <v>4</v>
      </c>
      <c r="F1" s="5" t="s">
        <v>3</v>
      </c>
      <c r="G1" s="2" t="s">
        <v>4</v>
      </c>
    </row>
    <row r="2">
      <c r="A2" s="17" t="str">
        <f t="shared" ref="A2:A3" si="1">HYPERLINK("https://github.com/d-wkim/phd/blob/main/data/pdf/ageberg_2009.pdf","Ageberg et al., 2009")</f>
        <v>Ageberg et al., 2009</v>
      </c>
      <c r="B2" s="9" t="s">
        <v>42</v>
      </c>
      <c r="C2" s="10" t="str">
        <f t="array" ref="C2:C68">unique(A2:A431)</f>
        <v>Ageberg et al., 2009</v>
      </c>
      <c r="D2" s="3" t="s">
        <v>42</v>
      </c>
      <c r="E2" s="3" t="s">
        <v>84</v>
      </c>
      <c r="F2" s="17" t="str">
        <f t="shared" ref="F2:F3" si="2">HYPERLINK("https://github.com/d-wkim/phd/blob/main/data/pdf/ageberg_2009.pdf","Ageberg et al., 2009")</f>
        <v>Ageberg et al., 2009</v>
      </c>
      <c r="G2" s="9" t="s">
        <v>42</v>
      </c>
      <c r="H2" s="10" t="str">
        <f>FUNCTION3(F2:F1000)</f>
        <v>Ageberg et al., 2009</v>
      </c>
      <c r="I2" s="4" t="str">
        <f>FUNCTION4(G2:G1000,F2:F1000,H2:H1000)</f>
        <v>BPTB, HT</v>
      </c>
      <c r="J2" s="3" t="s">
        <v>42</v>
      </c>
      <c r="K2" s="3" t="s">
        <v>84</v>
      </c>
    </row>
    <row r="3">
      <c r="A3" s="17" t="str">
        <f t="shared" si="1"/>
        <v>Ageberg et al., 2009</v>
      </c>
      <c r="B3" s="9" t="s">
        <v>84</v>
      </c>
      <c r="C3" s="10" t="s">
        <v>11</v>
      </c>
      <c r="D3" s="3" t="s">
        <v>42</v>
      </c>
      <c r="E3" s="3" t="s">
        <v>84</v>
      </c>
      <c r="F3" s="17" t="str">
        <f t="shared" si="2"/>
        <v>Ageberg et al., 2009</v>
      </c>
      <c r="G3" s="9" t="s">
        <v>84</v>
      </c>
      <c r="H3" s="10" t="s">
        <v>11</v>
      </c>
      <c r="I3" s="4" t="s">
        <v>386</v>
      </c>
      <c r="J3" s="3" t="s">
        <v>42</v>
      </c>
    </row>
    <row r="4">
      <c r="A4" s="17" t="str">
        <f t="shared" ref="A4:A9" si="3">HYPERLINK("https://github.com/d-wkim/phd/blob/main/data/pdf/aglietti_2004.pdf","Aglietti et al., 2004")</f>
        <v>Aglietti et al., 2004</v>
      </c>
      <c r="B4" s="9" t="s">
        <v>42</v>
      </c>
      <c r="C4" s="10" t="s">
        <v>16</v>
      </c>
      <c r="D4" s="3" t="s">
        <v>42</v>
      </c>
      <c r="E4" s="3" t="s">
        <v>84</v>
      </c>
      <c r="F4" s="17" t="str">
        <f t="shared" ref="F4:F9" si="4">HYPERLINK("https://github.com/d-wkim/phd/blob/main/data/pdf/aglietti_2004.pdf","Aglietti et al., 2004")</f>
        <v>Aglietti et al., 2004</v>
      </c>
      <c r="G4" s="9" t="s">
        <v>42</v>
      </c>
      <c r="H4" s="10" t="s">
        <v>16</v>
      </c>
      <c r="I4" s="4" t="s">
        <v>388</v>
      </c>
    </row>
    <row r="5">
      <c r="A5" s="17" t="str">
        <f t="shared" si="3"/>
        <v>Aglietti et al., 2004</v>
      </c>
      <c r="B5" s="9" t="s">
        <v>42</v>
      </c>
      <c r="C5" s="10" t="s">
        <v>387</v>
      </c>
      <c r="D5" s="3" t="s">
        <v>42</v>
      </c>
      <c r="E5" s="3" t="s">
        <v>84</v>
      </c>
      <c r="F5" s="17" t="str">
        <f t="shared" si="4"/>
        <v>Aglietti et al., 2004</v>
      </c>
      <c r="G5" s="9" t="s">
        <v>42</v>
      </c>
      <c r="H5" s="10" t="s">
        <v>387</v>
      </c>
      <c r="I5" s="4" t="s">
        <v>321</v>
      </c>
    </row>
    <row r="6">
      <c r="A6" s="17" t="str">
        <f t="shared" si="3"/>
        <v>Aglietti et al., 2004</v>
      </c>
      <c r="B6" s="9" t="s">
        <v>42</v>
      </c>
      <c r="C6" s="10" t="s">
        <v>22</v>
      </c>
      <c r="F6" s="17" t="str">
        <f t="shared" si="4"/>
        <v>Aglietti et al., 2004</v>
      </c>
      <c r="G6" s="9" t="s">
        <v>42</v>
      </c>
      <c r="H6" s="10" t="s">
        <v>22</v>
      </c>
      <c r="I6" s="4" t="s">
        <v>386</v>
      </c>
    </row>
    <row r="7">
      <c r="A7" s="17" t="str">
        <f t="shared" si="3"/>
        <v>Aglietti et al., 2004</v>
      </c>
      <c r="B7" s="9" t="s">
        <v>84</v>
      </c>
      <c r="C7" s="10" t="s">
        <v>26</v>
      </c>
      <c r="F7" s="17" t="str">
        <f t="shared" si="4"/>
        <v>Aglietti et al., 2004</v>
      </c>
      <c r="G7" s="9" t="s">
        <v>84</v>
      </c>
      <c r="H7" s="10" t="s">
        <v>26</v>
      </c>
      <c r="I7" s="4" t="s">
        <v>321</v>
      </c>
    </row>
    <row r="8">
      <c r="A8" s="17" t="str">
        <f t="shared" si="3"/>
        <v>Aglietti et al., 2004</v>
      </c>
      <c r="B8" s="9" t="s">
        <v>84</v>
      </c>
      <c r="C8" s="10" t="s">
        <v>30</v>
      </c>
      <c r="F8" s="17" t="str">
        <f t="shared" si="4"/>
        <v>Aglietti et al., 2004</v>
      </c>
      <c r="G8" s="9" t="s">
        <v>84</v>
      </c>
      <c r="H8" s="10" t="s">
        <v>30</v>
      </c>
      <c r="I8" s="4" t="s">
        <v>321</v>
      </c>
    </row>
    <row r="9">
      <c r="A9" s="17" t="str">
        <f t="shared" si="3"/>
        <v>Aglietti et al., 2004</v>
      </c>
      <c r="B9" s="9" t="s">
        <v>84</v>
      </c>
      <c r="C9" s="10" t="s">
        <v>32</v>
      </c>
      <c r="F9" s="17" t="str">
        <f t="shared" si="4"/>
        <v>Aglietti et al., 2004</v>
      </c>
      <c r="G9" s="9" t="s">
        <v>84</v>
      </c>
      <c r="H9" s="10" t="s">
        <v>32</v>
      </c>
      <c r="I9" s="4" t="s">
        <v>393</v>
      </c>
    </row>
    <row r="10">
      <c r="A10" s="17" t="str">
        <f t="shared" ref="A10:A17" si="5">HYPERLINK("https://github.com/d-wkim/phd/blob/main/data/pdf/ahldén_2009.pdf","Ahldén et al., 2009")</f>
        <v>Ahldén et al., 2009</v>
      </c>
      <c r="B10" s="9" t="s">
        <v>42</v>
      </c>
      <c r="C10" s="10" t="s">
        <v>35</v>
      </c>
      <c r="F10" s="17" t="str">
        <f t="shared" ref="F10:F17" si="6">HYPERLINK("https://github.com/d-wkim/phd/blob/main/data/pdf/ahldén_2009.pdf","Ahldén et al., 2009")</f>
        <v>Ahldén et al., 2009</v>
      </c>
      <c r="G10" s="9" t="s">
        <v>42</v>
      </c>
      <c r="H10" s="10" t="s">
        <v>35</v>
      </c>
      <c r="I10" s="4" t="s">
        <v>394</v>
      </c>
    </row>
    <row r="11">
      <c r="A11" s="17" t="str">
        <f t="shared" si="5"/>
        <v>Ahldén et al., 2009</v>
      </c>
      <c r="B11" s="9" t="s">
        <v>42</v>
      </c>
      <c r="C11" s="10" t="s">
        <v>37</v>
      </c>
      <c r="F11" s="17" t="str">
        <f t="shared" si="6"/>
        <v>Ahldén et al., 2009</v>
      </c>
      <c r="G11" s="9" t="s">
        <v>42</v>
      </c>
      <c r="H11" s="10" t="s">
        <v>37</v>
      </c>
      <c r="I11" s="4" t="s">
        <v>393</v>
      </c>
    </row>
    <row r="12">
      <c r="A12" s="17" t="str">
        <f t="shared" si="5"/>
        <v>Ahldén et al., 2009</v>
      </c>
      <c r="B12" s="9" t="s">
        <v>42</v>
      </c>
      <c r="C12" s="10" t="s">
        <v>39</v>
      </c>
      <c r="F12" s="17" t="str">
        <f t="shared" si="6"/>
        <v>Ahldén et al., 2009</v>
      </c>
      <c r="G12" s="9" t="s">
        <v>42</v>
      </c>
      <c r="H12" s="10" t="s">
        <v>39</v>
      </c>
      <c r="I12" s="4" t="s">
        <v>396</v>
      </c>
    </row>
    <row r="13">
      <c r="A13" s="17" t="str">
        <f t="shared" si="5"/>
        <v>Ahldén et al., 2009</v>
      </c>
      <c r="B13" s="9" t="s">
        <v>42</v>
      </c>
      <c r="C13" s="10" t="s">
        <v>43</v>
      </c>
      <c r="F13" s="17" t="str">
        <f t="shared" si="6"/>
        <v>Ahldén et al., 2009</v>
      </c>
      <c r="G13" s="9" t="s">
        <v>42</v>
      </c>
      <c r="H13" s="10" t="s">
        <v>43</v>
      </c>
      <c r="I13" s="4" t="s">
        <v>398</v>
      </c>
    </row>
    <row r="14">
      <c r="A14" s="17" t="str">
        <f t="shared" si="5"/>
        <v>Ahldén et al., 2009</v>
      </c>
      <c r="B14" s="9" t="s">
        <v>84</v>
      </c>
      <c r="C14" s="10" t="s">
        <v>45</v>
      </c>
      <c r="F14" s="17" t="str">
        <f t="shared" si="6"/>
        <v>Ahldén et al., 2009</v>
      </c>
      <c r="G14" s="9" t="s">
        <v>84</v>
      </c>
      <c r="H14" s="10" t="s">
        <v>45</v>
      </c>
      <c r="I14" s="4" t="s">
        <v>400</v>
      </c>
    </row>
    <row r="15">
      <c r="A15" s="17" t="str">
        <f t="shared" si="5"/>
        <v>Ahldén et al., 2009</v>
      </c>
      <c r="B15" s="9" t="s">
        <v>84</v>
      </c>
      <c r="C15" s="10" t="s">
        <v>389</v>
      </c>
      <c r="F15" s="17" t="str">
        <f t="shared" si="6"/>
        <v>Ahldén et al., 2009</v>
      </c>
      <c r="G15" s="9" t="s">
        <v>84</v>
      </c>
      <c r="H15" s="10" t="s">
        <v>389</v>
      </c>
      <c r="I15" s="4" t="s">
        <v>321</v>
      </c>
    </row>
    <row r="16">
      <c r="A16" s="17" t="str">
        <f t="shared" si="5"/>
        <v>Ahldén et al., 2009</v>
      </c>
      <c r="B16" s="9" t="s">
        <v>84</v>
      </c>
      <c r="C16" s="10" t="s">
        <v>47</v>
      </c>
      <c r="F16" s="17" t="str">
        <f t="shared" si="6"/>
        <v>Ahldén et al., 2009</v>
      </c>
      <c r="G16" s="9" t="s">
        <v>84</v>
      </c>
      <c r="H16" s="10" t="s">
        <v>47</v>
      </c>
      <c r="I16" s="4" t="s">
        <v>396</v>
      </c>
    </row>
    <row r="17">
      <c r="A17" s="17" t="str">
        <f t="shared" si="5"/>
        <v>Ahldén et al., 2009</v>
      </c>
      <c r="B17" s="9" t="s">
        <v>84</v>
      </c>
      <c r="C17" s="10" t="s">
        <v>52</v>
      </c>
      <c r="F17" s="17" t="str">
        <f t="shared" si="6"/>
        <v>Ahldén et al., 2009</v>
      </c>
      <c r="G17" s="9" t="s">
        <v>84</v>
      </c>
      <c r="H17" s="10" t="s">
        <v>52</v>
      </c>
      <c r="I17" s="4" t="s">
        <v>402</v>
      </c>
    </row>
    <row r="18">
      <c r="A18" s="17" t="str">
        <f t="shared" ref="A18:A19" si="7">HYPERLINK("https://github.com/d-wkim/phd/blob/main/data/pdf/akelman_2016.pdf","Akelman et al., 2016")</f>
        <v>Akelman et al., 2016</v>
      </c>
      <c r="B18" s="7" t="s">
        <v>42</v>
      </c>
      <c r="C18" s="10" t="s">
        <v>390</v>
      </c>
      <c r="F18" s="17" t="str">
        <f t="shared" ref="F18:F19" si="8">HYPERLINK("https://github.com/d-wkim/phd/blob/main/data/pdf/akelman_2016.pdf","Akelman et al., 2016")</f>
        <v>Akelman et al., 2016</v>
      </c>
      <c r="G18" s="7" t="s">
        <v>42</v>
      </c>
      <c r="H18" s="10" t="s">
        <v>390</v>
      </c>
      <c r="I18" s="4" t="s">
        <v>334</v>
      </c>
    </row>
    <row r="19">
      <c r="A19" s="17" t="str">
        <f t="shared" si="7"/>
        <v>Akelman et al., 2016</v>
      </c>
      <c r="B19" s="7" t="s">
        <v>84</v>
      </c>
      <c r="C19" s="10" t="s">
        <v>56</v>
      </c>
      <c r="F19" s="17" t="str">
        <f t="shared" si="8"/>
        <v>Akelman et al., 2016</v>
      </c>
      <c r="G19" s="7" t="s">
        <v>84</v>
      </c>
      <c r="H19" s="10" t="s">
        <v>56</v>
      </c>
      <c r="I19" s="4" t="s">
        <v>388</v>
      </c>
    </row>
    <row r="20">
      <c r="A20" s="17" t="str">
        <f t="shared" ref="A20:A25" si="9">HYPERLINK("https://github.com/d-wkim/phd/blob/main/data/pdf/anderson_2001.pdf","Anderson et al., 2001")</f>
        <v>Anderson et al., 2001</v>
      </c>
      <c r="B20" s="9" t="s">
        <v>42</v>
      </c>
      <c r="C20" s="10" t="s">
        <v>58</v>
      </c>
      <c r="F20" s="17" t="str">
        <f t="shared" ref="F20:F25" si="10">HYPERLINK("https://github.com/d-wkim/phd/blob/main/data/pdf/anderson_2001.pdf","Anderson et al., 2001")</f>
        <v>Anderson et al., 2001</v>
      </c>
      <c r="G20" s="9" t="s">
        <v>42</v>
      </c>
      <c r="H20" s="10" t="s">
        <v>58</v>
      </c>
      <c r="I20" s="4" t="s">
        <v>403</v>
      </c>
    </row>
    <row r="21">
      <c r="A21" s="17" t="str">
        <f t="shared" si="9"/>
        <v>Anderson et al., 2001</v>
      </c>
      <c r="B21" s="9" t="s">
        <v>42</v>
      </c>
      <c r="C21" s="10" t="s">
        <v>60</v>
      </c>
      <c r="F21" s="17" t="str">
        <f t="shared" si="10"/>
        <v>Anderson et al., 2001</v>
      </c>
      <c r="G21" s="9" t="s">
        <v>42</v>
      </c>
      <c r="H21" s="10" t="s">
        <v>60</v>
      </c>
      <c r="I21" s="4" t="s">
        <v>388</v>
      </c>
    </row>
    <row r="22">
      <c r="A22" s="17" t="str">
        <f t="shared" si="9"/>
        <v>Anderson et al., 2001</v>
      </c>
      <c r="B22" s="9" t="s">
        <v>42</v>
      </c>
      <c r="C22" s="10" t="s">
        <v>391</v>
      </c>
      <c r="F22" s="17" t="str">
        <f t="shared" si="10"/>
        <v>Anderson et al., 2001</v>
      </c>
      <c r="G22" s="9" t="s">
        <v>42</v>
      </c>
      <c r="H22" s="10" t="s">
        <v>391</v>
      </c>
      <c r="I22" s="4" t="s">
        <v>321</v>
      </c>
    </row>
    <row r="23">
      <c r="A23" s="17" t="str">
        <f t="shared" si="9"/>
        <v>Anderson et al., 2001</v>
      </c>
      <c r="B23" s="9" t="s">
        <v>84</v>
      </c>
      <c r="C23" s="10" t="s">
        <v>62</v>
      </c>
      <c r="F23" s="17" t="str">
        <f t="shared" si="10"/>
        <v>Anderson et al., 2001</v>
      </c>
      <c r="G23" s="9" t="s">
        <v>84</v>
      </c>
      <c r="H23" s="10" t="s">
        <v>62</v>
      </c>
      <c r="I23" s="4" t="s">
        <v>388</v>
      </c>
    </row>
    <row r="24">
      <c r="A24" s="17" t="str">
        <f t="shared" si="9"/>
        <v>Anderson et al., 2001</v>
      </c>
      <c r="B24" s="9" t="s">
        <v>84</v>
      </c>
      <c r="C24" s="10" t="s">
        <v>392</v>
      </c>
      <c r="F24" s="17" t="str">
        <f t="shared" si="10"/>
        <v>Anderson et al., 2001</v>
      </c>
      <c r="G24" s="9" t="s">
        <v>84</v>
      </c>
      <c r="H24" s="10" t="s">
        <v>392</v>
      </c>
      <c r="I24" s="4" t="s">
        <v>388</v>
      </c>
    </row>
    <row r="25">
      <c r="A25" s="17" t="str">
        <f t="shared" si="9"/>
        <v>Anderson et al., 2001</v>
      </c>
      <c r="B25" s="9" t="s">
        <v>84</v>
      </c>
      <c r="C25" s="10" t="s">
        <v>65</v>
      </c>
      <c r="F25" s="17" t="str">
        <f t="shared" si="10"/>
        <v>Anderson et al., 2001</v>
      </c>
      <c r="G25" s="9" t="s">
        <v>84</v>
      </c>
      <c r="H25" s="10" t="s">
        <v>65</v>
      </c>
      <c r="I25" s="4" t="s">
        <v>388</v>
      </c>
    </row>
    <row r="26">
      <c r="A26" s="17" t="str">
        <f t="shared" ref="A26:A27" si="11">HYPERLINK("https://github.com/d-wkim/phd/blob/main/data/pdf/anz_2023.pdf","Anz et al., 2023")</f>
        <v>Anz et al., 2023</v>
      </c>
      <c r="B26" s="9" t="s">
        <v>42</v>
      </c>
      <c r="C26" s="10" t="s">
        <v>67</v>
      </c>
      <c r="F26" s="17" t="str">
        <f t="shared" ref="F26:F27" si="12">HYPERLINK("https://github.com/d-wkim/phd/blob/main/data/pdf/anz_2023.pdf","Anz et al., 2023")</f>
        <v>Anz et al., 2023</v>
      </c>
      <c r="G26" s="9" t="s">
        <v>42</v>
      </c>
      <c r="H26" s="10" t="s">
        <v>67</v>
      </c>
      <c r="I26" s="4" t="s">
        <v>398</v>
      </c>
    </row>
    <row r="27">
      <c r="A27" s="17" t="str">
        <f t="shared" si="11"/>
        <v>Anz et al., 2023</v>
      </c>
      <c r="B27" s="9" t="s">
        <v>84</v>
      </c>
      <c r="C27" s="10" t="s">
        <v>69</v>
      </c>
      <c r="F27" s="17" t="str">
        <f t="shared" si="12"/>
        <v>Anz et al., 2023</v>
      </c>
      <c r="G27" s="9" t="s">
        <v>84</v>
      </c>
      <c r="H27" s="10" t="s">
        <v>69</v>
      </c>
      <c r="I27" s="4" t="s">
        <v>386</v>
      </c>
    </row>
    <row r="28">
      <c r="A28" s="17" t="str">
        <f t="shared" ref="A28:A29" si="13">HYPERLINK("https://github.com/d-wkim/phd/blob/main/data/pdf/aune_2001.pdf","Aune et al., 2001")</f>
        <v>Aune et al., 2001</v>
      </c>
      <c r="B28" s="9" t="s">
        <v>42</v>
      </c>
      <c r="C28" s="10" t="s">
        <v>71</v>
      </c>
      <c r="F28" s="17" t="str">
        <f t="shared" ref="F28:F29" si="14">HYPERLINK("https://github.com/d-wkim/phd/blob/main/data/pdf/aune_2001.pdf","Aune et al., 2001")</f>
        <v>Aune et al., 2001</v>
      </c>
      <c r="G28" s="9" t="s">
        <v>42</v>
      </c>
      <c r="H28" s="10" t="s">
        <v>71</v>
      </c>
      <c r="I28" s="4" t="s">
        <v>403</v>
      </c>
    </row>
    <row r="29">
      <c r="A29" s="17" t="str">
        <f t="shared" si="13"/>
        <v>Aune et al., 2001</v>
      </c>
      <c r="B29" s="9" t="s">
        <v>84</v>
      </c>
      <c r="C29" s="10" t="s">
        <v>73</v>
      </c>
      <c r="F29" s="17" t="str">
        <f t="shared" si="14"/>
        <v>Aune et al., 2001</v>
      </c>
      <c r="G29" s="9" t="s">
        <v>84</v>
      </c>
      <c r="H29" s="10" t="s">
        <v>73</v>
      </c>
      <c r="I29" s="4" t="s">
        <v>404</v>
      </c>
    </row>
    <row r="30">
      <c r="A30" s="17" t="str">
        <f t="shared" ref="A30:A39" si="15">HYPERLINK("https://github.com/d-wkim/phd/blob/main/data/pdf/barenius_2010.pdf","Barenius et al., 2010")</f>
        <v>Barenius et al., 2010</v>
      </c>
      <c r="B30" s="9" t="s">
        <v>42</v>
      </c>
      <c r="C30" s="10" t="s">
        <v>75</v>
      </c>
      <c r="F30" s="17" t="str">
        <f t="shared" ref="F30:F39" si="16">HYPERLINK("https://github.com/d-wkim/phd/blob/main/data/pdf/barenius_2010.pdf","Barenius et al., 2010")</f>
        <v>Barenius et al., 2010</v>
      </c>
      <c r="G30" s="9" t="s">
        <v>42</v>
      </c>
      <c r="H30" s="10" t="s">
        <v>75</v>
      </c>
      <c r="I30" s="4" t="s">
        <v>388</v>
      </c>
    </row>
    <row r="31">
      <c r="A31" s="17" t="str">
        <f t="shared" si="15"/>
        <v>Barenius et al., 2010</v>
      </c>
      <c r="B31" s="9" t="s">
        <v>42</v>
      </c>
      <c r="C31" s="10" t="s">
        <v>77</v>
      </c>
      <c r="F31" s="17" t="str">
        <f t="shared" si="16"/>
        <v>Barenius et al., 2010</v>
      </c>
      <c r="G31" s="9" t="s">
        <v>42</v>
      </c>
      <c r="H31" s="10" t="s">
        <v>77</v>
      </c>
      <c r="I31" s="4" t="s">
        <v>388</v>
      </c>
    </row>
    <row r="32">
      <c r="A32" s="17" t="str">
        <f t="shared" si="15"/>
        <v>Barenius et al., 2010</v>
      </c>
      <c r="B32" s="7" t="s">
        <v>42</v>
      </c>
      <c r="C32" s="10" t="s">
        <v>79</v>
      </c>
      <c r="F32" s="17" t="str">
        <f t="shared" si="16"/>
        <v>Barenius et al., 2010</v>
      </c>
      <c r="G32" s="7" t="s">
        <v>42</v>
      </c>
      <c r="H32" s="10" t="s">
        <v>79</v>
      </c>
      <c r="I32" s="4" t="s">
        <v>393</v>
      </c>
    </row>
    <row r="33">
      <c r="A33" s="17" t="str">
        <f t="shared" si="15"/>
        <v>Barenius et al., 2010</v>
      </c>
      <c r="B33" s="7" t="s">
        <v>42</v>
      </c>
      <c r="C33" s="10" t="s">
        <v>82</v>
      </c>
      <c r="F33" s="17" t="str">
        <f t="shared" si="16"/>
        <v>Barenius et al., 2010</v>
      </c>
      <c r="G33" s="7" t="s">
        <v>42</v>
      </c>
      <c r="H33" s="10" t="s">
        <v>82</v>
      </c>
      <c r="I33" s="4" t="s">
        <v>386</v>
      </c>
    </row>
    <row r="34">
      <c r="A34" s="17" t="str">
        <f t="shared" si="15"/>
        <v>Barenius et al., 2010</v>
      </c>
      <c r="B34" s="7" t="s">
        <v>42</v>
      </c>
      <c r="C34" s="10" t="s">
        <v>85</v>
      </c>
      <c r="F34" s="17" t="str">
        <f t="shared" si="16"/>
        <v>Barenius et al., 2010</v>
      </c>
      <c r="G34" s="7" t="s">
        <v>42</v>
      </c>
      <c r="H34" s="10" t="s">
        <v>85</v>
      </c>
      <c r="I34" s="4" t="s">
        <v>405</v>
      </c>
    </row>
    <row r="35">
      <c r="A35" s="17" t="str">
        <f t="shared" si="15"/>
        <v>Barenius et al., 2010</v>
      </c>
      <c r="B35" s="9" t="s">
        <v>84</v>
      </c>
      <c r="C35" s="10" t="s">
        <v>88</v>
      </c>
      <c r="F35" s="17" t="str">
        <f t="shared" si="16"/>
        <v>Barenius et al., 2010</v>
      </c>
      <c r="G35" s="9" t="s">
        <v>84</v>
      </c>
      <c r="H35" s="10" t="s">
        <v>88</v>
      </c>
      <c r="I35" s="4" t="s">
        <v>398</v>
      </c>
    </row>
    <row r="36">
      <c r="A36" s="17" t="str">
        <f t="shared" si="15"/>
        <v>Barenius et al., 2010</v>
      </c>
      <c r="B36" s="9" t="s">
        <v>84</v>
      </c>
      <c r="C36" s="10" t="s">
        <v>90</v>
      </c>
      <c r="F36" s="17" t="str">
        <f t="shared" si="16"/>
        <v>Barenius et al., 2010</v>
      </c>
      <c r="G36" s="9" t="s">
        <v>84</v>
      </c>
      <c r="H36" s="10" t="s">
        <v>90</v>
      </c>
      <c r="I36" s="4" t="s">
        <v>388</v>
      </c>
    </row>
    <row r="37">
      <c r="A37" s="17" t="str">
        <f t="shared" si="15"/>
        <v>Barenius et al., 2010</v>
      </c>
      <c r="B37" s="7" t="s">
        <v>84</v>
      </c>
      <c r="C37" s="10" t="s">
        <v>91</v>
      </c>
      <c r="F37" s="17" t="str">
        <f t="shared" si="16"/>
        <v>Barenius et al., 2010</v>
      </c>
      <c r="G37" s="7" t="s">
        <v>84</v>
      </c>
      <c r="H37" s="10" t="s">
        <v>91</v>
      </c>
      <c r="I37" s="4" t="s">
        <v>406</v>
      </c>
    </row>
    <row r="38">
      <c r="A38" s="17" t="str">
        <f t="shared" si="15"/>
        <v>Barenius et al., 2010</v>
      </c>
      <c r="B38" s="7" t="s">
        <v>84</v>
      </c>
      <c r="C38" s="10" t="s">
        <v>93</v>
      </c>
      <c r="F38" s="17" t="str">
        <f t="shared" si="16"/>
        <v>Barenius et al., 2010</v>
      </c>
      <c r="G38" s="7" t="s">
        <v>84</v>
      </c>
      <c r="H38" s="10" t="s">
        <v>93</v>
      </c>
      <c r="I38" s="4" t="s">
        <v>393</v>
      </c>
    </row>
    <row r="39">
      <c r="A39" s="17" t="str">
        <f t="shared" si="15"/>
        <v>Barenius et al., 2010</v>
      </c>
      <c r="B39" s="7" t="s">
        <v>84</v>
      </c>
      <c r="C39" s="10" t="s">
        <v>395</v>
      </c>
      <c r="F39" s="17" t="str">
        <f t="shared" si="16"/>
        <v>Barenius et al., 2010</v>
      </c>
      <c r="G39" s="7" t="s">
        <v>84</v>
      </c>
      <c r="H39" s="10" t="s">
        <v>395</v>
      </c>
      <c r="I39" s="4" t="s">
        <v>403</v>
      </c>
    </row>
    <row r="40">
      <c r="A40" s="17" t="str">
        <f t="shared" ref="A40:A43" si="17">HYPERLINK("https://github.com/d-wkim/phd/blob/main/data/pdf/barié_2020.pdf","Barié et al., 2020")</f>
        <v>Barié et al., 2020</v>
      </c>
      <c r="B40" s="9" t="s">
        <v>42</v>
      </c>
      <c r="C40" s="10" t="s">
        <v>96</v>
      </c>
      <c r="F40" s="17" t="str">
        <f t="shared" ref="F40:F47" si="18">HYPERLINK("https://github.com/d-wkim/phd/blob/main/data/pdf/barié_2020.pdf","Barié et al., 2020")</f>
        <v>Barié et al., 2020</v>
      </c>
      <c r="G40" s="9" t="s">
        <v>42</v>
      </c>
      <c r="H40" s="10" t="s">
        <v>96</v>
      </c>
      <c r="I40" s="4" t="s">
        <v>407</v>
      </c>
    </row>
    <row r="41">
      <c r="A41" s="17" t="str">
        <f t="shared" si="17"/>
        <v>Barié et al., 2020</v>
      </c>
      <c r="B41" s="9" t="s">
        <v>42</v>
      </c>
      <c r="C41" s="10" t="s">
        <v>98</v>
      </c>
      <c r="F41" s="17" t="str">
        <f t="shared" si="18"/>
        <v>Barié et al., 2020</v>
      </c>
      <c r="G41" s="9" t="s">
        <v>42</v>
      </c>
      <c r="H41" s="10" t="s">
        <v>98</v>
      </c>
      <c r="I41" s="4" t="s">
        <v>393</v>
      </c>
    </row>
    <row r="42">
      <c r="A42" s="17" t="str">
        <f t="shared" si="17"/>
        <v>Barié et al., 2020</v>
      </c>
      <c r="B42" s="9" t="s">
        <v>42</v>
      </c>
      <c r="C42" s="10" t="s">
        <v>102</v>
      </c>
      <c r="F42" s="17" t="str">
        <f t="shared" si="18"/>
        <v>Barié et al., 2020</v>
      </c>
      <c r="G42" s="9" t="s">
        <v>42</v>
      </c>
      <c r="H42" s="10" t="s">
        <v>102</v>
      </c>
      <c r="I42" s="4" t="s">
        <v>404</v>
      </c>
    </row>
    <row r="43">
      <c r="A43" s="17" t="str">
        <f t="shared" si="17"/>
        <v>Barié et al., 2020</v>
      </c>
      <c r="B43" s="9" t="s">
        <v>42</v>
      </c>
      <c r="C43" s="10" t="s">
        <v>104</v>
      </c>
      <c r="F43" s="17" t="str">
        <f t="shared" si="18"/>
        <v>Barié et al., 2020</v>
      </c>
      <c r="G43" s="9" t="s">
        <v>42</v>
      </c>
      <c r="H43" s="10" t="s">
        <v>104</v>
      </c>
      <c r="I43" s="4" t="s">
        <v>398</v>
      </c>
    </row>
    <row r="44">
      <c r="A44" s="17" t="str">
        <f t="shared" ref="A44:A53" si="19">HYPERLINK("https://github.com/d-wkim/phd/blob/main/data/pdf/beynnon_2002.pdf","Beynnon et al., 2002")</f>
        <v>Beynnon et al., 2002</v>
      </c>
      <c r="B44" s="9" t="s">
        <v>42</v>
      </c>
      <c r="C44" s="10" t="s">
        <v>106</v>
      </c>
      <c r="F44" s="17" t="str">
        <f t="shared" si="18"/>
        <v>Barié et al., 2020</v>
      </c>
      <c r="G44" s="9" t="s">
        <v>200</v>
      </c>
      <c r="H44" s="10" t="s">
        <v>106</v>
      </c>
      <c r="I44" s="4" t="s">
        <v>388</v>
      </c>
    </row>
    <row r="45">
      <c r="A45" s="17" t="str">
        <f t="shared" si="19"/>
        <v>Beynnon et al., 2002</v>
      </c>
      <c r="B45" s="7" t="s">
        <v>42</v>
      </c>
      <c r="C45" s="10" t="s">
        <v>110</v>
      </c>
      <c r="F45" s="17" t="str">
        <f t="shared" si="18"/>
        <v>Barié et al., 2020</v>
      </c>
      <c r="G45" s="9" t="s">
        <v>200</v>
      </c>
      <c r="H45" s="10" t="s">
        <v>110</v>
      </c>
      <c r="I45" s="4" t="s">
        <v>408</v>
      </c>
    </row>
    <row r="46">
      <c r="A46" s="17" t="str">
        <f t="shared" si="19"/>
        <v>Beynnon et al., 2002</v>
      </c>
      <c r="B46" s="7" t="s">
        <v>42</v>
      </c>
      <c r="C46" s="10" t="s">
        <v>397</v>
      </c>
      <c r="F46" s="17" t="str">
        <f t="shared" si="18"/>
        <v>Barié et al., 2020</v>
      </c>
      <c r="G46" s="9" t="s">
        <v>200</v>
      </c>
      <c r="H46" s="10" t="s">
        <v>397</v>
      </c>
      <c r="I46" s="4" t="s">
        <v>388</v>
      </c>
    </row>
    <row r="47">
      <c r="A47" s="17" t="str">
        <f t="shared" si="19"/>
        <v>Beynnon et al., 2002</v>
      </c>
      <c r="B47" s="9" t="s">
        <v>42</v>
      </c>
      <c r="C47" s="10" t="s">
        <v>112</v>
      </c>
      <c r="F47" s="17" t="str">
        <f t="shared" si="18"/>
        <v>Barié et al., 2020</v>
      </c>
      <c r="G47" s="9" t="s">
        <v>200</v>
      </c>
      <c r="H47" s="10" t="s">
        <v>112</v>
      </c>
      <c r="I47" s="4" t="s">
        <v>409</v>
      </c>
    </row>
    <row r="48">
      <c r="A48" s="17" t="str">
        <f t="shared" si="19"/>
        <v>Beynnon et al., 2002</v>
      </c>
      <c r="B48" s="9" t="s">
        <v>42</v>
      </c>
      <c r="C48" s="10" t="s">
        <v>114</v>
      </c>
      <c r="F48" s="17" t="str">
        <f t="shared" ref="F48:F57" si="20">HYPERLINK("https://github.com/d-wkim/phd/blob/main/data/pdf/beynnon_2002.pdf","Beynnon et al., 2002")</f>
        <v>Beynnon et al., 2002</v>
      </c>
      <c r="G48" s="9" t="s">
        <v>42</v>
      </c>
      <c r="H48" s="10" t="s">
        <v>114</v>
      </c>
      <c r="I48" s="4" t="s">
        <v>403</v>
      </c>
    </row>
    <row r="49">
      <c r="A49" s="17" t="str">
        <f t="shared" si="19"/>
        <v>Beynnon et al., 2002</v>
      </c>
      <c r="B49" s="9" t="s">
        <v>84</v>
      </c>
      <c r="C49" s="10" t="s">
        <v>116</v>
      </c>
      <c r="F49" s="17" t="str">
        <f t="shared" si="20"/>
        <v>Beynnon et al., 2002</v>
      </c>
      <c r="G49" s="7" t="s">
        <v>42</v>
      </c>
      <c r="H49" s="10" t="s">
        <v>116</v>
      </c>
      <c r="I49" s="4" t="s">
        <v>386</v>
      </c>
    </row>
    <row r="50">
      <c r="A50" s="17" t="str">
        <f t="shared" si="19"/>
        <v>Beynnon et al., 2002</v>
      </c>
      <c r="B50" s="7" t="s">
        <v>84</v>
      </c>
      <c r="C50" s="10" t="s">
        <v>399</v>
      </c>
      <c r="F50" s="17" t="str">
        <f t="shared" si="20"/>
        <v>Beynnon et al., 2002</v>
      </c>
      <c r="G50" s="7" t="s">
        <v>42</v>
      </c>
      <c r="H50" s="10" t="s">
        <v>399</v>
      </c>
      <c r="I50" s="4" t="s">
        <v>393</v>
      </c>
    </row>
    <row r="51">
      <c r="A51" s="17" t="str">
        <f t="shared" si="19"/>
        <v>Beynnon et al., 2002</v>
      </c>
      <c r="B51" s="7" t="s">
        <v>84</v>
      </c>
      <c r="C51" s="10" t="s">
        <v>119</v>
      </c>
      <c r="F51" s="17" t="str">
        <f t="shared" si="20"/>
        <v>Beynnon et al., 2002</v>
      </c>
      <c r="G51" s="9" t="s">
        <v>42</v>
      </c>
      <c r="H51" s="10" t="s">
        <v>119</v>
      </c>
      <c r="I51" s="4" t="s">
        <v>398</v>
      </c>
    </row>
    <row r="52">
      <c r="A52" s="17" t="str">
        <f t="shared" si="19"/>
        <v>Beynnon et al., 2002</v>
      </c>
      <c r="B52" s="9" t="s">
        <v>84</v>
      </c>
      <c r="C52" s="10" t="s">
        <v>121</v>
      </c>
      <c r="F52" s="17" t="str">
        <f t="shared" si="20"/>
        <v>Beynnon et al., 2002</v>
      </c>
      <c r="G52" s="9" t="s">
        <v>42</v>
      </c>
      <c r="H52" s="10" t="s">
        <v>121</v>
      </c>
      <c r="I52" s="4" t="s">
        <v>410</v>
      </c>
    </row>
    <row r="53">
      <c r="A53" s="17" t="str">
        <f t="shared" si="19"/>
        <v>Beynnon et al., 2002</v>
      </c>
      <c r="B53" s="9" t="s">
        <v>84</v>
      </c>
      <c r="C53" s="10" t="s">
        <v>401</v>
      </c>
      <c r="F53" s="17" t="str">
        <f t="shared" si="20"/>
        <v>Beynnon et al., 2002</v>
      </c>
      <c r="G53" s="9" t="s">
        <v>84</v>
      </c>
      <c r="H53" s="10" t="s">
        <v>401</v>
      </c>
      <c r="I53" s="4" t="s">
        <v>386</v>
      </c>
    </row>
    <row r="54">
      <c r="A54" s="17" t="str">
        <f t="shared" ref="A54:A57" si="21">HYPERLINK("https://github.com/d-wkim/phd/blob/main/data/pdf/bi_2018.pdf","Bi et al., 2018")</f>
        <v>Bi et al., 2018</v>
      </c>
      <c r="B54" s="9" t="s">
        <v>84</v>
      </c>
      <c r="C54" s="10" t="s">
        <v>123</v>
      </c>
      <c r="F54" s="17" t="str">
        <f t="shared" si="20"/>
        <v>Beynnon et al., 2002</v>
      </c>
      <c r="G54" s="7" t="s">
        <v>84</v>
      </c>
      <c r="H54" s="10" t="s">
        <v>123</v>
      </c>
      <c r="I54" s="4" t="s">
        <v>403</v>
      </c>
    </row>
    <row r="55">
      <c r="A55" s="17" t="str">
        <f t="shared" si="21"/>
        <v>Bi et al., 2018</v>
      </c>
      <c r="B55" s="9" t="s">
        <v>84</v>
      </c>
      <c r="C55" s="10" t="s">
        <v>125</v>
      </c>
      <c r="F55" s="17" t="str">
        <f t="shared" si="20"/>
        <v>Beynnon et al., 2002</v>
      </c>
      <c r="G55" s="7" t="s">
        <v>84</v>
      </c>
      <c r="H55" s="10" t="s">
        <v>125</v>
      </c>
      <c r="I55" s="4" t="s">
        <v>398</v>
      </c>
    </row>
    <row r="56">
      <c r="A56" s="17" t="str">
        <f t="shared" si="21"/>
        <v>Bi et al., 2018</v>
      </c>
      <c r="B56" s="9" t="s">
        <v>84</v>
      </c>
      <c r="C56" s="10" t="s">
        <v>128</v>
      </c>
      <c r="F56" s="17" t="str">
        <f t="shared" si="20"/>
        <v>Beynnon et al., 2002</v>
      </c>
      <c r="G56" s="9" t="s">
        <v>84</v>
      </c>
      <c r="H56" s="10" t="s">
        <v>128</v>
      </c>
      <c r="I56" s="4" t="s">
        <v>398</v>
      </c>
    </row>
    <row r="57">
      <c r="A57" s="17" t="str">
        <f t="shared" si="21"/>
        <v>Bi et al., 2018</v>
      </c>
      <c r="B57" s="7" t="s">
        <v>84</v>
      </c>
      <c r="C57" s="10" t="s">
        <v>130</v>
      </c>
      <c r="F57" s="17" t="str">
        <f t="shared" si="20"/>
        <v>Beynnon et al., 2002</v>
      </c>
      <c r="G57" s="9" t="s">
        <v>84</v>
      </c>
      <c r="H57" s="10" t="s">
        <v>130</v>
      </c>
      <c r="I57" s="4" t="s">
        <v>386</v>
      </c>
    </row>
    <row r="58">
      <c r="A58" s="17" t="str">
        <f t="shared" ref="A58:A69" si="22">HYPERLINK("https://github.com/d-wkim/phd/blob/main/data/pdf/björnsson_2016.pdf","Björnsson et al., 2016")</f>
        <v>Björnsson et al., 2016</v>
      </c>
      <c r="B58" s="7" t="s">
        <v>42</v>
      </c>
      <c r="C58" s="10" t="s">
        <v>132</v>
      </c>
      <c r="F58" s="17" t="str">
        <f t="shared" ref="F58:F65" si="23">HYPERLINK("https://github.com/d-wkim/phd/blob/main/data/pdf/bi_2018.pdf","Bi et al., 2018")</f>
        <v>Bi et al., 2018</v>
      </c>
      <c r="G58" s="9" t="s">
        <v>84</v>
      </c>
      <c r="H58" s="10" t="s">
        <v>132</v>
      </c>
      <c r="I58" s="4" t="s">
        <v>337</v>
      </c>
    </row>
    <row r="59">
      <c r="A59" s="17" t="str">
        <f t="shared" si="22"/>
        <v>Björnsson et al., 2016</v>
      </c>
      <c r="B59" s="9" t="s">
        <v>42</v>
      </c>
      <c r="C59" s="10" t="s">
        <v>134</v>
      </c>
      <c r="F59" s="17" t="str">
        <f t="shared" si="23"/>
        <v>Bi et al., 2018</v>
      </c>
      <c r="G59" s="9" t="s">
        <v>84</v>
      </c>
      <c r="H59" s="10" t="s">
        <v>134</v>
      </c>
      <c r="I59" s="4" t="s">
        <v>386</v>
      </c>
    </row>
    <row r="60">
      <c r="A60" s="17" t="str">
        <f t="shared" si="22"/>
        <v>Björnsson et al., 2016</v>
      </c>
      <c r="B60" s="9" t="s">
        <v>42</v>
      </c>
      <c r="C60" s="10" t="s">
        <v>136</v>
      </c>
      <c r="F60" s="17" t="str">
        <f t="shared" si="23"/>
        <v>Bi et al., 2018</v>
      </c>
      <c r="G60" s="9" t="s">
        <v>84</v>
      </c>
      <c r="H60" s="10" t="s">
        <v>136</v>
      </c>
      <c r="I60" s="4" t="s">
        <v>393</v>
      </c>
    </row>
    <row r="61">
      <c r="A61" s="17" t="str">
        <f t="shared" si="22"/>
        <v>Björnsson et al., 2016</v>
      </c>
      <c r="B61" s="9" t="s">
        <v>42</v>
      </c>
      <c r="C61" s="10" t="s">
        <v>139</v>
      </c>
      <c r="F61" s="17" t="str">
        <f t="shared" si="23"/>
        <v>Bi et al., 2018</v>
      </c>
      <c r="G61" s="7" t="s">
        <v>84</v>
      </c>
      <c r="H61" s="10" t="s">
        <v>139</v>
      </c>
      <c r="I61" s="4" t="s">
        <v>411</v>
      </c>
    </row>
    <row r="62">
      <c r="A62" s="17" t="str">
        <f t="shared" si="22"/>
        <v>Björnsson et al., 2016</v>
      </c>
      <c r="B62" s="9" t="s">
        <v>42</v>
      </c>
      <c r="C62" s="10" t="s">
        <v>141</v>
      </c>
      <c r="F62" s="17" t="str">
        <f t="shared" si="23"/>
        <v>Bi et al., 2018</v>
      </c>
      <c r="G62" s="9" t="s">
        <v>186</v>
      </c>
      <c r="H62" s="10" t="s">
        <v>141</v>
      </c>
      <c r="I62" s="4" t="s">
        <v>393</v>
      </c>
    </row>
    <row r="63">
      <c r="A63" s="17" t="str">
        <f t="shared" si="22"/>
        <v>Björnsson et al., 2016</v>
      </c>
      <c r="B63" s="9" t="s">
        <v>42</v>
      </c>
      <c r="C63" s="10" t="s">
        <v>143</v>
      </c>
      <c r="F63" s="17" t="str">
        <f t="shared" si="23"/>
        <v>Bi et al., 2018</v>
      </c>
      <c r="G63" s="9" t="s">
        <v>186</v>
      </c>
      <c r="H63" s="10" t="s">
        <v>143</v>
      </c>
      <c r="I63" s="4" t="s">
        <v>394</v>
      </c>
    </row>
    <row r="64">
      <c r="A64" s="17" t="str">
        <f t="shared" si="22"/>
        <v>Björnsson et al., 2016</v>
      </c>
      <c r="B64" s="7" t="s">
        <v>84</v>
      </c>
      <c r="C64" s="10" t="s">
        <v>145</v>
      </c>
      <c r="F64" s="17" t="str">
        <f t="shared" si="23"/>
        <v>Bi et al., 2018</v>
      </c>
      <c r="G64" s="9" t="s">
        <v>186</v>
      </c>
      <c r="H64" s="10" t="s">
        <v>145</v>
      </c>
      <c r="I64" s="4" t="s">
        <v>403</v>
      </c>
    </row>
    <row r="65">
      <c r="A65" s="17" t="str">
        <f t="shared" si="22"/>
        <v>Björnsson et al., 2016</v>
      </c>
      <c r="B65" s="9" t="s">
        <v>84</v>
      </c>
      <c r="C65" s="10" t="s">
        <v>147</v>
      </c>
      <c r="F65" s="17" t="str">
        <f t="shared" si="23"/>
        <v>Bi et al., 2018</v>
      </c>
      <c r="G65" s="7" t="s">
        <v>186</v>
      </c>
      <c r="H65" s="10" t="s">
        <v>147</v>
      </c>
      <c r="I65" s="4" t="s">
        <v>412</v>
      </c>
    </row>
    <row r="66">
      <c r="A66" s="17" t="str">
        <f t="shared" si="22"/>
        <v>Björnsson et al., 2016</v>
      </c>
      <c r="B66" s="9" t="s">
        <v>84</v>
      </c>
      <c r="C66" s="10" t="s">
        <v>149</v>
      </c>
      <c r="F66" s="17" t="str">
        <f t="shared" ref="F66:F77" si="24">HYPERLINK("https://github.com/d-wkim/phd/blob/main/data/pdf/björnsson_2016.pdf","Björnsson et al., 2016")</f>
        <v>Björnsson et al., 2016</v>
      </c>
      <c r="G66" s="7" t="s">
        <v>42</v>
      </c>
      <c r="H66" s="10" t="s">
        <v>149</v>
      </c>
      <c r="I66" s="4" t="s">
        <v>404</v>
      </c>
    </row>
    <row r="67">
      <c r="A67" s="17" t="str">
        <f t="shared" si="22"/>
        <v>Björnsson et al., 2016</v>
      </c>
      <c r="B67" s="9" t="s">
        <v>84</v>
      </c>
      <c r="C67" s="10" t="s">
        <v>152</v>
      </c>
      <c r="F67" s="17" t="str">
        <f t="shared" si="24"/>
        <v>Björnsson et al., 2016</v>
      </c>
      <c r="G67" s="9" t="s">
        <v>42</v>
      </c>
      <c r="H67" s="10" t="s">
        <v>152</v>
      </c>
      <c r="I67" s="4" t="s">
        <v>413</v>
      </c>
    </row>
    <row r="68">
      <c r="A68" s="17" t="str">
        <f t="shared" si="22"/>
        <v>Björnsson et al., 2016</v>
      </c>
      <c r="B68" s="9" t="s">
        <v>84</v>
      </c>
      <c r="C68" s="10" t="s">
        <v>154</v>
      </c>
      <c r="F68" s="17" t="str">
        <f t="shared" si="24"/>
        <v>Björnsson et al., 2016</v>
      </c>
      <c r="G68" s="9" t="s">
        <v>42</v>
      </c>
      <c r="H68" s="10" t="s">
        <v>154</v>
      </c>
      <c r="I68" s="4" t="s">
        <v>403</v>
      </c>
    </row>
    <row r="69">
      <c r="A69" s="17" t="str">
        <f t="shared" si="22"/>
        <v>Björnsson et al., 2016</v>
      </c>
      <c r="B69" s="9" t="s">
        <v>84</v>
      </c>
      <c r="F69" s="17" t="str">
        <f t="shared" si="24"/>
        <v>Björnsson et al., 2016</v>
      </c>
      <c r="G69" s="9" t="s">
        <v>42</v>
      </c>
      <c r="H69" s="4"/>
      <c r="I69" s="4" t="s">
        <v>101</v>
      </c>
    </row>
    <row r="70">
      <c r="A70" s="17" t="str">
        <f t="shared" ref="A70:A71" si="25">HYPERLINK("https://github.com/d-wkim/phd/blob/main/data/pdf/bottoni_2015.pdf","Bottoni et al., 2015")</f>
        <v>Bottoni et al., 2015</v>
      </c>
      <c r="B70" s="9" t="s">
        <v>84</v>
      </c>
      <c r="F70" s="17" t="str">
        <f t="shared" si="24"/>
        <v>Björnsson et al., 2016</v>
      </c>
      <c r="G70" s="9" t="s">
        <v>42</v>
      </c>
      <c r="I70" s="4" t="s">
        <v>101</v>
      </c>
    </row>
    <row r="71">
      <c r="A71" s="17" t="str">
        <f t="shared" si="25"/>
        <v>Bottoni et al., 2015</v>
      </c>
      <c r="B71" s="9" t="s">
        <v>84</v>
      </c>
      <c r="F71" s="17" t="str">
        <f t="shared" si="24"/>
        <v>Björnsson et al., 2016</v>
      </c>
      <c r="G71" s="9" t="s">
        <v>42</v>
      </c>
      <c r="I71" s="4" t="s">
        <v>101</v>
      </c>
    </row>
    <row r="72">
      <c r="A72" s="17" t="str">
        <f t="shared" ref="A72:A73" si="26">HYPERLINK("https://github.com/d-wkim/phd/blob/main/data/pdf/breker_2025.pdf","Breker et al., 2025")</f>
        <v>Breker et al., 2025</v>
      </c>
      <c r="B72" s="7" t="s">
        <v>42</v>
      </c>
      <c r="F72" s="17" t="str">
        <f t="shared" si="24"/>
        <v>Björnsson et al., 2016</v>
      </c>
      <c r="G72" s="7" t="s">
        <v>84</v>
      </c>
      <c r="I72" s="4" t="s">
        <v>101</v>
      </c>
    </row>
    <row r="73">
      <c r="A73" s="17" t="str">
        <f t="shared" si="26"/>
        <v>Breker et al., 2025</v>
      </c>
      <c r="B73" s="7" t="s">
        <v>84</v>
      </c>
      <c r="F73" s="17" t="str">
        <f t="shared" si="24"/>
        <v>Björnsson et al., 2016</v>
      </c>
      <c r="G73" s="9" t="s">
        <v>84</v>
      </c>
      <c r="I73" s="4" t="s">
        <v>101</v>
      </c>
    </row>
    <row r="74">
      <c r="A74" s="17" t="str">
        <f t="shared" ref="A74:A77" si="27">HYPERLINK("https://github.com/d-wkim/phd/blob/main/data/pdf/butt_2024.pdf","Butt et al., 2024")</f>
        <v>Butt et al., 2024</v>
      </c>
      <c r="B74" s="9" t="s">
        <v>84</v>
      </c>
      <c r="F74" s="17" t="str">
        <f t="shared" si="24"/>
        <v>Björnsson et al., 2016</v>
      </c>
      <c r="G74" s="9" t="s">
        <v>84</v>
      </c>
      <c r="I74" s="4" t="s">
        <v>101</v>
      </c>
    </row>
    <row r="75">
      <c r="A75" s="17" t="str">
        <f t="shared" si="27"/>
        <v>Butt et al., 2024</v>
      </c>
      <c r="B75" s="9" t="s">
        <v>84</v>
      </c>
      <c r="F75" s="17" t="str">
        <f t="shared" si="24"/>
        <v>Björnsson et al., 2016</v>
      </c>
      <c r="G75" s="9" t="s">
        <v>84</v>
      </c>
      <c r="I75" s="4" t="s">
        <v>101</v>
      </c>
    </row>
    <row r="76">
      <c r="A76" s="17" t="str">
        <f t="shared" si="27"/>
        <v>Butt et al., 2024</v>
      </c>
      <c r="B76" s="7" t="s">
        <v>84</v>
      </c>
      <c r="F76" s="17" t="str">
        <f t="shared" si="24"/>
        <v>Björnsson et al., 2016</v>
      </c>
      <c r="G76" s="9" t="s">
        <v>84</v>
      </c>
      <c r="I76" s="4" t="s">
        <v>101</v>
      </c>
    </row>
    <row r="77">
      <c r="A77" s="17" t="str">
        <f t="shared" si="27"/>
        <v>Butt et al., 2024</v>
      </c>
      <c r="B77" s="7" t="s">
        <v>84</v>
      </c>
      <c r="F77" s="17" t="str">
        <f t="shared" si="24"/>
        <v>Björnsson et al., 2016</v>
      </c>
      <c r="G77" s="9" t="s">
        <v>84</v>
      </c>
      <c r="I77" s="4" t="s">
        <v>101</v>
      </c>
    </row>
    <row r="78">
      <c r="A78" s="17" t="str">
        <f t="shared" ref="A78:A79" si="28">HYPERLINK("https://github.com/d-wkim/phd/blob/main/data/pdf/calvert_2025.pdf","Calvert et al., 2025")</f>
        <v>Calvert et al., 2025</v>
      </c>
      <c r="B78" s="9" t="s">
        <v>84</v>
      </c>
      <c r="F78" s="17" t="str">
        <f t="shared" ref="F78:F81" si="29">HYPERLINK("https://github.com/d-wkim/phd/blob/main/data/pdf/bottoni_2015.pdf","Bottoni et al., 2015")</f>
        <v>Bottoni et al., 2015</v>
      </c>
      <c r="G78" s="9" t="s">
        <v>84</v>
      </c>
      <c r="I78" s="4" t="s">
        <v>101</v>
      </c>
    </row>
    <row r="79">
      <c r="A79" s="17" t="str">
        <f t="shared" si="28"/>
        <v>Calvert et al., 2025</v>
      </c>
      <c r="B79" s="9" t="s">
        <v>84</v>
      </c>
      <c r="F79" s="17" t="str">
        <f t="shared" si="29"/>
        <v>Bottoni et al., 2015</v>
      </c>
      <c r="G79" s="9" t="s">
        <v>84</v>
      </c>
      <c r="I79" s="4" t="s">
        <v>101</v>
      </c>
    </row>
    <row r="80">
      <c r="A80" s="17" t="str">
        <f>HYPERLINK("https://github.com/d-wkim/phd/blob/main/data/pdf/cruz_2022.pdf","Cruz et al., 2022")</f>
        <v>Cruz et al., 2022</v>
      </c>
      <c r="B80" s="7" t="s">
        <v>84</v>
      </c>
      <c r="F80" s="17" t="str">
        <f t="shared" si="29"/>
        <v>Bottoni et al., 2015</v>
      </c>
      <c r="G80" s="9" t="s">
        <v>205</v>
      </c>
      <c r="I80" s="4" t="s">
        <v>101</v>
      </c>
    </row>
    <row r="81">
      <c r="A81" s="17" t="str">
        <f t="shared" ref="A81:A88" si="30">HYPERLINK("https://github.com/d-wkim/phd/blob/main/data/pdf/ejerhed_2003.pdf","Ejerhed et al., 2003")</f>
        <v>Ejerhed et al., 2003</v>
      </c>
      <c r="B81" s="9" t="s">
        <v>42</v>
      </c>
      <c r="F81" s="17" t="str">
        <f t="shared" si="29"/>
        <v>Bottoni et al., 2015</v>
      </c>
      <c r="G81" s="9" t="s">
        <v>205</v>
      </c>
      <c r="I81" s="4" t="s">
        <v>101</v>
      </c>
    </row>
    <row r="82">
      <c r="A82" s="17" t="str">
        <f t="shared" si="30"/>
        <v>Ejerhed et al., 2003</v>
      </c>
      <c r="B82" s="9" t="s">
        <v>42</v>
      </c>
      <c r="F82" s="17" t="str">
        <f t="shared" ref="F82:F83" si="31">HYPERLINK("https://github.com/d-wkim/phd/blob/main/data/pdf/breker_2025.pdf","Breker et al., 2025")</f>
        <v>Breker et al., 2025</v>
      </c>
      <c r="G82" s="7" t="s">
        <v>42</v>
      </c>
      <c r="I82" s="4" t="s">
        <v>101</v>
      </c>
    </row>
    <row r="83">
      <c r="A83" s="17" t="str">
        <f t="shared" si="30"/>
        <v>Ejerhed et al., 2003</v>
      </c>
      <c r="B83" s="9" t="s">
        <v>42</v>
      </c>
      <c r="F83" s="17" t="str">
        <f t="shared" si="31"/>
        <v>Breker et al., 2025</v>
      </c>
      <c r="G83" s="7" t="s">
        <v>84</v>
      </c>
      <c r="I83" s="4" t="s">
        <v>101</v>
      </c>
    </row>
    <row r="84">
      <c r="A84" s="17" t="str">
        <f t="shared" si="30"/>
        <v>Ejerhed et al., 2003</v>
      </c>
      <c r="B84" s="9" t="s">
        <v>42</v>
      </c>
      <c r="F84" s="17" t="str">
        <f t="shared" ref="F84:F91" si="32">HYPERLINK("https://github.com/d-wkim/phd/blob/main/data/pdf/butt_2024.pdf","Butt et al., 2024")</f>
        <v>Butt et al., 2024</v>
      </c>
      <c r="G84" s="9" t="s">
        <v>84</v>
      </c>
      <c r="I84" s="4" t="s">
        <v>101</v>
      </c>
    </row>
    <row r="85">
      <c r="A85" s="17" t="str">
        <f t="shared" si="30"/>
        <v>Ejerhed et al., 2003</v>
      </c>
      <c r="B85" s="9" t="s">
        <v>84</v>
      </c>
      <c r="F85" s="17" t="str">
        <f t="shared" si="32"/>
        <v>Butt et al., 2024</v>
      </c>
      <c r="G85" s="9" t="s">
        <v>84</v>
      </c>
      <c r="I85" s="4" t="s">
        <v>101</v>
      </c>
    </row>
    <row r="86">
      <c r="A86" s="17" t="str">
        <f t="shared" si="30"/>
        <v>Ejerhed et al., 2003</v>
      </c>
      <c r="B86" s="9" t="s">
        <v>84</v>
      </c>
      <c r="F86" s="17" t="str">
        <f t="shared" si="32"/>
        <v>Butt et al., 2024</v>
      </c>
      <c r="G86" s="7" t="s">
        <v>84</v>
      </c>
      <c r="I86" s="4" t="s">
        <v>101</v>
      </c>
    </row>
    <row r="87">
      <c r="A87" s="17" t="str">
        <f t="shared" si="30"/>
        <v>Ejerhed et al., 2003</v>
      </c>
      <c r="B87" s="9" t="s">
        <v>84</v>
      </c>
      <c r="F87" s="17" t="str">
        <f t="shared" si="32"/>
        <v>Butt et al., 2024</v>
      </c>
      <c r="G87" s="7" t="s">
        <v>84</v>
      </c>
      <c r="I87" s="4" t="s">
        <v>101</v>
      </c>
    </row>
    <row r="88">
      <c r="A88" s="17" t="str">
        <f t="shared" si="30"/>
        <v>Ejerhed et al., 2003</v>
      </c>
      <c r="B88" s="9" t="s">
        <v>84</v>
      </c>
      <c r="F88" s="17" t="str">
        <f t="shared" si="32"/>
        <v>Butt et al., 2024</v>
      </c>
      <c r="G88" s="9" t="s">
        <v>186</v>
      </c>
      <c r="I88" s="4" t="s">
        <v>101</v>
      </c>
    </row>
    <row r="89">
      <c r="A89" s="17" t="str">
        <f t="shared" ref="A89:A92" si="33">HYPERLINK("https://github.com/d-wkim/phd/blob/main/data/pdf/eriksson_2006.pdf","Eriksson et al., 2001")</f>
        <v>Eriksson et al., 2001</v>
      </c>
      <c r="B89" s="9" t="s">
        <v>42</v>
      </c>
      <c r="F89" s="17" t="str">
        <f t="shared" si="32"/>
        <v>Butt et al., 2024</v>
      </c>
      <c r="G89" s="9" t="s">
        <v>186</v>
      </c>
      <c r="I89" s="4" t="s">
        <v>101</v>
      </c>
    </row>
    <row r="90">
      <c r="A90" s="17" t="str">
        <f t="shared" si="33"/>
        <v>Eriksson et al., 2001</v>
      </c>
      <c r="B90" s="9" t="s">
        <v>42</v>
      </c>
      <c r="F90" s="17" t="str">
        <f t="shared" si="32"/>
        <v>Butt et al., 2024</v>
      </c>
      <c r="G90" s="7" t="s">
        <v>186</v>
      </c>
      <c r="I90" s="4" t="s">
        <v>101</v>
      </c>
    </row>
    <row r="91">
      <c r="A91" s="17" t="str">
        <f t="shared" si="33"/>
        <v>Eriksson et al., 2001</v>
      </c>
      <c r="B91" s="9" t="s">
        <v>84</v>
      </c>
      <c r="F91" s="17" t="str">
        <f t="shared" si="32"/>
        <v>Butt et al., 2024</v>
      </c>
      <c r="G91" s="7" t="s">
        <v>186</v>
      </c>
      <c r="I91" s="4" t="s">
        <v>101</v>
      </c>
    </row>
    <row r="92">
      <c r="A92" s="17" t="str">
        <f t="shared" si="33"/>
        <v>Eriksson et al., 2001</v>
      </c>
      <c r="B92" s="9" t="s">
        <v>84</v>
      </c>
      <c r="F92" s="17" t="str">
        <f t="shared" ref="F92:F95" si="34">HYPERLINK("https://github.com/d-wkim/phd/blob/main/data/pdf/calvert_2025.pdf","Calvert et al., 2025")</f>
        <v>Calvert et al., 2025</v>
      </c>
      <c r="G92" s="9" t="s">
        <v>84</v>
      </c>
      <c r="I92" s="4" t="s">
        <v>101</v>
      </c>
    </row>
    <row r="93">
      <c r="A93" s="17" t="str">
        <f t="shared" ref="A93:A100" si="35">HYPERLINK("https://github.com/d-wkim/phd/blob/main/data/pdf/feller_webster_2003.pdf","Feller &amp; Webster, 2003")</f>
        <v>Feller &amp; Webster, 2003</v>
      </c>
      <c r="B93" s="9" t="s">
        <v>42</v>
      </c>
      <c r="F93" s="17" t="str">
        <f t="shared" si="34"/>
        <v>Calvert et al., 2025</v>
      </c>
      <c r="G93" s="9" t="s">
        <v>84</v>
      </c>
      <c r="I93" s="4" t="s">
        <v>101</v>
      </c>
    </row>
    <row r="94">
      <c r="A94" s="17" t="str">
        <f t="shared" si="35"/>
        <v>Feller &amp; Webster, 2003</v>
      </c>
      <c r="B94" s="9" t="s">
        <v>42</v>
      </c>
      <c r="F94" s="17" t="str">
        <f t="shared" si="34"/>
        <v>Calvert et al., 2025</v>
      </c>
      <c r="G94" s="9" t="s">
        <v>200</v>
      </c>
      <c r="I94" s="4" t="s">
        <v>101</v>
      </c>
    </row>
    <row r="95">
      <c r="A95" s="17" t="str">
        <f t="shared" si="35"/>
        <v>Feller &amp; Webster, 2003</v>
      </c>
      <c r="B95" s="9" t="s">
        <v>42</v>
      </c>
      <c r="F95" s="17" t="str">
        <f t="shared" si="34"/>
        <v>Calvert et al., 2025</v>
      </c>
      <c r="G95" s="9" t="s">
        <v>200</v>
      </c>
      <c r="I95" s="4" t="s">
        <v>101</v>
      </c>
    </row>
    <row r="96">
      <c r="A96" s="17" t="str">
        <f t="shared" si="35"/>
        <v>Feller &amp; Webster, 2003</v>
      </c>
      <c r="B96" s="9" t="s">
        <v>42</v>
      </c>
      <c r="F96" s="17" t="str">
        <f t="shared" ref="F96:F97" si="36">HYPERLINK("https://github.com/d-wkim/phd/blob/main/data/pdf/cruz_2022.pdf","Cruz et al., 2022")</f>
        <v>Cruz et al., 2022</v>
      </c>
      <c r="G96" s="7" t="s">
        <v>84</v>
      </c>
      <c r="I96" s="4" t="s">
        <v>101</v>
      </c>
    </row>
    <row r="97">
      <c r="A97" s="17" t="str">
        <f t="shared" si="35"/>
        <v>Feller &amp; Webster, 2003</v>
      </c>
      <c r="B97" s="9" t="s">
        <v>84</v>
      </c>
      <c r="F97" s="17" t="str">
        <f t="shared" si="36"/>
        <v>Cruz et al., 2022</v>
      </c>
      <c r="G97" s="7" t="s">
        <v>205</v>
      </c>
      <c r="I97" s="4" t="s">
        <v>101</v>
      </c>
    </row>
    <row r="98">
      <c r="A98" s="17" t="str">
        <f t="shared" si="35"/>
        <v>Feller &amp; Webster, 2003</v>
      </c>
      <c r="B98" s="9" t="s">
        <v>84</v>
      </c>
      <c r="F98" s="17" t="str">
        <f t="shared" ref="F98:F105" si="37">HYPERLINK("https://github.com/d-wkim/phd/blob/main/data/pdf/ejerhed_2003.pdf","Ejerhed et al., 2003")</f>
        <v>Ejerhed et al., 2003</v>
      </c>
      <c r="G98" s="9" t="s">
        <v>42</v>
      </c>
      <c r="I98" s="4" t="s">
        <v>101</v>
      </c>
    </row>
    <row r="99">
      <c r="A99" s="17" t="str">
        <f t="shared" si="35"/>
        <v>Feller &amp; Webster, 2003</v>
      </c>
      <c r="B99" s="9" t="s">
        <v>84</v>
      </c>
      <c r="F99" s="17" t="str">
        <f t="shared" si="37"/>
        <v>Ejerhed et al., 2003</v>
      </c>
      <c r="G99" s="9" t="s">
        <v>42</v>
      </c>
      <c r="I99" s="4" t="s">
        <v>101</v>
      </c>
    </row>
    <row r="100">
      <c r="A100" s="17" t="str">
        <f t="shared" si="35"/>
        <v>Feller &amp; Webster, 2003</v>
      </c>
      <c r="B100" s="9" t="s">
        <v>84</v>
      </c>
      <c r="F100" s="17" t="str">
        <f t="shared" si="37"/>
        <v>Ejerhed et al., 2003</v>
      </c>
      <c r="G100" s="9" t="s">
        <v>42</v>
      </c>
      <c r="I100" s="4" t="s">
        <v>101</v>
      </c>
    </row>
    <row r="101">
      <c r="A101" s="17" t="str">
        <f t="shared" ref="A101:A102" si="38">HYPERLINK("https://github.com/d-wkim/phd/blob/main/data/pdf/gerber_2007.pdf","Gerber et al., 2007")</f>
        <v>Gerber et al., 2007</v>
      </c>
      <c r="B101" s="7" t="s">
        <v>42</v>
      </c>
      <c r="F101" s="17" t="str">
        <f t="shared" si="37"/>
        <v>Ejerhed et al., 2003</v>
      </c>
      <c r="G101" s="9" t="s">
        <v>42</v>
      </c>
      <c r="I101" s="4" t="s">
        <v>101</v>
      </c>
    </row>
    <row r="102">
      <c r="A102" s="17" t="str">
        <f t="shared" si="38"/>
        <v>Gerber et al., 2007</v>
      </c>
      <c r="B102" s="7" t="s">
        <v>84</v>
      </c>
      <c r="F102" s="17" t="str">
        <f t="shared" si="37"/>
        <v>Ejerhed et al., 2003</v>
      </c>
      <c r="G102" s="9" t="s">
        <v>84</v>
      </c>
      <c r="I102" s="4" t="s">
        <v>101</v>
      </c>
    </row>
    <row r="103">
      <c r="A103" s="17" t="str">
        <f t="shared" ref="A103:A110" si="39">HYPERLINK("https://github.com/d-wkim/phd/blob/main/data/pdf/gifstad_2013.pdf","Gifstad et al., 2013")</f>
        <v>Gifstad et al., 2013</v>
      </c>
      <c r="B103" s="7" t="s">
        <v>42</v>
      </c>
      <c r="F103" s="17" t="str">
        <f t="shared" si="37"/>
        <v>Ejerhed et al., 2003</v>
      </c>
      <c r="G103" s="9" t="s">
        <v>84</v>
      </c>
      <c r="I103" s="4" t="s">
        <v>101</v>
      </c>
    </row>
    <row r="104">
      <c r="A104" s="17" t="str">
        <f t="shared" si="39"/>
        <v>Gifstad et al., 2013</v>
      </c>
      <c r="B104" s="7" t="s">
        <v>42</v>
      </c>
      <c r="F104" s="17" t="str">
        <f t="shared" si="37"/>
        <v>Ejerhed et al., 2003</v>
      </c>
      <c r="G104" s="9" t="s">
        <v>84</v>
      </c>
      <c r="I104" s="4" t="s">
        <v>101</v>
      </c>
    </row>
    <row r="105">
      <c r="A105" s="17" t="str">
        <f t="shared" si="39"/>
        <v>Gifstad et al., 2013</v>
      </c>
      <c r="B105" s="9" t="s">
        <v>42</v>
      </c>
      <c r="F105" s="17" t="str">
        <f t="shared" si="37"/>
        <v>Ejerhed et al., 2003</v>
      </c>
      <c r="G105" s="9" t="s">
        <v>84</v>
      </c>
      <c r="I105" s="4" t="s">
        <v>101</v>
      </c>
    </row>
    <row r="106">
      <c r="A106" s="17" t="str">
        <f t="shared" si="39"/>
        <v>Gifstad et al., 2013</v>
      </c>
      <c r="B106" s="9" t="s">
        <v>42</v>
      </c>
      <c r="F106" s="17" t="str">
        <f t="shared" ref="F106:F109" si="40">HYPERLINK("https://github.com/d-wkim/phd/blob/main/data/pdf/eriksson_2006.pdf","Eriksson et al., 2001")</f>
        <v>Eriksson et al., 2001</v>
      </c>
      <c r="G106" s="9" t="s">
        <v>42</v>
      </c>
      <c r="I106" s="4" t="s">
        <v>101</v>
      </c>
    </row>
    <row r="107">
      <c r="A107" s="17" t="str">
        <f t="shared" si="39"/>
        <v>Gifstad et al., 2013</v>
      </c>
      <c r="B107" s="7" t="s">
        <v>84</v>
      </c>
      <c r="F107" s="17" t="str">
        <f t="shared" si="40"/>
        <v>Eriksson et al., 2001</v>
      </c>
      <c r="G107" s="9" t="s">
        <v>42</v>
      </c>
      <c r="I107" s="4" t="s">
        <v>101</v>
      </c>
    </row>
    <row r="108">
      <c r="A108" s="17" t="str">
        <f t="shared" si="39"/>
        <v>Gifstad et al., 2013</v>
      </c>
      <c r="B108" s="7" t="s">
        <v>84</v>
      </c>
      <c r="F108" s="17" t="str">
        <f t="shared" si="40"/>
        <v>Eriksson et al., 2001</v>
      </c>
      <c r="G108" s="9" t="s">
        <v>84</v>
      </c>
      <c r="I108" s="4" t="s">
        <v>101</v>
      </c>
    </row>
    <row r="109">
      <c r="A109" s="17" t="str">
        <f t="shared" si="39"/>
        <v>Gifstad et al., 2013</v>
      </c>
      <c r="B109" s="9" t="s">
        <v>84</v>
      </c>
      <c r="F109" s="17" t="str">
        <f t="shared" si="40"/>
        <v>Eriksson et al., 2001</v>
      </c>
      <c r="G109" s="9" t="s">
        <v>84</v>
      </c>
      <c r="I109" s="4" t="s">
        <v>101</v>
      </c>
    </row>
    <row r="110">
      <c r="A110" s="17" t="str">
        <f t="shared" si="39"/>
        <v>Gifstad et al., 2013</v>
      </c>
      <c r="B110" s="9" t="s">
        <v>84</v>
      </c>
      <c r="F110" s="17" t="str">
        <f t="shared" ref="F110:F117" si="41">HYPERLINK("https://github.com/d-wkim/phd/blob/main/data/pdf/feller_webster_2003.pdf","Feller &amp; Webster, 2003")</f>
        <v>Feller &amp; Webster, 2003</v>
      </c>
      <c r="G110" s="9" t="s">
        <v>42</v>
      </c>
      <c r="I110" s="4" t="s">
        <v>101</v>
      </c>
    </row>
    <row r="111">
      <c r="A111" s="17" t="str">
        <f t="shared" ref="A111:A118" si="42">HYPERLINK("https://github.com/d-wkim/phd/blob/main/data/pdf/gobbi_francisco_2006.pdf","Gobbi &amp; Francisco, 2006")</f>
        <v>Gobbi &amp; Francisco, 2006</v>
      </c>
      <c r="B111" s="9" t="s">
        <v>42</v>
      </c>
      <c r="F111" s="17" t="str">
        <f t="shared" si="41"/>
        <v>Feller &amp; Webster, 2003</v>
      </c>
      <c r="G111" s="9" t="s">
        <v>42</v>
      </c>
      <c r="I111" s="4" t="s">
        <v>101</v>
      </c>
    </row>
    <row r="112">
      <c r="A112" s="17" t="str">
        <f t="shared" si="42"/>
        <v>Gobbi &amp; Francisco, 2006</v>
      </c>
      <c r="B112" s="7" t="s">
        <v>42</v>
      </c>
      <c r="F112" s="17" t="str">
        <f t="shared" si="41"/>
        <v>Feller &amp; Webster, 2003</v>
      </c>
      <c r="G112" s="9" t="s">
        <v>42</v>
      </c>
      <c r="I112" s="4" t="s">
        <v>101</v>
      </c>
    </row>
    <row r="113">
      <c r="A113" s="17" t="str">
        <f t="shared" si="42"/>
        <v>Gobbi &amp; Francisco, 2006</v>
      </c>
      <c r="B113" s="7" t="s">
        <v>42</v>
      </c>
      <c r="F113" s="17" t="str">
        <f t="shared" si="41"/>
        <v>Feller &amp; Webster, 2003</v>
      </c>
      <c r="G113" s="9" t="s">
        <v>42</v>
      </c>
      <c r="I113" s="4" t="s">
        <v>101</v>
      </c>
    </row>
    <row r="114">
      <c r="A114" s="17" t="str">
        <f t="shared" si="42"/>
        <v>Gobbi &amp; Francisco, 2006</v>
      </c>
      <c r="B114" s="7" t="s">
        <v>42</v>
      </c>
      <c r="F114" s="17" t="str">
        <f t="shared" si="41"/>
        <v>Feller &amp; Webster, 2003</v>
      </c>
      <c r="G114" s="9" t="s">
        <v>84</v>
      </c>
      <c r="I114" s="4" t="s">
        <v>101</v>
      </c>
    </row>
    <row r="115">
      <c r="A115" s="17" t="str">
        <f t="shared" si="42"/>
        <v>Gobbi &amp; Francisco, 2006</v>
      </c>
      <c r="B115" s="9" t="s">
        <v>84</v>
      </c>
      <c r="F115" s="17" t="str">
        <f t="shared" si="41"/>
        <v>Feller &amp; Webster, 2003</v>
      </c>
      <c r="G115" s="9" t="s">
        <v>84</v>
      </c>
      <c r="I115" s="4" t="s">
        <v>101</v>
      </c>
    </row>
    <row r="116">
      <c r="A116" s="17" t="str">
        <f t="shared" si="42"/>
        <v>Gobbi &amp; Francisco, 2006</v>
      </c>
      <c r="B116" s="7" t="s">
        <v>84</v>
      </c>
      <c r="F116" s="17" t="str">
        <f t="shared" si="41"/>
        <v>Feller &amp; Webster, 2003</v>
      </c>
      <c r="G116" s="9" t="s">
        <v>84</v>
      </c>
      <c r="I116" s="4" t="s">
        <v>101</v>
      </c>
    </row>
    <row r="117">
      <c r="A117" s="17" t="str">
        <f t="shared" si="42"/>
        <v>Gobbi &amp; Francisco, 2006</v>
      </c>
      <c r="B117" s="7" t="s">
        <v>84</v>
      </c>
      <c r="F117" s="17" t="str">
        <f t="shared" si="41"/>
        <v>Feller &amp; Webster, 2003</v>
      </c>
      <c r="G117" s="9" t="s">
        <v>84</v>
      </c>
      <c r="I117" s="4" t="s">
        <v>101</v>
      </c>
    </row>
    <row r="118">
      <c r="A118" s="17" t="str">
        <f t="shared" si="42"/>
        <v>Gobbi &amp; Francisco, 2006</v>
      </c>
      <c r="B118" s="7" t="s">
        <v>84</v>
      </c>
      <c r="F118" s="17" t="str">
        <f t="shared" ref="F118:F119" si="43">HYPERLINK("https://github.com/d-wkim/phd/blob/main/data/pdf/gerber_2007.pdf","Gerber et al., 2007")</f>
        <v>Gerber et al., 2007</v>
      </c>
      <c r="G118" s="7" t="s">
        <v>42</v>
      </c>
      <c r="I118" s="4" t="s">
        <v>101</v>
      </c>
    </row>
    <row r="119">
      <c r="A119" s="17" t="str">
        <f t="shared" ref="A119:A126" si="44">HYPERLINK("https://github.com/d-wkim/phd/blob/main/data/pdf/guglielmetti_2021.pdf","Guglielmetti et al., 2021")</f>
        <v>Guglielmetti et al., 2021</v>
      </c>
      <c r="B119" s="9" t="s">
        <v>42</v>
      </c>
      <c r="F119" s="17" t="str">
        <f t="shared" si="43"/>
        <v>Gerber et al., 2007</v>
      </c>
      <c r="G119" s="7" t="s">
        <v>84</v>
      </c>
      <c r="I119" s="4" t="s">
        <v>101</v>
      </c>
    </row>
    <row r="120">
      <c r="A120" s="17" t="str">
        <f t="shared" si="44"/>
        <v>Guglielmetti et al., 2021</v>
      </c>
      <c r="B120" s="9" t="s">
        <v>42</v>
      </c>
      <c r="F120" s="17" t="str">
        <f t="shared" ref="F120:F127" si="45">HYPERLINK("https://github.com/d-wkim/phd/blob/main/data/pdf/gifstad_2013.pdf","Gifstad et al., 2013")</f>
        <v>Gifstad et al., 2013</v>
      </c>
      <c r="G120" s="7" t="s">
        <v>42</v>
      </c>
      <c r="I120" s="4" t="s">
        <v>101</v>
      </c>
    </row>
    <row r="121">
      <c r="A121" s="17" t="str">
        <f t="shared" si="44"/>
        <v>Guglielmetti et al., 2021</v>
      </c>
      <c r="B121" s="9" t="s">
        <v>42</v>
      </c>
      <c r="F121" s="17" t="str">
        <f t="shared" si="45"/>
        <v>Gifstad et al., 2013</v>
      </c>
      <c r="G121" s="7" t="s">
        <v>42</v>
      </c>
      <c r="I121" s="4" t="s">
        <v>101</v>
      </c>
    </row>
    <row r="122">
      <c r="A122" s="17" t="str">
        <f t="shared" si="44"/>
        <v>Guglielmetti et al., 2021</v>
      </c>
      <c r="B122" s="9" t="s">
        <v>42</v>
      </c>
      <c r="F122" s="17" t="str">
        <f t="shared" si="45"/>
        <v>Gifstad et al., 2013</v>
      </c>
      <c r="G122" s="9" t="s">
        <v>42</v>
      </c>
      <c r="I122" s="4" t="s">
        <v>101</v>
      </c>
    </row>
    <row r="123">
      <c r="A123" s="17" t="str">
        <f t="shared" si="44"/>
        <v>Guglielmetti et al., 2021</v>
      </c>
      <c r="B123" s="9" t="s">
        <v>84</v>
      </c>
      <c r="F123" s="17" t="str">
        <f t="shared" si="45"/>
        <v>Gifstad et al., 2013</v>
      </c>
      <c r="G123" s="9" t="s">
        <v>42</v>
      </c>
      <c r="I123" s="4" t="s">
        <v>101</v>
      </c>
    </row>
    <row r="124">
      <c r="A124" s="17" t="str">
        <f t="shared" si="44"/>
        <v>Guglielmetti et al., 2021</v>
      </c>
      <c r="B124" s="9" t="s">
        <v>84</v>
      </c>
      <c r="F124" s="17" t="str">
        <f t="shared" si="45"/>
        <v>Gifstad et al., 2013</v>
      </c>
      <c r="G124" s="7" t="s">
        <v>84</v>
      </c>
      <c r="I124" s="4" t="s">
        <v>101</v>
      </c>
    </row>
    <row r="125">
      <c r="A125" s="17" t="str">
        <f t="shared" si="44"/>
        <v>Guglielmetti et al., 2021</v>
      </c>
      <c r="B125" s="9" t="s">
        <v>84</v>
      </c>
      <c r="F125" s="17" t="str">
        <f t="shared" si="45"/>
        <v>Gifstad et al., 2013</v>
      </c>
      <c r="G125" s="7" t="s">
        <v>84</v>
      </c>
      <c r="I125" s="4" t="s">
        <v>101</v>
      </c>
    </row>
    <row r="126">
      <c r="A126" s="17" t="str">
        <f t="shared" si="44"/>
        <v>Guglielmetti et al., 2021</v>
      </c>
      <c r="B126" s="9" t="s">
        <v>84</v>
      </c>
      <c r="F126" s="17" t="str">
        <f t="shared" si="45"/>
        <v>Gifstad et al., 2013</v>
      </c>
      <c r="G126" s="9" t="s">
        <v>84</v>
      </c>
      <c r="I126" s="4" t="s">
        <v>101</v>
      </c>
    </row>
    <row r="127">
      <c r="A127" s="17" t="str">
        <f t="shared" ref="A127:A138" si="46">HYPERLINK("https://github.com/d-wkim/phd/blob/main/data/pdf/harilainen_2006.pdf","Harilainen et al., 2006")</f>
        <v>Harilainen et al., 2006</v>
      </c>
      <c r="B127" s="9" t="s">
        <v>42</v>
      </c>
      <c r="F127" s="17" t="str">
        <f t="shared" si="45"/>
        <v>Gifstad et al., 2013</v>
      </c>
      <c r="G127" s="9" t="s">
        <v>84</v>
      </c>
      <c r="I127" s="4" t="s">
        <v>101</v>
      </c>
    </row>
    <row r="128">
      <c r="A128" s="17" t="str">
        <f t="shared" si="46"/>
        <v>Harilainen et al., 2006</v>
      </c>
      <c r="B128" s="9" t="s">
        <v>42</v>
      </c>
      <c r="F128" s="17" t="str">
        <f t="shared" ref="F128:F135" si="47">HYPERLINK("https://github.com/d-wkim/phd/blob/main/data/pdf/gobbi_francisco_2006.pdf","Gobbi &amp; Francisco, 2006")</f>
        <v>Gobbi &amp; Francisco, 2006</v>
      </c>
      <c r="G128" s="9" t="s">
        <v>42</v>
      </c>
      <c r="I128" s="4" t="s">
        <v>101</v>
      </c>
    </row>
    <row r="129">
      <c r="A129" s="17" t="str">
        <f t="shared" si="46"/>
        <v>Harilainen et al., 2006</v>
      </c>
      <c r="B129" s="9" t="s">
        <v>42</v>
      </c>
      <c r="F129" s="17" t="str">
        <f t="shared" si="47"/>
        <v>Gobbi &amp; Francisco, 2006</v>
      </c>
      <c r="G129" s="7" t="s">
        <v>42</v>
      </c>
      <c r="I129" s="4" t="s">
        <v>101</v>
      </c>
    </row>
    <row r="130">
      <c r="A130" s="17" t="str">
        <f t="shared" si="46"/>
        <v>Harilainen et al., 2006</v>
      </c>
      <c r="B130" s="9" t="s">
        <v>42</v>
      </c>
      <c r="F130" s="17" t="str">
        <f t="shared" si="47"/>
        <v>Gobbi &amp; Francisco, 2006</v>
      </c>
      <c r="G130" s="7" t="s">
        <v>42</v>
      </c>
      <c r="I130" s="4" t="s">
        <v>101</v>
      </c>
    </row>
    <row r="131">
      <c r="A131" s="17" t="str">
        <f t="shared" si="46"/>
        <v>Harilainen et al., 2006</v>
      </c>
      <c r="B131" s="9" t="s">
        <v>42</v>
      </c>
      <c r="F131" s="17" t="str">
        <f t="shared" si="47"/>
        <v>Gobbi &amp; Francisco, 2006</v>
      </c>
      <c r="G131" s="7" t="s">
        <v>42</v>
      </c>
      <c r="I131" s="4" t="s">
        <v>101</v>
      </c>
    </row>
    <row r="132">
      <c r="A132" s="17" t="str">
        <f t="shared" si="46"/>
        <v>Harilainen et al., 2006</v>
      </c>
      <c r="B132" s="9" t="s">
        <v>42</v>
      </c>
      <c r="F132" s="17" t="str">
        <f t="shared" si="47"/>
        <v>Gobbi &amp; Francisco, 2006</v>
      </c>
      <c r="G132" s="9" t="s">
        <v>84</v>
      </c>
      <c r="I132" s="4" t="s">
        <v>101</v>
      </c>
    </row>
    <row r="133">
      <c r="A133" s="17" t="str">
        <f t="shared" si="46"/>
        <v>Harilainen et al., 2006</v>
      </c>
      <c r="B133" s="9" t="s">
        <v>84</v>
      </c>
      <c r="F133" s="17" t="str">
        <f t="shared" si="47"/>
        <v>Gobbi &amp; Francisco, 2006</v>
      </c>
      <c r="G133" s="7" t="s">
        <v>84</v>
      </c>
      <c r="I133" s="4" t="s">
        <v>101</v>
      </c>
    </row>
    <row r="134">
      <c r="A134" s="17" t="str">
        <f t="shared" si="46"/>
        <v>Harilainen et al., 2006</v>
      </c>
      <c r="B134" s="9" t="s">
        <v>84</v>
      </c>
      <c r="F134" s="17" t="str">
        <f t="shared" si="47"/>
        <v>Gobbi &amp; Francisco, 2006</v>
      </c>
      <c r="G134" s="7" t="s">
        <v>84</v>
      </c>
      <c r="I134" s="4" t="s">
        <v>101</v>
      </c>
    </row>
    <row r="135">
      <c r="A135" s="17" t="str">
        <f t="shared" si="46"/>
        <v>Harilainen et al., 2006</v>
      </c>
      <c r="B135" s="9" t="s">
        <v>84</v>
      </c>
      <c r="F135" s="17" t="str">
        <f t="shared" si="47"/>
        <v>Gobbi &amp; Francisco, 2006</v>
      </c>
      <c r="G135" s="7" t="s">
        <v>84</v>
      </c>
      <c r="I135" s="4" t="s">
        <v>101</v>
      </c>
    </row>
    <row r="136">
      <c r="A136" s="17" t="str">
        <f t="shared" si="46"/>
        <v>Harilainen et al., 2006</v>
      </c>
      <c r="B136" s="9" t="s">
        <v>84</v>
      </c>
      <c r="F136" s="17" t="str">
        <f t="shared" ref="F136:F143" si="48">HYPERLINK("https://github.com/d-wkim/phd/blob/main/data/pdf/guglielmetti_2021.pdf","Guglielmetti et al., 2021")</f>
        <v>Guglielmetti et al., 2021</v>
      </c>
      <c r="G136" s="9" t="s">
        <v>42</v>
      </c>
      <c r="I136" s="4" t="s">
        <v>101</v>
      </c>
    </row>
    <row r="137">
      <c r="A137" s="17" t="str">
        <f t="shared" si="46"/>
        <v>Harilainen et al., 2006</v>
      </c>
      <c r="B137" s="9" t="s">
        <v>84</v>
      </c>
      <c r="F137" s="17" t="str">
        <f t="shared" si="48"/>
        <v>Guglielmetti et al., 2021</v>
      </c>
      <c r="G137" s="9" t="s">
        <v>42</v>
      </c>
      <c r="I137" s="4" t="s">
        <v>101</v>
      </c>
    </row>
    <row r="138">
      <c r="A138" s="17" t="str">
        <f t="shared" si="46"/>
        <v>Harilainen et al., 2006</v>
      </c>
      <c r="B138" s="9" t="s">
        <v>84</v>
      </c>
      <c r="F138" s="17" t="str">
        <f t="shared" si="48"/>
        <v>Guglielmetti et al., 2021</v>
      </c>
      <c r="G138" s="9" t="s">
        <v>42</v>
      </c>
      <c r="I138" s="4" t="s">
        <v>101</v>
      </c>
    </row>
    <row r="139">
      <c r="A139" s="17" t="str">
        <f t="shared" ref="A139:A144" si="49">HYPERLINK("https://github.com/d-wkim/phd/blob/main/data/pdf/heijne_werner_2010.pdf","Heijne &amp; Werner, 2010")</f>
        <v>Heijne &amp; Werner, 2010</v>
      </c>
      <c r="B139" s="9" t="s">
        <v>42</v>
      </c>
      <c r="F139" s="17" t="str">
        <f t="shared" si="48"/>
        <v>Guglielmetti et al., 2021</v>
      </c>
      <c r="G139" s="9" t="s">
        <v>42</v>
      </c>
      <c r="I139" s="4" t="s">
        <v>101</v>
      </c>
    </row>
    <row r="140">
      <c r="A140" s="17" t="str">
        <f t="shared" si="49"/>
        <v>Heijne &amp; Werner, 2010</v>
      </c>
      <c r="B140" s="7" t="s">
        <v>42</v>
      </c>
      <c r="F140" s="17" t="str">
        <f t="shared" si="48"/>
        <v>Guglielmetti et al., 2021</v>
      </c>
      <c r="G140" s="9" t="s">
        <v>84</v>
      </c>
      <c r="I140" s="4" t="s">
        <v>101</v>
      </c>
    </row>
    <row r="141">
      <c r="A141" s="17" t="str">
        <f t="shared" si="49"/>
        <v>Heijne &amp; Werner, 2010</v>
      </c>
      <c r="B141" s="9" t="s">
        <v>42</v>
      </c>
      <c r="F141" s="17" t="str">
        <f t="shared" si="48"/>
        <v>Guglielmetti et al., 2021</v>
      </c>
      <c r="G141" s="9" t="s">
        <v>84</v>
      </c>
      <c r="I141" s="4" t="s">
        <v>101</v>
      </c>
    </row>
    <row r="142">
      <c r="A142" s="17" t="str">
        <f t="shared" si="49"/>
        <v>Heijne &amp; Werner, 2010</v>
      </c>
      <c r="B142" s="9" t="s">
        <v>84</v>
      </c>
      <c r="F142" s="17" t="str">
        <f t="shared" si="48"/>
        <v>Guglielmetti et al., 2021</v>
      </c>
      <c r="G142" s="9" t="s">
        <v>84</v>
      </c>
      <c r="I142" s="4" t="s">
        <v>101</v>
      </c>
    </row>
    <row r="143">
      <c r="A143" s="17" t="str">
        <f t="shared" si="49"/>
        <v>Heijne &amp; Werner, 2010</v>
      </c>
      <c r="B143" s="7" t="s">
        <v>84</v>
      </c>
      <c r="F143" s="17" t="str">
        <f t="shared" si="48"/>
        <v>Guglielmetti et al., 2021</v>
      </c>
      <c r="G143" s="9" t="s">
        <v>84</v>
      </c>
      <c r="I143" s="4" t="s">
        <v>101</v>
      </c>
    </row>
    <row r="144">
      <c r="A144" s="17" t="str">
        <f t="shared" si="49"/>
        <v>Heijne &amp; Werner, 2010</v>
      </c>
      <c r="B144" s="9" t="s">
        <v>84</v>
      </c>
      <c r="F144" s="17" t="str">
        <f t="shared" ref="F144:F155" si="50">HYPERLINK("https://github.com/d-wkim/phd/blob/main/data/pdf/harilainen_2006.pdf","Harilainen et al., 2006")</f>
        <v>Harilainen et al., 2006</v>
      </c>
      <c r="G144" s="9" t="s">
        <v>42</v>
      </c>
      <c r="I144" s="4" t="s">
        <v>101</v>
      </c>
    </row>
    <row r="145">
      <c r="A145" s="17" t="str">
        <f t="shared" ref="A145:A148" si="51">HYPERLINK("https://github.com/d-wkim/phd/blob/main/data/pdf/holm_2010.pdf","Holm et al., 2010")</f>
        <v>Holm et al., 2010</v>
      </c>
      <c r="B145" s="9" t="s">
        <v>42</v>
      </c>
      <c r="F145" s="17" t="str">
        <f t="shared" si="50"/>
        <v>Harilainen et al., 2006</v>
      </c>
      <c r="G145" s="9" t="s">
        <v>42</v>
      </c>
      <c r="I145" s="4" t="s">
        <v>101</v>
      </c>
    </row>
    <row r="146">
      <c r="A146" s="17" t="str">
        <f t="shared" si="51"/>
        <v>Holm et al., 2010</v>
      </c>
      <c r="B146" s="9" t="s">
        <v>42</v>
      </c>
      <c r="F146" s="17" t="str">
        <f t="shared" si="50"/>
        <v>Harilainen et al., 2006</v>
      </c>
      <c r="G146" s="9" t="s">
        <v>42</v>
      </c>
      <c r="I146" s="4" t="s">
        <v>101</v>
      </c>
    </row>
    <row r="147">
      <c r="A147" s="17" t="str">
        <f t="shared" si="51"/>
        <v>Holm et al., 2010</v>
      </c>
      <c r="B147" s="9" t="s">
        <v>84</v>
      </c>
      <c r="F147" s="17" t="str">
        <f t="shared" si="50"/>
        <v>Harilainen et al., 2006</v>
      </c>
      <c r="G147" s="9" t="s">
        <v>42</v>
      </c>
      <c r="I147" s="4" t="s">
        <v>101</v>
      </c>
    </row>
    <row r="148">
      <c r="A148" s="17" t="str">
        <f t="shared" si="51"/>
        <v>Holm et al., 2010</v>
      </c>
      <c r="B148" s="9" t="s">
        <v>84</v>
      </c>
      <c r="F148" s="17" t="str">
        <f t="shared" si="50"/>
        <v>Harilainen et al., 2006</v>
      </c>
      <c r="G148" s="9" t="s">
        <v>42</v>
      </c>
      <c r="I148" s="4" t="s">
        <v>101</v>
      </c>
    </row>
    <row r="149">
      <c r="A149" s="17" t="str">
        <f t="shared" ref="A149:A152" si="52">HYPERLINK("https://github.com/d-wkim/phd/blob/main/data/pdf/horstmann_2022.pdf","Horstmann et al., 2022")</f>
        <v>Horstmann et al., 2022</v>
      </c>
      <c r="B149" s="9" t="s">
        <v>84</v>
      </c>
      <c r="F149" s="17" t="str">
        <f t="shared" si="50"/>
        <v>Harilainen et al., 2006</v>
      </c>
      <c r="G149" s="9" t="s">
        <v>42</v>
      </c>
      <c r="I149" s="4" t="s">
        <v>101</v>
      </c>
    </row>
    <row r="150">
      <c r="A150" s="17" t="str">
        <f t="shared" si="52"/>
        <v>Horstmann et al., 2022</v>
      </c>
      <c r="B150" s="9" t="s">
        <v>84</v>
      </c>
      <c r="F150" s="17" t="str">
        <f t="shared" si="50"/>
        <v>Harilainen et al., 2006</v>
      </c>
      <c r="G150" s="9" t="s">
        <v>84</v>
      </c>
      <c r="I150" s="4" t="s">
        <v>101</v>
      </c>
    </row>
    <row r="151">
      <c r="A151" s="17" t="str">
        <f t="shared" si="52"/>
        <v>Horstmann et al., 2022</v>
      </c>
      <c r="B151" s="9" t="s">
        <v>84</v>
      </c>
      <c r="F151" s="17" t="str">
        <f t="shared" si="50"/>
        <v>Harilainen et al., 2006</v>
      </c>
      <c r="G151" s="9" t="s">
        <v>84</v>
      </c>
      <c r="I151" s="4" t="s">
        <v>101</v>
      </c>
    </row>
    <row r="152">
      <c r="A152" s="17" t="str">
        <f t="shared" si="52"/>
        <v>Horstmann et al., 2022</v>
      </c>
      <c r="B152" s="9" t="s">
        <v>84</v>
      </c>
      <c r="F152" s="17" t="str">
        <f t="shared" si="50"/>
        <v>Harilainen et al., 2006</v>
      </c>
      <c r="G152" s="9" t="s">
        <v>84</v>
      </c>
      <c r="I152" s="4" t="s">
        <v>101</v>
      </c>
    </row>
    <row r="153">
      <c r="A153" s="17" t="str">
        <f t="shared" ref="A153:A160" si="53">HYPERLINK("https://github.com/d-wkim/phd/blob/main/data/pdf/ibrahim_2005.pdf","Ibrahim et al., 2005")</f>
        <v>Ibrahim et al., 2005</v>
      </c>
      <c r="B153" s="9" t="s">
        <v>42</v>
      </c>
      <c r="F153" s="17" t="str">
        <f t="shared" si="50"/>
        <v>Harilainen et al., 2006</v>
      </c>
      <c r="G153" s="9" t="s">
        <v>84</v>
      </c>
      <c r="I153" s="4" t="s">
        <v>101</v>
      </c>
    </row>
    <row r="154">
      <c r="A154" s="17" t="str">
        <f t="shared" si="53"/>
        <v>Ibrahim et al., 2005</v>
      </c>
      <c r="B154" s="9" t="s">
        <v>42</v>
      </c>
      <c r="F154" s="17" t="str">
        <f t="shared" si="50"/>
        <v>Harilainen et al., 2006</v>
      </c>
      <c r="G154" s="9" t="s">
        <v>84</v>
      </c>
      <c r="I154" s="4" t="s">
        <v>101</v>
      </c>
    </row>
    <row r="155">
      <c r="A155" s="17" t="str">
        <f t="shared" si="53"/>
        <v>Ibrahim et al., 2005</v>
      </c>
      <c r="B155" s="7" t="s">
        <v>42</v>
      </c>
      <c r="F155" s="17" t="str">
        <f t="shared" si="50"/>
        <v>Harilainen et al., 2006</v>
      </c>
      <c r="G155" s="9" t="s">
        <v>84</v>
      </c>
      <c r="I155" s="4" t="s">
        <v>101</v>
      </c>
    </row>
    <row r="156">
      <c r="A156" s="17" t="str">
        <f t="shared" si="53"/>
        <v>Ibrahim et al., 2005</v>
      </c>
      <c r="B156" s="9" t="s">
        <v>42</v>
      </c>
      <c r="F156" s="17" t="str">
        <f t="shared" ref="F156:F161" si="54">HYPERLINK("https://github.com/d-wkim/phd/blob/main/data/pdf/heijne_werner_2010.pdf","Heijne &amp; Werner, 2010")</f>
        <v>Heijne &amp; Werner, 2010</v>
      </c>
      <c r="G156" s="9" t="s">
        <v>42</v>
      </c>
      <c r="I156" s="4" t="s">
        <v>101</v>
      </c>
    </row>
    <row r="157">
      <c r="A157" s="17" t="str">
        <f t="shared" si="53"/>
        <v>Ibrahim et al., 2005</v>
      </c>
      <c r="B157" s="9" t="s">
        <v>84</v>
      </c>
      <c r="F157" s="17" t="str">
        <f t="shared" si="54"/>
        <v>Heijne &amp; Werner, 2010</v>
      </c>
      <c r="G157" s="7" t="s">
        <v>42</v>
      </c>
      <c r="I157" s="4" t="s">
        <v>101</v>
      </c>
    </row>
    <row r="158">
      <c r="A158" s="17" t="str">
        <f t="shared" si="53"/>
        <v>Ibrahim et al., 2005</v>
      </c>
      <c r="B158" s="9" t="s">
        <v>84</v>
      </c>
      <c r="F158" s="17" t="str">
        <f t="shared" si="54"/>
        <v>Heijne &amp; Werner, 2010</v>
      </c>
      <c r="G158" s="9" t="s">
        <v>42</v>
      </c>
      <c r="I158" s="4" t="s">
        <v>101</v>
      </c>
    </row>
    <row r="159">
      <c r="A159" s="17" t="str">
        <f t="shared" si="53"/>
        <v>Ibrahim et al., 2005</v>
      </c>
      <c r="B159" s="7" t="s">
        <v>84</v>
      </c>
      <c r="F159" s="17" t="str">
        <f t="shared" si="54"/>
        <v>Heijne &amp; Werner, 2010</v>
      </c>
      <c r="G159" s="9" t="s">
        <v>84</v>
      </c>
      <c r="I159" s="4" t="s">
        <v>101</v>
      </c>
    </row>
    <row r="160">
      <c r="A160" s="17" t="str">
        <f t="shared" si="53"/>
        <v>Ibrahim et al., 2005</v>
      </c>
      <c r="B160" s="9" t="s">
        <v>84</v>
      </c>
      <c r="F160" s="17" t="str">
        <f t="shared" si="54"/>
        <v>Heijne &amp; Werner, 2010</v>
      </c>
      <c r="G160" s="7" t="s">
        <v>84</v>
      </c>
      <c r="I160" s="4" t="s">
        <v>101</v>
      </c>
    </row>
    <row r="161">
      <c r="A161" s="17" t="str">
        <f t="shared" ref="A161:A168" si="55">HYPERLINK("https://github.com/d-wkim/phd/blob/main/data/pdf/iliopoulos_2017.pdf","Iliopoulos et al., 2017")</f>
        <v>Iliopoulos et al., 2017</v>
      </c>
      <c r="B161" s="9" t="s">
        <v>42</v>
      </c>
      <c r="F161" s="17" t="str">
        <f t="shared" si="54"/>
        <v>Heijne &amp; Werner, 2010</v>
      </c>
      <c r="G161" s="9" t="s">
        <v>84</v>
      </c>
      <c r="I161" s="4" t="s">
        <v>101</v>
      </c>
    </row>
    <row r="162">
      <c r="A162" s="17" t="str">
        <f t="shared" si="55"/>
        <v>Iliopoulos et al., 2017</v>
      </c>
      <c r="B162" s="9" t="s">
        <v>42</v>
      </c>
      <c r="F162" s="17" t="str">
        <f t="shared" ref="F162:F165" si="56">HYPERLINK("https://github.com/d-wkim/phd/blob/main/data/pdf/holm_2010.pdf","Holm et al., 2010")</f>
        <v>Holm et al., 2010</v>
      </c>
      <c r="G162" s="9" t="s">
        <v>42</v>
      </c>
      <c r="I162" s="4" t="s">
        <v>101</v>
      </c>
    </row>
    <row r="163">
      <c r="A163" s="17" t="str">
        <f t="shared" si="55"/>
        <v>Iliopoulos et al., 2017</v>
      </c>
      <c r="B163" s="7" t="s">
        <v>42</v>
      </c>
      <c r="F163" s="17" t="str">
        <f t="shared" si="56"/>
        <v>Holm et al., 2010</v>
      </c>
      <c r="G163" s="9" t="s">
        <v>42</v>
      </c>
      <c r="I163" s="4" t="s">
        <v>101</v>
      </c>
    </row>
    <row r="164">
      <c r="A164" s="17" t="str">
        <f t="shared" si="55"/>
        <v>Iliopoulos et al., 2017</v>
      </c>
      <c r="B164" s="7" t="s">
        <v>42</v>
      </c>
      <c r="F164" s="17" t="str">
        <f t="shared" si="56"/>
        <v>Holm et al., 2010</v>
      </c>
      <c r="G164" s="9" t="s">
        <v>84</v>
      </c>
      <c r="I164" s="4" t="s">
        <v>101</v>
      </c>
    </row>
    <row r="165">
      <c r="A165" s="17" t="str">
        <f t="shared" si="55"/>
        <v>Iliopoulos et al., 2017</v>
      </c>
      <c r="B165" s="9" t="s">
        <v>84</v>
      </c>
      <c r="F165" s="17" t="str">
        <f t="shared" si="56"/>
        <v>Holm et al., 2010</v>
      </c>
      <c r="G165" s="9" t="s">
        <v>84</v>
      </c>
      <c r="I165" s="4" t="s">
        <v>101</v>
      </c>
    </row>
    <row r="166">
      <c r="A166" s="17" t="str">
        <f t="shared" si="55"/>
        <v>Iliopoulos et al., 2017</v>
      </c>
      <c r="B166" s="9" t="s">
        <v>84</v>
      </c>
      <c r="F166" s="17" t="str">
        <f t="shared" ref="F166:F173" si="57">HYPERLINK("https://github.com/d-wkim/phd/blob/main/data/pdf/horstmann_2022.pdf","Horstmann et al., 2022")</f>
        <v>Horstmann et al., 2022</v>
      </c>
      <c r="G166" s="9" t="s">
        <v>84</v>
      </c>
      <c r="I166" s="4" t="s">
        <v>101</v>
      </c>
    </row>
    <row r="167">
      <c r="A167" s="17" t="str">
        <f t="shared" si="55"/>
        <v>Iliopoulos et al., 2017</v>
      </c>
      <c r="B167" s="7" t="s">
        <v>84</v>
      </c>
      <c r="F167" s="17" t="str">
        <f t="shared" si="57"/>
        <v>Horstmann et al., 2022</v>
      </c>
      <c r="G167" s="9" t="s">
        <v>84</v>
      </c>
      <c r="I167" s="4" t="s">
        <v>101</v>
      </c>
    </row>
    <row r="168">
      <c r="A168" s="17" t="str">
        <f t="shared" si="55"/>
        <v>Iliopoulos et al., 2017</v>
      </c>
      <c r="B168" s="7" t="s">
        <v>84</v>
      </c>
      <c r="F168" s="17" t="str">
        <f t="shared" si="57"/>
        <v>Horstmann et al., 2022</v>
      </c>
      <c r="G168" s="9" t="s">
        <v>84</v>
      </c>
      <c r="I168" s="4" t="s">
        <v>101</v>
      </c>
    </row>
    <row r="169">
      <c r="A169" s="17" t="str">
        <f t="shared" ref="A169:A178" si="58">HYPERLINK("https://github.com/d-wkim/phd/blob/main/data/pdf/jansson_2003.pdf","Jansson et al., 2003")</f>
        <v>Jansson et al., 2003</v>
      </c>
      <c r="B169" s="9" t="s">
        <v>42</v>
      </c>
      <c r="F169" s="17" t="str">
        <f t="shared" si="57"/>
        <v>Horstmann et al., 2022</v>
      </c>
      <c r="G169" s="9" t="s">
        <v>84</v>
      </c>
      <c r="I169" s="4" t="s">
        <v>101</v>
      </c>
    </row>
    <row r="170">
      <c r="A170" s="17" t="str">
        <f t="shared" si="58"/>
        <v>Jansson et al., 2003</v>
      </c>
      <c r="B170" s="9" t="s">
        <v>42</v>
      </c>
      <c r="F170" s="17" t="str">
        <f t="shared" si="57"/>
        <v>Horstmann et al., 2022</v>
      </c>
      <c r="G170" s="9" t="s">
        <v>200</v>
      </c>
      <c r="I170" s="4" t="s">
        <v>101</v>
      </c>
    </row>
    <row r="171">
      <c r="A171" s="17" t="str">
        <f t="shared" si="58"/>
        <v>Jansson et al., 2003</v>
      </c>
      <c r="B171" s="9" t="s">
        <v>42</v>
      </c>
      <c r="F171" s="17" t="str">
        <f t="shared" si="57"/>
        <v>Horstmann et al., 2022</v>
      </c>
      <c r="G171" s="9" t="s">
        <v>200</v>
      </c>
      <c r="I171" s="4" t="s">
        <v>101</v>
      </c>
    </row>
    <row r="172">
      <c r="A172" s="17" t="str">
        <f t="shared" si="58"/>
        <v>Jansson et al., 2003</v>
      </c>
      <c r="B172" s="7" t="s">
        <v>42</v>
      </c>
      <c r="F172" s="17" t="str">
        <f t="shared" si="57"/>
        <v>Horstmann et al., 2022</v>
      </c>
      <c r="G172" s="9" t="s">
        <v>200</v>
      </c>
      <c r="I172" s="4" t="s">
        <v>101</v>
      </c>
    </row>
    <row r="173">
      <c r="A173" s="17" t="str">
        <f t="shared" si="58"/>
        <v>Jansson et al., 2003</v>
      </c>
      <c r="B173" s="9" t="s">
        <v>42</v>
      </c>
      <c r="F173" s="17" t="str">
        <f t="shared" si="57"/>
        <v>Horstmann et al., 2022</v>
      </c>
      <c r="G173" s="9" t="s">
        <v>200</v>
      </c>
      <c r="I173" s="4" t="s">
        <v>101</v>
      </c>
    </row>
    <row r="174">
      <c r="A174" s="17" t="str">
        <f t="shared" si="58"/>
        <v>Jansson et al., 2003</v>
      </c>
      <c r="B174" s="9" t="s">
        <v>84</v>
      </c>
      <c r="F174" s="17" t="str">
        <f t="shared" ref="F174:F181" si="59">HYPERLINK("https://github.com/d-wkim/phd/blob/main/data/pdf/ibrahim_2005.pdf","Ibrahim et al., 2005")</f>
        <v>Ibrahim et al., 2005</v>
      </c>
      <c r="G174" s="9" t="s">
        <v>42</v>
      </c>
      <c r="I174" s="4" t="s">
        <v>101</v>
      </c>
    </row>
    <row r="175">
      <c r="A175" s="17" t="str">
        <f t="shared" si="58"/>
        <v>Jansson et al., 2003</v>
      </c>
      <c r="B175" s="9" t="s">
        <v>84</v>
      </c>
      <c r="F175" s="17" t="str">
        <f t="shared" si="59"/>
        <v>Ibrahim et al., 2005</v>
      </c>
      <c r="G175" s="9" t="s">
        <v>42</v>
      </c>
      <c r="I175" s="4" t="s">
        <v>101</v>
      </c>
    </row>
    <row r="176">
      <c r="A176" s="17" t="str">
        <f t="shared" si="58"/>
        <v>Jansson et al., 2003</v>
      </c>
      <c r="B176" s="9" t="s">
        <v>84</v>
      </c>
      <c r="F176" s="17" t="str">
        <f t="shared" si="59"/>
        <v>Ibrahim et al., 2005</v>
      </c>
      <c r="G176" s="7" t="s">
        <v>42</v>
      </c>
      <c r="I176" s="4" t="s">
        <v>101</v>
      </c>
    </row>
    <row r="177">
      <c r="A177" s="17" t="str">
        <f t="shared" si="58"/>
        <v>Jansson et al., 2003</v>
      </c>
      <c r="B177" s="7" t="s">
        <v>84</v>
      </c>
      <c r="F177" s="17" t="str">
        <f t="shared" si="59"/>
        <v>Ibrahim et al., 2005</v>
      </c>
      <c r="G177" s="9" t="s">
        <v>42</v>
      </c>
      <c r="I177" s="4" t="s">
        <v>101</v>
      </c>
    </row>
    <row r="178">
      <c r="A178" s="17" t="str">
        <f t="shared" si="58"/>
        <v>Jansson et al., 2003</v>
      </c>
      <c r="B178" s="9" t="s">
        <v>84</v>
      </c>
      <c r="F178" s="17" t="str">
        <f t="shared" si="59"/>
        <v>Ibrahim et al., 2005</v>
      </c>
      <c r="G178" s="9" t="s">
        <v>84</v>
      </c>
      <c r="I178" s="4" t="s">
        <v>101</v>
      </c>
    </row>
    <row r="179">
      <c r="A179" s="17" t="str">
        <f t="shared" ref="A179:A184" si="60">HYPERLINK("https://github.com/d-wkim/phd/blob/main/data/pdf/kautzner_2015.pdf","Kautzner et al., 2015")</f>
        <v>Kautzner et al., 2015</v>
      </c>
      <c r="B179" s="9" t="s">
        <v>42</v>
      </c>
      <c r="F179" s="17" t="str">
        <f t="shared" si="59"/>
        <v>Ibrahim et al., 2005</v>
      </c>
      <c r="G179" s="9" t="s">
        <v>84</v>
      </c>
      <c r="I179" s="4" t="s">
        <v>101</v>
      </c>
    </row>
    <row r="180">
      <c r="A180" s="17" t="str">
        <f t="shared" si="60"/>
        <v>Kautzner et al., 2015</v>
      </c>
      <c r="B180" s="9" t="s">
        <v>42</v>
      </c>
      <c r="F180" s="17" t="str">
        <f t="shared" si="59"/>
        <v>Ibrahim et al., 2005</v>
      </c>
      <c r="G180" s="7" t="s">
        <v>84</v>
      </c>
      <c r="I180" s="4" t="s">
        <v>101</v>
      </c>
    </row>
    <row r="181">
      <c r="A181" s="17" t="str">
        <f t="shared" si="60"/>
        <v>Kautzner et al., 2015</v>
      </c>
      <c r="B181" s="9" t="s">
        <v>42</v>
      </c>
      <c r="F181" s="17" t="str">
        <f t="shared" si="59"/>
        <v>Ibrahim et al., 2005</v>
      </c>
      <c r="G181" s="9" t="s">
        <v>84</v>
      </c>
      <c r="I181" s="4" t="s">
        <v>101</v>
      </c>
    </row>
    <row r="182">
      <c r="A182" s="17" t="str">
        <f t="shared" si="60"/>
        <v>Kautzner et al., 2015</v>
      </c>
      <c r="B182" s="9" t="s">
        <v>84</v>
      </c>
      <c r="F182" s="17" t="str">
        <f t="shared" ref="F182:F189" si="61">HYPERLINK("https://github.com/d-wkim/phd/blob/main/data/pdf/iliopoulos_2017.pdf","Iliopoulos et al., 2017")</f>
        <v>Iliopoulos et al., 2017</v>
      </c>
      <c r="G182" s="9" t="s">
        <v>42</v>
      </c>
      <c r="I182" s="4" t="s">
        <v>101</v>
      </c>
    </row>
    <row r="183">
      <c r="A183" s="17" t="str">
        <f t="shared" si="60"/>
        <v>Kautzner et al., 2015</v>
      </c>
      <c r="B183" s="9" t="s">
        <v>84</v>
      </c>
      <c r="F183" s="17" t="str">
        <f t="shared" si="61"/>
        <v>Iliopoulos et al., 2017</v>
      </c>
      <c r="G183" s="9" t="s">
        <v>42</v>
      </c>
      <c r="I183" s="4" t="s">
        <v>101</v>
      </c>
    </row>
    <row r="184">
      <c r="A184" s="17" t="str">
        <f t="shared" si="60"/>
        <v>Kautzner et al., 2015</v>
      </c>
      <c r="B184" s="9" t="s">
        <v>84</v>
      </c>
      <c r="F184" s="17" t="str">
        <f t="shared" si="61"/>
        <v>Iliopoulos et al., 2017</v>
      </c>
      <c r="G184" s="7" t="s">
        <v>42</v>
      </c>
      <c r="I184" s="4" t="s">
        <v>101</v>
      </c>
    </row>
    <row r="185">
      <c r="A185" s="17" t="str">
        <f t="shared" ref="A185:A186" si="62">HYPERLINK("https://github.com/d-wkim/phd/blob/main/data/pdf/komzak_2022.pdf","Komzak et al., 2022")</f>
        <v>Komzak et al., 2022</v>
      </c>
      <c r="B185" s="9" t="s">
        <v>42</v>
      </c>
      <c r="F185" s="17" t="str">
        <f t="shared" si="61"/>
        <v>Iliopoulos et al., 2017</v>
      </c>
      <c r="G185" s="7" t="s">
        <v>42</v>
      </c>
      <c r="I185" s="4" t="s">
        <v>101</v>
      </c>
    </row>
    <row r="186">
      <c r="A186" s="17" t="str">
        <f t="shared" si="62"/>
        <v>Komzak et al., 2022</v>
      </c>
      <c r="B186" s="9" t="s">
        <v>42</v>
      </c>
      <c r="F186" s="17" t="str">
        <f t="shared" si="61"/>
        <v>Iliopoulos et al., 2017</v>
      </c>
      <c r="G186" s="9" t="s">
        <v>84</v>
      </c>
      <c r="I186" s="4" t="s">
        <v>101</v>
      </c>
    </row>
    <row r="187">
      <c r="A187" s="17" t="str">
        <f t="shared" ref="A187:A198" si="63">HYPERLINK("https://github.com/d-wkim/phd/blob/main/data/pdf/konrads_2016.pdf","Konrads et al., 2016")</f>
        <v>Konrads et al., 2016</v>
      </c>
      <c r="B187" s="9" t="s">
        <v>42</v>
      </c>
      <c r="F187" s="17" t="str">
        <f t="shared" si="61"/>
        <v>Iliopoulos et al., 2017</v>
      </c>
      <c r="G187" s="9" t="s">
        <v>84</v>
      </c>
      <c r="I187" s="4" t="s">
        <v>101</v>
      </c>
    </row>
    <row r="188">
      <c r="A188" s="17" t="str">
        <f t="shared" si="63"/>
        <v>Konrads et al., 2016</v>
      </c>
      <c r="B188" s="7" t="s">
        <v>42</v>
      </c>
      <c r="F188" s="17" t="str">
        <f t="shared" si="61"/>
        <v>Iliopoulos et al., 2017</v>
      </c>
      <c r="G188" s="7" t="s">
        <v>84</v>
      </c>
      <c r="I188" s="4" t="s">
        <v>101</v>
      </c>
    </row>
    <row r="189">
      <c r="A189" s="17" t="str">
        <f t="shared" si="63"/>
        <v>Konrads et al., 2016</v>
      </c>
      <c r="B189" s="9" t="s">
        <v>42</v>
      </c>
      <c r="F189" s="17" t="str">
        <f t="shared" si="61"/>
        <v>Iliopoulos et al., 2017</v>
      </c>
      <c r="G189" s="7" t="s">
        <v>84</v>
      </c>
      <c r="I189" s="4" t="s">
        <v>101</v>
      </c>
    </row>
    <row r="190">
      <c r="A190" s="17" t="str">
        <f t="shared" si="63"/>
        <v>Konrads et al., 2016</v>
      </c>
      <c r="B190" s="9" t="s">
        <v>42</v>
      </c>
      <c r="F190" s="17" t="str">
        <f t="shared" ref="F190:F199" si="64">HYPERLINK("https://github.com/d-wkim/phd/blob/main/data/pdf/jansson_2003.pdf","Jansson et al., 2003")</f>
        <v>Jansson et al., 2003</v>
      </c>
      <c r="G190" s="9" t="s">
        <v>42</v>
      </c>
      <c r="I190" s="4" t="s">
        <v>101</v>
      </c>
    </row>
    <row r="191">
      <c r="A191" s="17" t="str">
        <f t="shared" si="63"/>
        <v>Konrads et al., 2016</v>
      </c>
      <c r="B191" s="9" t="s">
        <v>42</v>
      </c>
      <c r="F191" s="17" t="str">
        <f t="shared" si="64"/>
        <v>Jansson et al., 2003</v>
      </c>
      <c r="G191" s="9" t="s">
        <v>42</v>
      </c>
      <c r="I191" s="4" t="s">
        <v>101</v>
      </c>
    </row>
    <row r="192">
      <c r="A192" s="17" t="str">
        <f t="shared" si="63"/>
        <v>Konrads et al., 2016</v>
      </c>
      <c r="B192" s="9" t="s">
        <v>42</v>
      </c>
      <c r="F192" s="17" t="str">
        <f t="shared" si="64"/>
        <v>Jansson et al., 2003</v>
      </c>
      <c r="G192" s="9" t="s">
        <v>42</v>
      </c>
      <c r="I192" s="4" t="s">
        <v>101</v>
      </c>
    </row>
    <row r="193">
      <c r="A193" s="17" t="str">
        <f t="shared" si="63"/>
        <v>Konrads et al., 2016</v>
      </c>
      <c r="B193" s="9" t="s">
        <v>84</v>
      </c>
      <c r="F193" s="17" t="str">
        <f t="shared" si="64"/>
        <v>Jansson et al., 2003</v>
      </c>
      <c r="G193" s="7" t="s">
        <v>42</v>
      </c>
      <c r="I193" s="4" t="s">
        <v>101</v>
      </c>
    </row>
    <row r="194">
      <c r="A194" s="17" t="str">
        <f t="shared" si="63"/>
        <v>Konrads et al., 2016</v>
      </c>
      <c r="B194" s="7" t="s">
        <v>84</v>
      </c>
      <c r="F194" s="17" t="str">
        <f t="shared" si="64"/>
        <v>Jansson et al., 2003</v>
      </c>
      <c r="G194" s="9" t="s">
        <v>42</v>
      </c>
      <c r="I194" s="4" t="s">
        <v>101</v>
      </c>
    </row>
    <row r="195">
      <c r="A195" s="17" t="str">
        <f t="shared" si="63"/>
        <v>Konrads et al., 2016</v>
      </c>
      <c r="B195" s="9" t="s">
        <v>84</v>
      </c>
      <c r="F195" s="17" t="str">
        <f t="shared" si="64"/>
        <v>Jansson et al., 2003</v>
      </c>
      <c r="G195" s="9" t="s">
        <v>84</v>
      </c>
      <c r="I195" s="4" t="s">
        <v>101</v>
      </c>
    </row>
    <row r="196">
      <c r="A196" s="17" t="str">
        <f t="shared" si="63"/>
        <v>Konrads et al., 2016</v>
      </c>
      <c r="B196" s="9" t="s">
        <v>84</v>
      </c>
      <c r="F196" s="17" t="str">
        <f t="shared" si="64"/>
        <v>Jansson et al., 2003</v>
      </c>
      <c r="G196" s="9" t="s">
        <v>84</v>
      </c>
      <c r="I196" s="4" t="s">
        <v>101</v>
      </c>
    </row>
    <row r="197">
      <c r="A197" s="17" t="str">
        <f t="shared" si="63"/>
        <v>Konrads et al., 2016</v>
      </c>
      <c r="B197" s="9" t="s">
        <v>84</v>
      </c>
      <c r="F197" s="17" t="str">
        <f t="shared" si="64"/>
        <v>Jansson et al., 2003</v>
      </c>
      <c r="G197" s="9" t="s">
        <v>84</v>
      </c>
      <c r="I197" s="4" t="s">
        <v>101</v>
      </c>
    </row>
    <row r="198">
      <c r="A198" s="17" t="str">
        <f t="shared" si="63"/>
        <v>Konrads et al., 2016</v>
      </c>
      <c r="B198" s="9" t="s">
        <v>84</v>
      </c>
      <c r="F198" s="17" t="str">
        <f t="shared" si="64"/>
        <v>Jansson et al., 2003</v>
      </c>
      <c r="G198" s="7" t="s">
        <v>84</v>
      </c>
      <c r="I198" s="4" t="s">
        <v>101</v>
      </c>
    </row>
    <row r="199">
      <c r="A199" s="17" t="str">
        <f t="shared" ref="A199:A206" si="65">HYPERLINK("https://github.com/d-wkim/phd/blob/main/data/pdf/laoruengthana_2009.pdf","Laoruengthana et al., 2009")</f>
        <v>Laoruengthana et al., 2009</v>
      </c>
      <c r="B199" s="9" t="s">
        <v>42</v>
      </c>
      <c r="F199" s="17" t="str">
        <f t="shared" si="64"/>
        <v>Jansson et al., 2003</v>
      </c>
      <c r="G199" s="9" t="s">
        <v>84</v>
      </c>
      <c r="I199" s="4" t="s">
        <v>101</v>
      </c>
    </row>
    <row r="200">
      <c r="A200" s="17" t="str">
        <f t="shared" si="65"/>
        <v>Laoruengthana et al., 2009</v>
      </c>
      <c r="B200" s="9" t="s">
        <v>42</v>
      </c>
      <c r="F200" s="17" t="str">
        <f t="shared" ref="F200:F205" si="66">HYPERLINK("https://github.com/d-wkim/phd/blob/main/data/pdf/kautzner_2015.pdf","Kautzner et al., 2015")</f>
        <v>Kautzner et al., 2015</v>
      </c>
      <c r="G200" s="9" t="s">
        <v>42</v>
      </c>
      <c r="I200" s="4" t="s">
        <v>101</v>
      </c>
    </row>
    <row r="201">
      <c r="A201" s="17" t="str">
        <f t="shared" si="65"/>
        <v>Laoruengthana et al., 2009</v>
      </c>
      <c r="B201" s="9" t="s">
        <v>42</v>
      </c>
      <c r="F201" s="17" t="str">
        <f t="shared" si="66"/>
        <v>Kautzner et al., 2015</v>
      </c>
      <c r="G201" s="9" t="s">
        <v>42</v>
      </c>
      <c r="I201" s="4" t="s">
        <v>101</v>
      </c>
    </row>
    <row r="202">
      <c r="A202" s="17" t="str">
        <f t="shared" si="65"/>
        <v>Laoruengthana et al., 2009</v>
      </c>
      <c r="B202" s="7" t="s">
        <v>42</v>
      </c>
      <c r="F202" s="17" t="str">
        <f t="shared" si="66"/>
        <v>Kautzner et al., 2015</v>
      </c>
      <c r="G202" s="9" t="s">
        <v>42</v>
      </c>
      <c r="I202" s="4" t="s">
        <v>101</v>
      </c>
    </row>
    <row r="203">
      <c r="A203" s="17" t="str">
        <f t="shared" si="65"/>
        <v>Laoruengthana et al., 2009</v>
      </c>
      <c r="B203" s="9" t="s">
        <v>84</v>
      </c>
      <c r="F203" s="17" t="str">
        <f t="shared" si="66"/>
        <v>Kautzner et al., 2015</v>
      </c>
      <c r="G203" s="9" t="s">
        <v>84</v>
      </c>
      <c r="I203" s="4" t="s">
        <v>101</v>
      </c>
    </row>
    <row r="204">
      <c r="A204" s="17" t="str">
        <f t="shared" si="65"/>
        <v>Laoruengthana et al., 2009</v>
      </c>
      <c r="B204" s="9" t="s">
        <v>84</v>
      </c>
      <c r="F204" s="17" t="str">
        <f t="shared" si="66"/>
        <v>Kautzner et al., 2015</v>
      </c>
      <c r="G204" s="9" t="s">
        <v>84</v>
      </c>
      <c r="I204" s="4" t="s">
        <v>101</v>
      </c>
    </row>
    <row r="205">
      <c r="A205" s="17" t="str">
        <f t="shared" si="65"/>
        <v>Laoruengthana et al., 2009</v>
      </c>
      <c r="B205" s="9" t="s">
        <v>84</v>
      </c>
      <c r="F205" s="17" t="str">
        <f t="shared" si="66"/>
        <v>Kautzner et al., 2015</v>
      </c>
      <c r="G205" s="9" t="s">
        <v>84</v>
      </c>
      <c r="I205" s="4" t="s">
        <v>101</v>
      </c>
    </row>
    <row r="206">
      <c r="A206" s="17" t="str">
        <f t="shared" si="65"/>
        <v>Laoruengthana et al., 2009</v>
      </c>
      <c r="B206" s="7" t="s">
        <v>84</v>
      </c>
      <c r="F206" s="17" t="str">
        <f t="shared" ref="F206:F209" si="67">HYPERLINK("https://github.com/d-wkim/phd/blob/main/data/pdf/komzak_2022.pdf","Komzak et al., 2022")</f>
        <v>Komzak et al., 2022</v>
      </c>
      <c r="G206" s="9" t="s">
        <v>42</v>
      </c>
      <c r="I206" s="4" t="s">
        <v>101</v>
      </c>
    </row>
    <row r="207">
      <c r="A207" s="17" t="str">
        <f t="shared" ref="A207:A209" si="68">HYPERLINK("https://github.com/d-wkim/phd/blob/main/data/pdf/lawhorn_2012.pdf","Lawhorn et al., 2012")</f>
        <v>Lawhorn et al., 2012</v>
      </c>
      <c r="B207" s="9" t="s">
        <v>84</v>
      </c>
      <c r="F207" s="17" t="str">
        <f t="shared" si="67"/>
        <v>Komzak et al., 2022</v>
      </c>
      <c r="G207" s="9" t="s">
        <v>42</v>
      </c>
      <c r="I207" s="4" t="s">
        <v>101</v>
      </c>
    </row>
    <row r="208">
      <c r="A208" s="17" t="str">
        <f t="shared" si="68"/>
        <v>Lawhorn et al., 2012</v>
      </c>
      <c r="B208" s="7" t="s">
        <v>84</v>
      </c>
      <c r="F208" s="17" t="str">
        <f t="shared" si="67"/>
        <v>Komzak et al., 2022</v>
      </c>
      <c r="G208" s="9" t="s">
        <v>200</v>
      </c>
      <c r="I208" s="4" t="s">
        <v>101</v>
      </c>
    </row>
    <row r="209">
      <c r="A209" s="17" t="str">
        <f t="shared" si="68"/>
        <v>Lawhorn et al., 2012</v>
      </c>
      <c r="B209" s="9" t="s">
        <v>84</v>
      </c>
      <c r="F209" s="17" t="str">
        <f t="shared" si="67"/>
        <v>Komzak et al., 2022</v>
      </c>
      <c r="G209" s="9" t="s">
        <v>200</v>
      </c>
      <c r="I209" s="4" t="s">
        <v>101</v>
      </c>
    </row>
    <row r="210">
      <c r="A210" s="17" t="str">
        <f t="shared" ref="A210:A219" si="69">HYPERLINK("https://github.com/d-wkim/phd/blob/main/data/pdf/laxdal_2005.pdf","Laxdal et al., 2005")</f>
        <v>Laxdal et al., 2005</v>
      </c>
      <c r="B210" s="9" t="s">
        <v>42</v>
      </c>
      <c r="F210" s="17" t="str">
        <f t="shared" ref="F210:F221" si="70">HYPERLINK("https://github.com/d-wkim/phd/blob/main/data/pdf/konrads_2016.pdf","Konrads et al., 2016")</f>
        <v>Konrads et al., 2016</v>
      </c>
      <c r="G210" s="9" t="s">
        <v>42</v>
      </c>
      <c r="I210" s="4" t="s">
        <v>101</v>
      </c>
    </row>
    <row r="211">
      <c r="A211" s="17" t="str">
        <f t="shared" si="69"/>
        <v>Laxdal et al., 2005</v>
      </c>
      <c r="B211" s="9" t="s">
        <v>42</v>
      </c>
      <c r="F211" s="17" t="str">
        <f t="shared" si="70"/>
        <v>Konrads et al., 2016</v>
      </c>
      <c r="G211" s="7" t="s">
        <v>42</v>
      </c>
      <c r="I211" s="4" t="s">
        <v>101</v>
      </c>
    </row>
    <row r="212">
      <c r="A212" s="17" t="str">
        <f t="shared" si="69"/>
        <v>Laxdal et al., 2005</v>
      </c>
      <c r="B212" s="9" t="s">
        <v>42</v>
      </c>
      <c r="F212" s="17" t="str">
        <f t="shared" si="70"/>
        <v>Konrads et al., 2016</v>
      </c>
      <c r="G212" s="9" t="s">
        <v>42</v>
      </c>
      <c r="I212" s="4" t="s">
        <v>101</v>
      </c>
    </row>
    <row r="213">
      <c r="A213" s="17" t="str">
        <f t="shared" si="69"/>
        <v>Laxdal et al., 2005</v>
      </c>
      <c r="B213" s="9" t="s">
        <v>42</v>
      </c>
      <c r="F213" s="17" t="str">
        <f t="shared" si="70"/>
        <v>Konrads et al., 2016</v>
      </c>
      <c r="G213" s="9" t="s">
        <v>42</v>
      </c>
      <c r="I213" s="4" t="s">
        <v>101</v>
      </c>
    </row>
    <row r="214">
      <c r="A214" s="17" t="str">
        <f t="shared" si="69"/>
        <v>Laxdal et al., 2005</v>
      </c>
      <c r="B214" s="9" t="s">
        <v>42</v>
      </c>
      <c r="F214" s="17" t="str">
        <f t="shared" si="70"/>
        <v>Konrads et al., 2016</v>
      </c>
      <c r="G214" s="9" t="s">
        <v>42</v>
      </c>
      <c r="I214" s="4" t="s">
        <v>101</v>
      </c>
    </row>
    <row r="215">
      <c r="A215" s="17" t="str">
        <f t="shared" si="69"/>
        <v>Laxdal et al., 2005</v>
      </c>
      <c r="B215" s="9" t="s">
        <v>84</v>
      </c>
      <c r="F215" s="17" t="str">
        <f t="shared" si="70"/>
        <v>Konrads et al., 2016</v>
      </c>
      <c r="G215" s="9" t="s">
        <v>42</v>
      </c>
      <c r="I215" s="4" t="s">
        <v>101</v>
      </c>
    </row>
    <row r="216">
      <c r="A216" s="17" t="str">
        <f t="shared" si="69"/>
        <v>Laxdal et al., 2005</v>
      </c>
      <c r="B216" s="9" t="s">
        <v>84</v>
      </c>
      <c r="F216" s="17" t="str">
        <f t="shared" si="70"/>
        <v>Konrads et al., 2016</v>
      </c>
      <c r="G216" s="9" t="s">
        <v>84</v>
      </c>
      <c r="I216" s="4" t="s">
        <v>101</v>
      </c>
    </row>
    <row r="217">
      <c r="A217" s="17" t="str">
        <f t="shared" si="69"/>
        <v>Laxdal et al., 2005</v>
      </c>
      <c r="B217" s="9" t="s">
        <v>84</v>
      </c>
      <c r="F217" s="17" t="str">
        <f t="shared" si="70"/>
        <v>Konrads et al., 2016</v>
      </c>
      <c r="G217" s="7" t="s">
        <v>84</v>
      </c>
      <c r="I217" s="4" t="s">
        <v>101</v>
      </c>
    </row>
    <row r="218">
      <c r="A218" s="17" t="str">
        <f t="shared" si="69"/>
        <v>Laxdal et al., 2005</v>
      </c>
      <c r="B218" s="9" t="s">
        <v>84</v>
      </c>
      <c r="F218" s="17" t="str">
        <f t="shared" si="70"/>
        <v>Konrads et al., 2016</v>
      </c>
      <c r="G218" s="9" t="s">
        <v>84</v>
      </c>
      <c r="I218" s="4" t="s">
        <v>101</v>
      </c>
    </row>
    <row r="219">
      <c r="A219" s="17" t="str">
        <f t="shared" si="69"/>
        <v>Laxdal et al., 2005</v>
      </c>
      <c r="B219" s="9" t="s">
        <v>84</v>
      </c>
      <c r="F219" s="17" t="str">
        <f t="shared" si="70"/>
        <v>Konrads et al., 2016</v>
      </c>
      <c r="G219" s="9" t="s">
        <v>84</v>
      </c>
      <c r="I219" s="4" t="s">
        <v>101</v>
      </c>
    </row>
    <row r="220">
      <c r="A220" s="17" t="str">
        <f t="shared" ref="A220:A223" si="71">HYPERLINK("https://github.com/d-wkim/phd/blob/main/data/pdf/leitgeb_2014.pdf","Leitgeb et al., 2014")</f>
        <v>Leitgeb et al., 2014</v>
      </c>
      <c r="B220" s="7" t="s">
        <v>42</v>
      </c>
      <c r="F220" s="17" t="str">
        <f t="shared" si="70"/>
        <v>Konrads et al., 2016</v>
      </c>
      <c r="G220" s="9" t="s">
        <v>84</v>
      </c>
      <c r="I220" s="4" t="s">
        <v>101</v>
      </c>
    </row>
    <row r="221">
      <c r="A221" s="17" t="str">
        <f t="shared" si="71"/>
        <v>Leitgeb et al., 2014</v>
      </c>
      <c r="B221" s="7" t="s">
        <v>42</v>
      </c>
      <c r="F221" s="17" t="str">
        <f t="shared" si="70"/>
        <v>Konrads et al., 2016</v>
      </c>
      <c r="G221" s="9" t="s">
        <v>84</v>
      </c>
      <c r="I221" s="4" t="s">
        <v>101</v>
      </c>
    </row>
    <row r="222">
      <c r="A222" s="17" t="str">
        <f t="shared" si="71"/>
        <v>Leitgeb et al., 2014</v>
      </c>
      <c r="B222" s="7" t="s">
        <v>84</v>
      </c>
      <c r="F222" s="17" t="str">
        <f t="shared" ref="F222:F229" si="72">HYPERLINK("https://github.com/d-wkim/phd/blob/main/data/pdf/laoruengthana_2009.pdf","Laoruengthana et al., 2009")</f>
        <v>Laoruengthana et al., 2009</v>
      </c>
      <c r="G222" s="9" t="s">
        <v>42</v>
      </c>
      <c r="I222" s="4" t="s">
        <v>101</v>
      </c>
    </row>
    <row r="223">
      <c r="A223" s="17" t="str">
        <f t="shared" si="71"/>
        <v>Leitgeb et al., 2014</v>
      </c>
      <c r="B223" s="7" t="s">
        <v>84</v>
      </c>
      <c r="F223" s="17" t="str">
        <f t="shared" si="72"/>
        <v>Laoruengthana et al., 2009</v>
      </c>
      <c r="G223" s="9" t="s">
        <v>42</v>
      </c>
      <c r="I223" s="4" t="s">
        <v>101</v>
      </c>
    </row>
    <row r="224">
      <c r="A224" s="17" t="str">
        <f t="shared" ref="A224:A229" si="73">HYPERLINK("https://github.com/d-wkim/phd/blob/main/data/pdf/li_2015.pdf","Li et al., 2015")</f>
        <v>Li et al., 2015</v>
      </c>
      <c r="B224" s="9" t="s">
        <v>84</v>
      </c>
      <c r="F224" s="17" t="str">
        <f t="shared" si="72"/>
        <v>Laoruengthana et al., 2009</v>
      </c>
      <c r="G224" s="9" t="s">
        <v>42</v>
      </c>
      <c r="I224" s="4" t="s">
        <v>101</v>
      </c>
    </row>
    <row r="225">
      <c r="A225" s="17" t="str">
        <f t="shared" si="73"/>
        <v>Li et al., 2015</v>
      </c>
      <c r="B225" s="9" t="s">
        <v>84</v>
      </c>
      <c r="F225" s="17" t="str">
        <f t="shared" si="72"/>
        <v>Laoruengthana et al., 2009</v>
      </c>
      <c r="G225" s="7" t="s">
        <v>42</v>
      </c>
      <c r="I225" s="4" t="s">
        <v>101</v>
      </c>
    </row>
    <row r="226">
      <c r="A226" s="17" t="str">
        <f t="shared" si="73"/>
        <v>Li et al., 2015</v>
      </c>
      <c r="B226" s="9" t="s">
        <v>84</v>
      </c>
      <c r="F226" s="17" t="str">
        <f t="shared" si="72"/>
        <v>Laoruengthana et al., 2009</v>
      </c>
      <c r="G226" s="9" t="s">
        <v>84</v>
      </c>
      <c r="I226" s="4" t="s">
        <v>101</v>
      </c>
    </row>
    <row r="227">
      <c r="A227" s="17" t="str">
        <f t="shared" si="73"/>
        <v>Li et al., 2015</v>
      </c>
      <c r="B227" s="9" t="s">
        <v>84</v>
      </c>
      <c r="F227" s="17" t="str">
        <f t="shared" si="72"/>
        <v>Laoruengthana et al., 2009</v>
      </c>
      <c r="G227" s="9" t="s">
        <v>84</v>
      </c>
      <c r="I227" s="4" t="s">
        <v>101</v>
      </c>
    </row>
    <row r="228">
      <c r="A228" s="17" t="str">
        <f t="shared" si="73"/>
        <v>Li et al., 2015</v>
      </c>
      <c r="B228" s="9" t="s">
        <v>84</v>
      </c>
      <c r="F228" s="17" t="str">
        <f t="shared" si="72"/>
        <v>Laoruengthana et al., 2009</v>
      </c>
      <c r="G228" s="9" t="s">
        <v>84</v>
      </c>
      <c r="I228" s="4" t="s">
        <v>101</v>
      </c>
    </row>
    <row r="229">
      <c r="A229" s="17" t="str">
        <f t="shared" si="73"/>
        <v>Li et al., 2015</v>
      </c>
      <c r="B229" s="9" t="s">
        <v>84</v>
      </c>
      <c r="F229" s="17" t="str">
        <f t="shared" si="72"/>
        <v>Laoruengthana et al., 2009</v>
      </c>
      <c r="G229" s="7" t="s">
        <v>84</v>
      </c>
      <c r="I229" s="4" t="s">
        <v>101</v>
      </c>
    </row>
    <row r="230">
      <c r="A230" s="17" t="str">
        <f t="shared" ref="A230:A239" si="74">HYPERLINK("https://github.com/d-wkim/phd/blob/main/data/pdf/lidén_2007.pdf","Lidén et al., 2007")</f>
        <v>Lidén et al., 2007</v>
      </c>
      <c r="B230" s="9" t="s">
        <v>42</v>
      </c>
      <c r="F230" s="17" t="str">
        <f t="shared" ref="F230:F235" si="75">HYPERLINK("https://github.com/d-wkim/phd/blob/main/data/pdf/lawhorn_2012.pdf","Lawhorn et al., 2012")</f>
        <v>Lawhorn et al., 2012</v>
      </c>
      <c r="G230" s="9" t="s">
        <v>84</v>
      </c>
      <c r="I230" s="4" t="s">
        <v>101</v>
      </c>
    </row>
    <row r="231">
      <c r="A231" s="17" t="str">
        <f t="shared" si="74"/>
        <v>Lidén et al., 2007</v>
      </c>
      <c r="B231" s="9" t="s">
        <v>42</v>
      </c>
      <c r="F231" s="17" t="str">
        <f t="shared" si="75"/>
        <v>Lawhorn et al., 2012</v>
      </c>
      <c r="G231" s="7" t="s">
        <v>84</v>
      </c>
      <c r="I231" s="4" t="s">
        <v>101</v>
      </c>
    </row>
    <row r="232">
      <c r="A232" s="17" t="str">
        <f t="shared" si="74"/>
        <v>Lidén et al., 2007</v>
      </c>
      <c r="B232" s="9" t="s">
        <v>42</v>
      </c>
      <c r="F232" s="17" t="str">
        <f t="shared" si="75"/>
        <v>Lawhorn et al., 2012</v>
      </c>
      <c r="G232" s="9" t="s">
        <v>84</v>
      </c>
      <c r="I232" s="4" t="s">
        <v>101</v>
      </c>
    </row>
    <row r="233">
      <c r="A233" s="17" t="str">
        <f t="shared" si="74"/>
        <v>Lidén et al., 2007</v>
      </c>
      <c r="B233" s="9" t="s">
        <v>42</v>
      </c>
      <c r="F233" s="17" t="str">
        <f t="shared" si="75"/>
        <v>Lawhorn et al., 2012</v>
      </c>
      <c r="G233" s="9" t="s">
        <v>205</v>
      </c>
      <c r="I233" s="4" t="s">
        <v>101</v>
      </c>
    </row>
    <row r="234">
      <c r="A234" s="17" t="str">
        <f t="shared" si="74"/>
        <v>Lidén et al., 2007</v>
      </c>
      <c r="B234" s="9" t="s">
        <v>42</v>
      </c>
      <c r="F234" s="17" t="str">
        <f t="shared" si="75"/>
        <v>Lawhorn et al., 2012</v>
      </c>
      <c r="G234" s="7" t="s">
        <v>205</v>
      </c>
      <c r="I234" s="4" t="s">
        <v>101</v>
      </c>
    </row>
    <row r="235">
      <c r="A235" s="17" t="str">
        <f t="shared" si="74"/>
        <v>Lidén et al., 2007</v>
      </c>
      <c r="B235" s="9" t="s">
        <v>84</v>
      </c>
      <c r="F235" s="17" t="str">
        <f t="shared" si="75"/>
        <v>Lawhorn et al., 2012</v>
      </c>
      <c r="G235" s="9" t="s">
        <v>205</v>
      </c>
      <c r="I235" s="4" t="s">
        <v>101</v>
      </c>
    </row>
    <row r="236">
      <c r="A236" s="17" t="str">
        <f t="shared" si="74"/>
        <v>Lidén et al., 2007</v>
      </c>
      <c r="B236" s="9" t="s">
        <v>84</v>
      </c>
      <c r="F236" s="17" t="str">
        <f t="shared" ref="F236:F245" si="76">HYPERLINK("https://github.com/d-wkim/phd/blob/main/data/pdf/laxdal_2005.pdf","Laxdal et al., 2005")</f>
        <v>Laxdal et al., 2005</v>
      </c>
      <c r="G236" s="9" t="s">
        <v>42</v>
      </c>
      <c r="I236" s="4" t="s">
        <v>101</v>
      </c>
    </row>
    <row r="237">
      <c r="A237" s="17" t="str">
        <f t="shared" si="74"/>
        <v>Lidén et al., 2007</v>
      </c>
      <c r="B237" s="9" t="s">
        <v>84</v>
      </c>
      <c r="F237" s="17" t="str">
        <f t="shared" si="76"/>
        <v>Laxdal et al., 2005</v>
      </c>
      <c r="G237" s="9" t="s">
        <v>42</v>
      </c>
      <c r="I237" s="4" t="s">
        <v>101</v>
      </c>
    </row>
    <row r="238">
      <c r="A238" s="17" t="str">
        <f t="shared" si="74"/>
        <v>Lidén et al., 2007</v>
      </c>
      <c r="B238" s="9" t="s">
        <v>84</v>
      </c>
      <c r="F238" s="17" t="str">
        <f t="shared" si="76"/>
        <v>Laxdal et al., 2005</v>
      </c>
      <c r="G238" s="9" t="s">
        <v>42</v>
      </c>
      <c r="I238" s="4" t="s">
        <v>101</v>
      </c>
    </row>
    <row r="239">
      <c r="A239" s="17" t="str">
        <f t="shared" si="74"/>
        <v>Lidén et al., 2007</v>
      </c>
      <c r="B239" s="9" t="s">
        <v>84</v>
      </c>
      <c r="F239" s="17" t="str">
        <f t="shared" si="76"/>
        <v>Laxdal et al., 2005</v>
      </c>
      <c r="G239" s="9" t="s">
        <v>42</v>
      </c>
      <c r="I239" s="4" t="s">
        <v>101</v>
      </c>
    </row>
    <row r="240">
      <c r="A240" s="17" t="str">
        <f t="shared" ref="A240:A243" si="77">HYPERLINK("https://github.com/d-wkim/phd/blob/main/data/pdf/lind_2020.pdf","Lind et al., 2020")</f>
        <v>Lind et al., 2020</v>
      </c>
      <c r="B240" s="9" t="s">
        <v>84</v>
      </c>
      <c r="F240" s="17" t="str">
        <f t="shared" si="76"/>
        <v>Laxdal et al., 2005</v>
      </c>
      <c r="G240" s="9" t="s">
        <v>42</v>
      </c>
      <c r="I240" s="4" t="s">
        <v>101</v>
      </c>
    </row>
    <row r="241">
      <c r="A241" s="17" t="str">
        <f t="shared" si="77"/>
        <v>Lind et al., 2020</v>
      </c>
      <c r="B241" s="9" t="s">
        <v>84</v>
      </c>
      <c r="F241" s="17" t="str">
        <f t="shared" si="76"/>
        <v>Laxdal et al., 2005</v>
      </c>
      <c r="G241" s="9" t="s">
        <v>84</v>
      </c>
      <c r="I241" s="4" t="s">
        <v>101</v>
      </c>
    </row>
    <row r="242">
      <c r="A242" s="17" t="str">
        <f t="shared" si="77"/>
        <v>Lind et al., 2020</v>
      </c>
      <c r="B242" s="9" t="s">
        <v>84</v>
      </c>
      <c r="F242" s="17" t="str">
        <f t="shared" si="76"/>
        <v>Laxdal et al., 2005</v>
      </c>
      <c r="G242" s="9" t="s">
        <v>84</v>
      </c>
      <c r="I242" s="4" t="s">
        <v>101</v>
      </c>
    </row>
    <row r="243">
      <c r="A243" s="17" t="str">
        <f t="shared" si="77"/>
        <v>Lind et al., 2020</v>
      </c>
      <c r="B243" s="9" t="s">
        <v>84</v>
      </c>
      <c r="F243" s="17" t="str">
        <f t="shared" si="76"/>
        <v>Laxdal et al., 2005</v>
      </c>
      <c r="G243" s="9" t="s">
        <v>84</v>
      </c>
      <c r="I243" s="4" t="s">
        <v>101</v>
      </c>
    </row>
    <row r="244">
      <c r="A244" s="17" t="str">
        <f t="shared" ref="A244:A255" si="78">HYPERLINK("https://github.com/d-wkim/phd/blob/main/data/pdf/lucidi_2025.pdf","Lucidi et al., 2025")</f>
        <v>Lucidi et al., 2025</v>
      </c>
      <c r="B244" s="9" t="s">
        <v>42</v>
      </c>
      <c r="F244" s="17" t="str">
        <f t="shared" si="76"/>
        <v>Laxdal et al., 2005</v>
      </c>
      <c r="G244" s="9" t="s">
        <v>84</v>
      </c>
      <c r="I244" s="4" t="s">
        <v>101</v>
      </c>
    </row>
    <row r="245">
      <c r="A245" s="17" t="str">
        <f t="shared" si="78"/>
        <v>Lucidi et al., 2025</v>
      </c>
      <c r="B245" s="9" t="s">
        <v>42</v>
      </c>
      <c r="F245" s="17" t="str">
        <f t="shared" si="76"/>
        <v>Laxdal et al., 2005</v>
      </c>
      <c r="G245" s="9" t="s">
        <v>84</v>
      </c>
      <c r="I245" s="4" t="s">
        <v>101</v>
      </c>
    </row>
    <row r="246">
      <c r="A246" s="17" t="str">
        <f t="shared" si="78"/>
        <v>Lucidi et al., 2025</v>
      </c>
      <c r="B246" s="9" t="s">
        <v>42</v>
      </c>
      <c r="F246" s="17" t="str">
        <f t="shared" ref="F246:F249" si="79">HYPERLINK("https://github.com/d-wkim/phd/blob/main/data/pdf/leitgeb_2014.pdf","Leitgeb et al., 2014")</f>
        <v>Leitgeb et al., 2014</v>
      </c>
      <c r="G246" s="7" t="s">
        <v>42</v>
      </c>
      <c r="I246" s="4" t="s">
        <v>101</v>
      </c>
    </row>
    <row r="247">
      <c r="A247" s="17" t="str">
        <f t="shared" si="78"/>
        <v>Lucidi et al., 2025</v>
      </c>
      <c r="B247" s="9" t="s">
        <v>42</v>
      </c>
      <c r="F247" s="17" t="str">
        <f t="shared" si="79"/>
        <v>Leitgeb et al., 2014</v>
      </c>
      <c r="G247" s="7" t="s">
        <v>42</v>
      </c>
      <c r="I247" s="4" t="s">
        <v>101</v>
      </c>
    </row>
    <row r="248">
      <c r="A248" s="17" t="str">
        <f t="shared" si="78"/>
        <v>Lucidi et al., 2025</v>
      </c>
      <c r="B248" s="9" t="s">
        <v>42</v>
      </c>
      <c r="F248" s="17" t="str">
        <f t="shared" si="79"/>
        <v>Leitgeb et al., 2014</v>
      </c>
      <c r="G248" s="7" t="s">
        <v>84</v>
      </c>
      <c r="I248" s="4" t="s">
        <v>101</v>
      </c>
    </row>
    <row r="249">
      <c r="A249" s="17" t="str">
        <f t="shared" si="78"/>
        <v>Lucidi et al., 2025</v>
      </c>
      <c r="B249" s="9" t="s">
        <v>42</v>
      </c>
      <c r="F249" s="17" t="str">
        <f t="shared" si="79"/>
        <v>Leitgeb et al., 2014</v>
      </c>
      <c r="G249" s="7" t="s">
        <v>84</v>
      </c>
      <c r="I249" s="4" t="s">
        <v>101</v>
      </c>
    </row>
    <row r="250">
      <c r="A250" s="17" t="str">
        <f t="shared" si="78"/>
        <v>Lucidi et al., 2025</v>
      </c>
      <c r="B250" s="9" t="s">
        <v>84</v>
      </c>
      <c r="F250" s="17" t="str">
        <f t="shared" ref="F250:F261" si="80">HYPERLINK("https://github.com/d-wkim/phd/blob/main/data/pdf/li_2015.pdf","Li et al., 2015")</f>
        <v>Li et al., 2015</v>
      </c>
      <c r="G250" s="9" t="s">
        <v>84</v>
      </c>
      <c r="I250" s="4" t="s">
        <v>101</v>
      </c>
    </row>
    <row r="251">
      <c r="A251" s="17" t="str">
        <f t="shared" si="78"/>
        <v>Lucidi et al., 2025</v>
      </c>
      <c r="B251" s="9" t="s">
        <v>84</v>
      </c>
      <c r="F251" s="17" t="str">
        <f t="shared" si="80"/>
        <v>Li et al., 2015</v>
      </c>
      <c r="G251" s="9" t="s">
        <v>84</v>
      </c>
      <c r="I251" s="4" t="s">
        <v>101</v>
      </c>
    </row>
    <row r="252">
      <c r="A252" s="17" t="str">
        <f t="shared" si="78"/>
        <v>Lucidi et al., 2025</v>
      </c>
      <c r="B252" s="9" t="s">
        <v>84</v>
      </c>
      <c r="F252" s="17" t="str">
        <f t="shared" si="80"/>
        <v>Li et al., 2015</v>
      </c>
      <c r="G252" s="9" t="s">
        <v>84</v>
      </c>
      <c r="I252" s="4" t="s">
        <v>101</v>
      </c>
    </row>
    <row r="253">
      <c r="A253" s="17" t="str">
        <f t="shared" si="78"/>
        <v>Lucidi et al., 2025</v>
      </c>
      <c r="B253" s="9" t="s">
        <v>84</v>
      </c>
      <c r="F253" s="17" t="str">
        <f t="shared" si="80"/>
        <v>Li et al., 2015</v>
      </c>
      <c r="G253" s="9" t="s">
        <v>84</v>
      </c>
      <c r="I253" s="4" t="s">
        <v>101</v>
      </c>
    </row>
    <row r="254">
      <c r="A254" s="17" t="str">
        <f t="shared" si="78"/>
        <v>Lucidi et al., 2025</v>
      </c>
      <c r="B254" s="9" t="s">
        <v>84</v>
      </c>
      <c r="F254" s="17" t="str">
        <f t="shared" si="80"/>
        <v>Li et al., 2015</v>
      </c>
      <c r="G254" s="9" t="s">
        <v>84</v>
      </c>
      <c r="I254" s="4" t="s">
        <v>101</v>
      </c>
    </row>
    <row r="255">
      <c r="A255" s="17" t="str">
        <f t="shared" si="78"/>
        <v>Lucidi et al., 2025</v>
      </c>
      <c r="B255" s="9" t="s">
        <v>84</v>
      </c>
      <c r="F255" s="17" t="str">
        <f t="shared" si="80"/>
        <v>Li et al., 2015</v>
      </c>
      <c r="G255" s="9" t="s">
        <v>84</v>
      </c>
      <c r="I255" s="4" t="s">
        <v>101</v>
      </c>
    </row>
    <row r="256">
      <c r="A256" s="17" t="str">
        <f t="shared" ref="A256:A263" si="81">HYPERLINK("https://github.com/d-wkim/phd/blob/main/data/pdf/lui_2012.pdf","Lui et al., 2012")</f>
        <v>Lui et al., 2012</v>
      </c>
      <c r="B256" s="9" t="s">
        <v>42</v>
      </c>
      <c r="F256" s="17" t="str">
        <f t="shared" si="80"/>
        <v>Li et al., 2015</v>
      </c>
      <c r="G256" s="9" t="s">
        <v>205</v>
      </c>
      <c r="I256" s="4" t="s">
        <v>101</v>
      </c>
    </row>
    <row r="257">
      <c r="A257" s="17" t="str">
        <f t="shared" si="81"/>
        <v>Lui et al., 2012</v>
      </c>
      <c r="B257" s="9" t="s">
        <v>42</v>
      </c>
      <c r="F257" s="17" t="str">
        <f t="shared" si="80"/>
        <v>Li et al., 2015</v>
      </c>
      <c r="G257" s="9" t="s">
        <v>205</v>
      </c>
      <c r="I257" s="4" t="s">
        <v>101</v>
      </c>
    </row>
    <row r="258">
      <c r="A258" s="17" t="str">
        <f t="shared" si="81"/>
        <v>Lui et al., 2012</v>
      </c>
      <c r="B258" s="9" t="s">
        <v>42</v>
      </c>
      <c r="F258" s="17" t="str">
        <f t="shared" si="80"/>
        <v>Li et al., 2015</v>
      </c>
      <c r="G258" s="9" t="s">
        <v>205</v>
      </c>
      <c r="I258" s="4" t="s">
        <v>101</v>
      </c>
    </row>
    <row r="259">
      <c r="A259" s="17" t="str">
        <f t="shared" si="81"/>
        <v>Lui et al., 2012</v>
      </c>
      <c r="B259" s="9" t="s">
        <v>42</v>
      </c>
      <c r="F259" s="17" t="str">
        <f t="shared" si="80"/>
        <v>Li et al., 2015</v>
      </c>
      <c r="G259" s="9" t="s">
        <v>205</v>
      </c>
      <c r="I259" s="4" t="s">
        <v>101</v>
      </c>
    </row>
    <row r="260">
      <c r="A260" s="17" t="str">
        <f t="shared" si="81"/>
        <v>Lui et al., 2012</v>
      </c>
      <c r="B260" s="9" t="s">
        <v>84</v>
      </c>
      <c r="F260" s="17" t="str">
        <f t="shared" si="80"/>
        <v>Li et al., 2015</v>
      </c>
      <c r="G260" s="9" t="s">
        <v>205</v>
      </c>
      <c r="I260" s="4" t="s">
        <v>101</v>
      </c>
    </row>
    <row r="261">
      <c r="A261" s="17" t="str">
        <f t="shared" si="81"/>
        <v>Lui et al., 2012</v>
      </c>
      <c r="B261" s="9" t="s">
        <v>84</v>
      </c>
      <c r="F261" s="17" t="str">
        <f t="shared" si="80"/>
        <v>Li et al., 2015</v>
      </c>
      <c r="G261" s="9" t="s">
        <v>205</v>
      </c>
      <c r="I261" s="4" t="s">
        <v>101</v>
      </c>
    </row>
    <row r="262">
      <c r="A262" s="17" t="str">
        <f t="shared" si="81"/>
        <v>Lui et al., 2012</v>
      </c>
      <c r="B262" s="9" t="s">
        <v>84</v>
      </c>
      <c r="F262" s="17" t="str">
        <f t="shared" ref="F262:F271" si="82">HYPERLINK("https://github.com/d-wkim/phd/blob/main/data/pdf/lidén_2007.pdf","Lidén et al., 2007")</f>
        <v>Lidén et al., 2007</v>
      </c>
      <c r="G262" s="9" t="s">
        <v>42</v>
      </c>
      <c r="I262" s="4" t="s">
        <v>101</v>
      </c>
    </row>
    <row r="263">
      <c r="A263" s="17" t="str">
        <f t="shared" si="81"/>
        <v>Lui et al., 2012</v>
      </c>
      <c r="B263" s="9" t="s">
        <v>84</v>
      </c>
      <c r="F263" s="17" t="str">
        <f t="shared" si="82"/>
        <v>Lidén et al., 2007</v>
      </c>
      <c r="G263" s="9" t="s">
        <v>42</v>
      </c>
      <c r="I263" s="4" t="s">
        <v>101</v>
      </c>
    </row>
    <row r="264">
      <c r="A264" s="17" t="str">
        <f t="shared" ref="A264:A266" si="83">HYPERLINK("https://github.com/d-wkim/phd/blob/main/data/pdf/lund_2014.pdf","Lund et al., 2014")</f>
        <v>Lund et al., 2014</v>
      </c>
      <c r="B264" s="9" t="s">
        <v>42</v>
      </c>
      <c r="F264" s="17" t="str">
        <f t="shared" si="82"/>
        <v>Lidén et al., 2007</v>
      </c>
      <c r="G264" s="9" t="s">
        <v>42</v>
      </c>
      <c r="I264" s="4" t="s">
        <v>101</v>
      </c>
    </row>
    <row r="265">
      <c r="A265" s="17" t="str">
        <f t="shared" si="83"/>
        <v>Lund et al., 2014</v>
      </c>
      <c r="B265" s="9" t="s">
        <v>42</v>
      </c>
      <c r="F265" s="17" t="str">
        <f t="shared" si="82"/>
        <v>Lidén et al., 2007</v>
      </c>
      <c r="G265" s="9" t="s">
        <v>42</v>
      </c>
      <c r="I265" s="4" t="s">
        <v>101</v>
      </c>
    </row>
    <row r="266">
      <c r="A266" s="17" t="str">
        <f t="shared" si="83"/>
        <v>Lund et al., 2014</v>
      </c>
      <c r="B266" s="9" t="s">
        <v>42</v>
      </c>
      <c r="F266" s="17" t="str">
        <f t="shared" si="82"/>
        <v>Lidén et al., 2007</v>
      </c>
      <c r="G266" s="9" t="s">
        <v>42</v>
      </c>
      <c r="I266" s="4" t="s">
        <v>101</v>
      </c>
    </row>
    <row r="267">
      <c r="A267" s="17" t="str">
        <f t="shared" ref="A267:A274" si="84">HYPERLINK("https://github.com/d-wkim/phd/blob/main/data/pdf/maletis_2007.pdf","Maletis et al., 2007")</f>
        <v>Maletis et al., 2007</v>
      </c>
      <c r="B267" s="9" t="s">
        <v>42</v>
      </c>
      <c r="F267" s="17" t="str">
        <f t="shared" si="82"/>
        <v>Lidén et al., 2007</v>
      </c>
      <c r="G267" s="9" t="s">
        <v>84</v>
      </c>
      <c r="I267" s="4" t="s">
        <v>101</v>
      </c>
    </row>
    <row r="268">
      <c r="A268" s="17" t="str">
        <f t="shared" si="84"/>
        <v>Maletis et al., 2007</v>
      </c>
      <c r="B268" s="7" t="s">
        <v>42</v>
      </c>
      <c r="F268" s="17" t="str">
        <f t="shared" si="82"/>
        <v>Lidén et al., 2007</v>
      </c>
      <c r="G268" s="9" t="s">
        <v>84</v>
      </c>
      <c r="I268" s="4" t="s">
        <v>101</v>
      </c>
    </row>
    <row r="269">
      <c r="A269" s="17" t="str">
        <f t="shared" si="84"/>
        <v>Maletis et al., 2007</v>
      </c>
      <c r="B269" s="7" t="s">
        <v>42</v>
      </c>
      <c r="F269" s="17" t="str">
        <f t="shared" si="82"/>
        <v>Lidén et al., 2007</v>
      </c>
      <c r="G269" s="9" t="s">
        <v>84</v>
      </c>
      <c r="I269" s="4" t="s">
        <v>101</v>
      </c>
    </row>
    <row r="270">
      <c r="A270" s="17" t="str">
        <f t="shared" si="84"/>
        <v>Maletis et al., 2007</v>
      </c>
      <c r="B270" s="7" t="s">
        <v>42</v>
      </c>
      <c r="F270" s="17" t="str">
        <f t="shared" si="82"/>
        <v>Lidén et al., 2007</v>
      </c>
      <c r="G270" s="9" t="s">
        <v>84</v>
      </c>
      <c r="I270" s="4" t="s">
        <v>101</v>
      </c>
    </row>
    <row r="271">
      <c r="A271" s="17" t="str">
        <f t="shared" si="84"/>
        <v>Maletis et al., 2007</v>
      </c>
      <c r="B271" s="9" t="s">
        <v>84</v>
      </c>
      <c r="F271" s="17" t="str">
        <f t="shared" si="82"/>
        <v>Lidén et al., 2007</v>
      </c>
      <c r="G271" s="9" t="s">
        <v>84</v>
      </c>
      <c r="I271" s="4" t="s">
        <v>101</v>
      </c>
    </row>
    <row r="272">
      <c r="A272" s="17" t="str">
        <f t="shared" si="84"/>
        <v>Maletis et al., 2007</v>
      </c>
      <c r="B272" s="7" t="s">
        <v>84</v>
      </c>
      <c r="F272" s="17" t="str">
        <f t="shared" ref="F272:F279" si="85">HYPERLINK("https://github.com/d-wkim/phd/blob/main/data/pdf/lind_2020.pdf","Lind et al., 2020")</f>
        <v>Lind et al., 2020</v>
      </c>
      <c r="G272" s="9" t="s">
        <v>84</v>
      </c>
      <c r="I272" s="4" t="s">
        <v>101</v>
      </c>
    </row>
    <row r="273">
      <c r="A273" s="17" t="str">
        <f t="shared" si="84"/>
        <v>Maletis et al., 2007</v>
      </c>
      <c r="B273" s="7" t="s">
        <v>84</v>
      </c>
      <c r="F273" s="17" t="str">
        <f t="shared" si="85"/>
        <v>Lind et al., 2020</v>
      </c>
      <c r="G273" s="9" t="s">
        <v>84</v>
      </c>
      <c r="I273" s="4" t="s">
        <v>101</v>
      </c>
    </row>
    <row r="274">
      <c r="A274" s="17" t="str">
        <f t="shared" si="84"/>
        <v>Maletis et al., 2007</v>
      </c>
      <c r="B274" s="7" t="s">
        <v>84</v>
      </c>
      <c r="F274" s="17" t="str">
        <f t="shared" si="85"/>
        <v>Lind et al., 2020</v>
      </c>
      <c r="G274" s="9" t="s">
        <v>84</v>
      </c>
      <c r="I274" s="4" t="s">
        <v>101</v>
      </c>
    </row>
    <row r="275">
      <c r="A275" s="17" t="str">
        <f t="shared" ref="A275:A280" si="86">HYPERLINK("https://github.com/d-wkim/phd/blob/main/data/pdf/malik_2026.pdf","Malik et al., 2026")</f>
        <v>Malik et al., 2026</v>
      </c>
      <c r="B275" s="9" t="s">
        <v>84</v>
      </c>
      <c r="F275" s="17" t="str">
        <f t="shared" si="85"/>
        <v>Lind et al., 2020</v>
      </c>
      <c r="G275" s="9" t="s">
        <v>84</v>
      </c>
      <c r="I275" s="4" t="s">
        <v>101</v>
      </c>
    </row>
    <row r="276">
      <c r="A276" s="17" t="str">
        <f t="shared" si="86"/>
        <v>Malik et al., 2026</v>
      </c>
      <c r="B276" s="9" t="s">
        <v>84</v>
      </c>
      <c r="F276" s="17" t="str">
        <f t="shared" si="85"/>
        <v>Lind et al., 2020</v>
      </c>
      <c r="G276" s="9" t="s">
        <v>200</v>
      </c>
      <c r="I276" s="4" t="s">
        <v>101</v>
      </c>
    </row>
    <row r="277">
      <c r="A277" s="17" t="str">
        <f t="shared" si="86"/>
        <v>Malik et al., 2026</v>
      </c>
      <c r="B277" s="9" t="s">
        <v>84</v>
      </c>
      <c r="F277" s="17" t="str">
        <f t="shared" si="85"/>
        <v>Lind et al., 2020</v>
      </c>
      <c r="G277" s="9" t="s">
        <v>200</v>
      </c>
      <c r="I277" s="4" t="s">
        <v>101</v>
      </c>
    </row>
    <row r="278">
      <c r="A278" s="17" t="str">
        <f t="shared" si="86"/>
        <v>Malik et al., 2026</v>
      </c>
      <c r="B278" s="9" t="s">
        <v>84</v>
      </c>
      <c r="F278" s="17" t="str">
        <f t="shared" si="85"/>
        <v>Lind et al., 2020</v>
      </c>
      <c r="G278" s="9" t="s">
        <v>200</v>
      </c>
      <c r="I278" s="4" t="s">
        <v>101</v>
      </c>
    </row>
    <row r="279">
      <c r="A279" s="17" t="str">
        <f t="shared" si="86"/>
        <v>Malik et al., 2026</v>
      </c>
      <c r="B279" s="9" t="s">
        <v>84</v>
      </c>
      <c r="F279" s="17" t="str">
        <f t="shared" si="85"/>
        <v>Lind et al., 2020</v>
      </c>
      <c r="G279" s="9" t="s">
        <v>200</v>
      </c>
      <c r="I279" s="4" t="s">
        <v>101</v>
      </c>
    </row>
    <row r="280">
      <c r="A280" s="17" t="str">
        <f t="shared" si="86"/>
        <v>Malik et al., 2026</v>
      </c>
      <c r="B280" s="9" t="s">
        <v>84</v>
      </c>
      <c r="F280" s="17" t="str">
        <f t="shared" ref="F280:F291" si="87">HYPERLINK("https://github.com/d-wkim/phd/blob/main/data/pdf/lucidi_2025.pdf","Lucidi et al., 2025")</f>
        <v>Lucidi et al., 2025</v>
      </c>
      <c r="G280" s="9" t="s">
        <v>42</v>
      </c>
      <c r="I280" s="4" t="s">
        <v>101</v>
      </c>
    </row>
    <row r="281">
      <c r="A281" s="17" t="str">
        <f t="shared" ref="A281:A284" si="88">HYPERLINK("https://github.com/d-wkim/phd/blob/main/data/pdf/matsumoto_2006.pdf","Matsumoto et al., 2006")</f>
        <v>Matsumoto et al., 2006</v>
      </c>
      <c r="B281" s="9" t="s">
        <v>42</v>
      </c>
      <c r="F281" s="17" t="str">
        <f t="shared" si="87"/>
        <v>Lucidi et al., 2025</v>
      </c>
      <c r="G281" s="9" t="s">
        <v>42</v>
      </c>
      <c r="I281" s="4" t="s">
        <v>101</v>
      </c>
    </row>
    <row r="282">
      <c r="A282" s="17" t="str">
        <f t="shared" si="88"/>
        <v>Matsumoto et al., 2006</v>
      </c>
      <c r="B282" s="9" t="s">
        <v>42</v>
      </c>
      <c r="F282" s="17" t="str">
        <f t="shared" si="87"/>
        <v>Lucidi et al., 2025</v>
      </c>
      <c r="G282" s="9" t="s">
        <v>42</v>
      </c>
      <c r="I282" s="4" t="s">
        <v>101</v>
      </c>
    </row>
    <row r="283">
      <c r="A283" s="17" t="str">
        <f t="shared" si="88"/>
        <v>Matsumoto et al., 2006</v>
      </c>
      <c r="B283" s="9" t="s">
        <v>84</v>
      </c>
      <c r="F283" s="17" t="str">
        <f t="shared" si="87"/>
        <v>Lucidi et al., 2025</v>
      </c>
      <c r="G283" s="9" t="s">
        <v>42</v>
      </c>
      <c r="I283" s="4" t="s">
        <v>101</v>
      </c>
    </row>
    <row r="284">
      <c r="A284" s="17" t="str">
        <f t="shared" si="88"/>
        <v>Matsumoto et al., 2006</v>
      </c>
      <c r="B284" s="9" t="s">
        <v>84</v>
      </c>
      <c r="F284" s="17" t="str">
        <f t="shared" si="87"/>
        <v>Lucidi et al., 2025</v>
      </c>
      <c r="G284" s="9" t="s">
        <v>42</v>
      </c>
      <c r="I284" s="4" t="s">
        <v>101</v>
      </c>
    </row>
    <row r="285">
      <c r="A285" s="17" t="str">
        <f t="shared" ref="A285:A290" si="89">HYPERLINK("https://github.com/d-wkim/phd/blob/main/data/pdf/mohtadi_2016a.pdf","Mohtadi et al., 2016")</f>
        <v>Mohtadi et al., 2016</v>
      </c>
      <c r="B285" s="7" t="s">
        <v>42</v>
      </c>
      <c r="F285" s="17" t="str">
        <f t="shared" si="87"/>
        <v>Lucidi et al., 2025</v>
      </c>
      <c r="G285" s="9" t="s">
        <v>42</v>
      </c>
      <c r="I285" s="4" t="s">
        <v>101</v>
      </c>
    </row>
    <row r="286">
      <c r="A286" s="17" t="str">
        <f t="shared" si="89"/>
        <v>Mohtadi et al., 2016</v>
      </c>
      <c r="B286" s="7" t="s">
        <v>42</v>
      </c>
      <c r="F286" s="17" t="str">
        <f t="shared" si="87"/>
        <v>Lucidi et al., 2025</v>
      </c>
      <c r="G286" s="9" t="s">
        <v>84</v>
      </c>
      <c r="I286" s="4" t="s">
        <v>101</v>
      </c>
    </row>
    <row r="287">
      <c r="A287" s="17" t="str">
        <f t="shared" si="89"/>
        <v>Mohtadi et al., 2016</v>
      </c>
      <c r="B287" s="9" t="s">
        <v>42</v>
      </c>
      <c r="F287" s="17" t="str">
        <f t="shared" si="87"/>
        <v>Lucidi et al., 2025</v>
      </c>
      <c r="G287" s="9" t="s">
        <v>84</v>
      </c>
      <c r="I287" s="4" t="s">
        <v>101</v>
      </c>
    </row>
    <row r="288">
      <c r="A288" s="17" t="str">
        <f t="shared" si="89"/>
        <v>Mohtadi et al., 2016</v>
      </c>
      <c r="B288" s="7" t="s">
        <v>84</v>
      </c>
      <c r="F288" s="17" t="str">
        <f t="shared" si="87"/>
        <v>Lucidi et al., 2025</v>
      </c>
      <c r="G288" s="9" t="s">
        <v>84</v>
      </c>
      <c r="I288" s="4" t="s">
        <v>101</v>
      </c>
    </row>
    <row r="289">
      <c r="A289" s="17" t="str">
        <f t="shared" si="89"/>
        <v>Mohtadi et al., 2016</v>
      </c>
      <c r="B289" s="7" t="s">
        <v>84</v>
      </c>
      <c r="F289" s="17" t="str">
        <f t="shared" si="87"/>
        <v>Lucidi et al., 2025</v>
      </c>
      <c r="G289" s="9" t="s">
        <v>84</v>
      </c>
      <c r="I289" s="4" t="s">
        <v>101</v>
      </c>
    </row>
    <row r="290">
      <c r="A290" s="17" t="str">
        <f t="shared" si="89"/>
        <v>Mohtadi et al., 2016</v>
      </c>
      <c r="B290" s="9" t="s">
        <v>84</v>
      </c>
      <c r="F290" s="17" t="str">
        <f t="shared" si="87"/>
        <v>Lucidi et al., 2025</v>
      </c>
      <c r="G290" s="9" t="s">
        <v>84</v>
      </c>
      <c r="I290" s="4" t="s">
        <v>101</v>
      </c>
    </row>
    <row r="291">
      <c r="A291" s="17" t="str">
        <f t="shared" ref="A291:A300" si="90">HYPERLINK("https://github.com/d-wkim/phd/blob/main/data/pdf/mohtadi_chan_2019.pdf","Mohtadi &amp; Chan, 2019")</f>
        <v>Mohtadi &amp; Chan, 2019</v>
      </c>
      <c r="B291" s="9" t="s">
        <v>42</v>
      </c>
      <c r="F291" s="17" t="str">
        <f t="shared" si="87"/>
        <v>Lucidi et al., 2025</v>
      </c>
      <c r="G291" s="9" t="s">
        <v>84</v>
      </c>
      <c r="I291" s="4" t="s">
        <v>101</v>
      </c>
    </row>
    <row r="292">
      <c r="A292" s="17" t="str">
        <f t="shared" si="90"/>
        <v>Mohtadi &amp; Chan, 2019</v>
      </c>
      <c r="B292" s="7" t="s">
        <v>42</v>
      </c>
      <c r="F292" s="17" t="str">
        <f t="shared" ref="F292:F299" si="91">HYPERLINK("https://github.com/d-wkim/phd/blob/main/data/pdf/lui_2012.pdf","Lui et al., 2012")</f>
        <v>Lui et al., 2012</v>
      </c>
      <c r="G292" s="9" t="s">
        <v>42</v>
      </c>
      <c r="I292" s="4" t="s">
        <v>101</v>
      </c>
    </row>
    <row r="293">
      <c r="A293" s="17" t="str">
        <f t="shared" si="90"/>
        <v>Mohtadi &amp; Chan, 2019</v>
      </c>
      <c r="B293" s="7" t="s">
        <v>42</v>
      </c>
      <c r="F293" s="17" t="str">
        <f t="shared" si="91"/>
        <v>Lui et al., 2012</v>
      </c>
      <c r="G293" s="9" t="s">
        <v>42</v>
      </c>
      <c r="I293" s="4" t="s">
        <v>101</v>
      </c>
    </row>
    <row r="294">
      <c r="A294" s="17" t="str">
        <f t="shared" si="90"/>
        <v>Mohtadi &amp; Chan, 2019</v>
      </c>
      <c r="B294" s="7" t="s">
        <v>42</v>
      </c>
      <c r="F294" s="17" t="str">
        <f t="shared" si="91"/>
        <v>Lui et al., 2012</v>
      </c>
      <c r="G294" s="9" t="s">
        <v>42</v>
      </c>
      <c r="I294" s="4" t="s">
        <v>101</v>
      </c>
    </row>
    <row r="295">
      <c r="A295" s="17" t="str">
        <f t="shared" si="90"/>
        <v>Mohtadi &amp; Chan, 2019</v>
      </c>
      <c r="B295" s="7" t="s">
        <v>42</v>
      </c>
      <c r="F295" s="17" t="str">
        <f t="shared" si="91"/>
        <v>Lui et al., 2012</v>
      </c>
      <c r="G295" s="9" t="s">
        <v>42</v>
      </c>
      <c r="I295" s="4" t="s">
        <v>101</v>
      </c>
    </row>
    <row r="296">
      <c r="A296" s="17" t="str">
        <f t="shared" si="90"/>
        <v>Mohtadi &amp; Chan, 2019</v>
      </c>
      <c r="B296" s="9" t="s">
        <v>84</v>
      </c>
      <c r="F296" s="17" t="str">
        <f t="shared" si="91"/>
        <v>Lui et al., 2012</v>
      </c>
      <c r="G296" s="9" t="s">
        <v>84</v>
      </c>
      <c r="I296" s="4" t="s">
        <v>101</v>
      </c>
    </row>
    <row r="297">
      <c r="A297" s="17" t="str">
        <f t="shared" si="90"/>
        <v>Mohtadi &amp; Chan, 2019</v>
      </c>
      <c r="B297" s="7" t="s">
        <v>84</v>
      </c>
      <c r="F297" s="17" t="str">
        <f t="shared" si="91"/>
        <v>Lui et al., 2012</v>
      </c>
      <c r="G297" s="9" t="s">
        <v>84</v>
      </c>
      <c r="I297" s="4" t="s">
        <v>101</v>
      </c>
    </row>
    <row r="298">
      <c r="A298" s="17" t="str">
        <f t="shared" si="90"/>
        <v>Mohtadi &amp; Chan, 2019</v>
      </c>
      <c r="B298" s="7" t="s">
        <v>84</v>
      </c>
      <c r="F298" s="17" t="str">
        <f t="shared" si="91"/>
        <v>Lui et al., 2012</v>
      </c>
      <c r="G298" s="9" t="s">
        <v>84</v>
      </c>
      <c r="I298" s="4" t="s">
        <v>101</v>
      </c>
    </row>
    <row r="299">
      <c r="A299" s="17" t="str">
        <f t="shared" si="90"/>
        <v>Mohtadi &amp; Chan, 2019</v>
      </c>
      <c r="B299" s="7" t="s">
        <v>84</v>
      </c>
      <c r="F299" s="17" t="str">
        <f t="shared" si="91"/>
        <v>Lui et al., 2012</v>
      </c>
      <c r="G299" s="9" t="s">
        <v>84</v>
      </c>
      <c r="I299" s="4" t="s">
        <v>101</v>
      </c>
    </row>
    <row r="300">
      <c r="A300" s="17" t="str">
        <f t="shared" si="90"/>
        <v>Mohtadi &amp; Chan, 2019</v>
      </c>
      <c r="B300" s="7" t="s">
        <v>84</v>
      </c>
      <c r="F300" s="17" t="str">
        <f t="shared" ref="F300:F305" si="92">HYPERLINK("https://github.com/d-wkim/phd/blob/main/data/pdf/lund_2014.pdf","Lund et al., 2014")</f>
        <v>Lund et al., 2014</v>
      </c>
      <c r="G300" s="9" t="s">
        <v>42</v>
      </c>
      <c r="I300" s="4" t="s">
        <v>101</v>
      </c>
    </row>
    <row r="301">
      <c r="A301" s="17" t="str">
        <f t="shared" ref="A301:A312" si="93">HYPERLINK("https://github.com/d-wkim/phd/blob/main/data/pdf/moraiti_2010.pdf","Moraiti et al., 2010")</f>
        <v>Moraiti et al., 2010</v>
      </c>
      <c r="B301" s="9" t="s">
        <v>42</v>
      </c>
      <c r="F301" s="17" t="str">
        <f t="shared" si="92"/>
        <v>Lund et al., 2014</v>
      </c>
      <c r="G301" s="9" t="s">
        <v>42</v>
      </c>
      <c r="I301" s="4" t="s">
        <v>101</v>
      </c>
    </row>
    <row r="302">
      <c r="A302" s="17" t="str">
        <f t="shared" si="93"/>
        <v>Moraiti et al., 2010</v>
      </c>
      <c r="B302" s="7" t="s">
        <v>42</v>
      </c>
      <c r="F302" s="17" t="str">
        <f t="shared" si="92"/>
        <v>Lund et al., 2014</v>
      </c>
      <c r="G302" s="9" t="s">
        <v>42</v>
      </c>
      <c r="I302" s="4" t="s">
        <v>101</v>
      </c>
    </row>
    <row r="303">
      <c r="A303" s="17" t="str">
        <f t="shared" si="93"/>
        <v>Moraiti et al., 2010</v>
      </c>
      <c r="B303" s="9" t="s">
        <v>42</v>
      </c>
      <c r="F303" s="17" t="str">
        <f t="shared" si="92"/>
        <v>Lund et al., 2014</v>
      </c>
      <c r="G303" s="9" t="s">
        <v>200</v>
      </c>
      <c r="I303" s="4" t="s">
        <v>101</v>
      </c>
    </row>
    <row r="304">
      <c r="A304" s="17" t="str">
        <f t="shared" si="93"/>
        <v>Moraiti et al., 2010</v>
      </c>
      <c r="B304" s="7" t="s">
        <v>42</v>
      </c>
      <c r="F304" s="17" t="str">
        <f t="shared" si="92"/>
        <v>Lund et al., 2014</v>
      </c>
      <c r="G304" s="9" t="s">
        <v>200</v>
      </c>
      <c r="I304" s="4" t="s">
        <v>101</v>
      </c>
    </row>
    <row r="305">
      <c r="A305" s="17" t="str">
        <f t="shared" si="93"/>
        <v>Moraiti et al., 2010</v>
      </c>
      <c r="B305" s="7" t="s">
        <v>42</v>
      </c>
      <c r="F305" s="17" t="str">
        <f t="shared" si="92"/>
        <v>Lund et al., 2014</v>
      </c>
      <c r="G305" s="9" t="s">
        <v>200</v>
      </c>
      <c r="I305" s="4" t="s">
        <v>101</v>
      </c>
    </row>
    <row r="306">
      <c r="A306" s="17" t="str">
        <f t="shared" si="93"/>
        <v>Moraiti et al., 2010</v>
      </c>
      <c r="B306" s="7" t="s">
        <v>42</v>
      </c>
      <c r="F306" s="17" t="str">
        <f t="shared" ref="F306:F313" si="94">HYPERLINK("https://github.com/d-wkim/phd/blob/main/data/pdf/maletis_2007.pdf","Maletis et al., 2007")</f>
        <v>Maletis et al., 2007</v>
      </c>
      <c r="G306" s="9" t="s">
        <v>42</v>
      </c>
      <c r="I306" s="4" t="s">
        <v>101</v>
      </c>
    </row>
    <row r="307">
      <c r="A307" s="17" t="str">
        <f t="shared" si="93"/>
        <v>Moraiti et al., 2010</v>
      </c>
      <c r="B307" s="9" t="s">
        <v>84</v>
      </c>
      <c r="F307" s="17" t="str">
        <f t="shared" si="94"/>
        <v>Maletis et al., 2007</v>
      </c>
      <c r="G307" s="7" t="s">
        <v>42</v>
      </c>
      <c r="I307" s="4" t="s">
        <v>101</v>
      </c>
    </row>
    <row r="308">
      <c r="A308" s="17" t="str">
        <f t="shared" si="93"/>
        <v>Moraiti et al., 2010</v>
      </c>
      <c r="B308" s="7" t="s">
        <v>84</v>
      </c>
      <c r="F308" s="17" t="str">
        <f t="shared" si="94"/>
        <v>Maletis et al., 2007</v>
      </c>
      <c r="G308" s="7" t="s">
        <v>42</v>
      </c>
      <c r="I308" s="4" t="s">
        <v>101</v>
      </c>
    </row>
    <row r="309">
      <c r="A309" s="17" t="str">
        <f t="shared" si="93"/>
        <v>Moraiti et al., 2010</v>
      </c>
      <c r="B309" s="9" t="s">
        <v>84</v>
      </c>
      <c r="F309" s="17" t="str">
        <f t="shared" si="94"/>
        <v>Maletis et al., 2007</v>
      </c>
      <c r="G309" s="7" t="s">
        <v>42</v>
      </c>
      <c r="I309" s="4" t="s">
        <v>101</v>
      </c>
    </row>
    <row r="310">
      <c r="A310" s="17" t="str">
        <f t="shared" si="93"/>
        <v>Moraiti et al., 2010</v>
      </c>
      <c r="B310" s="7" t="s">
        <v>84</v>
      </c>
      <c r="F310" s="17" t="str">
        <f t="shared" si="94"/>
        <v>Maletis et al., 2007</v>
      </c>
      <c r="G310" s="9" t="s">
        <v>84</v>
      </c>
      <c r="I310" s="4" t="s">
        <v>101</v>
      </c>
    </row>
    <row r="311">
      <c r="A311" s="17" t="str">
        <f t="shared" si="93"/>
        <v>Moraiti et al., 2010</v>
      </c>
      <c r="B311" s="7" t="s">
        <v>84</v>
      </c>
      <c r="F311" s="17" t="str">
        <f t="shared" si="94"/>
        <v>Maletis et al., 2007</v>
      </c>
      <c r="G311" s="7" t="s">
        <v>84</v>
      </c>
      <c r="I311" s="4" t="s">
        <v>101</v>
      </c>
    </row>
    <row r="312">
      <c r="A312" s="17" t="str">
        <f t="shared" si="93"/>
        <v>Moraiti et al., 2010</v>
      </c>
      <c r="B312" s="7" t="s">
        <v>84</v>
      </c>
      <c r="F312" s="17" t="str">
        <f t="shared" si="94"/>
        <v>Maletis et al., 2007</v>
      </c>
      <c r="G312" s="7" t="s">
        <v>84</v>
      </c>
      <c r="I312" s="4" t="s">
        <v>101</v>
      </c>
    </row>
    <row r="313">
      <c r="A313" s="17" t="str">
        <f t="shared" ref="A313:A326" si="95">HYPERLINK("https://github.com/d-wkim/phd/blob/main/data/pdf/noh_2011.pdf","Noh et al., 2011")</f>
        <v>Noh et al., 2011</v>
      </c>
      <c r="B313" s="9" t="s">
        <v>84</v>
      </c>
      <c r="F313" s="17" t="str">
        <f t="shared" si="94"/>
        <v>Maletis et al., 2007</v>
      </c>
      <c r="G313" s="7" t="s">
        <v>84</v>
      </c>
      <c r="I313" s="4" t="s">
        <v>101</v>
      </c>
    </row>
    <row r="314">
      <c r="A314" s="17" t="str">
        <f t="shared" si="95"/>
        <v>Noh et al., 2011</v>
      </c>
      <c r="B314" s="9" t="s">
        <v>84</v>
      </c>
      <c r="F314" s="17" t="str">
        <f t="shared" ref="F314:F325" si="96">HYPERLINK("https://github.com/d-wkim/phd/blob/main/data/pdf/malik_2026.pdf","Malik et al., 2026")</f>
        <v>Malik et al., 2026</v>
      </c>
      <c r="G314" s="9" t="s">
        <v>84</v>
      </c>
      <c r="I314" s="4" t="s">
        <v>101</v>
      </c>
    </row>
    <row r="315">
      <c r="A315" s="17" t="str">
        <f t="shared" si="95"/>
        <v>Noh et al., 2011</v>
      </c>
      <c r="B315" s="9" t="s">
        <v>84</v>
      </c>
      <c r="F315" s="17" t="str">
        <f t="shared" si="96"/>
        <v>Malik et al., 2026</v>
      </c>
      <c r="G315" s="9" t="s">
        <v>84</v>
      </c>
      <c r="I315" s="4" t="s">
        <v>101</v>
      </c>
    </row>
    <row r="316">
      <c r="A316" s="17" t="str">
        <f t="shared" si="95"/>
        <v>Noh et al., 2011</v>
      </c>
      <c r="B316" s="9" t="s">
        <v>84</v>
      </c>
      <c r="F316" s="17" t="str">
        <f t="shared" si="96"/>
        <v>Malik et al., 2026</v>
      </c>
      <c r="G316" s="9" t="s">
        <v>84</v>
      </c>
      <c r="I316" s="4" t="s">
        <v>101</v>
      </c>
    </row>
    <row r="317">
      <c r="A317" s="17" t="str">
        <f t="shared" si="95"/>
        <v>Noh et al., 2011</v>
      </c>
      <c r="B317" s="7" t="s">
        <v>84</v>
      </c>
      <c r="F317" s="17" t="str">
        <f t="shared" si="96"/>
        <v>Malik et al., 2026</v>
      </c>
      <c r="G317" s="9" t="s">
        <v>84</v>
      </c>
      <c r="I317" s="4" t="s">
        <v>101</v>
      </c>
    </row>
    <row r="318">
      <c r="A318" s="17" t="str">
        <f t="shared" si="95"/>
        <v>Noh et al., 2011</v>
      </c>
      <c r="B318" s="9" t="s">
        <v>84</v>
      </c>
      <c r="F318" s="17" t="str">
        <f t="shared" si="96"/>
        <v>Malik et al., 2026</v>
      </c>
      <c r="G318" s="9" t="s">
        <v>84</v>
      </c>
      <c r="I318" s="4" t="s">
        <v>101</v>
      </c>
    </row>
    <row r="319">
      <c r="A319" s="17" t="str">
        <f t="shared" si="95"/>
        <v>Noh et al., 2011</v>
      </c>
      <c r="B319" s="7" t="s">
        <v>84</v>
      </c>
      <c r="F319" s="17" t="str">
        <f t="shared" si="96"/>
        <v>Malik et al., 2026</v>
      </c>
      <c r="G319" s="9" t="s">
        <v>84</v>
      </c>
      <c r="I319" s="4" t="s">
        <v>101</v>
      </c>
    </row>
    <row r="320">
      <c r="A320" s="17" t="str">
        <f t="shared" si="95"/>
        <v>Noh et al., 2011</v>
      </c>
      <c r="B320" s="9" t="s">
        <v>246</v>
      </c>
      <c r="F320" s="17" t="str">
        <f t="shared" si="96"/>
        <v>Malik et al., 2026</v>
      </c>
      <c r="G320" s="9" t="s">
        <v>186</v>
      </c>
      <c r="I320" s="4" t="s">
        <v>101</v>
      </c>
    </row>
    <row r="321">
      <c r="A321" s="17" t="str">
        <f t="shared" si="95"/>
        <v>Noh et al., 2011</v>
      </c>
      <c r="B321" s="9" t="s">
        <v>246</v>
      </c>
      <c r="F321" s="17" t="str">
        <f t="shared" si="96"/>
        <v>Malik et al., 2026</v>
      </c>
      <c r="G321" s="9" t="s">
        <v>186</v>
      </c>
      <c r="I321" s="4" t="s">
        <v>101</v>
      </c>
    </row>
    <row r="322">
      <c r="A322" s="17" t="str">
        <f t="shared" si="95"/>
        <v>Noh et al., 2011</v>
      </c>
      <c r="B322" s="9" t="s">
        <v>246</v>
      </c>
      <c r="F322" s="17" t="str">
        <f t="shared" si="96"/>
        <v>Malik et al., 2026</v>
      </c>
      <c r="G322" s="9" t="s">
        <v>186</v>
      </c>
      <c r="I322" s="4" t="s">
        <v>101</v>
      </c>
    </row>
    <row r="323">
      <c r="A323" s="17" t="str">
        <f t="shared" si="95"/>
        <v>Noh et al., 2011</v>
      </c>
      <c r="B323" s="9" t="s">
        <v>246</v>
      </c>
      <c r="F323" s="17" t="str">
        <f t="shared" si="96"/>
        <v>Malik et al., 2026</v>
      </c>
      <c r="G323" s="9" t="s">
        <v>186</v>
      </c>
      <c r="I323" s="4" t="s">
        <v>101</v>
      </c>
    </row>
    <row r="324">
      <c r="A324" s="17" t="str">
        <f t="shared" si="95"/>
        <v>Noh et al., 2011</v>
      </c>
      <c r="B324" s="7" t="s">
        <v>246</v>
      </c>
      <c r="F324" s="17" t="str">
        <f t="shared" si="96"/>
        <v>Malik et al., 2026</v>
      </c>
      <c r="G324" s="9" t="s">
        <v>186</v>
      </c>
      <c r="I324" s="4" t="s">
        <v>101</v>
      </c>
    </row>
    <row r="325">
      <c r="A325" s="17" t="str">
        <f t="shared" si="95"/>
        <v>Noh et al., 2011</v>
      </c>
      <c r="B325" s="9" t="s">
        <v>246</v>
      </c>
      <c r="F325" s="17" t="str">
        <f t="shared" si="96"/>
        <v>Malik et al., 2026</v>
      </c>
      <c r="G325" s="9" t="s">
        <v>186</v>
      </c>
      <c r="I325" s="4" t="s">
        <v>101</v>
      </c>
    </row>
    <row r="326">
      <c r="A326" s="17" t="str">
        <f t="shared" si="95"/>
        <v>Noh et al., 2011</v>
      </c>
      <c r="B326" s="7" t="s">
        <v>246</v>
      </c>
      <c r="F326" s="17" t="str">
        <f t="shared" ref="F326:F329" si="97">HYPERLINK("https://github.com/d-wkim/phd/blob/main/data/pdf/matsumoto_2006.pdf","Matsumoto et al., 2006")</f>
        <v>Matsumoto et al., 2006</v>
      </c>
      <c r="G326" s="9" t="s">
        <v>42</v>
      </c>
      <c r="I326" s="4" t="s">
        <v>101</v>
      </c>
    </row>
    <row r="327">
      <c r="A327" s="17" t="str">
        <f t="shared" ref="A327:A332" si="98">HYPERLINK("https://github.com/d-wkim/phd/blob/main/data/pdf/oneill_1996.pdf","Oneill et al., 1996")</f>
        <v>Oneill et al., 1996</v>
      </c>
      <c r="B327" s="9" t="s">
        <v>42</v>
      </c>
      <c r="F327" s="17" t="str">
        <f t="shared" si="97"/>
        <v>Matsumoto et al., 2006</v>
      </c>
      <c r="G327" s="9" t="s">
        <v>42</v>
      </c>
      <c r="I327" s="4" t="s">
        <v>101</v>
      </c>
    </row>
    <row r="328">
      <c r="A328" s="17" t="str">
        <f t="shared" si="98"/>
        <v>Oneill et al., 1996</v>
      </c>
      <c r="B328" s="7" t="s">
        <v>42</v>
      </c>
      <c r="F328" s="17" t="str">
        <f t="shared" si="97"/>
        <v>Matsumoto et al., 2006</v>
      </c>
      <c r="G328" s="9" t="s">
        <v>84</v>
      </c>
      <c r="I328" s="4" t="s">
        <v>101</v>
      </c>
    </row>
    <row r="329">
      <c r="A329" s="17" t="str">
        <f t="shared" si="98"/>
        <v>Oneill et al., 1996</v>
      </c>
      <c r="B329" s="7" t="s">
        <v>42</v>
      </c>
      <c r="F329" s="17" t="str">
        <f t="shared" si="97"/>
        <v>Matsumoto et al., 2006</v>
      </c>
      <c r="G329" s="9" t="s">
        <v>84</v>
      </c>
      <c r="I329" s="4" t="s">
        <v>101</v>
      </c>
    </row>
    <row r="330">
      <c r="A330" s="17" t="str">
        <f t="shared" si="98"/>
        <v>Oneill et al., 1996</v>
      </c>
      <c r="B330" s="9" t="s">
        <v>84</v>
      </c>
      <c r="F330" s="17" t="str">
        <f t="shared" ref="F330:F335" si="99">HYPERLINK("https://github.com/d-wkim/phd/blob/main/data/pdf/mohtadi_2016a.pdf","Mohtadi et al., 2016")</f>
        <v>Mohtadi et al., 2016</v>
      </c>
      <c r="G330" s="7" t="s">
        <v>42</v>
      </c>
      <c r="I330" s="4" t="s">
        <v>101</v>
      </c>
    </row>
    <row r="331">
      <c r="A331" s="17" t="str">
        <f t="shared" si="98"/>
        <v>Oneill et al., 1996</v>
      </c>
      <c r="B331" s="7" t="s">
        <v>84</v>
      </c>
      <c r="F331" s="17" t="str">
        <f t="shared" si="99"/>
        <v>Mohtadi et al., 2016</v>
      </c>
      <c r="G331" s="7" t="s">
        <v>42</v>
      </c>
      <c r="I331" s="4" t="s">
        <v>101</v>
      </c>
    </row>
    <row r="332">
      <c r="A332" s="17" t="str">
        <f t="shared" si="98"/>
        <v>Oneill et al., 1996</v>
      </c>
      <c r="B332" s="7" t="s">
        <v>84</v>
      </c>
      <c r="F332" s="17" t="str">
        <f t="shared" si="99"/>
        <v>Mohtadi et al., 2016</v>
      </c>
      <c r="G332" s="9" t="s">
        <v>42</v>
      </c>
      <c r="I332" s="4" t="s">
        <v>101</v>
      </c>
    </row>
    <row r="333">
      <c r="A333" s="17" t="str">
        <f t="shared" ref="A333:A336" si="100">HYPERLINK("https://github.com/d-wkim/phd/blob/main/data/pdf/papalia_2015.pdf","Papalia et al., 2015")</f>
        <v>Papalia et al., 2015</v>
      </c>
      <c r="B333" s="9" t="s">
        <v>42</v>
      </c>
      <c r="F333" s="17" t="str">
        <f t="shared" si="99"/>
        <v>Mohtadi et al., 2016</v>
      </c>
      <c r="G333" s="7" t="s">
        <v>84</v>
      </c>
      <c r="I333" s="4" t="s">
        <v>101</v>
      </c>
    </row>
    <row r="334">
      <c r="A334" s="17" t="str">
        <f t="shared" si="100"/>
        <v>Papalia et al., 2015</v>
      </c>
      <c r="B334" s="9" t="s">
        <v>42</v>
      </c>
      <c r="F334" s="17" t="str">
        <f t="shared" si="99"/>
        <v>Mohtadi et al., 2016</v>
      </c>
      <c r="G334" s="7" t="s">
        <v>84</v>
      </c>
      <c r="I334" s="4" t="s">
        <v>101</v>
      </c>
    </row>
    <row r="335">
      <c r="A335" s="17" t="str">
        <f t="shared" si="100"/>
        <v>Papalia et al., 2015</v>
      </c>
      <c r="B335" s="9" t="s">
        <v>84</v>
      </c>
      <c r="F335" s="17" t="str">
        <f t="shared" si="99"/>
        <v>Mohtadi et al., 2016</v>
      </c>
      <c r="G335" s="9" t="s">
        <v>84</v>
      </c>
      <c r="I335" s="4" t="s">
        <v>101</v>
      </c>
    </row>
    <row r="336">
      <c r="A336" s="17" t="str">
        <f t="shared" si="100"/>
        <v>Papalia et al., 2015</v>
      </c>
      <c r="B336" s="9" t="s">
        <v>84</v>
      </c>
      <c r="F336" s="17" t="str">
        <f t="shared" ref="F336:F345" si="101">HYPERLINK("https://github.com/d-wkim/phd/blob/main/data/pdf/mohtadi_chan_2019.pdf","Mohtadi &amp; Chan, 2019")</f>
        <v>Mohtadi &amp; Chan, 2019</v>
      </c>
      <c r="G336" s="9" t="s">
        <v>42</v>
      </c>
      <c r="I336" s="4" t="s">
        <v>101</v>
      </c>
    </row>
    <row r="337">
      <c r="A337" s="17" t="str">
        <f t="shared" ref="A337:A348" si="102">HYPERLINK("https://github.com/d-wkim/phd/blob/main/data/pdf/pinczewski_2007.pdf","Pinczewski et al., 2007")</f>
        <v>Pinczewski et al., 2007</v>
      </c>
      <c r="B337" s="9" t="s">
        <v>42</v>
      </c>
      <c r="F337" s="17" t="str">
        <f t="shared" si="101"/>
        <v>Mohtadi &amp; Chan, 2019</v>
      </c>
      <c r="G337" s="7" t="s">
        <v>42</v>
      </c>
      <c r="I337" s="4" t="s">
        <v>101</v>
      </c>
    </row>
    <row r="338">
      <c r="A338" s="17" t="str">
        <f t="shared" si="102"/>
        <v>Pinczewski et al., 2007</v>
      </c>
      <c r="B338" s="9" t="s">
        <v>42</v>
      </c>
      <c r="F338" s="17" t="str">
        <f t="shared" si="101"/>
        <v>Mohtadi &amp; Chan, 2019</v>
      </c>
      <c r="G338" s="7" t="s">
        <v>42</v>
      </c>
      <c r="I338" s="4" t="s">
        <v>101</v>
      </c>
    </row>
    <row r="339">
      <c r="A339" s="17" t="str">
        <f t="shared" si="102"/>
        <v>Pinczewski et al., 2007</v>
      </c>
      <c r="B339" s="9" t="s">
        <v>42</v>
      </c>
      <c r="F339" s="17" t="str">
        <f t="shared" si="101"/>
        <v>Mohtadi &amp; Chan, 2019</v>
      </c>
      <c r="G339" s="7" t="s">
        <v>42</v>
      </c>
      <c r="I339" s="4" t="s">
        <v>101</v>
      </c>
    </row>
    <row r="340">
      <c r="A340" s="17" t="str">
        <f t="shared" si="102"/>
        <v>Pinczewski et al., 2007</v>
      </c>
      <c r="B340" s="9" t="s">
        <v>42</v>
      </c>
      <c r="F340" s="17" t="str">
        <f t="shared" si="101"/>
        <v>Mohtadi &amp; Chan, 2019</v>
      </c>
      <c r="G340" s="7" t="s">
        <v>42</v>
      </c>
      <c r="I340" s="4" t="s">
        <v>101</v>
      </c>
    </row>
    <row r="341">
      <c r="A341" s="17" t="str">
        <f t="shared" si="102"/>
        <v>Pinczewski et al., 2007</v>
      </c>
      <c r="B341" s="9" t="s">
        <v>42</v>
      </c>
      <c r="F341" s="17" t="str">
        <f t="shared" si="101"/>
        <v>Mohtadi &amp; Chan, 2019</v>
      </c>
      <c r="G341" s="9" t="s">
        <v>84</v>
      </c>
      <c r="I341" s="4" t="s">
        <v>101</v>
      </c>
    </row>
    <row r="342">
      <c r="A342" s="17" t="str">
        <f t="shared" si="102"/>
        <v>Pinczewski et al., 2007</v>
      </c>
      <c r="B342" s="9" t="s">
        <v>42</v>
      </c>
      <c r="F342" s="17" t="str">
        <f t="shared" si="101"/>
        <v>Mohtadi &amp; Chan, 2019</v>
      </c>
      <c r="G342" s="7" t="s">
        <v>84</v>
      </c>
      <c r="I342" s="4" t="s">
        <v>101</v>
      </c>
    </row>
    <row r="343">
      <c r="A343" s="17" t="str">
        <f t="shared" si="102"/>
        <v>Pinczewski et al., 2007</v>
      </c>
      <c r="B343" s="9" t="s">
        <v>84</v>
      </c>
      <c r="F343" s="17" t="str">
        <f t="shared" si="101"/>
        <v>Mohtadi &amp; Chan, 2019</v>
      </c>
      <c r="G343" s="7" t="s">
        <v>84</v>
      </c>
      <c r="I343" s="4" t="s">
        <v>101</v>
      </c>
    </row>
    <row r="344">
      <c r="A344" s="17" t="str">
        <f t="shared" si="102"/>
        <v>Pinczewski et al., 2007</v>
      </c>
      <c r="B344" s="9" t="s">
        <v>84</v>
      </c>
      <c r="F344" s="17" t="str">
        <f t="shared" si="101"/>
        <v>Mohtadi &amp; Chan, 2019</v>
      </c>
      <c r="G344" s="7" t="s">
        <v>84</v>
      </c>
      <c r="I344" s="4" t="s">
        <v>101</v>
      </c>
    </row>
    <row r="345">
      <c r="A345" s="17" t="str">
        <f t="shared" si="102"/>
        <v>Pinczewski et al., 2007</v>
      </c>
      <c r="B345" s="9" t="s">
        <v>84</v>
      </c>
      <c r="F345" s="17" t="str">
        <f t="shared" si="101"/>
        <v>Mohtadi &amp; Chan, 2019</v>
      </c>
      <c r="G345" s="7" t="s">
        <v>84</v>
      </c>
      <c r="I345" s="4" t="s">
        <v>101</v>
      </c>
    </row>
    <row r="346">
      <c r="A346" s="17" t="str">
        <f t="shared" si="102"/>
        <v>Pinczewski et al., 2007</v>
      </c>
      <c r="B346" s="9" t="s">
        <v>84</v>
      </c>
      <c r="F346" s="17" t="str">
        <f t="shared" ref="F346:F357" si="103">HYPERLINK("https://github.com/d-wkim/phd/blob/main/data/pdf/moraiti_2010.pdf","Moraiti et al., 2010")</f>
        <v>Moraiti et al., 2010</v>
      </c>
      <c r="G346" s="9" t="s">
        <v>42</v>
      </c>
      <c r="I346" s="4" t="s">
        <v>101</v>
      </c>
    </row>
    <row r="347">
      <c r="A347" s="17" t="str">
        <f t="shared" si="102"/>
        <v>Pinczewski et al., 2007</v>
      </c>
      <c r="B347" s="9" t="s">
        <v>84</v>
      </c>
      <c r="F347" s="17" t="str">
        <f t="shared" si="103"/>
        <v>Moraiti et al., 2010</v>
      </c>
      <c r="G347" s="7" t="s">
        <v>42</v>
      </c>
      <c r="I347" s="4" t="s">
        <v>101</v>
      </c>
    </row>
    <row r="348">
      <c r="A348" s="17" t="str">
        <f t="shared" si="102"/>
        <v>Pinczewski et al., 2007</v>
      </c>
      <c r="B348" s="9" t="s">
        <v>84</v>
      </c>
      <c r="F348" s="17" t="str">
        <f t="shared" si="103"/>
        <v>Moraiti et al., 2010</v>
      </c>
      <c r="G348" s="9" t="s">
        <v>42</v>
      </c>
      <c r="I348" s="4" t="s">
        <v>101</v>
      </c>
    </row>
    <row r="349">
      <c r="A349" s="17" t="str">
        <f t="shared" ref="A349:A360" si="104">HYPERLINK("https://github.com/d-wkim/phd/blob/main/data/pdf/popovic_2024.pdf","Popovic et al., 2024")</f>
        <v>Popovic et al., 2024</v>
      </c>
      <c r="B349" s="9" t="s">
        <v>42</v>
      </c>
      <c r="F349" s="17" t="str">
        <f t="shared" si="103"/>
        <v>Moraiti et al., 2010</v>
      </c>
      <c r="G349" s="7" t="s">
        <v>42</v>
      </c>
      <c r="I349" s="4" t="s">
        <v>101</v>
      </c>
    </row>
    <row r="350">
      <c r="A350" s="17" t="str">
        <f t="shared" si="104"/>
        <v>Popovic et al., 2024</v>
      </c>
      <c r="B350" s="9" t="s">
        <v>42</v>
      </c>
      <c r="F350" s="17" t="str">
        <f t="shared" si="103"/>
        <v>Moraiti et al., 2010</v>
      </c>
      <c r="G350" s="7" t="s">
        <v>42</v>
      </c>
      <c r="I350" s="4" t="s">
        <v>101</v>
      </c>
    </row>
    <row r="351">
      <c r="A351" s="17" t="str">
        <f t="shared" si="104"/>
        <v>Popovic et al., 2024</v>
      </c>
      <c r="B351" s="9" t="s">
        <v>42</v>
      </c>
      <c r="F351" s="17" t="str">
        <f t="shared" si="103"/>
        <v>Moraiti et al., 2010</v>
      </c>
      <c r="G351" s="7" t="s">
        <v>42</v>
      </c>
      <c r="I351" s="4" t="s">
        <v>101</v>
      </c>
    </row>
    <row r="352">
      <c r="A352" s="17" t="str">
        <f t="shared" si="104"/>
        <v>Popovic et al., 2024</v>
      </c>
      <c r="B352" s="9" t="s">
        <v>42</v>
      </c>
      <c r="F352" s="17" t="str">
        <f t="shared" si="103"/>
        <v>Moraiti et al., 2010</v>
      </c>
      <c r="G352" s="9" t="s">
        <v>84</v>
      </c>
      <c r="I352" s="4" t="s">
        <v>101</v>
      </c>
    </row>
    <row r="353">
      <c r="A353" s="17" t="str">
        <f t="shared" si="104"/>
        <v>Popovic et al., 2024</v>
      </c>
      <c r="B353" s="9" t="s">
        <v>42</v>
      </c>
      <c r="F353" s="17" t="str">
        <f t="shared" si="103"/>
        <v>Moraiti et al., 2010</v>
      </c>
      <c r="G353" s="7" t="s">
        <v>84</v>
      </c>
      <c r="I353" s="4" t="s">
        <v>101</v>
      </c>
    </row>
    <row r="354">
      <c r="A354" s="17" t="str">
        <f t="shared" si="104"/>
        <v>Popovic et al., 2024</v>
      </c>
      <c r="B354" s="9" t="s">
        <v>42</v>
      </c>
      <c r="F354" s="17" t="str">
        <f t="shared" si="103"/>
        <v>Moraiti et al., 2010</v>
      </c>
      <c r="G354" s="9" t="s">
        <v>84</v>
      </c>
      <c r="I354" s="4" t="s">
        <v>101</v>
      </c>
    </row>
    <row r="355">
      <c r="A355" s="17" t="str">
        <f t="shared" si="104"/>
        <v>Popovic et al., 2024</v>
      </c>
      <c r="B355" s="9" t="s">
        <v>84</v>
      </c>
      <c r="F355" s="17" t="str">
        <f t="shared" si="103"/>
        <v>Moraiti et al., 2010</v>
      </c>
      <c r="G355" s="7" t="s">
        <v>84</v>
      </c>
      <c r="I355" s="4" t="s">
        <v>101</v>
      </c>
    </row>
    <row r="356">
      <c r="A356" s="17" t="str">
        <f t="shared" si="104"/>
        <v>Popovic et al., 2024</v>
      </c>
      <c r="B356" s="9" t="s">
        <v>84</v>
      </c>
      <c r="F356" s="17" t="str">
        <f t="shared" si="103"/>
        <v>Moraiti et al., 2010</v>
      </c>
      <c r="G356" s="7" t="s">
        <v>84</v>
      </c>
      <c r="I356" s="4" t="s">
        <v>101</v>
      </c>
    </row>
    <row r="357">
      <c r="A357" s="17" t="str">
        <f t="shared" si="104"/>
        <v>Popovic et al., 2024</v>
      </c>
      <c r="B357" s="9" t="s">
        <v>84</v>
      </c>
      <c r="F357" s="17" t="str">
        <f t="shared" si="103"/>
        <v>Moraiti et al., 2010</v>
      </c>
      <c r="G357" s="7" t="s">
        <v>84</v>
      </c>
      <c r="I357" s="4" t="s">
        <v>101</v>
      </c>
    </row>
    <row r="358">
      <c r="A358" s="17" t="str">
        <f t="shared" si="104"/>
        <v>Popovic et al., 2024</v>
      </c>
      <c r="B358" s="9" t="s">
        <v>84</v>
      </c>
      <c r="F358" s="17" t="str">
        <f t="shared" ref="F358:F371" si="105">HYPERLINK("https://github.com/d-wkim/phd/blob/main/data/pdf/noh_2011.pdf","Noh et al., 2011")</f>
        <v>Noh et al., 2011</v>
      </c>
      <c r="G358" s="9" t="s">
        <v>84</v>
      </c>
      <c r="I358" s="4" t="s">
        <v>101</v>
      </c>
    </row>
    <row r="359">
      <c r="A359" s="17" t="str">
        <f t="shared" si="104"/>
        <v>Popovic et al., 2024</v>
      </c>
      <c r="B359" s="9" t="s">
        <v>84</v>
      </c>
      <c r="F359" s="17" t="str">
        <f t="shared" si="105"/>
        <v>Noh et al., 2011</v>
      </c>
      <c r="G359" s="9" t="s">
        <v>84</v>
      </c>
      <c r="I359" s="4" t="s">
        <v>101</v>
      </c>
    </row>
    <row r="360">
      <c r="A360" s="17" t="str">
        <f t="shared" si="104"/>
        <v>Popovic et al., 2024</v>
      </c>
      <c r="B360" s="9" t="s">
        <v>84</v>
      </c>
      <c r="F360" s="17" t="str">
        <f t="shared" si="105"/>
        <v>Noh et al., 2011</v>
      </c>
      <c r="G360" s="9" t="s">
        <v>84</v>
      </c>
      <c r="I360" s="4" t="s">
        <v>101</v>
      </c>
    </row>
    <row r="361">
      <c r="A361" s="17" t="str">
        <f t="shared" ref="A361:A366" si="106">HYPERLINK("https://github.com/d-wkim/phd/blob/main/data/pdf/sajovic_2018.pdf","Sajovic et al., 2018")</f>
        <v>Sajovic et al., 2018</v>
      </c>
      <c r="B361" s="9" t="s">
        <v>42</v>
      </c>
      <c r="F361" s="17" t="str">
        <f t="shared" si="105"/>
        <v>Noh et al., 2011</v>
      </c>
      <c r="G361" s="9" t="s">
        <v>84</v>
      </c>
      <c r="I361" s="4" t="s">
        <v>101</v>
      </c>
    </row>
    <row r="362">
      <c r="A362" s="17" t="str">
        <f t="shared" si="106"/>
        <v>Sajovic et al., 2018</v>
      </c>
      <c r="B362" s="9" t="s">
        <v>42</v>
      </c>
      <c r="F362" s="17" t="str">
        <f t="shared" si="105"/>
        <v>Noh et al., 2011</v>
      </c>
      <c r="G362" s="7" t="s">
        <v>84</v>
      </c>
      <c r="I362" s="4" t="s">
        <v>101</v>
      </c>
    </row>
    <row r="363">
      <c r="A363" s="17" t="str">
        <f t="shared" si="106"/>
        <v>Sajovic et al., 2018</v>
      </c>
      <c r="B363" s="9" t="s">
        <v>42</v>
      </c>
      <c r="F363" s="17" t="str">
        <f t="shared" si="105"/>
        <v>Noh et al., 2011</v>
      </c>
      <c r="G363" s="9" t="s">
        <v>84</v>
      </c>
      <c r="I363" s="4" t="s">
        <v>101</v>
      </c>
    </row>
    <row r="364">
      <c r="A364" s="17" t="str">
        <f t="shared" si="106"/>
        <v>Sajovic et al., 2018</v>
      </c>
      <c r="B364" s="9" t="s">
        <v>84</v>
      </c>
      <c r="F364" s="17" t="str">
        <f t="shared" si="105"/>
        <v>Noh et al., 2011</v>
      </c>
      <c r="G364" s="7" t="s">
        <v>84</v>
      </c>
      <c r="I364" s="4" t="s">
        <v>101</v>
      </c>
    </row>
    <row r="365">
      <c r="A365" s="17" t="str">
        <f t="shared" si="106"/>
        <v>Sajovic et al., 2018</v>
      </c>
      <c r="B365" s="9" t="s">
        <v>84</v>
      </c>
      <c r="F365" s="17" t="str">
        <f t="shared" si="105"/>
        <v>Noh et al., 2011</v>
      </c>
      <c r="G365" s="9" t="s">
        <v>246</v>
      </c>
      <c r="I365" s="4" t="s">
        <v>101</v>
      </c>
    </row>
    <row r="366">
      <c r="A366" s="17" t="str">
        <f t="shared" si="106"/>
        <v>Sajovic et al., 2018</v>
      </c>
      <c r="B366" s="9" t="s">
        <v>84</v>
      </c>
      <c r="F366" s="17" t="str">
        <f t="shared" si="105"/>
        <v>Noh et al., 2011</v>
      </c>
      <c r="G366" s="9" t="s">
        <v>246</v>
      </c>
      <c r="I366" s="4" t="s">
        <v>101</v>
      </c>
    </row>
    <row r="367">
      <c r="A367" s="17" t="str">
        <f>HYPERLINK("https://github.com/d-wkim/phd/blob/main/data/pdf/sinding_2020.pdf","Sinding et al., 2020")</f>
        <v>Sinding et al., 2020</v>
      </c>
      <c r="B367" s="9" t="s">
        <v>84</v>
      </c>
      <c r="F367" s="17" t="str">
        <f t="shared" si="105"/>
        <v>Noh et al., 2011</v>
      </c>
      <c r="G367" s="9" t="s">
        <v>246</v>
      </c>
      <c r="I367" s="4" t="s">
        <v>101</v>
      </c>
    </row>
    <row r="368">
      <c r="A368" s="17" t="str">
        <f t="shared" ref="A368:A373" si="107">HYPERLINK("https://github.com/d-wkim/phd/blob/main/data/pdf/smith_2020.pdf","Smith et al., 2020")</f>
        <v>Smith et al., 2020</v>
      </c>
      <c r="B368" s="9" t="s">
        <v>42</v>
      </c>
      <c r="F368" s="17" t="str">
        <f t="shared" si="105"/>
        <v>Noh et al., 2011</v>
      </c>
      <c r="G368" s="9" t="s">
        <v>246</v>
      </c>
      <c r="I368" s="4" t="s">
        <v>101</v>
      </c>
    </row>
    <row r="369">
      <c r="A369" s="17" t="str">
        <f t="shared" si="107"/>
        <v>Smith et al., 2020</v>
      </c>
      <c r="B369" s="9" t="s">
        <v>42</v>
      </c>
      <c r="F369" s="17" t="str">
        <f t="shared" si="105"/>
        <v>Noh et al., 2011</v>
      </c>
      <c r="G369" s="7" t="s">
        <v>246</v>
      </c>
      <c r="I369" s="4" t="s">
        <v>101</v>
      </c>
    </row>
    <row r="370">
      <c r="A370" s="17" t="str">
        <f t="shared" si="107"/>
        <v>Smith et al., 2020</v>
      </c>
      <c r="B370" s="9" t="s">
        <v>42</v>
      </c>
      <c r="F370" s="17" t="str">
        <f t="shared" si="105"/>
        <v>Noh et al., 2011</v>
      </c>
      <c r="G370" s="9" t="s">
        <v>246</v>
      </c>
      <c r="I370" s="4" t="s">
        <v>101</v>
      </c>
    </row>
    <row r="371">
      <c r="A371" s="17" t="str">
        <f t="shared" si="107"/>
        <v>Smith et al., 2020</v>
      </c>
      <c r="B371" s="9" t="s">
        <v>84</v>
      </c>
      <c r="F371" s="17" t="str">
        <f t="shared" si="105"/>
        <v>Noh et al., 2011</v>
      </c>
      <c r="G371" s="7" t="s">
        <v>246</v>
      </c>
      <c r="I371" s="4" t="s">
        <v>101</v>
      </c>
    </row>
    <row r="372">
      <c r="A372" s="17" t="str">
        <f t="shared" si="107"/>
        <v>Smith et al., 2020</v>
      </c>
      <c r="B372" s="9" t="s">
        <v>84</v>
      </c>
      <c r="F372" s="17" t="str">
        <f t="shared" ref="F372:F377" si="108">HYPERLINK("https://github.com/d-wkim/phd/blob/main/data/pdf/oneill_1996.pdf","Oneill et al., 1996")</f>
        <v>Oneill et al., 1996</v>
      </c>
      <c r="G372" s="9" t="s">
        <v>42</v>
      </c>
      <c r="I372" s="4" t="s">
        <v>101</v>
      </c>
    </row>
    <row r="373">
      <c r="A373" s="17" t="str">
        <f t="shared" si="107"/>
        <v>Smith et al., 2020</v>
      </c>
      <c r="B373" s="9" t="s">
        <v>84</v>
      </c>
      <c r="F373" s="17" t="str">
        <f t="shared" si="108"/>
        <v>Oneill et al., 1996</v>
      </c>
      <c r="G373" s="7" t="s">
        <v>42</v>
      </c>
      <c r="I373" s="4" t="s">
        <v>101</v>
      </c>
    </row>
    <row r="374">
      <c r="A374" s="17" t="str">
        <f t="shared" ref="A374:A383" si="109">HYPERLINK("https://github.com/d-wkim/phd/blob/main/data/pdf/sonnery-cottet_2026.pdf","Sonnery-cottet et al., 2026")</f>
        <v>Sonnery-cottet et al., 2026</v>
      </c>
      <c r="B374" s="9" t="s">
        <v>42</v>
      </c>
      <c r="F374" s="17" t="str">
        <f t="shared" si="108"/>
        <v>Oneill et al., 1996</v>
      </c>
      <c r="G374" s="7" t="s">
        <v>42</v>
      </c>
      <c r="I374" s="4" t="s">
        <v>101</v>
      </c>
    </row>
    <row r="375">
      <c r="A375" s="17" t="str">
        <f t="shared" si="109"/>
        <v>Sonnery-cottet et al., 2026</v>
      </c>
      <c r="B375" s="9" t="s">
        <v>42</v>
      </c>
      <c r="F375" s="17" t="str">
        <f t="shared" si="108"/>
        <v>Oneill et al., 1996</v>
      </c>
      <c r="G375" s="9" t="s">
        <v>84</v>
      </c>
      <c r="I375" s="4" t="s">
        <v>101</v>
      </c>
    </row>
    <row r="376">
      <c r="A376" s="17" t="str">
        <f t="shared" si="109"/>
        <v>Sonnery-cottet et al., 2026</v>
      </c>
      <c r="B376" s="9" t="s">
        <v>42</v>
      </c>
      <c r="F376" s="17" t="str">
        <f t="shared" si="108"/>
        <v>Oneill et al., 1996</v>
      </c>
      <c r="G376" s="7" t="s">
        <v>84</v>
      </c>
      <c r="I376" s="4" t="s">
        <v>101</v>
      </c>
    </row>
    <row r="377">
      <c r="A377" s="17" t="str">
        <f t="shared" si="109"/>
        <v>Sonnery-cottet et al., 2026</v>
      </c>
      <c r="B377" s="9" t="s">
        <v>42</v>
      </c>
      <c r="F377" s="17" t="str">
        <f t="shared" si="108"/>
        <v>Oneill et al., 1996</v>
      </c>
      <c r="G377" s="7" t="s">
        <v>84</v>
      </c>
      <c r="I377" s="4" t="s">
        <v>101</v>
      </c>
    </row>
    <row r="378">
      <c r="A378" s="17" t="str">
        <f t="shared" si="109"/>
        <v>Sonnery-cottet et al., 2026</v>
      </c>
      <c r="B378" s="9" t="s">
        <v>42</v>
      </c>
      <c r="F378" s="17" t="str">
        <f t="shared" ref="F378:F381" si="110">HYPERLINK("https://github.com/d-wkim/phd/blob/main/data/pdf/papalia_2015.pdf","Papalia et al., 2015")</f>
        <v>Papalia et al., 2015</v>
      </c>
      <c r="G378" s="9" t="s">
        <v>42</v>
      </c>
      <c r="I378" s="4" t="s">
        <v>101</v>
      </c>
    </row>
    <row r="379">
      <c r="A379" s="17" t="str">
        <f t="shared" si="109"/>
        <v>Sonnery-cottet et al., 2026</v>
      </c>
      <c r="B379" s="9" t="s">
        <v>84</v>
      </c>
      <c r="F379" s="17" t="str">
        <f t="shared" si="110"/>
        <v>Papalia et al., 2015</v>
      </c>
      <c r="G379" s="9" t="s">
        <v>42</v>
      </c>
      <c r="I379" s="4" t="s">
        <v>101</v>
      </c>
    </row>
    <row r="380">
      <c r="A380" s="17" t="str">
        <f t="shared" si="109"/>
        <v>Sonnery-cottet et al., 2026</v>
      </c>
      <c r="B380" s="9" t="s">
        <v>84</v>
      </c>
      <c r="F380" s="17" t="str">
        <f t="shared" si="110"/>
        <v>Papalia et al., 2015</v>
      </c>
      <c r="G380" s="9" t="s">
        <v>84</v>
      </c>
      <c r="I380" s="4" t="s">
        <v>101</v>
      </c>
    </row>
    <row r="381">
      <c r="A381" s="17" t="str">
        <f t="shared" si="109"/>
        <v>Sonnery-cottet et al., 2026</v>
      </c>
      <c r="B381" s="9" t="s">
        <v>84</v>
      </c>
      <c r="F381" s="17" t="str">
        <f t="shared" si="110"/>
        <v>Papalia et al., 2015</v>
      </c>
      <c r="G381" s="9" t="s">
        <v>84</v>
      </c>
      <c r="I381" s="4" t="s">
        <v>101</v>
      </c>
    </row>
    <row r="382">
      <c r="A382" s="17" t="str">
        <f t="shared" si="109"/>
        <v>Sonnery-cottet et al., 2026</v>
      </c>
      <c r="B382" s="9" t="s">
        <v>84</v>
      </c>
      <c r="F382" s="17" t="str">
        <f t="shared" ref="F382:F393" si="111">HYPERLINK("https://github.com/d-wkim/phd/blob/main/data/pdf/pinczewski_2007.pdf","Pinczewski et al., 2007")</f>
        <v>Pinczewski et al., 2007</v>
      </c>
      <c r="G382" s="9" t="s">
        <v>42</v>
      </c>
      <c r="I382" s="4" t="s">
        <v>101</v>
      </c>
    </row>
    <row r="383">
      <c r="A383" s="17" t="str">
        <f t="shared" si="109"/>
        <v>Sonnery-cottet et al., 2026</v>
      </c>
      <c r="B383" s="9" t="s">
        <v>84</v>
      </c>
      <c r="F383" s="17" t="str">
        <f t="shared" si="111"/>
        <v>Pinczewski et al., 2007</v>
      </c>
      <c r="G383" s="9" t="s">
        <v>42</v>
      </c>
      <c r="I383" s="4" t="s">
        <v>101</v>
      </c>
    </row>
    <row r="384">
      <c r="A384" s="17" t="str">
        <f t="shared" ref="A384:A386" si="112">HYPERLINK("https://github.com/d-wkim/phd/blob/main/data/pdf/tang_2023.pdf","Tang et al., 2023")</f>
        <v>Tang et al., 2023</v>
      </c>
      <c r="B384" s="9" t="s">
        <v>84</v>
      </c>
      <c r="F384" s="17" t="str">
        <f t="shared" si="111"/>
        <v>Pinczewski et al., 2007</v>
      </c>
      <c r="G384" s="9" t="s">
        <v>42</v>
      </c>
      <c r="I384" s="4" t="s">
        <v>101</v>
      </c>
    </row>
    <row r="385">
      <c r="A385" s="17" t="str">
        <f t="shared" si="112"/>
        <v>Tang et al., 2023</v>
      </c>
      <c r="B385" s="9" t="s">
        <v>84</v>
      </c>
      <c r="F385" s="17" t="str">
        <f t="shared" si="111"/>
        <v>Pinczewski et al., 2007</v>
      </c>
      <c r="G385" s="9" t="s">
        <v>42</v>
      </c>
      <c r="I385" s="4" t="s">
        <v>101</v>
      </c>
    </row>
    <row r="386">
      <c r="A386" s="17" t="str">
        <f t="shared" si="112"/>
        <v>Tang et al., 2023</v>
      </c>
      <c r="B386" s="7" t="s">
        <v>84</v>
      </c>
      <c r="F386" s="17" t="str">
        <f t="shared" si="111"/>
        <v>Pinczewski et al., 2007</v>
      </c>
      <c r="G386" s="9" t="s">
        <v>42</v>
      </c>
      <c r="I386" s="4" t="s">
        <v>101</v>
      </c>
    </row>
    <row r="387">
      <c r="A387" s="17" t="str">
        <f t="shared" ref="A387:A396" si="113">HYPERLINK("https://github.com/d-wkim/phd/blob/main/data/pdf/taylor_2009.pdf","Taylor et al., 2009")</f>
        <v>Taylor et al., 2009</v>
      </c>
      <c r="B387" s="9" t="s">
        <v>42</v>
      </c>
      <c r="F387" s="17" t="str">
        <f t="shared" si="111"/>
        <v>Pinczewski et al., 2007</v>
      </c>
      <c r="G387" s="9" t="s">
        <v>42</v>
      </c>
      <c r="I387" s="4" t="s">
        <v>101</v>
      </c>
    </row>
    <row r="388">
      <c r="A388" s="17" t="str">
        <f t="shared" si="113"/>
        <v>Taylor et al., 2009</v>
      </c>
      <c r="B388" s="9" t="s">
        <v>42</v>
      </c>
      <c r="F388" s="17" t="str">
        <f t="shared" si="111"/>
        <v>Pinczewski et al., 2007</v>
      </c>
      <c r="G388" s="9" t="s">
        <v>84</v>
      </c>
      <c r="I388" s="4" t="s">
        <v>101</v>
      </c>
    </row>
    <row r="389">
      <c r="A389" s="17" t="str">
        <f t="shared" si="113"/>
        <v>Taylor et al., 2009</v>
      </c>
      <c r="B389" s="9" t="s">
        <v>42</v>
      </c>
      <c r="F389" s="17" t="str">
        <f t="shared" si="111"/>
        <v>Pinczewski et al., 2007</v>
      </c>
      <c r="G389" s="9" t="s">
        <v>84</v>
      </c>
      <c r="I389" s="4" t="s">
        <v>101</v>
      </c>
    </row>
    <row r="390">
      <c r="A390" s="17" t="str">
        <f t="shared" si="113"/>
        <v>Taylor et al., 2009</v>
      </c>
      <c r="B390" s="7" t="s">
        <v>42</v>
      </c>
      <c r="F390" s="17" t="str">
        <f t="shared" si="111"/>
        <v>Pinczewski et al., 2007</v>
      </c>
      <c r="G390" s="9" t="s">
        <v>84</v>
      </c>
      <c r="I390" s="4" t="s">
        <v>101</v>
      </c>
    </row>
    <row r="391">
      <c r="A391" s="17" t="str">
        <f t="shared" si="113"/>
        <v>Taylor et al., 2009</v>
      </c>
      <c r="B391" s="9" t="s">
        <v>42</v>
      </c>
      <c r="F391" s="17" t="str">
        <f t="shared" si="111"/>
        <v>Pinczewski et al., 2007</v>
      </c>
      <c r="G391" s="9" t="s">
        <v>84</v>
      </c>
      <c r="I391" s="4" t="s">
        <v>101</v>
      </c>
    </row>
    <row r="392">
      <c r="A392" s="17" t="str">
        <f t="shared" si="113"/>
        <v>Taylor et al., 2009</v>
      </c>
      <c r="B392" s="9" t="s">
        <v>84</v>
      </c>
      <c r="F392" s="17" t="str">
        <f t="shared" si="111"/>
        <v>Pinczewski et al., 2007</v>
      </c>
      <c r="G392" s="9" t="s">
        <v>84</v>
      </c>
      <c r="I392" s="4" t="s">
        <v>101</v>
      </c>
    </row>
    <row r="393">
      <c r="A393" s="17" t="str">
        <f t="shared" si="113"/>
        <v>Taylor et al., 2009</v>
      </c>
      <c r="B393" s="9" t="s">
        <v>84</v>
      </c>
      <c r="F393" s="17" t="str">
        <f t="shared" si="111"/>
        <v>Pinczewski et al., 2007</v>
      </c>
      <c r="G393" s="9" t="s">
        <v>84</v>
      </c>
      <c r="I393" s="4" t="s">
        <v>101</v>
      </c>
    </row>
    <row r="394">
      <c r="A394" s="17" t="str">
        <f t="shared" si="113"/>
        <v>Taylor et al., 2009</v>
      </c>
      <c r="B394" s="9" t="s">
        <v>84</v>
      </c>
      <c r="F394" s="17" t="str">
        <f t="shared" ref="F394:F405" si="114">HYPERLINK("https://github.com/d-wkim/phd/blob/main/data/pdf/popovic_2024.pdf","Popovic et al., 2024")</f>
        <v>Popovic et al., 2024</v>
      </c>
      <c r="G394" s="9" t="s">
        <v>42</v>
      </c>
      <c r="I394" s="4" t="s">
        <v>101</v>
      </c>
    </row>
    <row r="395">
      <c r="A395" s="17" t="str">
        <f t="shared" si="113"/>
        <v>Taylor et al., 2009</v>
      </c>
      <c r="B395" s="7" t="s">
        <v>84</v>
      </c>
      <c r="F395" s="17" t="str">
        <f t="shared" si="114"/>
        <v>Popovic et al., 2024</v>
      </c>
      <c r="G395" s="9" t="s">
        <v>42</v>
      </c>
      <c r="I395" s="4" t="s">
        <v>101</v>
      </c>
    </row>
    <row r="396">
      <c r="A396" s="17" t="str">
        <f t="shared" si="113"/>
        <v>Taylor et al., 2009</v>
      </c>
      <c r="B396" s="9" t="s">
        <v>84</v>
      </c>
      <c r="F396" s="17" t="str">
        <f t="shared" si="114"/>
        <v>Popovic et al., 2024</v>
      </c>
      <c r="G396" s="9" t="s">
        <v>42</v>
      </c>
      <c r="I396" s="4" t="s">
        <v>101</v>
      </c>
    </row>
    <row r="397">
      <c r="A397" s="17" t="str">
        <f t="shared" ref="A397:A400" si="115">HYPERLINK("https://github.com/d-wkim/phd/blob/main/data/pdf/vilchez-cavazos_2020.pdf","Vilchez-cavazos et al., 2020")</f>
        <v>Vilchez-cavazos et al., 2020</v>
      </c>
      <c r="B397" s="9" t="s">
        <v>42</v>
      </c>
      <c r="F397" s="17" t="str">
        <f t="shared" si="114"/>
        <v>Popovic et al., 2024</v>
      </c>
      <c r="G397" s="9" t="s">
        <v>42</v>
      </c>
      <c r="I397" s="4" t="s">
        <v>101</v>
      </c>
    </row>
    <row r="398">
      <c r="A398" s="17" t="str">
        <f t="shared" si="115"/>
        <v>Vilchez-cavazos et al., 2020</v>
      </c>
      <c r="B398" s="9" t="s">
        <v>42</v>
      </c>
      <c r="F398" s="17" t="str">
        <f t="shared" si="114"/>
        <v>Popovic et al., 2024</v>
      </c>
      <c r="G398" s="9" t="s">
        <v>42</v>
      </c>
      <c r="I398" s="4" t="s">
        <v>101</v>
      </c>
    </row>
    <row r="399">
      <c r="A399" s="17" t="str">
        <f t="shared" si="115"/>
        <v>Vilchez-cavazos et al., 2020</v>
      </c>
      <c r="B399" s="7" t="s">
        <v>42</v>
      </c>
      <c r="F399" s="17" t="str">
        <f t="shared" si="114"/>
        <v>Popovic et al., 2024</v>
      </c>
      <c r="G399" s="9" t="s">
        <v>42</v>
      </c>
      <c r="I399" s="4" t="s">
        <v>101</v>
      </c>
    </row>
    <row r="400">
      <c r="A400" s="17" t="str">
        <f t="shared" si="115"/>
        <v>Vilchez-cavazos et al., 2020</v>
      </c>
      <c r="B400" s="7" t="s">
        <v>42</v>
      </c>
      <c r="F400" s="17" t="str">
        <f t="shared" si="114"/>
        <v>Popovic et al., 2024</v>
      </c>
      <c r="G400" s="9" t="s">
        <v>84</v>
      </c>
      <c r="I400" s="4" t="s">
        <v>101</v>
      </c>
    </row>
    <row r="401">
      <c r="A401" s="17" t="str">
        <f t="shared" ref="A401:A404" si="116">HYPERLINK("https://github.com/d-wkim/phd/blob/main/data/pdf/webster_2001.pdf","Webster et al., 2001")</f>
        <v>Webster et al., 2001</v>
      </c>
      <c r="B401" s="9" t="s">
        <v>42</v>
      </c>
      <c r="F401" s="17" t="str">
        <f t="shared" si="114"/>
        <v>Popovic et al., 2024</v>
      </c>
      <c r="G401" s="9" t="s">
        <v>84</v>
      </c>
      <c r="I401" s="4" t="s">
        <v>101</v>
      </c>
    </row>
    <row r="402">
      <c r="A402" s="17" t="str">
        <f t="shared" si="116"/>
        <v>Webster et al., 2001</v>
      </c>
      <c r="B402" s="9" t="s">
        <v>42</v>
      </c>
      <c r="F402" s="17" t="str">
        <f t="shared" si="114"/>
        <v>Popovic et al., 2024</v>
      </c>
      <c r="G402" s="9" t="s">
        <v>84</v>
      </c>
      <c r="I402" s="4" t="s">
        <v>101</v>
      </c>
    </row>
    <row r="403">
      <c r="A403" s="17" t="str">
        <f t="shared" si="116"/>
        <v>Webster et al., 2001</v>
      </c>
      <c r="B403" s="9" t="s">
        <v>84</v>
      </c>
      <c r="F403" s="17" t="str">
        <f t="shared" si="114"/>
        <v>Popovic et al., 2024</v>
      </c>
      <c r="G403" s="9" t="s">
        <v>84</v>
      </c>
      <c r="I403" s="4" t="s">
        <v>101</v>
      </c>
    </row>
    <row r="404">
      <c r="A404" s="17" t="str">
        <f t="shared" si="116"/>
        <v>Webster et al., 2001</v>
      </c>
      <c r="B404" s="9" t="s">
        <v>84</v>
      </c>
      <c r="F404" s="17" t="str">
        <f t="shared" si="114"/>
        <v>Popovic et al., 2024</v>
      </c>
      <c r="G404" s="9" t="s">
        <v>84</v>
      </c>
      <c r="I404" s="4" t="s">
        <v>101</v>
      </c>
    </row>
    <row r="405">
      <c r="A405" s="17" t="str">
        <f t="shared" ref="A405:A418" si="117">HYPERLINK("https://github.com/d-wkim/phd/blob/main/data/pdf/wipfler_2011.pdf","Wipfler et al., 2011")</f>
        <v>Wipfler et al., 2011</v>
      </c>
      <c r="B405" s="9" t="s">
        <v>42</v>
      </c>
      <c r="F405" s="17" t="str">
        <f t="shared" si="114"/>
        <v>Popovic et al., 2024</v>
      </c>
      <c r="G405" s="9" t="s">
        <v>84</v>
      </c>
      <c r="I405" s="4" t="s">
        <v>101</v>
      </c>
    </row>
    <row r="406">
      <c r="A406" s="17" t="str">
        <f t="shared" si="117"/>
        <v>Wipfler et al., 2011</v>
      </c>
      <c r="B406" s="9" t="s">
        <v>42</v>
      </c>
      <c r="F406" s="17" t="str">
        <f t="shared" ref="F406:F411" si="118">HYPERLINK("https://github.com/d-wkim/phd/blob/main/data/pdf/sajovic_2018.pdf","Sajovic et al., 2018")</f>
        <v>Sajovic et al., 2018</v>
      </c>
      <c r="G406" s="9" t="s">
        <v>42</v>
      </c>
      <c r="I406" s="4" t="s">
        <v>101</v>
      </c>
    </row>
    <row r="407">
      <c r="A407" s="17" t="str">
        <f t="shared" si="117"/>
        <v>Wipfler et al., 2011</v>
      </c>
      <c r="B407" s="9" t="s">
        <v>42</v>
      </c>
      <c r="F407" s="17" t="str">
        <f t="shared" si="118"/>
        <v>Sajovic et al., 2018</v>
      </c>
      <c r="G407" s="9" t="s">
        <v>42</v>
      </c>
      <c r="I407" s="4" t="s">
        <v>101</v>
      </c>
    </row>
    <row r="408">
      <c r="A408" s="17" t="str">
        <f t="shared" si="117"/>
        <v>Wipfler et al., 2011</v>
      </c>
      <c r="B408" s="9" t="s">
        <v>42</v>
      </c>
      <c r="F408" s="17" t="str">
        <f t="shared" si="118"/>
        <v>Sajovic et al., 2018</v>
      </c>
      <c r="G408" s="9" t="s">
        <v>42</v>
      </c>
      <c r="I408" s="4" t="s">
        <v>101</v>
      </c>
    </row>
    <row r="409">
      <c r="A409" s="17" t="str">
        <f t="shared" si="117"/>
        <v>Wipfler et al., 2011</v>
      </c>
      <c r="B409" s="7" t="s">
        <v>42</v>
      </c>
      <c r="F409" s="17" t="str">
        <f t="shared" si="118"/>
        <v>Sajovic et al., 2018</v>
      </c>
      <c r="G409" s="9" t="s">
        <v>84</v>
      </c>
      <c r="I409" s="4" t="s">
        <v>101</v>
      </c>
    </row>
    <row r="410">
      <c r="A410" s="17" t="str">
        <f t="shared" si="117"/>
        <v>Wipfler et al., 2011</v>
      </c>
      <c r="B410" s="7" t="s">
        <v>42</v>
      </c>
      <c r="F410" s="17" t="str">
        <f t="shared" si="118"/>
        <v>Sajovic et al., 2018</v>
      </c>
      <c r="G410" s="9" t="s">
        <v>84</v>
      </c>
      <c r="I410" s="4" t="s">
        <v>101</v>
      </c>
    </row>
    <row r="411">
      <c r="A411" s="17" t="str">
        <f t="shared" si="117"/>
        <v>Wipfler et al., 2011</v>
      </c>
      <c r="B411" s="9" t="s">
        <v>42</v>
      </c>
      <c r="F411" s="17" t="str">
        <f t="shared" si="118"/>
        <v>Sajovic et al., 2018</v>
      </c>
      <c r="G411" s="9" t="s">
        <v>84</v>
      </c>
      <c r="I411" s="4" t="s">
        <v>101</v>
      </c>
    </row>
    <row r="412">
      <c r="A412" s="17" t="str">
        <f t="shared" si="117"/>
        <v>Wipfler et al., 2011</v>
      </c>
      <c r="B412" s="9" t="s">
        <v>84</v>
      </c>
      <c r="F412" s="17" t="str">
        <f t="shared" ref="F412:F413" si="119">HYPERLINK("https://github.com/d-wkim/phd/blob/main/data/pdf/sinding_2020.pdf","Sinding et al., 2020")</f>
        <v>Sinding et al., 2020</v>
      </c>
      <c r="G412" s="9" t="s">
        <v>84</v>
      </c>
      <c r="I412" s="4" t="s">
        <v>101</v>
      </c>
    </row>
    <row r="413">
      <c r="A413" s="17" t="str">
        <f t="shared" si="117"/>
        <v>Wipfler et al., 2011</v>
      </c>
      <c r="B413" s="9" t="s">
        <v>84</v>
      </c>
      <c r="F413" s="17" t="str">
        <f t="shared" si="119"/>
        <v>Sinding et al., 2020</v>
      </c>
      <c r="G413" s="9" t="s">
        <v>200</v>
      </c>
      <c r="I413" s="4" t="s">
        <v>101</v>
      </c>
    </row>
    <row r="414">
      <c r="A414" s="17" t="str">
        <f t="shared" si="117"/>
        <v>Wipfler et al., 2011</v>
      </c>
      <c r="B414" s="9" t="s">
        <v>84</v>
      </c>
      <c r="F414" s="17" t="str">
        <f t="shared" ref="F414:F419" si="120">HYPERLINK("https://github.com/d-wkim/phd/blob/main/data/pdf/smith_2020.pdf","Smith et al., 2020")</f>
        <v>Smith et al., 2020</v>
      </c>
      <c r="G414" s="9" t="s">
        <v>42</v>
      </c>
      <c r="I414" s="4" t="s">
        <v>101</v>
      </c>
    </row>
    <row r="415">
      <c r="A415" s="17" t="str">
        <f t="shared" si="117"/>
        <v>Wipfler et al., 2011</v>
      </c>
      <c r="B415" s="9" t="s">
        <v>84</v>
      </c>
      <c r="F415" s="17" t="str">
        <f t="shared" si="120"/>
        <v>Smith et al., 2020</v>
      </c>
      <c r="G415" s="9" t="s">
        <v>42</v>
      </c>
      <c r="I415" s="4" t="s">
        <v>101</v>
      </c>
    </row>
    <row r="416">
      <c r="A416" s="17" t="str">
        <f t="shared" si="117"/>
        <v>Wipfler et al., 2011</v>
      </c>
      <c r="B416" s="7" t="s">
        <v>84</v>
      </c>
      <c r="F416" s="17" t="str">
        <f t="shared" si="120"/>
        <v>Smith et al., 2020</v>
      </c>
      <c r="G416" s="9" t="s">
        <v>42</v>
      </c>
      <c r="I416" s="4" t="s">
        <v>101</v>
      </c>
    </row>
    <row r="417">
      <c r="A417" s="17" t="str">
        <f t="shared" si="117"/>
        <v>Wipfler et al., 2011</v>
      </c>
      <c r="B417" s="7" t="s">
        <v>84</v>
      </c>
      <c r="F417" s="17" t="str">
        <f t="shared" si="120"/>
        <v>Smith et al., 2020</v>
      </c>
      <c r="G417" s="9" t="s">
        <v>84</v>
      </c>
      <c r="I417" s="4" t="s">
        <v>101</v>
      </c>
    </row>
    <row r="418">
      <c r="A418" s="17" t="str">
        <f t="shared" si="117"/>
        <v>Wipfler et al., 2011</v>
      </c>
      <c r="B418" s="9" t="s">
        <v>84</v>
      </c>
      <c r="F418" s="17" t="str">
        <f t="shared" si="120"/>
        <v>Smith et al., 2020</v>
      </c>
      <c r="G418" s="9" t="s">
        <v>84</v>
      </c>
      <c r="I418" s="4" t="s">
        <v>101</v>
      </c>
    </row>
    <row r="419">
      <c r="A419" s="17" t="str">
        <f t="shared" ref="A419:A422" si="121">HYPERLINK("https://github.com/d-wkim/phd/blob/main/data/pdf/yadav_2025.pdf","Yadav et al., 2025")</f>
        <v>Yadav et al., 2025</v>
      </c>
      <c r="B419" s="9" t="s">
        <v>84</v>
      </c>
      <c r="F419" s="17" t="str">
        <f t="shared" si="120"/>
        <v>Smith et al., 2020</v>
      </c>
      <c r="G419" s="9" t="s">
        <v>84</v>
      </c>
      <c r="I419" s="4" t="s">
        <v>101</v>
      </c>
    </row>
    <row r="420">
      <c r="A420" s="17" t="str">
        <f t="shared" si="121"/>
        <v>Yadav et al., 2025</v>
      </c>
      <c r="B420" s="9" t="s">
        <v>84</v>
      </c>
      <c r="F420" s="17" t="str">
        <f t="shared" ref="F420:F429" si="122">HYPERLINK("https://github.com/d-wkim/phd/blob/main/data/pdf/sonnery-cottet_2026.pdf","Sonnery-cottet et al., 2026")</f>
        <v>Sonnery-cottet et al., 2026</v>
      </c>
      <c r="G420" s="9" t="s">
        <v>42</v>
      </c>
      <c r="I420" s="4" t="s">
        <v>101</v>
      </c>
    </row>
    <row r="421">
      <c r="A421" s="17" t="str">
        <f t="shared" si="121"/>
        <v>Yadav et al., 2025</v>
      </c>
      <c r="B421" s="9" t="s">
        <v>84</v>
      </c>
      <c r="F421" s="17" t="str">
        <f t="shared" si="122"/>
        <v>Sonnery-cottet et al., 2026</v>
      </c>
      <c r="G421" s="9" t="s">
        <v>42</v>
      </c>
      <c r="I421" s="4" t="s">
        <v>101</v>
      </c>
    </row>
    <row r="422">
      <c r="A422" s="17" t="str">
        <f t="shared" si="121"/>
        <v>Yadav et al., 2025</v>
      </c>
      <c r="B422" s="9" t="s">
        <v>84</v>
      </c>
      <c r="F422" s="17" t="str">
        <f t="shared" si="122"/>
        <v>Sonnery-cottet et al., 2026</v>
      </c>
      <c r="G422" s="9" t="s">
        <v>42</v>
      </c>
      <c r="I422" s="4" t="s">
        <v>101</v>
      </c>
    </row>
    <row r="423">
      <c r="A423" s="17" t="str">
        <f t="shared" ref="A423:A427" si="123">HYPERLINK("https://github.com/d-wkim/phd/blob/main/data/pdf/yoo_2017.pdf","Yoo et al., 2017")</f>
        <v>Yoo et al., 2017</v>
      </c>
      <c r="B423" s="9" t="s">
        <v>84</v>
      </c>
      <c r="F423" s="17" t="str">
        <f t="shared" si="122"/>
        <v>Sonnery-cottet et al., 2026</v>
      </c>
      <c r="G423" s="9" t="s">
        <v>42</v>
      </c>
      <c r="I423" s="4" t="s">
        <v>101</v>
      </c>
    </row>
    <row r="424">
      <c r="A424" s="17" t="str">
        <f t="shared" si="123"/>
        <v>Yoo et al., 2017</v>
      </c>
      <c r="B424" s="9" t="s">
        <v>84</v>
      </c>
      <c r="F424" s="17" t="str">
        <f t="shared" si="122"/>
        <v>Sonnery-cottet et al., 2026</v>
      </c>
      <c r="G424" s="9" t="s">
        <v>42</v>
      </c>
      <c r="I424" s="4" t="s">
        <v>101</v>
      </c>
    </row>
    <row r="425">
      <c r="A425" s="17" t="str">
        <f t="shared" si="123"/>
        <v>Yoo et al., 2017</v>
      </c>
      <c r="B425" s="9" t="s">
        <v>84</v>
      </c>
      <c r="F425" s="17" t="str">
        <f t="shared" si="122"/>
        <v>Sonnery-cottet et al., 2026</v>
      </c>
      <c r="G425" s="9" t="s">
        <v>84</v>
      </c>
      <c r="I425" s="4" t="s">
        <v>101</v>
      </c>
    </row>
    <row r="426">
      <c r="A426" s="17" t="str">
        <f t="shared" si="123"/>
        <v>Yoo et al., 2017</v>
      </c>
      <c r="B426" s="9" t="s">
        <v>84</v>
      </c>
      <c r="F426" s="17" t="str">
        <f t="shared" si="122"/>
        <v>Sonnery-cottet et al., 2026</v>
      </c>
      <c r="G426" s="9" t="s">
        <v>84</v>
      </c>
      <c r="I426" s="4" t="s">
        <v>101</v>
      </c>
    </row>
    <row r="427">
      <c r="A427" s="17" t="str">
        <f t="shared" si="123"/>
        <v>Yoo et al., 2017</v>
      </c>
      <c r="B427" s="9" t="s">
        <v>84</v>
      </c>
      <c r="F427" s="17" t="str">
        <f t="shared" si="122"/>
        <v>Sonnery-cottet et al., 2026</v>
      </c>
      <c r="G427" s="9" t="s">
        <v>84</v>
      </c>
      <c r="I427" s="4" t="s">
        <v>101</v>
      </c>
    </row>
    <row r="428">
      <c r="A428" s="17" t="str">
        <f t="shared" ref="A428:A431" si="124">HYPERLINK("https://github.com/d-wkim/phd/blob/main/data/pdf/zaffagnini_2011.pdf","Zaffagnini et al., 2011")</f>
        <v>Zaffagnini et al., 2011</v>
      </c>
      <c r="B428" s="9" t="s">
        <v>42</v>
      </c>
      <c r="F428" s="17" t="str">
        <f t="shared" si="122"/>
        <v>Sonnery-cottet et al., 2026</v>
      </c>
      <c r="G428" s="9" t="s">
        <v>84</v>
      </c>
      <c r="I428" s="4" t="s">
        <v>101</v>
      </c>
    </row>
    <row r="429">
      <c r="A429" s="17" t="str">
        <f t="shared" si="124"/>
        <v>Zaffagnini et al., 2011</v>
      </c>
      <c r="B429" s="9" t="s">
        <v>42</v>
      </c>
      <c r="F429" s="17" t="str">
        <f t="shared" si="122"/>
        <v>Sonnery-cottet et al., 2026</v>
      </c>
      <c r="G429" s="9" t="s">
        <v>84</v>
      </c>
      <c r="I429" s="4" t="s">
        <v>101</v>
      </c>
    </row>
    <row r="430">
      <c r="A430" s="17" t="str">
        <f t="shared" si="124"/>
        <v>Zaffagnini et al., 2011</v>
      </c>
      <c r="B430" s="9" t="s">
        <v>84</v>
      </c>
      <c r="F430" s="17" t="str">
        <f t="shared" ref="F430:F435" si="125">HYPERLINK("https://github.com/d-wkim/phd/blob/main/data/pdf/tang_2023.pdf","Tang et al., 2023")</f>
        <v>Tang et al., 2023</v>
      </c>
      <c r="G430" s="9" t="s">
        <v>84</v>
      </c>
      <c r="I430" s="4" t="s">
        <v>101</v>
      </c>
    </row>
    <row r="431">
      <c r="A431" s="17" t="str">
        <f t="shared" si="124"/>
        <v>Zaffagnini et al., 2011</v>
      </c>
      <c r="B431" s="9" t="s">
        <v>84</v>
      </c>
      <c r="F431" s="17" t="str">
        <f t="shared" si="125"/>
        <v>Tang et al., 2023</v>
      </c>
      <c r="G431" s="9" t="s">
        <v>84</v>
      </c>
      <c r="I431" s="4" t="s">
        <v>101</v>
      </c>
    </row>
    <row r="432">
      <c r="A432" s="12"/>
      <c r="B432" s="74"/>
      <c r="F432" s="17" t="str">
        <f t="shared" si="125"/>
        <v>Tang et al., 2023</v>
      </c>
      <c r="G432" s="7" t="s">
        <v>84</v>
      </c>
      <c r="I432" s="4" t="s">
        <v>101</v>
      </c>
    </row>
    <row r="433">
      <c r="A433" s="12"/>
      <c r="B433" s="74"/>
      <c r="F433" s="17" t="str">
        <f t="shared" si="125"/>
        <v>Tang et al., 2023</v>
      </c>
      <c r="G433" s="9" t="s">
        <v>200</v>
      </c>
      <c r="I433" s="4" t="s">
        <v>101</v>
      </c>
    </row>
    <row r="434">
      <c r="A434" s="12"/>
      <c r="B434" s="74"/>
      <c r="F434" s="17" t="str">
        <f t="shared" si="125"/>
        <v>Tang et al., 2023</v>
      </c>
      <c r="G434" s="9" t="s">
        <v>200</v>
      </c>
      <c r="I434" s="4" t="s">
        <v>101</v>
      </c>
    </row>
    <row r="435">
      <c r="A435" s="12"/>
      <c r="B435" s="74"/>
      <c r="F435" s="17" t="str">
        <f t="shared" si="125"/>
        <v>Tang et al., 2023</v>
      </c>
      <c r="G435" s="7" t="s">
        <v>200</v>
      </c>
      <c r="I435" s="4" t="s">
        <v>101</v>
      </c>
    </row>
    <row r="436">
      <c r="A436" s="12"/>
      <c r="B436" s="74"/>
      <c r="F436" s="17" t="str">
        <f t="shared" ref="F436:F445" si="126">HYPERLINK("https://github.com/d-wkim/phd/blob/main/data/pdf/taylor_2009.pdf","Taylor et al., 2009")</f>
        <v>Taylor et al., 2009</v>
      </c>
      <c r="G436" s="9" t="s">
        <v>42</v>
      </c>
      <c r="I436" s="4" t="s">
        <v>101</v>
      </c>
    </row>
    <row r="437">
      <c r="A437" s="12"/>
      <c r="B437" s="74"/>
      <c r="F437" s="17" t="str">
        <f t="shared" si="126"/>
        <v>Taylor et al., 2009</v>
      </c>
      <c r="G437" s="9" t="s">
        <v>42</v>
      </c>
      <c r="I437" s="4" t="s">
        <v>101</v>
      </c>
    </row>
    <row r="438">
      <c r="A438" s="12"/>
      <c r="B438" s="74"/>
      <c r="F438" s="17" t="str">
        <f t="shared" si="126"/>
        <v>Taylor et al., 2009</v>
      </c>
      <c r="G438" s="9" t="s">
        <v>42</v>
      </c>
      <c r="I438" s="4" t="s">
        <v>101</v>
      </c>
    </row>
    <row r="439">
      <c r="A439" s="12"/>
      <c r="B439" s="74"/>
      <c r="F439" s="17" t="str">
        <f t="shared" si="126"/>
        <v>Taylor et al., 2009</v>
      </c>
      <c r="G439" s="7" t="s">
        <v>42</v>
      </c>
      <c r="I439" s="4" t="s">
        <v>101</v>
      </c>
    </row>
    <row r="440">
      <c r="A440" s="12"/>
      <c r="B440" s="74"/>
      <c r="F440" s="17" t="str">
        <f t="shared" si="126"/>
        <v>Taylor et al., 2009</v>
      </c>
      <c r="G440" s="9" t="s">
        <v>42</v>
      </c>
      <c r="I440" s="4" t="s">
        <v>101</v>
      </c>
    </row>
    <row r="441">
      <c r="A441" s="12"/>
      <c r="B441" s="74"/>
      <c r="F441" s="17" t="str">
        <f t="shared" si="126"/>
        <v>Taylor et al., 2009</v>
      </c>
      <c r="G441" s="9" t="s">
        <v>84</v>
      </c>
      <c r="I441" s="4" t="s">
        <v>101</v>
      </c>
    </row>
    <row r="442">
      <c r="A442" s="12"/>
      <c r="B442" s="74"/>
      <c r="F442" s="17" t="str">
        <f t="shared" si="126"/>
        <v>Taylor et al., 2009</v>
      </c>
      <c r="G442" s="9" t="s">
        <v>84</v>
      </c>
      <c r="I442" s="4" t="s">
        <v>101</v>
      </c>
    </row>
    <row r="443">
      <c r="A443" s="12"/>
      <c r="B443" s="74"/>
      <c r="F443" s="17" t="str">
        <f t="shared" si="126"/>
        <v>Taylor et al., 2009</v>
      </c>
      <c r="G443" s="9" t="s">
        <v>84</v>
      </c>
      <c r="I443" s="4" t="s">
        <v>101</v>
      </c>
    </row>
    <row r="444">
      <c r="A444" s="12"/>
      <c r="B444" s="74"/>
      <c r="F444" s="17" t="str">
        <f t="shared" si="126"/>
        <v>Taylor et al., 2009</v>
      </c>
      <c r="G444" s="7" t="s">
        <v>84</v>
      </c>
      <c r="I444" s="4" t="s">
        <v>101</v>
      </c>
    </row>
    <row r="445">
      <c r="A445" s="12"/>
      <c r="B445" s="74"/>
      <c r="F445" s="17" t="str">
        <f t="shared" si="126"/>
        <v>Taylor et al., 2009</v>
      </c>
      <c r="G445" s="9" t="s">
        <v>84</v>
      </c>
      <c r="I445" s="4" t="s">
        <v>101</v>
      </c>
    </row>
    <row r="446">
      <c r="A446" s="12"/>
      <c r="B446" s="74"/>
      <c r="F446" s="17" t="str">
        <f t="shared" ref="F446:F453" si="127">HYPERLINK("https://github.com/d-wkim/phd/blob/main/data/pdf/vilchez-cavazos_2020.pdf","Vilchez-cavazos et al., 2020")</f>
        <v>Vilchez-cavazos et al., 2020</v>
      </c>
      <c r="G446" s="9" t="s">
        <v>42</v>
      </c>
      <c r="I446" s="4" t="s">
        <v>101</v>
      </c>
    </row>
    <row r="447">
      <c r="A447" s="12"/>
      <c r="B447" s="74"/>
      <c r="F447" s="17" t="str">
        <f t="shared" si="127"/>
        <v>Vilchez-cavazos et al., 2020</v>
      </c>
      <c r="G447" s="9" t="s">
        <v>42</v>
      </c>
      <c r="I447" s="4" t="s">
        <v>101</v>
      </c>
    </row>
    <row r="448">
      <c r="A448" s="12"/>
      <c r="B448" s="74"/>
      <c r="F448" s="17" t="str">
        <f t="shared" si="127"/>
        <v>Vilchez-cavazos et al., 2020</v>
      </c>
      <c r="G448" s="7" t="s">
        <v>42</v>
      </c>
      <c r="I448" s="4" t="s">
        <v>101</v>
      </c>
    </row>
    <row r="449">
      <c r="A449" s="12"/>
      <c r="B449" s="74"/>
      <c r="F449" s="17" t="str">
        <f t="shared" si="127"/>
        <v>Vilchez-cavazos et al., 2020</v>
      </c>
      <c r="G449" s="7" t="s">
        <v>42</v>
      </c>
      <c r="I449" s="4" t="s">
        <v>101</v>
      </c>
    </row>
    <row r="450">
      <c r="A450" s="12"/>
      <c r="B450" s="74"/>
      <c r="F450" s="17" t="str">
        <f t="shared" si="127"/>
        <v>Vilchez-cavazos et al., 2020</v>
      </c>
      <c r="G450" s="9" t="s">
        <v>200</v>
      </c>
      <c r="I450" s="4" t="s">
        <v>101</v>
      </c>
    </row>
    <row r="451">
      <c r="A451" s="12"/>
      <c r="B451" s="74"/>
      <c r="F451" s="17" t="str">
        <f t="shared" si="127"/>
        <v>Vilchez-cavazos et al., 2020</v>
      </c>
      <c r="G451" s="9" t="s">
        <v>200</v>
      </c>
      <c r="I451" s="4" t="s">
        <v>101</v>
      </c>
    </row>
    <row r="452">
      <c r="A452" s="12"/>
      <c r="B452" s="74"/>
      <c r="F452" s="17" t="str">
        <f t="shared" si="127"/>
        <v>Vilchez-cavazos et al., 2020</v>
      </c>
      <c r="G452" s="7" t="s">
        <v>200</v>
      </c>
      <c r="I452" s="4" t="s">
        <v>101</v>
      </c>
    </row>
    <row r="453">
      <c r="A453" s="12"/>
      <c r="B453" s="74"/>
      <c r="F453" s="17" t="str">
        <f t="shared" si="127"/>
        <v>Vilchez-cavazos et al., 2020</v>
      </c>
      <c r="G453" s="7" t="s">
        <v>200</v>
      </c>
      <c r="I453" s="4" t="s">
        <v>101</v>
      </c>
    </row>
    <row r="454">
      <c r="A454" s="12"/>
      <c r="B454" s="74"/>
      <c r="F454" s="17" t="str">
        <f t="shared" ref="F454:F457" si="128">HYPERLINK("https://github.com/d-wkim/phd/blob/main/data/pdf/webster_2001.pdf","Webster et al., 2001")</f>
        <v>Webster et al., 2001</v>
      </c>
      <c r="G454" s="9" t="s">
        <v>42</v>
      </c>
      <c r="I454" s="4" t="s">
        <v>101</v>
      </c>
    </row>
    <row r="455">
      <c r="A455" s="12"/>
      <c r="B455" s="74"/>
      <c r="F455" s="17" t="str">
        <f t="shared" si="128"/>
        <v>Webster et al., 2001</v>
      </c>
      <c r="G455" s="9" t="s">
        <v>42</v>
      </c>
      <c r="I455" s="4" t="s">
        <v>101</v>
      </c>
    </row>
    <row r="456">
      <c r="A456" s="12"/>
      <c r="B456" s="74"/>
      <c r="F456" s="17" t="str">
        <f t="shared" si="128"/>
        <v>Webster et al., 2001</v>
      </c>
      <c r="G456" s="9" t="s">
        <v>84</v>
      </c>
      <c r="I456" s="4" t="s">
        <v>101</v>
      </c>
    </row>
    <row r="457">
      <c r="A457" s="12"/>
      <c r="B457" s="74"/>
      <c r="F457" s="17" t="str">
        <f t="shared" si="128"/>
        <v>Webster et al., 2001</v>
      </c>
      <c r="G457" s="9" t="s">
        <v>84</v>
      </c>
      <c r="I457" s="4" t="s">
        <v>101</v>
      </c>
    </row>
    <row r="458">
      <c r="A458" s="12"/>
      <c r="B458" s="74"/>
      <c r="F458" s="17" t="str">
        <f t="shared" ref="F458:F471" si="129">HYPERLINK("https://github.com/d-wkim/phd/blob/main/data/pdf/wipfler_2011.pdf","Wipfler et al., 2011")</f>
        <v>Wipfler et al., 2011</v>
      </c>
      <c r="G458" s="9" t="s">
        <v>42</v>
      </c>
      <c r="I458" s="4" t="s">
        <v>101</v>
      </c>
    </row>
    <row r="459">
      <c r="A459" s="12"/>
      <c r="B459" s="74"/>
      <c r="F459" s="17" t="str">
        <f t="shared" si="129"/>
        <v>Wipfler et al., 2011</v>
      </c>
      <c r="G459" s="9" t="s">
        <v>42</v>
      </c>
      <c r="I459" s="4" t="s">
        <v>101</v>
      </c>
    </row>
    <row r="460">
      <c r="A460" s="12"/>
      <c r="B460" s="74"/>
      <c r="F460" s="17" t="str">
        <f t="shared" si="129"/>
        <v>Wipfler et al., 2011</v>
      </c>
      <c r="G460" s="9" t="s">
        <v>42</v>
      </c>
      <c r="I460" s="4" t="s">
        <v>101</v>
      </c>
    </row>
    <row r="461">
      <c r="A461" s="12"/>
      <c r="B461" s="74"/>
      <c r="F461" s="17" t="str">
        <f t="shared" si="129"/>
        <v>Wipfler et al., 2011</v>
      </c>
      <c r="G461" s="9" t="s">
        <v>42</v>
      </c>
      <c r="I461" s="4" t="s">
        <v>101</v>
      </c>
    </row>
    <row r="462">
      <c r="A462" s="12"/>
      <c r="B462" s="74"/>
      <c r="F462" s="17" t="str">
        <f t="shared" si="129"/>
        <v>Wipfler et al., 2011</v>
      </c>
      <c r="G462" s="7" t="s">
        <v>42</v>
      </c>
      <c r="I462" s="4" t="s">
        <v>101</v>
      </c>
    </row>
    <row r="463">
      <c r="A463" s="12"/>
      <c r="B463" s="74"/>
      <c r="F463" s="17" t="str">
        <f t="shared" si="129"/>
        <v>Wipfler et al., 2011</v>
      </c>
      <c r="G463" s="7" t="s">
        <v>42</v>
      </c>
      <c r="I463" s="4" t="s">
        <v>101</v>
      </c>
    </row>
    <row r="464">
      <c r="A464" s="12"/>
      <c r="B464" s="74"/>
      <c r="F464" s="17" t="str">
        <f t="shared" si="129"/>
        <v>Wipfler et al., 2011</v>
      </c>
      <c r="G464" s="9" t="s">
        <v>42</v>
      </c>
      <c r="I464" s="4" t="s">
        <v>101</v>
      </c>
    </row>
    <row r="465">
      <c r="A465" s="12"/>
      <c r="B465" s="74"/>
      <c r="F465" s="17" t="str">
        <f t="shared" si="129"/>
        <v>Wipfler et al., 2011</v>
      </c>
      <c r="G465" s="9" t="s">
        <v>84</v>
      </c>
      <c r="I465" s="4" t="s">
        <v>101</v>
      </c>
    </row>
    <row r="466">
      <c r="A466" s="12"/>
      <c r="B466" s="74"/>
      <c r="F466" s="17" t="str">
        <f t="shared" si="129"/>
        <v>Wipfler et al., 2011</v>
      </c>
      <c r="G466" s="9" t="s">
        <v>84</v>
      </c>
      <c r="I466" s="4" t="s">
        <v>101</v>
      </c>
    </row>
    <row r="467">
      <c r="A467" s="12"/>
      <c r="B467" s="74"/>
      <c r="F467" s="17" t="str">
        <f t="shared" si="129"/>
        <v>Wipfler et al., 2011</v>
      </c>
      <c r="G467" s="9" t="s">
        <v>84</v>
      </c>
      <c r="I467" s="4" t="s">
        <v>101</v>
      </c>
    </row>
    <row r="468">
      <c r="A468" s="12"/>
      <c r="B468" s="74"/>
      <c r="F468" s="17" t="str">
        <f t="shared" si="129"/>
        <v>Wipfler et al., 2011</v>
      </c>
      <c r="G468" s="9" t="s">
        <v>84</v>
      </c>
      <c r="I468" s="4" t="s">
        <v>101</v>
      </c>
    </row>
    <row r="469">
      <c r="A469" s="12"/>
      <c r="B469" s="74"/>
      <c r="F469" s="17" t="str">
        <f t="shared" si="129"/>
        <v>Wipfler et al., 2011</v>
      </c>
      <c r="G469" s="7" t="s">
        <v>84</v>
      </c>
      <c r="I469" s="4" t="s">
        <v>101</v>
      </c>
    </row>
    <row r="470">
      <c r="A470" s="12"/>
      <c r="B470" s="74"/>
      <c r="F470" s="17" t="str">
        <f t="shared" si="129"/>
        <v>Wipfler et al., 2011</v>
      </c>
      <c r="G470" s="7" t="s">
        <v>84</v>
      </c>
      <c r="I470" s="4" t="s">
        <v>101</v>
      </c>
    </row>
    <row r="471">
      <c r="A471" s="12"/>
      <c r="B471" s="74"/>
      <c r="F471" s="17" t="str">
        <f t="shared" si="129"/>
        <v>Wipfler et al., 2011</v>
      </c>
      <c r="G471" s="9" t="s">
        <v>84</v>
      </c>
      <c r="I471" s="4" t="s">
        <v>101</v>
      </c>
    </row>
    <row r="472">
      <c r="A472" s="12"/>
      <c r="B472" s="74"/>
      <c r="F472" s="17" t="str">
        <f t="shared" ref="F472:F479" si="130">HYPERLINK("https://github.com/d-wkim/phd/blob/main/data/pdf/yadav_2025.pdf","Yadav et al., 2025")</f>
        <v>Yadav et al., 2025</v>
      </c>
      <c r="G472" s="9" t="s">
        <v>84</v>
      </c>
      <c r="I472" s="4" t="s">
        <v>101</v>
      </c>
    </row>
    <row r="473">
      <c r="A473" s="12"/>
      <c r="B473" s="74"/>
      <c r="F473" s="17" t="str">
        <f t="shared" si="130"/>
        <v>Yadav et al., 2025</v>
      </c>
      <c r="G473" s="9" t="s">
        <v>84</v>
      </c>
      <c r="I473" s="4" t="s">
        <v>101</v>
      </c>
    </row>
    <row r="474">
      <c r="A474" s="12"/>
      <c r="B474" s="74"/>
      <c r="F474" s="17" t="str">
        <f t="shared" si="130"/>
        <v>Yadav et al., 2025</v>
      </c>
      <c r="G474" s="9" t="s">
        <v>84</v>
      </c>
      <c r="I474" s="4" t="s">
        <v>101</v>
      </c>
    </row>
    <row r="475">
      <c r="A475" s="12"/>
      <c r="B475" s="74"/>
      <c r="F475" s="17" t="str">
        <f t="shared" si="130"/>
        <v>Yadav et al., 2025</v>
      </c>
      <c r="G475" s="9" t="s">
        <v>84</v>
      </c>
      <c r="I475" s="4" t="s">
        <v>101</v>
      </c>
    </row>
    <row r="476">
      <c r="A476" s="12"/>
      <c r="B476" s="74"/>
      <c r="F476" s="17" t="str">
        <f t="shared" si="130"/>
        <v>Yadav et al., 2025</v>
      </c>
      <c r="G476" s="9" t="s">
        <v>200</v>
      </c>
      <c r="I476" s="4" t="s">
        <v>101</v>
      </c>
    </row>
    <row r="477">
      <c r="A477" s="12"/>
      <c r="B477" s="74"/>
      <c r="F477" s="17" t="str">
        <f t="shared" si="130"/>
        <v>Yadav et al., 2025</v>
      </c>
      <c r="G477" s="9" t="s">
        <v>200</v>
      </c>
      <c r="I477" s="4" t="s">
        <v>101</v>
      </c>
    </row>
    <row r="478">
      <c r="A478" s="12"/>
      <c r="B478" s="74"/>
      <c r="F478" s="17" t="str">
        <f t="shared" si="130"/>
        <v>Yadav et al., 2025</v>
      </c>
      <c r="G478" s="9" t="s">
        <v>200</v>
      </c>
      <c r="I478" s="4" t="s">
        <v>101</v>
      </c>
    </row>
    <row r="479">
      <c r="A479" s="12"/>
      <c r="B479" s="74"/>
      <c r="F479" s="17" t="str">
        <f t="shared" si="130"/>
        <v>Yadav et al., 2025</v>
      </c>
      <c r="G479" s="9" t="s">
        <v>200</v>
      </c>
      <c r="I479" s="4" t="s">
        <v>101</v>
      </c>
    </row>
    <row r="480">
      <c r="A480" s="12"/>
      <c r="B480" s="74"/>
      <c r="F480" s="17" t="str">
        <f t="shared" ref="F480:F489" si="131">HYPERLINK("https://github.com/d-wkim/phd/blob/main/data/pdf/yoo_2017.pdf","Yoo et al., 2017")</f>
        <v>Yoo et al., 2017</v>
      </c>
      <c r="G480" s="9" t="s">
        <v>84</v>
      </c>
      <c r="I480" s="4" t="s">
        <v>101</v>
      </c>
    </row>
    <row r="481">
      <c r="A481" s="12"/>
      <c r="B481" s="74"/>
      <c r="F481" s="17" t="str">
        <f t="shared" si="131"/>
        <v>Yoo et al., 2017</v>
      </c>
      <c r="G481" s="9" t="s">
        <v>84</v>
      </c>
      <c r="I481" s="4" t="s">
        <v>101</v>
      </c>
    </row>
    <row r="482">
      <c r="A482" s="12"/>
      <c r="B482" s="74"/>
      <c r="F482" s="17" t="str">
        <f t="shared" si="131"/>
        <v>Yoo et al., 2017</v>
      </c>
      <c r="G482" s="9" t="s">
        <v>84</v>
      </c>
      <c r="I482" s="4" t="s">
        <v>101</v>
      </c>
    </row>
    <row r="483">
      <c r="A483" s="12"/>
      <c r="B483" s="74"/>
      <c r="F483" s="17" t="str">
        <f t="shared" si="131"/>
        <v>Yoo et al., 2017</v>
      </c>
      <c r="G483" s="9" t="s">
        <v>84</v>
      </c>
      <c r="I483" s="4" t="s">
        <v>101</v>
      </c>
    </row>
    <row r="484">
      <c r="A484" s="12"/>
      <c r="B484" s="74"/>
      <c r="F484" s="17" t="str">
        <f t="shared" si="131"/>
        <v>Yoo et al., 2017</v>
      </c>
      <c r="G484" s="9" t="s">
        <v>84</v>
      </c>
      <c r="I484" s="4" t="s">
        <v>101</v>
      </c>
    </row>
    <row r="485">
      <c r="A485" s="12"/>
      <c r="B485" s="74"/>
      <c r="F485" s="17" t="str">
        <f t="shared" si="131"/>
        <v>Yoo et al., 2017</v>
      </c>
      <c r="G485" s="9" t="s">
        <v>205</v>
      </c>
      <c r="I485" s="4" t="s">
        <v>101</v>
      </c>
    </row>
    <row r="486">
      <c r="A486" s="12"/>
      <c r="B486" s="74"/>
      <c r="F486" s="17" t="str">
        <f t="shared" si="131"/>
        <v>Yoo et al., 2017</v>
      </c>
      <c r="G486" s="9" t="s">
        <v>205</v>
      </c>
      <c r="I486" s="4" t="s">
        <v>101</v>
      </c>
    </row>
    <row r="487">
      <c r="A487" s="12"/>
      <c r="B487" s="74"/>
      <c r="F487" s="17" t="str">
        <f t="shared" si="131"/>
        <v>Yoo et al., 2017</v>
      </c>
      <c r="G487" s="9" t="s">
        <v>205</v>
      </c>
      <c r="I487" s="4" t="s">
        <v>101</v>
      </c>
    </row>
    <row r="488">
      <c r="A488" s="12"/>
      <c r="B488" s="74"/>
      <c r="F488" s="17" t="str">
        <f t="shared" si="131"/>
        <v>Yoo et al., 2017</v>
      </c>
      <c r="G488" s="9" t="s">
        <v>205</v>
      </c>
      <c r="I488" s="4" t="s">
        <v>101</v>
      </c>
    </row>
    <row r="489">
      <c r="A489" s="12"/>
      <c r="B489" s="74"/>
      <c r="F489" s="17" t="str">
        <f t="shared" si="131"/>
        <v>Yoo et al., 2017</v>
      </c>
      <c r="G489" s="9" t="s">
        <v>205</v>
      </c>
      <c r="I489" s="4" t="s">
        <v>101</v>
      </c>
    </row>
    <row r="490">
      <c r="A490" s="12"/>
      <c r="B490" s="74"/>
      <c r="F490" s="17" t="str">
        <f t="shared" ref="F490:F493" si="132">HYPERLINK("https://github.com/d-wkim/phd/blob/main/data/pdf/zaffagnini_2011.pdf","Zaffagnini et al., 2011")</f>
        <v>Zaffagnini et al., 2011</v>
      </c>
      <c r="G490" s="9" t="s">
        <v>42</v>
      </c>
      <c r="I490" s="4" t="s">
        <v>101</v>
      </c>
    </row>
    <row r="491">
      <c r="A491" s="12"/>
      <c r="B491" s="74"/>
      <c r="F491" s="17" t="str">
        <f t="shared" si="132"/>
        <v>Zaffagnini et al., 2011</v>
      </c>
      <c r="G491" s="9" t="s">
        <v>42</v>
      </c>
      <c r="I491" s="4" t="s">
        <v>101</v>
      </c>
    </row>
    <row r="492">
      <c r="A492" s="12"/>
      <c r="B492" s="74"/>
      <c r="F492" s="17" t="str">
        <f t="shared" si="132"/>
        <v>Zaffagnini et al., 2011</v>
      </c>
      <c r="G492" s="9" t="s">
        <v>84</v>
      </c>
      <c r="I492" s="4" t="s">
        <v>101</v>
      </c>
    </row>
    <row r="493">
      <c r="A493" s="12"/>
      <c r="B493" s="74"/>
      <c r="F493" s="17" t="str">
        <f t="shared" si="132"/>
        <v>Zaffagnini et al., 2011</v>
      </c>
      <c r="G493" s="9" t="s">
        <v>84</v>
      </c>
      <c r="I493" s="4" t="s">
        <v>101</v>
      </c>
    </row>
    <row r="494">
      <c r="A494" s="12"/>
      <c r="B494" s="74"/>
      <c r="F494" s="12"/>
      <c r="G494" s="74"/>
      <c r="I494" s="4" t="s">
        <v>101</v>
      </c>
    </row>
    <row r="495">
      <c r="A495" s="12"/>
      <c r="B495" s="74"/>
      <c r="F495" s="12"/>
      <c r="G495" s="74"/>
      <c r="I495" s="4" t="s">
        <v>101</v>
      </c>
    </row>
    <row r="496">
      <c r="A496" s="12"/>
      <c r="B496" s="74"/>
      <c r="F496" s="12"/>
      <c r="G496" s="74"/>
      <c r="I496" s="4" t="s">
        <v>101</v>
      </c>
    </row>
    <row r="497">
      <c r="A497" s="12"/>
      <c r="B497" s="74"/>
      <c r="F497" s="12"/>
      <c r="G497" s="74"/>
      <c r="I497" s="4" t="s">
        <v>101</v>
      </c>
    </row>
    <row r="498">
      <c r="A498" s="12"/>
      <c r="B498" s="74"/>
      <c r="F498" s="12"/>
      <c r="G498" s="74"/>
      <c r="I498" s="4" t="s">
        <v>101</v>
      </c>
    </row>
    <row r="499">
      <c r="A499" s="12"/>
      <c r="B499" s="74"/>
      <c r="F499" s="12"/>
      <c r="G499" s="74"/>
      <c r="I499" s="4" t="s">
        <v>101</v>
      </c>
    </row>
    <row r="500">
      <c r="A500" s="12"/>
      <c r="B500" s="74"/>
      <c r="F500" s="12"/>
      <c r="G500" s="74"/>
      <c r="I500" s="4" t="s">
        <v>101</v>
      </c>
    </row>
    <row r="501">
      <c r="A501" s="12"/>
      <c r="B501" s="74"/>
      <c r="F501" s="12"/>
      <c r="G501" s="74"/>
      <c r="I501" s="4" t="s">
        <v>101</v>
      </c>
    </row>
    <row r="502">
      <c r="A502" s="12"/>
      <c r="B502" s="74"/>
      <c r="F502" s="12"/>
      <c r="G502" s="74"/>
      <c r="I502" s="4" t="s">
        <v>101</v>
      </c>
    </row>
    <row r="503">
      <c r="A503" s="12"/>
      <c r="B503" s="74"/>
      <c r="F503" s="12"/>
      <c r="G503" s="74"/>
      <c r="I503" s="4" t="s">
        <v>101</v>
      </c>
    </row>
    <row r="504">
      <c r="A504" s="12"/>
      <c r="B504" s="74"/>
      <c r="F504" s="12"/>
      <c r="G504" s="74"/>
      <c r="I504" s="4" t="s">
        <v>101</v>
      </c>
    </row>
    <row r="505">
      <c r="A505" s="12"/>
      <c r="B505" s="74"/>
      <c r="F505" s="12"/>
      <c r="G505" s="74"/>
      <c r="I505" s="4" t="s">
        <v>101</v>
      </c>
    </row>
    <row r="506">
      <c r="A506" s="12"/>
      <c r="B506" s="74"/>
      <c r="F506" s="12"/>
      <c r="G506" s="74"/>
      <c r="I506" s="4" t="s">
        <v>101</v>
      </c>
    </row>
    <row r="507">
      <c r="A507" s="12"/>
      <c r="B507" s="74"/>
      <c r="F507" s="12"/>
      <c r="G507" s="74"/>
      <c r="I507" s="4" t="s">
        <v>101</v>
      </c>
    </row>
    <row r="508">
      <c r="A508" s="12"/>
      <c r="B508" s="74"/>
      <c r="F508" s="12"/>
      <c r="G508" s="74"/>
      <c r="I508" s="4" t="s">
        <v>101</v>
      </c>
    </row>
    <row r="509">
      <c r="A509" s="12"/>
      <c r="B509" s="74"/>
      <c r="F509" s="12"/>
      <c r="G509" s="74"/>
      <c r="I509" s="4" t="s">
        <v>101</v>
      </c>
    </row>
    <row r="510">
      <c r="A510" s="12"/>
      <c r="B510" s="74"/>
      <c r="F510" s="12"/>
      <c r="G510" s="74"/>
      <c r="I510" s="4" t="s">
        <v>101</v>
      </c>
    </row>
    <row r="511">
      <c r="A511" s="12"/>
      <c r="B511" s="74"/>
      <c r="F511" s="12"/>
      <c r="G511" s="74"/>
      <c r="I511" s="4" t="s">
        <v>101</v>
      </c>
    </row>
    <row r="512">
      <c r="A512" s="12"/>
      <c r="B512" s="74"/>
      <c r="F512" s="12"/>
      <c r="G512" s="74"/>
      <c r="I512" s="4" t="s">
        <v>101</v>
      </c>
    </row>
    <row r="513">
      <c r="A513" s="12"/>
      <c r="B513" s="74"/>
      <c r="F513" s="12"/>
      <c r="G513" s="74"/>
      <c r="I513" s="4" t="s">
        <v>101</v>
      </c>
    </row>
    <row r="514">
      <c r="A514" s="12"/>
      <c r="B514" s="74"/>
      <c r="F514" s="12"/>
      <c r="G514" s="74"/>
      <c r="I514" s="4" t="s">
        <v>101</v>
      </c>
    </row>
    <row r="515">
      <c r="A515" s="12"/>
      <c r="B515" s="74"/>
      <c r="F515" s="12"/>
      <c r="G515" s="74"/>
      <c r="I515" s="4" t="s">
        <v>101</v>
      </c>
    </row>
    <row r="516">
      <c r="A516" s="12"/>
      <c r="B516" s="74"/>
      <c r="F516" s="12"/>
      <c r="G516" s="74"/>
      <c r="I516" s="4" t="s">
        <v>101</v>
      </c>
    </row>
    <row r="517">
      <c r="A517" s="12"/>
      <c r="B517" s="74"/>
      <c r="F517" s="12"/>
      <c r="G517" s="74"/>
      <c r="I517" s="4" t="s">
        <v>101</v>
      </c>
    </row>
    <row r="518">
      <c r="A518" s="12"/>
      <c r="B518" s="74"/>
      <c r="F518" s="12"/>
      <c r="G518" s="74"/>
      <c r="I518" s="4" t="s">
        <v>101</v>
      </c>
    </row>
    <row r="519">
      <c r="A519" s="12"/>
      <c r="B519" s="74"/>
      <c r="F519" s="12"/>
      <c r="G519" s="74"/>
      <c r="I519" s="4" t="s">
        <v>101</v>
      </c>
    </row>
    <row r="520">
      <c r="A520" s="12"/>
      <c r="B520" s="74"/>
      <c r="F520" s="12"/>
      <c r="G520" s="74"/>
      <c r="I520" s="4" t="s">
        <v>101</v>
      </c>
    </row>
    <row r="521">
      <c r="A521" s="12"/>
      <c r="B521" s="74"/>
      <c r="F521" s="12"/>
      <c r="G521" s="74"/>
      <c r="I521" s="4" t="s">
        <v>101</v>
      </c>
    </row>
    <row r="522">
      <c r="A522" s="12"/>
      <c r="B522" s="74"/>
      <c r="F522" s="12"/>
      <c r="G522" s="74"/>
      <c r="I522" s="4" t="s">
        <v>101</v>
      </c>
    </row>
    <row r="523">
      <c r="A523" s="12"/>
      <c r="B523" s="74"/>
      <c r="F523" s="12"/>
      <c r="G523" s="74"/>
      <c r="I523" s="4" t="s">
        <v>101</v>
      </c>
    </row>
    <row r="524">
      <c r="A524" s="12"/>
      <c r="B524" s="74"/>
      <c r="F524" s="12"/>
      <c r="G524" s="74"/>
      <c r="I524" s="4" t="s">
        <v>101</v>
      </c>
    </row>
    <row r="525">
      <c r="A525" s="12"/>
      <c r="B525" s="74"/>
      <c r="F525" s="12"/>
      <c r="G525" s="74"/>
      <c r="I525" s="4" t="s">
        <v>101</v>
      </c>
    </row>
    <row r="526">
      <c r="A526" s="12"/>
      <c r="B526" s="74"/>
      <c r="F526" s="12"/>
      <c r="G526" s="74"/>
      <c r="I526" s="4" t="s">
        <v>101</v>
      </c>
    </row>
    <row r="527">
      <c r="A527" s="12"/>
      <c r="B527" s="74"/>
      <c r="F527" s="12"/>
      <c r="G527" s="74"/>
      <c r="I527" s="4" t="s">
        <v>101</v>
      </c>
    </row>
    <row r="528">
      <c r="A528" s="12"/>
      <c r="B528" s="74"/>
      <c r="F528" s="12"/>
      <c r="G528" s="74"/>
      <c r="I528" s="4" t="s">
        <v>101</v>
      </c>
    </row>
    <row r="529">
      <c r="A529" s="12"/>
      <c r="B529" s="74"/>
      <c r="F529" s="12"/>
      <c r="G529" s="74"/>
      <c r="I529" s="4" t="s">
        <v>101</v>
      </c>
    </row>
    <row r="530">
      <c r="A530" s="12"/>
      <c r="B530" s="74"/>
      <c r="F530" s="12"/>
      <c r="G530" s="74"/>
      <c r="I530" s="4" t="s">
        <v>101</v>
      </c>
    </row>
    <row r="531">
      <c r="A531" s="12"/>
      <c r="B531" s="74"/>
      <c r="F531" s="12"/>
      <c r="G531" s="74"/>
      <c r="I531" s="4" t="s">
        <v>101</v>
      </c>
    </row>
    <row r="532">
      <c r="A532" s="12"/>
      <c r="B532" s="74"/>
      <c r="F532" s="12"/>
      <c r="G532" s="74"/>
      <c r="I532" s="4" t="s">
        <v>101</v>
      </c>
    </row>
    <row r="533">
      <c r="A533" s="12"/>
      <c r="B533" s="74"/>
      <c r="F533" s="12"/>
      <c r="G533" s="74"/>
      <c r="I533" s="4" t="s">
        <v>101</v>
      </c>
    </row>
    <row r="534">
      <c r="A534" s="12"/>
      <c r="B534" s="74"/>
      <c r="F534" s="12"/>
      <c r="G534" s="74"/>
      <c r="I534" s="4" t="s">
        <v>101</v>
      </c>
    </row>
    <row r="535">
      <c r="A535" s="12"/>
      <c r="B535" s="74"/>
      <c r="F535" s="12"/>
      <c r="G535" s="74"/>
      <c r="I535" s="4" t="s">
        <v>101</v>
      </c>
    </row>
    <row r="536">
      <c r="A536" s="12"/>
      <c r="B536" s="74"/>
      <c r="F536" s="12"/>
      <c r="G536" s="74"/>
      <c r="I536" s="4" t="s">
        <v>101</v>
      </c>
    </row>
    <row r="537">
      <c r="A537" s="12"/>
      <c r="B537" s="74"/>
      <c r="F537" s="12"/>
      <c r="G537" s="74"/>
      <c r="I537" s="4" t="s">
        <v>101</v>
      </c>
    </row>
    <row r="538">
      <c r="A538" s="12"/>
      <c r="B538" s="74"/>
      <c r="F538" s="12"/>
      <c r="G538" s="74"/>
      <c r="I538" s="4" t="s">
        <v>101</v>
      </c>
    </row>
    <row r="539">
      <c r="A539" s="12"/>
      <c r="B539" s="74"/>
      <c r="F539" s="12"/>
      <c r="G539" s="74"/>
      <c r="I539" s="4" t="s">
        <v>101</v>
      </c>
    </row>
    <row r="540">
      <c r="A540" s="12"/>
      <c r="B540" s="74"/>
      <c r="F540" s="12"/>
      <c r="G540" s="74"/>
      <c r="I540" s="4" t="s">
        <v>101</v>
      </c>
    </row>
    <row r="541">
      <c r="A541" s="12"/>
      <c r="B541" s="74"/>
      <c r="F541" s="12"/>
      <c r="G541" s="74"/>
      <c r="I541" s="4" t="s">
        <v>101</v>
      </c>
    </row>
    <row r="542">
      <c r="A542" s="12"/>
      <c r="B542" s="74"/>
      <c r="F542" s="12"/>
      <c r="G542" s="74"/>
      <c r="I542" s="4" t="s">
        <v>101</v>
      </c>
    </row>
    <row r="543">
      <c r="A543" s="12"/>
      <c r="B543" s="74"/>
      <c r="F543" s="12"/>
      <c r="G543" s="74"/>
      <c r="I543" s="4" t="s">
        <v>101</v>
      </c>
    </row>
    <row r="544">
      <c r="A544" s="12"/>
      <c r="B544" s="74"/>
      <c r="F544" s="12"/>
      <c r="G544" s="74"/>
      <c r="I544" s="4" t="s">
        <v>101</v>
      </c>
    </row>
    <row r="545">
      <c r="A545" s="12"/>
      <c r="B545" s="74"/>
      <c r="F545" s="12"/>
      <c r="G545" s="74"/>
      <c r="I545" s="4" t="s">
        <v>101</v>
      </c>
    </row>
    <row r="546">
      <c r="A546" s="12"/>
      <c r="B546" s="74"/>
      <c r="F546" s="12"/>
      <c r="G546" s="74"/>
      <c r="I546" s="4" t="s">
        <v>101</v>
      </c>
    </row>
    <row r="547">
      <c r="A547" s="12"/>
      <c r="B547" s="74"/>
      <c r="F547" s="12"/>
      <c r="G547" s="74"/>
      <c r="I547" s="4" t="s">
        <v>101</v>
      </c>
    </row>
    <row r="548">
      <c r="A548" s="12"/>
      <c r="B548" s="74"/>
      <c r="F548" s="12"/>
      <c r="G548" s="74"/>
      <c r="I548" s="4" t="s">
        <v>101</v>
      </c>
    </row>
    <row r="549">
      <c r="A549" s="12"/>
      <c r="B549" s="74"/>
      <c r="F549" s="12"/>
      <c r="G549" s="74"/>
      <c r="I549" s="4" t="s">
        <v>101</v>
      </c>
    </row>
    <row r="550">
      <c r="A550" s="12"/>
      <c r="B550" s="74"/>
      <c r="F550" s="12"/>
      <c r="G550" s="74"/>
      <c r="I550" s="4" t="s">
        <v>101</v>
      </c>
    </row>
    <row r="551">
      <c r="A551" s="12"/>
      <c r="B551" s="74"/>
      <c r="F551" s="12"/>
      <c r="G551" s="74"/>
      <c r="I551" s="4" t="s">
        <v>101</v>
      </c>
    </row>
    <row r="552">
      <c r="A552" s="12"/>
      <c r="B552" s="74"/>
      <c r="F552" s="12"/>
      <c r="G552" s="74"/>
      <c r="I552" s="4" t="s">
        <v>101</v>
      </c>
    </row>
    <row r="553">
      <c r="A553" s="12"/>
      <c r="B553" s="74"/>
      <c r="F553" s="12"/>
      <c r="G553" s="74"/>
      <c r="I553" s="4" t="s">
        <v>101</v>
      </c>
    </row>
    <row r="554">
      <c r="A554" s="12"/>
      <c r="B554" s="74"/>
      <c r="F554" s="12"/>
      <c r="G554" s="74"/>
      <c r="I554" s="4" t="s">
        <v>101</v>
      </c>
    </row>
    <row r="555">
      <c r="A555" s="12"/>
      <c r="B555" s="74"/>
      <c r="F555" s="12"/>
      <c r="G555" s="74"/>
      <c r="I555" s="4" t="s">
        <v>101</v>
      </c>
    </row>
    <row r="556">
      <c r="A556" s="12"/>
      <c r="B556" s="74"/>
      <c r="F556" s="12"/>
      <c r="G556" s="74"/>
      <c r="I556" s="4" t="s">
        <v>101</v>
      </c>
    </row>
    <row r="557">
      <c r="A557" s="12"/>
      <c r="B557" s="74"/>
      <c r="F557" s="12"/>
      <c r="G557" s="74"/>
      <c r="I557" s="4" t="s">
        <v>101</v>
      </c>
    </row>
    <row r="558">
      <c r="A558" s="12"/>
      <c r="B558" s="74"/>
      <c r="F558" s="12"/>
      <c r="G558" s="74"/>
      <c r="I558" s="4" t="s">
        <v>101</v>
      </c>
    </row>
    <row r="559">
      <c r="A559" s="12"/>
      <c r="B559" s="74"/>
      <c r="F559" s="12"/>
      <c r="G559" s="74"/>
      <c r="I559" s="4" t="s">
        <v>101</v>
      </c>
    </row>
    <row r="560">
      <c r="A560" s="12"/>
      <c r="B560" s="74"/>
      <c r="F560" s="12"/>
      <c r="G560" s="74"/>
      <c r="I560" s="4" t="s">
        <v>101</v>
      </c>
    </row>
    <row r="561">
      <c r="A561" s="12"/>
      <c r="B561" s="74"/>
      <c r="F561" s="12"/>
      <c r="G561" s="74"/>
      <c r="I561" s="4" t="s">
        <v>101</v>
      </c>
    </row>
    <row r="562">
      <c r="A562" s="12"/>
      <c r="B562" s="74"/>
      <c r="F562" s="12"/>
      <c r="G562" s="74"/>
      <c r="I562" s="4" t="s">
        <v>101</v>
      </c>
    </row>
    <row r="563">
      <c r="A563" s="12"/>
      <c r="B563" s="74"/>
      <c r="F563" s="12"/>
      <c r="G563" s="74"/>
      <c r="I563" s="4" t="s">
        <v>101</v>
      </c>
    </row>
    <row r="564">
      <c r="A564" s="12"/>
      <c r="B564" s="74"/>
      <c r="F564" s="12"/>
      <c r="G564" s="74"/>
      <c r="I564" s="4" t="s">
        <v>101</v>
      </c>
    </row>
    <row r="565">
      <c r="A565" s="12"/>
      <c r="B565" s="74"/>
      <c r="F565" s="12"/>
      <c r="G565" s="74"/>
      <c r="I565" s="4" t="s">
        <v>101</v>
      </c>
    </row>
    <row r="566">
      <c r="A566" s="12"/>
      <c r="B566" s="74"/>
      <c r="F566" s="12"/>
      <c r="G566" s="74"/>
      <c r="I566" s="4" t="s">
        <v>101</v>
      </c>
    </row>
    <row r="567">
      <c r="A567" s="12"/>
      <c r="B567" s="74"/>
      <c r="F567" s="12"/>
      <c r="G567" s="74"/>
      <c r="I567" s="4" t="s">
        <v>101</v>
      </c>
    </row>
    <row r="568">
      <c r="A568" s="12"/>
      <c r="B568" s="74"/>
      <c r="F568" s="12"/>
      <c r="G568" s="74"/>
      <c r="I568" s="4" t="s">
        <v>101</v>
      </c>
    </row>
    <row r="569">
      <c r="A569" s="12"/>
      <c r="B569" s="74"/>
      <c r="F569" s="12"/>
      <c r="G569" s="74"/>
      <c r="I569" s="4" t="s">
        <v>101</v>
      </c>
    </row>
    <row r="570">
      <c r="A570" s="12"/>
      <c r="B570" s="74"/>
      <c r="F570" s="12"/>
      <c r="G570" s="74"/>
      <c r="I570" s="4" t="s">
        <v>101</v>
      </c>
    </row>
    <row r="571">
      <c r="A571" s="12"/>
      <c r="B571" s="74"/>
      <c r="F571" s="12"/>
      <c r="G571" s="74"/>
      <c r="I571" s="4" t="s">
        <v>101</v>
      </c>
    </row>
    <row r="572">
      <c r="A572" s="12"/>
      <c r="B572" s="74"/>
      <c r="F572" s="12"/>
      <c r="G572" s="74"/>
      <c r="I572" s="4" t="s">
        <v>101</v>
      </c>
    </row>
    <row r="573">
      <c r="A573" s="12"/>
      <c r="B573" s="74"/>
      <c r="F573" s="12"/>
      <c r="G573" s="74"/>
      <c r="I573" s="4" t="s">
        <v>101</v>
      </c>
    </row>
    <row r="574">
      <c r="A574" s="12"/>
      <c r="B574" s="74"/>
      <c r="F574" s="12"/>
      <c r="G574" s="74"/>
      <c r="I574" s="4" t="s">
        <v>101</v>
      </c>
    </row>
    <row r="575">
      <c r="A575" s="12"/>
      <c r="B575" s="74"/>
      <c r="F575" s="12"/>
      <c r="G575" s="74"/>
      <c r="I575" s="4" t="s">
        <v>101</v>
      </c>
    </row>
    <row r="576">
      <c r="A576" s="12"/>
      <c r="B576" s="74"/>
      <c r="F576" s="12"/>
      <c r="G576" s="74"/>
      <c r="I576" s="4" t="s">
        <v>101</v>
      </c>
    </row>
    <row r="577">
      <c r="A577" s="12"/>
      <c r="B577" s="74"/>
      <c r="F577" s="12"/>
      <c r="G577" s="74"/>
      <c r="I577" s="4" t="s">
        <v>101</v>
      </c>
    </row>
    <row r="578">
      <c r="A578" s="12"/>
      <c r="B578" s="74"/>
      <c r="F578" s="12"/>
      <c r="G578" s="74"/>
      <c r="I578" s="4" t="s">
        <v>101</v>
      </c>
    </row>
    <row r="579">
      <c r="A579" s="12"/>
      <c r="B579" s="74"/>
      <c r="F579" s="12"/>
      <c r="G579" s="74"/>
      <c r="I579" s="4" t="s">
        <v>101</v>
      </c>
    </row>
    <row r="580">
      <c r="A580" s="12"/>
      <c r="B580" s="74"/>
      <c r="F580" s="12"/>
      <c r="G580" s="74"/>
      <c r="I580" s="4" t="s">
        <v>101</v>
      </c>
    </row>
    <row r="581">
      <c r="A581" s="12"/>
      <c r="B581" s="74"/>
      <c r="F581" s="12"/>
      <c r="G581" s="74"/>
      <c r="I581" s="4" t="s">
        <v>101</v>
      </c>
    </row>
    <row r="582">
      <c r="A582" s="12"/>
      <c r="B582" s="74"/>
      <c r="F582" s="12"/>
      <c r="G582" s="74"/>
      <c r="I582" s="4" t="s">
        <v>101</v>
      </c>
    </row>
    <row r="583">
      <c r="A583" s="12"/>
      <c r="B583" s="74"/>
      <c r="F583" s="12"/>
      <c r="G583" s="74"/>
      <c r="I583" s="4" t="s">
        <v>101</v>
      </c>
    </row>
    <row r="584">
      <c r="A584" s="12"/>
      <c r="B584" s="74"/>
      <c r="F584" s="12"/>
      <c r="G584" s="74"/>
      <c r="I584" s="4" t="s">
        <v>101</v>
      </c>
    </row>
    <row r="585">
      <c r="A585" s="12"/>
      <c r="B585" s="74"/>
      <c r="F585" s="12"/>
      <c r="G585" s="74"/>
      <c r="I585" s="4" t="s">
        <v>101</v>
      </c>
    </row>
    <row r="586">
      <c r="A586" s="12"/>
      <c r="B586" s="74"/>
      <c r="F586" s="12"/>
      <c r="G586" s="74"/>
      <c r="I586" s="4" t="s">
        <v>101</v>
      </c>
    </row>
    <row r="587">
      <c r="A587" s="12"/>
      <c r="B587" s="74"/>
      <c r="F587" s="12"/>
      <c r="G587" s="74"/>
      <c r="I587" s="4" t="s">
        <v>101</v>
      </c>
    </row>
    <row r="588">
      <c r="A588" s="12"/>
      <c r="B588" s="74"/>
      <c r="F588" s="12"/>
      <c r="G588" s="74"/>
      <c r="I588" s="4" t="s">
        <v>101</v>
      </c>
    </row>
    <row r="589">
      <c r="A589" s="12"/>
      <c r="B589" s="74"/>
      <c r="F589" s="12"/>
      <c r="G589" s="74"/>
      <c r="I589" s="4" t="s">
        <v>101</v>
      </c>
    </row>
    <row r="590">
      <c r="A590" s="12"/>
      <c r="B590" s="74"/>
      <c r="F590" s="12"/>
      <c r="G590" s="74"/>
      <c r="I590" s="4" t="s">
        <v>101</v>
      </c>
    </row>
    <row r="591">
      <c r="A591" s="12"/>
      <c r="B591" s="74"/>
      <c r="F591" s="12"/>
      <c r="G591" s="74"/>
      <c r="I591" s="4" t="s">
        <v>101</v>
      </c>
    </row>
    <row r="592">
      <c r="A592" s="12"/>
      <c r="B592" s="74"/>
      <c r="F592" s="12"/>
      <c r="G592" s="74"/>
      <c r="I592" s="4" t="s">
        <v>101</v>
      </c>
    </row>
    <row r="593">
      <c r="A593" s="12"/>
      <c r="B593" s="74"/>
      <c r="F593" s="12"/>
      <c r="G593" s="74"/>
      <c r="I593" s="4" t="s">
        <v>101</v>
      </c>
    </row>
    <row r="594">
      <c r="A594" s="12"/>
      <c r="B594" s="74"/>
      <c r="F594" s="12"/>
      <c r="G594" s="74"/>
      <c r="I594" s="4" t="s">
        <v>101</v>
      </c>
    </row>
    <row r="595">
      <c r="A595" s="12"/>
      <c r="B595" s="74"/>
      <c r="F595" s="12"/>
      <c r="G595" s="74"/>
      <c r="I595" s="4" t="s">
        <v>101</v>
      </c>
    </row>
    <row r="596">
      <c r="A596" s="12"/>
      <c r="B596" s="74"/>
      <c r="F596" s="12"/>
      <c r="G596" s="74"/>
      <c r="I596" s="4" t="s">
        <v>101</v>
      </c>
    </row>
    <row r="597">
      <c r="A597" s="12"/>
      <c r="B597" s="74"/>
      <c r="F597" s="12"/>
      <c r="G597" s="74"/>
      <c r="I597" s="4" t="s">
        <v>101</v>
      </c>
    </row>
    <row r="598">
      <c r="A598" s="12"/>
      <c r="B598" s="74"/>
      <c r="F598" s="12"/>
      <c r="G598" s="74"/>
      <c r="I598" s="4" t="s">
        <v>101</v>
      </c>
    </row>
    <row r="599">
      <c r="A599" s="12"/>
      <c r="B599" s="74"/>
      <c r="F599" s="12"/>
      <c r="G599" s="74"/>
      <c r="I599" s="4" t="s">
        <v>101</v>
      </c>
    </row>
    <row r="600">
      <c r="A600" s="12"/>
      <c r="B600" s="74"/>
      <c r="F600" s="12"/>
      <c r="G600" s="74"/>
      <c r="I600" s="4" t="s">
        <v>101</v>
      </c>
    </row>
    <row r="601">
      <c r="A601" s="12"/>
      <c r="B601" s="74"/>
      <c r="F601" s="12"/>
      <c r="G601" s="74"/>
      <c r="I601" s="4" t="s">
        <v>101</v>
      </c>
    </row>
    <row r="602">
      <c r="A602" s="12"/>
      <c r="B602" s="74"/>
      <c r="F602" s="12"/>
      <c r="G602" s="74"/>
      <c r="I602" s="4" t="s">
        <v>101</v>
      </c>
    </row>
    <row r="603">
      <c r="A603" s="12"/>
      <c r="B603" s="74"/>
      <c r="F603" s="12"/>
      <c r="G603" s="74"/>
      <c r="I603" s="4" t="s">
        <v>101</v>
      </c>
    </row>
    <row r="604">
      <c r="A604" s="12"/>
      <c r="B604" s="74"/>
      <c r="F604" s="12"/>
      <c r="G604" s="74"/>
      <c r="I604" s="4" t="s">
        <v>101</v>
      </c>
    </row>
    <row r="605">
      <c r="A605" s="12"/>
      <c r="B605" s="74"/>
      <c r="F605" s="12"/>
      <c r="G605" s="74"/>
      <c r="I605" s="4" t="s">
        <v>101</v>
      </c>
    </row>
    <row r="606">
      <c r="A606" s="12"/>
      <c r="B606" s="74"/>
      <c r="F606" s="12"/>
      <c r="G606" s="74"/>
      <c r="I606" s="4" t="s">
        <v>101</v>
      </c>
    </row>
    <row r="607">
      <c r="A607" s="12"/>
      <c r="B607" s="74"/>
      <c r="F607" s="12"/>
      <c r="G607" s="74"/>
      <c r="I607" s="4" t="s">
        <v>101</v>
      </c>
    </row>
    <row r="608">
      <c r="A608" s="12"/>
      <c r="B608" s="74"/>
      <c r="F608" s="12"/>
      <c r="G608" s="74"/>
      <c r="I608" s="4" t="s">
        <v>101</v>
      </c>
    </row>
    <row r="609">
      <c r="A609" s="12"/>
      <c r="B609" s="74"/>
      <c r="F609" s="12"/>
      <c r="G609" s="74"/>
      <c r="I609" s="4" t="s">
        <v>101</v>
      </c>
    </row>
    <row r="610">
      <c r="A610" s="12"/>
      <c r="B610" s="74"/>
      <c r="F610" s="12"/>
      <c r="G610" s="74"/>
      <c r="I610" s="4" t="s">
        <v>101</v>
      </c>
    </row>
    <row r="611">
      <c r="A611" s="12"/>
      <c r="B611" s="74"/>
      <c r="F611" s="12"/>
      <c r="G611" s="74"/>
      <c r="I611" s="4" t="s">
        <v>101</v>
      </c>
    </row>
    <row r="612">
      <c r="A612" s="12"/>
      <c r="B612" s="74"/>
      <c r="F612" s="12"/>
      <c r="G612" s="74"/>
      <c r="I612" s="4" t="s">
        <v>101</v>
      </c>
    </row>
    <row r="613">
      <c r="A613" s="12"/>
      <c r="B613" s="74"/>
      <c r="F613" s="12"/>
      <c r="G613" s="74"/>
      <c r="I613" s="4" t="s">
        <v>101</v>
      </c>
    </row>
    <row r="614">
      <c r="A614" s="12"/>
      <c r="B614" s="74"/>
      <c r="F614" s="12"/>
      <c r="G614" s="74"/>
      <c r="I614" s="4" t="s">
        <v>101</v>
      </c>
    </row>
    <row r="615">
      <c r="A615" s="12"/>
      <c r="B615" s="74"/>
      <c r="F615" s="12"/>
      <c r="G615" s="74"/>
      <c r="I615" s="4" t="s">
        <v>101</v>
      </c>
    </row>
    <row r="616">
      <c r="A616" s="12"/>
      <c r="B616" s="74"/>
      <c r="F616" s="12"/>
      <c r="G616" s="74"/>
      <c r="I616" s="4" t="s">
        <v>101</v>
      </c>
    </row>
    <row r="617">
      <c r="A617" s="12"/>
      <c r="B617" s="74"/>
      <c r="F617" s="12"/>
      <c r="G617" s="74"/>
      <c r="I617" s="4" t="s">
        <v>101</v>
      </c>
    </row>
    <row r="618">
      <c r="A618" s="12"/>
      <c r="B618" s="74"/>
      <c r="F618" s="12"/>
      <c r="G618" s="74"/>
      <c r="I618" s="4" t="s">
        <v>101</v>
      </c>
    </row>
    <row r="619">
      <c r="A619" s="12"/>
      <c r="B619" s="74"/>
      <c r="F619" s="12"/>
      <c r="G619" s="74"/>
      <c r="I619" s="4" t="s">
        <v>101</v>
      </c>
    </row>
    <row r="620">
      <c r="A620" s="12"/>
      <c r="B620" s="74"/>
      <c r="F620" s="12"/>
      <c r="G620" s="74"/>
      <c r="I620" s="4" t="s">
        <v>101</v>
      </c>
    </row>
    <row r="621">
      <c r="A621" s="12"/>
      <c r="B621" s="74"/>
      <c r="F621" s="12"/>
      <c r="G621" s="74"/>
      <c r="I621" s="4" t="s">
        <v>101</v>
      </c>
    </row>
    <row r="622">
      <c r="A622" s="12"/>
      <c r="B622" s="74"/>
      <c r="F622" s="12"/>
      <c r="G622" s="74"/>
      <c r="I622" s="4" t="s">
        <v>101</v>
      </c>
    </row>
    <row r="623">
      <c r="A623" s="12"/>
      <c r="B623" s="74"/>
      <c r="F623" s="12"/>
      <c r="G623" s="74"/>
      <c r="I623" s="4" t="s">
        <v>101</v>
      </c>
    </row>
    <row r="624">
      <c r="A624" s="12"/>
      <c r="B624" s="74"/>
      <c r="F624" s="12"/>
      <c r="G624" s="74"/>
      <c r="I624" s="4" t="s">
        <v>101</v>
      </c>
    </row>
    <row r="625">
      <c r="A625" s="12"/>
      <c r="B625" s="74"/>
      <c r="F625" s="12"/>
      <c r="G625" s="74"/>
      <c r="I625" s="4" t="s">
        <v>101</v>
      </c>
    </row>
    <row r="626">
      <c r="A626" s="12"/>
      <c r="B626" s="74"/>
      <c r="F626" s="12"/>
      <c r="G626" s="74"/>
      <c r="I626" s="4" t="s">
        <v>101</v>
      </c>
    </row>
    <row r="627">
      <c r="A627" s="12"/>
      <c r="B627" s="74"/>
      <c r="F627" s="12"/>
      <c r="G627" s="74"/>
      <c r="I627" s="4" t="s">
        <v>101</v>
      </c>
    </row>
    <row r="628">
      <c r="A628" s="12"/>
      <c r="B628" s="74"/>
      <c r="F628" s="12"/>
      <c r="G628" s="74"/>
      <c r="I628" s="4" t="s">
        <v>101</v>
      </c>
    </row>
    <row r="629">
      <c r="A629" s="12"/>
      <c r="B629" s="74"/>
      <c r="F629" s="12"/>
      <c r="G629" s="74"/>
      <c r="I629" s="4" t="s">
        <v>101</v>
      </c>
    </row>
    <row r="630">
      <c r="A630" s="12"/>
      <c r="B630" s="74"/>
      <c r="F630" s="12"/>
      <c r="G630" s="74"/>
      <c r="I630" s="4" t="s">
        <v>101</v>
      </c>
    </row>
    <row r="631">
      <c r="A631" s="12"/>
      <c r="B631" s="74"/>
      <c r="F631" s="12"/>
      <c r="G631" s="74"/>
      <c r="I631" s="4" t="s">
        <v>101</v>
      </c>
    </row>
    <row r="632">
      <c r="A632" s="12"/>
      <c r="B632" s="74"/>
      <c r="F632" s="12"/>
      <c r="G632" s="74"/>
      <c r="I632" s="4" t="s">
        <v>101</v>
      </c>
    </row>
    <row r="633">
      <c r="A633" s="12"/>
      <c r="B633" s="74"/>
      <c r="F633" s="12"/>
      <c r="G633" s="74"/>
      <c r="I633" s="4" t="s">
        <v>101</v>
      </c>
    </row>
    <row r="634">
      <c r="A634" s="12"/>
      <c r="B634" s="74"/>
      <c r="F634" s="12"/>
      <c r="G634" s="74"/>
      <c r="I634" s="4" t="s">
        <v>101</v>
      </c>
    </row>
    <row r="635">
      <c r="A635" s="12"/>
      <c r="B635" s="74"/>
      <c r="F635" s="12"/>
      <c r="G635" s="74"/>
      <c r="I635" s="4" t="s">
        <v>101</v>
      </c>
    </row>
    <row r="636">
      <c r="A636" s="12"/>
      <c r="B636" s="74"/>
      <c r="F636" s="12"/>
      <c r="G636" s="74"/>
      <c r="I636" s="4" t="s">
        <v>101</v>
      </c>
    </row>
    <row r="637">
      <c r="A637" s="12"/>
      <c r="B637" s="74"/>
      <c r="F637" s="12"/>
      <c r="G637" s="74"/>
      <c r="I637" s="4" t="s">
        <v>101</v>
      </c>
    </row>
    <row r="638">
      <c r="A638" s="12"/>
      <c r="B638" s="74"/>
      <c r="F638" s="12"/>
      <c r="G638" s="74"/>
      <c r="I638" s="4" t="s">
        <v>101</v>
      </c>
    </row>
    <row r="639">
      <c r="A639" s="12"/>
      <c r="B639" s="74"/>
      <c r="F639" s="12"/>
      <c r="G639" s="74"/>
      <c r="I639" s="4" t="s">
        <v>101</v>
      </c>
    </row>
    <row r="640">
      <c r="A640" s="12"/>
      <c r="B640" s="74"/>
      <c r="F640" s="12"/>
      <c r="G640" s="74"/>
      <c r="I640" s="4" t="s">
        <v>101</v>
      </c>
    </row>
    <row r="641">
      <c r="A641" s="12"/>
      <c r="B641" s="74"/>
      <c r="F641" s="12"/>
      <c r="G641" s="74"/>
      <c r="I641" s="4" t="s">
        <v>101</v>
      </c>
    </row>
    <row r="642">
      <c r="A642" s="12"/>
      <c r="B642" s="74"/>
      <c r="F642" s="12"/>
      <c r="G642" s="74"/>
      <c r="I642" s="4" t="s">
        <v>101</v>
      </c>
    </row>
    <row r="643">
      <c r="A643" s="12"/>
      <c r="B643" s="74"/>
      <c r="F643" s="12"/>
      <c r="G643" s="74"/>
      <c r="I643" s="4" t="s">
        <v>101</v>
      </c>
    </row>
    <row r="644">
      <c r="A644" s="12"/>
      <c r="B644" s="74"/>
      <c r="F644" s="12"/>
      <c r="G644" s="74"/>
      <c r="I644" s="4" t="s">
        <v>101</v>
      </c>
    </row>
    <row r="645">
      <c r="A645" s="12"/>
      <c r="B645" s="74"/>
      <c r="F645" s="12"/>
      <c r="G645" s="74"/>
      <c r="I645" s="4" t="s">
        <v>101</v>
      </c>
    </row>
    <row r="646">
      <c r="A646" s="12"/>
      <c r="B646" s="74"/>
      <c r="F646" s="12"/>
      <c r="G646" s="74"/>
      <c r="I646" s="4" t="s">
        <v>101</v>
      </c>
    </row>
    <row r="647">
      <c r="A647" s="12"/>
      <c r="B647" s="74"/>
      <c r="F647" s="12"/>
      <c r="G647" s="74"/>
      <c r="I647" s="4" t="s">
        <v>101</v>
      </c>
    </row>
    <row r="648">
      <c r="A648" s="12"/>
      <c r="B648" s="74"/>
      <c r="F648" s="12"/>
      <c r="G648" s="74"/>
      <c r="I648" s="4" t="s">
        <v>101</v>
      </c>
    </row>
    <row r="649">
      <c r="A649" s="12"/>
      <c r="B649" s="74"/>
      <c r="F649" s="12"/>
      <c r="G649" s="74"/>
      <c r="I649" s="4" t="s">
        <v>101</v>
      </c>
    </row>
    <row r="650">
      <c r="A650" s="12"/>
      <c r="B650" s="74"/>
      <c r="F650" s="12"/>
      <c r="G650" s="74"/>
      <c r="I650" s="4" t="s">
        <v>101</v>
      </c>
    </row>
    <row r="651">
      <c r="A651" s="12"/>
      <c r="B651" s="74"/>
      <c r="F651" s="12"/>
      <c r="G651" s="74"/>
      <c r="I651" s="4" t="s">
        <v>101</v>
      </c>
    </row>
    <row r="652">
      <c r="A652" s="12"/>
      <c r="B652" s="74"/>
      <c r="F652" s="12"/>
      <c r="G652" s="74"/>
      <c r="I652" s="4" t="s">
        <v>101</v>
      </c>
    </row>
    <row r="653">
      <c r="A653" s="12"/>
      <c r="B653" s="74"/>
      <c r="F653" s="12"/>
      <c r="G653" s="74"/>
      <c r="I653" s="4" t="s">
        <v>101</v>
      </c>
    </row>
    <row r="654">
      <c r="A654" s="12"/>
      <c r="B654" s="74"/>
      <c r="F654" s="12"/>
      <c r="G654" s="74"/>
      <c r="I654" s="4" t="s">
        <v>101</v>
      </c>
    </row>
    <row r="655">
      <c r="A655" s="12"/>
      <c r="B655" s="74"/>
      <c r="F655" s="12"/>
      <c r="G655" s="74"/>
      <c r="I655" s="4" t="s">
        <v>101</v>
      </c>
    </row>
    <row r="656">
      <c r="A656" s="12"/>
      <c r="B656" s="74"/>
      <c r="F656" s="12"/>
      <c r="G656" s="74"/>
      <c r="I656" s="4" t="s">
        <v>101</v>
      </c>
    </row>
    <row r="657">
      <c r="A657" s="12"/>
      <c r="B657" s="74"/>
      <c r="F657" s="12"/>
      <c r="G657" s="74"/>
      <c r="I657" s="4" t="s">
        <v>101</v>
      </c>
    </row>
    <row r="658">
      <c r="A658" s="12"/>
      <c r="B658" s="74"/>
      <c r="F658" s="12"/>
      <c r="G658" s="74"/>
      <c r="I658" s="4" t="s">
        <v>101</v>
      </c>
    </row>
    <row r="659">
      <c r="A659" s="12"/>
      <c r="B659" s="74"/>
      <c r="F659" s="12"/>
      <c r="G659" s="74"/>
      <c r="I659" s="4" t="s">
        <v>101</v>
      </c>
    </row>
    <row r="660">
      <c r="A660" s="12"/>
      <c r="B660" s="74"/>
      <c r="F660" s="12"/>
      <c r="G660" s="74"/>
      <c r="I660" s="4" t="s">
        <v>101</v>
      </c>
    </row>
    <row r="661">
      <c r="A661" s="12"/>
      <c r="B661" s="74"/>
      <c r="F661" s="12"/>
      <c r="G661" s="74"/>
      <c r="I661" s="4" t="s">
        <v>101</v>
      </c>
    </row>
    <row r="662">
      <c r="A662" s="12"/>
      <c r="B662" s="74"/>
      <c r="F662" s="12"/>
      <c r="G662" s="74"/>
      <c r="I662" s="4" t="s">
        <v>101</v>
      </c>
    </row>
    <row r="663">
      <c r="A663" s="12"/>
      <c r="B663" s="74"/>
      <c r="F663" s="12"/>
      <c r="G663" s="74"/>
      <c r="I663" s="4" t="s">
        <v>101</v>
      </c>
    </row>
    <row r="664">
      <c r="A664" s="12"/>
      <c r="B664" s="74"/>
      <c r="F664" s="12"/>
      <c r="G664" s="74"/>
      <c r="I664" s="4" t="s">
        <v>101</v>
      </c>
    </row>
    <row r="665">
      <c r="A665" s="12"/>
      <c r="B665" s="74"/>
      <c r="F665" s="12"/>
      <c r="G665" s="74"/>
      <c r="I665" s="4" t="s">
        <v>101</v>
      </c>
    </row>
    <row r="666">
      <c r="A666" s="12"/>
      <c r="B666" s="74"/>
      <c r="F666" s="12"/>
      <c r="G666" s="74"/>
      <c r="I666" s="4" t="s">
        <v>101</v>
      </c>
    </row>
    <row r="667">
      <c r="A667" s="12"/>
      <c r="B667" s="74"/>
      <c r="F667" s="12"/>
      <c r="G667" s="74"/>
      <c r="I667" s="4" t="s">
        <v>101</v>
      </c>
    </row>
    <row r="668">
      <c r="A668" s="12"/>
      <c r="B668" s="74"/>
      <c r="F668" s="12"/>
      <c r="G668" s="74"/>
      <c r="I668" s="4" t="s">
        <v>101</v>
      </c>
    </row>
    <row r="669">
      <c r="A669" s="12"/>
      <c r="B669" s="74"/>
      <c r="F669" s="12"/>
      <c r="G669" s="74"/>
      <c r="I669" s="4" t="s">
        <v>101</v>
      </c>
    </row>
    <row r="670">
      <c r="A670" s="12"/>
      <c r="B670" s="74"/>
      <c r="F670" s="12"/>
      <c r="G670" s="74"/>
      <c r="I670" s="4" t="s">
        <v>101</v>
      </c>
    </row>
    <row r="671">
      <c r="A671" s="12"/>
      <c r="B671" s="74"/>
      <c r="F671" s="12"/>
      <c r="G671" s="74"/>
      <c r="I671" s="4" t="s">
        <v>101</v>
      </c>
    </row>
    <row r="672">
      <c r="A672" s="12"/>
      <c r="B672" s="74"/>
      <c r="F672" s="12"/>
      <c r="G672" s="74"/>
      <c r="I672" s="4" t="s">
        <v>101</v>
      </c>
    </row>
    <row r="673">
      <c r="A673" s="12"/>
      <c r="B673" s="74"/>
      <c r="F673" s="12"/>
      <c r="G673" s="74"/>
      <c r="I673" s="4" t="s">
        <v>101</v>
      </c>
    </row>
    <row r="674">
      <c r="A674" s="12"/>
      <c r="B674" s="74"/>
      <c r="F674" s="12"/>
      <c r="G674" s="74"/>
      <c r="I674" s="4" t="s">
        <v>101</v>
      </c>
    </row>
    <row r="675">
      <c r="A675" s="12"/>
      <c r="B675" s="74"/>
      <c r="F675" s="12"/>
      <c r="G675" s="74"/>
      <c r="I675" s="4" t="s">
        <v>101</v>
      </c>
    </row>
    <row r="676">
      <c r="A676" s="12"/>
      <c r="B676" s="74"/>
      <c r="F676" s="12"/>
      <c r="G676" s="74"/>
      <c r="I676" s="4" t="s">
        <v>101</v>
      </c>
    </row>
    <row r="677">
      <c r="A677" s="12"/>
      <c r="B677" s="74"/>
      <c r="F677" s="12"/>
      <c r="G677" s="74"/>
      <c r="I677" s="4" t="s">
        <v>101</v>
      </c>
    </row>
    <row r="678">
      <c r="A678" s="12"/>
      <c r="B678" s="74"/>
      <c r="F678" s="12"/>
      <c r="G678" s="74"/>
      <c r="I678" s="4" t="s">
        <v>101</v>
      </c>
    </row>
    <row r="679">
      <c r="A679" s="12"/>
      <c r="B679" s="74"/>
      <c r="F679" s="12"/>
      <c r="G679" s="74"/>
      <c r="I679" s="4" t="s">
        <v>101</v>
      </c>
    </row>
    <row r="680">
      <c r="A680" s="12"/>
      <c r="B680" s="74"/>
      <c r="F680" s="12"/>
      <c r="G680" s="74"/>
      <c r="I680" s="4" t="s">
        <v>101</v>
      </c>
    </row>
    <row r="681">
      <c r="A681" s="12"/>
      <c r="B681" s="74"/>
      <c r="F681" s="12"/>
      <c r="G681" s="74"/>
      <c r="I681" s="4" t="s">
        <v>101</v>
      </c>
    </row>
    <row r="682">
      <c r="A682" s="12"/>
      <c r="B682" s="74"/>
      <c r="F682" s="12"/>
      <c r="G682" s="74"/>
      <c r="I682" s="4" t="s">
        <v>101</v>
      </c>
    </row>
    <row r="683">
      <c r="A683" s="12"/>
      <c r="B683" s="74"/>
      <c r="F683" s="12"/>
      <c r="G683" s="74"/>
      <c r="I683" s="4" t="s">
        <v>101</v>
      </c>
    </row>
    <row r="684">
      <c r="A684" s="12"/>
      <c r="B684" s="74"/>
      <c r="F684" s="12"/>
      <c r="G684" s="74"/>
      <c r="I684" s="4" t="s">
        <v>101</v>
      </c>
    </row>
    <row r="685">
      <c r="A685" s="12"/>
      <c r="B685" s="74"/>
      <c r="F685" s="12"/>
      <c r="G685" s="74"/>
      <c r="I685" s="4" t="s">
        <v>101</v>
      </c>
    </row>
    <row r="686">
      <c r="A686" s="12"/>
      <c r="B686" s="74"/>
      <c r="F686" s="12"/>
      <c r="G686" s="74"/>
      <c r="I686" s="4" t="s">
        <v>101</v>
      </c>
    </row>
    <row r="687">
      <c r="A687" s="12"/>
      <c r="B687" s="74"/>
      <c r="F687" s="12"/>
      <c r="G687" s="74"/>
      <c r="I687" s="4" t="s">
        <v>101</v>
      </c>
    </row>
    <row r="688">
      <c r="A688" s="12"/>
      <c r="B688" s="74"/>
      <c r="F688" s="12"/>
      <c r="G688" s="74"/>
      <c r="I688" s="4" t="s">
        <v>101</v>
      </c>
    </row>
    <row r="689">
      <c r="A689" s="12"/>
      <c r="B689" s="74"/>
      <c r="F689" s="12"/>
      <c r="G689" s="74"/>
      <c r="I689" s="4" t="s">
        <v>101</v>
      </c>
    </row>
    <row r="690">
      <c r="A690" s="12"/>
      <c r="B690" s="74"/>
      <c r="F690" s="12"/>
      <c r="G690" s="74"/>
      <c r="I690" s="4" t="s">
        <v>101</v>
      </c>
    </row>
    <row r="691">
      <c r="A691" s="12"/>
      <c r="B691" s="74"/>
      <c r="F691" s="12"/>
      <c r="G691" s="74"/>
      <c r="I691" s="4" t="s">
        <v>101</v>
      </c>
    </row>
    <row r="692">
      <c r="A692" s="12"/>
      <c r="B692" s="74"/>
      <c r="F692" s="12"/>
      <c r="G692" s="74"/>
      <c r="I692" s="4" t="s">
        <v>101</v>
      </c>
    </row>
    <row r="693">
      <c r="A693" s="12"/>
      <c r="B693" s="74"/>
      <c r="F693" s="12"/>
      <c r="G693" s="74"/>
      <c r="I693" s="4" t="s">
        <v>101</v>
      </c>
    </row>
    <row r="694">
      <c r="A694" s="12"/>
      <c r="B694" s="74"/>
      <c r="F694" s="12"/>
      <c r="G694" s="74"/>
      <c r="I694" s="4" t="s">
        <v>101</v>
      </c>
    </row>
    <row r="695">
      <c r="A695" s="12"/>
      <c r="B695" s="74"/>
      <c r="F695" s="12"/>
      <c r="G695" s="74"/>
      <c r="I695" s="4" t="s">
        <v>101</v>
      </c>
    </row>
    <row r="696">
      <c r="A696" s="12"/>
      <c r="B696" s="74"/>
      <c r="F696" s="12"/>
      <c r="G696" s="74"/>
      <c r="I696" s="4" t="s">
        <v>101</v>
      </c>
    </row>
    <row r="697">
      <c r="A697" s="12"/>
      <c r="B697" s="74"/>
      <c r="F697" s="12"/>
      <c r="G697" s="74"/>
      <c r="I697" s="4" t="s">
        <v>101</v>
      </c>
    </row>
    <row r="698">
      <c r="A698" s="12"/>
      <c r="B698" s="74"/>
      <c r="F698" s="12"/>
      <c r="G698" s="74"/>
      <c r="I698" s="4" t="s">
        <v>101</v>
      </c>
    </row>
    <row r="699">
      <c r="A699" s="12"/>
      <c r="B699" s="74"/>
      <c r="F699" s="12"/>
      <c r="G699" s="74"/>
      <c r="I699" s="4" t="s">
        <v>101</v>
      </c>
    </row>
    <row r="700">
      <c r="A700" s="12"/>
      <c r="B700" s="74"/>
      <c r="F700" s="12"/>
      <c r="G700" s="74"/>
      <c r="I700" s="4" t="s">
        <v>101</v>
      </c>
    </row>
    <row r="701">
      <c r="A701" s="12"/>
      <c r="B701" s="74"/>
      <c r="F701" s="12"/>
      <c r="G701" s="74"/>
      <c r="I701" s="4" t="s">
        <v>101</v>
      </c>
    </row>
    <row r="702">
      <c r="A702" s="12"/>
      <c r="B702" s="74"/>
      <c r="F702" s="12"/>
      <c r="G702" s="74"/>
      <c r="I702" s="4" t="s">
        <v>101</v>
      </c>
    </row>
    <row r="703">
      <c r="A703" s="12"/>
      <c r="B703" s="74"/>
      <c r="F703" s="12"/>
      <c r="G703" s="74"/>
      <c r="I703" s="4" t="s">
        <v>101</v>
      </c>
    </row>
    <row r="704">
      <c r="A704" s="12"/>
      <c r="B704" s="74"/>
      <c r="F704" s="12"/>
      <c r="G704" s="74"/>
      <c r="I704" s="4" t="s">
        <v>101</v>
      </c>
    </row>
    <row r="705">
      <c r="A705" s="12"/>
      <c r="B705" s="74"/>
      <c r="F705" s="12"/>
      <c r="G705" s="74"/>
      <c r="I705" s="4" t="s">
        <v>101</v>
      </c>
    </row>
    <row r="706">
      <c r="A706" s="12"/>
      <c r="B706" s="74"/>
      <c r="F706" s="12"/>
      <c r="G706" s="74"/>
      <c r="I706" s="4" t="s">
        <v>101</v>
      </c>
    </row>
    <row r="707">
      <c r="A707" s="12"/>
      <c r="B707" s="74"/>
      <c r="F707" s="12"/>
      <c r="G707" s="74"/>
      <c r="I707" s="4" t="s">
        <v>101</v>
      </c>
    </row>
    <row r="708">
      <c r="A708" s="12"/>
      <c r="B708" s="74"/>
      <c r="F708" s="12"/>
      <c r="G708" s="74"/>
      <c r="I708" s="4" t="s">
        <v>101</v>
      </c>
    </row>
    <row r="709">
      <c r="A709" s="12"/>
      <c r="B709" s="74"/>
      <c r="F709" s="12"/>
      <c r="G709" s="74"/>
      <c r="I709" s="4" t="s">
        <v>101</v>
      </c>
    </row>
    <row r="710">
      <c r="A710" s="12"/>
      <c r="B710" s="74"/>
      <c r="F710" s="12"/>
      <c r="G710" s="74"/>
      <c r="I710" s="4" t="s">
        <v>101</v>
      </c>
    </row>
    <row r="711">
      <c r="A711" s="12"/>
      <c r="B711" s="74"/>
      <c r="F711" s="12"/>
      <c r="G711" s="74"/>
      <c r="I711" s="4" t="s">
        <v>101</v>
      </c>
    </row>
    <row r="712">
      <c r="A712" s="12"/>
      <c r="B712" s="74"/>
      <c r="F712" s="12"/>
      <c r="G712" s="74"/>
      <c r="I712" s="4" t="s">
        <v>101</v>
      </c>
    </row>
    <row r="713">
      <c r="A713" s="12"/>
      <c r="B713" s="74"/>
      <c r="F713" s="12"/>
      <c r="G713" s="74"/>
      <c r="I713" s="4" t="s">
        <v>101</v>
      </c>
    </row>
    <row r="714">
      <c r="A714" s="12"/>
      <c r="B714" s="74"/>
      <c r="F714" s="12"/>
      <c r="G714" s="74"/>
      <c r="I714" s="4" t="s">
        <v>101</v>
      </c>
    </row>
    <row r="715">
      <c r="A715" s="12"/>
      <c r="B715" s="74"/>
      <c r="F715" s="12"/>
      <c r="G715" s="74"/>
      <c r="I715" s="4" t="s">
        <v>101</v>
      </c>
    </row>
    <row r="716">
      <c r="A716" s="12"/>
      <c r="B716" s="74"/>
      <c r="F716" s="12"/>
      <c r="G716" s="74"/>
      <c r="I716" s="4" t="s">
        <v>101</v>
      </c>
    </row>
    <row r="717">
      <c r="A717" s="12"/>
      <c r="B717" s="74"/>
      <c r="F717" s="12"/>
      <c r="G717" s="74"/>
      <c r="I717" s="4" t="s">
        <v>101</v>
      </c>
    </row>
    <row r="718">
      <c r="A718" s="12"/>
      <c r="B718" s="74"/>
      <c r="F718" s="12"/>
      <c r="G718" s="74"/>
      <c r="I718" s="4" t="s">
        <v>101</v>
      </c>
    </row>
    <row r="719">
      <c r="A719" s="12"/>
      <c r="B719" s="74"/>
      <c r="F719" s="12"/>
      <c r="G719" s="74"/>
      <c r="I719" s="4" t="s">
        <v>101</v>
      </c>
    </row>
    <row r="720">
      <c r="A720" s="12"/>
      <c r="B720" s="74"/>
      <c r="F720" s="12"/>
      <c r="G720" s="74"/>
      <c r="I720" s="4" t="s">
        <v>101</v>
      </c>
    </row>
    <row r="721">
      <c r="A721" s="12"/>
      <c r="B721" s="74"/>
      <c r="F721" s="12"/>
      <c r="G721" s="74"/>
      <c r="I721" s="4" t="s">
        <v>101</v>
      </c>
    </row>
    <row r="722">
      <c r="A722" s="12"/>
      <c r="B722" s="74"/>
      <c r="F722" s="12"/>
      <c r="G722" s="74"/>
      <c r="I722" s="4" t="s">
        <v>101</v>
      </c>
    </row>
    <row r="723">
      <c r="A723" s="12"/>
      <c r="B723" s="74"/>
      <c r="F723" s="12"/>
      <c r="G723" s="74"/>
      <c r="I723" s="4" t="s">
        <v>101</v>
      </c>
    </row>
    <row r="724">
      <c r="A724" s="12"/>
      <c r="B724" s="74"/>
      <c r="F724" s="12"/>
      <c r="G724" s="74"/>
      <c r="I724" s="4" t="s">
        <v>101</v>
      </c>
    </row>
    <row r="725">
      <c r="A725" s="12"/>
      <c r="B725" s="74"/>
      <c r="F725" s="12"/>
      <c r="G725" s="74"/>
      <c r="I725" s="4" t="s">
        <v>101</v>
      </c>
    </row>
    <row r="726">
      <c r="A726" s="12"/>
      <c r="B726" s="74"/>
      <c r="F726" s="12"/>
      <c r="G726" s="74"/>
      <c r="I726" s="4" t="s">
        <v>101</v>
      </c>
    </row>
    <row r="727">
      <c r="A727" s="12"/>
      <c r="B727" s="74"/>
      <c r="F727" s="12"/>
      <c r="G727" s="74"/>
      <c r="I727" s="4" t="s">
        <v>101</v>
      </c>
    </row>
    <row r="728">
      <c r="A728" s="12"/>
      <c r="B728" s="74"/>
      <c r="F728" s="12"/>
      <c r="G728" s="74"/>
      <c r="I728" s="4" t="s">
        <v>101</v>
      </c>
    </row>
    <row r="729">
      <c r="A729" s="12"/>
      <c r="B729" s="74"/>
      <c r="F729" s="12"/>
      <c r="G729" s="74"/>
      <c r="I729" s="4" t="s">
        <v>101</v>
      </c>
    </row>
    <row r="730">
      <c r="A730" s="12"/>
      <c r="B730" s="74"/>
      <c r="F730" s="12"/>
      <c r="G730" s="74"/>
      <c r="I730" s="4" t="s">
        <v>101</v>
      </c>
    </row>
    <row r="731">
      <c r="A731" s="12"/>
      <c r="B731" s="74"/>
      <c r="F731" s="12"/>
      <c r="G731" s="74"/>
      <c r="I731" s="4" t="s">
        <v>101</v>
      </c>
    </row>
    <row r="732">
      <c r="A732" s="12"/>
      <c r="B732" s="74"/>
      <c r="F732" s="12"/>
      <c r="G732" s="74"/>
      <c r="I732" s="4" t="s">
        <v>101</v>
      </c>
    </row>
    <row r="733">
      <c r="A733" s="12"/>
      <c r="B733" s="74"/>
      <c r="F733" s="12"/>
      <c r="G733" s="74"/>
      <c r="I733" s="4" t="s">
        <v>101</v>
      </c>
    </row>
    <row r="734">
      <c r="A734" s="12"/>
      <c r="B734" s="74"/>
      <c r="F734" s="12"/>
      <c r="G734" s="74"/>
      <c r="I734" s="4" t="s">
        <v>101</v>
      </c>
    </row>
    <row r="735">
      <c r="A735" s="12"/>
      <c r="B735" s="74"/>
      <c r="F735" s="12"/>
      <c r="G735" s="74"/>
      <c r="I735" s="4" t="s">
        <v>101</v>
      </c>
    </row>
    <row r="736">
      <c r="A736" s="12"/>
      <c r="B736" s="74"/>
      <c r="F736" s="12"/>
      <c r="G736" s="74"/>
      <c r="I736" s="4" t="s">
        <v>101</v>
      </c>
    </row>
    <row r="737">
      <c r="A737" s="12"/>
      <c r="B737" s="74"/>
      <c r="F737" s="12"/>
      <c r="G737" s="74"/>
      <c r="I737" s="4" t="s">
        <v>101</v>
      </c>
    </row>
    <row r="738">
      <c r="A738" s="12"/>
      <c r="B738" s="74"/>
      <c r="F738" s="12"/>
      <c r="G738" s="74"/>
      <c r="I738" s="4" t="s">
        <v>101</v>
      </c>
    </row>
    <row r="739">
      <c r="A739" s="12"/>
      <c r="B739" s="74"/>
      <c r="F739" s="12"/>
      <c r="G739" s="74"/>
      <c r="I739" s="4" t="s">
        <v>101</v>
      </c>
    </row>
    <row r="740">
      <c r="A740" s="12"/>
      <c r="B740" s="74"/>
      <c r="F740" s="12"/>
      <c r="G740" s="74"/>
      <c r="I740" s="4" t="s">
        <v>101</v>
      </c>
    </row>
    <row r="741">
      <c r="A741" s="12"/>
      <c r="B741" s="74"/>
      <c r="F741" s="12"/>
      <c r="G741" s="74"/>
      <c r="I741" s="4" t="s">
        <v>101</v>
      </c>
    </row>
    <row r="742">
      <c r="A742" s="12"/>
      <c r="B742" s="74"/>
      <c r="F742" s="12"/>
      <c r="G742" s="74"/>
      <c r="I742" s="4" t="s">
        <v>101</v>
      </c>
    </row>
    <row r="743">
      <c r="A743" s="12"/>
      <c r="B743" s="74"/>
      <c r="F743" s="12"/>
      <c r="G743" s="74"/>
      <c r="I743" s="4" t="s">
        <v>101</v>
      </c>
    </row>
    <row r="744">
      <c r="A744" s="12"/>
      <c r="B744" s="74"/>
      <c r="F744" s="12"/>
      <c r="G744" s="74"/>
      <c r="I744" s="4" t="s">
        <v>101</v>
      </c>
    </row>
    <row r="745">
      <c r="A745" s="12"/>
      <c r="B745" s="74"/>
      <c r="F745" s="12"/>
      <c r="G745" s="74"/>
      <c r="I745" s="4" t="s">
        <v>101</v>
      </c>
    </row>
    <row r="746">
      <c r="A746" s="12"/>
      <c r="B746" s="74"/>
      <c r="F746" s="12"/>
      <c r="G746" s="74"/>
      <c r="I746" s="4" t="s">
        <v>101</v>
      </c>
    </row>
    <row r="747">
      <c r="A747" s="12"/>
      <c r="B747" s="74"/>
      <c r="F747" s="12"/>
      <c r="G747" s="74"/>
      <c r="I747" s="4" t="s">
        <v>101</v>
      </c>
    </row>
    <row r="748">
      <c r="A748" s="12"/>
      <c r="B748" s="74"/>
      <c r="F748" s="12"/>
      <c r="G748" s="74"/>
      <c r="I748" s="4" t="s">
        <v>101</v>
      </c>
    </row>
    <row r="749">
      <c r="A749" s="12"/>
      <c r="B749" s="74"/>
      <c r="F749" s="12"/>
      <c r="G749" s="74"/>
      <c r="I749" s="4" t="s">
        <v>101</v>
      </c>
    </row>
    <row r="750">
      <c r="A750" s="12"/>
      <c r="B750" s="74"/>
      <c r="F750" s="12"/>
      <c r="G750" s="74"/>
      <c r="I750" s="4" t="s">
        <v>101</v>
      </c>
    </row>
    <row r="751">
      <c r="A751" s="12"/>
      <c r="B751" s="74"/>
      <c r="F751" s="12"/>
      <c r="G751" s="74"/>
      <c r="I751" s="4" t="s">
        <v>101</v>
      </c>
    </row>
    <row r="752">
      <c r="A752" s="12"/>
      <c r="B752" s="74"/>
      <c r="F752" s="12"/>
      <c r="G752" s="74"/>
      <c r="I752" s="4" t="s">
        <v>101</v>
      </c>
    </row>
    <row r="753">
      <c r="A753" s="12"/>
      <c r="B753" s="74"/>
      <c r="F753" s="12"/>
      <c r="G753" s="74"/>
      <c r="I753" s="4" t="s">
        <v>101</v>
      </c>
    </row>
    <row r="754">
      <c r="A754" s="12"/>
      <c r="B754" s="74"/>
      <c r="F754" s="12"/>
      <c r="G754" s="74"/>
      <c r="I754" s="4" t="s">
        <v>101</v>
      </c>
    </row>
    <row r="755">
      <c r="A755" s="12"/>
      <c r="B755" s="74"/>
      <c r="F755" s="12"/>
      <c r="G755" s="74"/>
      <c r="I755" s="4" t="s">
        <v>101</v>
      </c>
    </row>
    <row r="756">
      <c r="A756" s="12"/>
      <c r="B756" s="74"/>
      <c r="F756" s="12"/>
      <c r="G756" s="74"/>
      <c r="I756" s="4" t="s">
        <v>101</v>
      </c>
    </row>
    <row r="757">
      <c r="A757" s="12"/>
      <c r="B757" s="74"/>
      <c r="F757" s="12"/>
      <c r="G757" s="74"/>
      <c r="I757" s="4" t="s">
        <v>101</v>
      </c>
    </row>
    <row r="758">
      <c r="A758" s="12"/>
      <c r="B758" s="74"/>
      <c r="F758" s="12"/>
      <c r="G758" s="74"/>
      <c r="I758" s="4" t="s">
        <v>101</v>
      </c>
    </row>
    <row r="759">
      <c r="A759" s="12"/>
      <c r="B759" s="74"/>
      <c r="F759" s="12"/>
      <c r="G759" s="74"/>
      <c r="I759" s="4" t="s">
        <v>101</v>
      </c>
    </row>
    <row r="760">
      <c r="A760" s="12"/>
      <c r="B760" s="74"/>
      <c r="F760" s="12"/>
      <c r="G760" s="74"/>
      <c r="I760" s="4" t="s">
        <v>101</v>
      </c>
    </row>
    <row r="761">
      <c r="A761" s="12"/>
      <c r="B761" s="74"/>
      <c r="F761" s="12"/>
      <c r="G761" s="74"/>
      <c r="I761" s="4" t="s">
        <v>101</v>
      </c>
    </row>
    <row r="762">
      <c r="A762" s="12"/>
      <c r="B762" s="74"/>
      <c r="F762" s="12"/>
      <c r="G762" s="74"/>
      <c r="I762" s="4" t="s">
        <v>101</v>
      </c>
    </row>
    <row r="763">
      <c r="A763" s="12"/>
      <c r="B763" s="74"/>
      <c r="F763" s="12"/>
      <c r="G763" s="74"/>
      <c r="I763" s="4" t="s">
        <v>101</v>
      </c>
    </row>
    <row r="764">
      <c r="A764" s="12"/>
      <c r="B764" s="74"/>
      <c r="F764" s="12"/>
      <c r="G764" s="74"/>
      <c r="I764" s="4" t="s">
        <v>101</v>
      </c>
    </row>
    <row r="765">
      <c r="A765" s="12"/>
      <c r="B765" s="74"/>
      <c r="F765" s="12"/>
      <c r="G765" s="74"/>
      <c r="I765" s="4" t="s">
        <v>101</v>
      </c>
    </row>
    <row r="766">
      <c r="A766" s="12"/>
      <c r="B766" s="74"/>
      <c r="F766" s="12"/>
      <c r="G766" s="74"/>
      <c r="I766" s="4" t="s">
        <v>101</v>
      </c>
    </row>
    <row r="767">
      <c r="A767" s="12"/>
      <c r="B767" s="74"/>
      <c r="F767" s="12"/>
      <c r="G767" s="74"/>
      <c r="I767" s="4" t="s">
        <v>101</v>
      </c>
    </row>
    <row r="768">
      <c r="A768" s="12"/>
      <c r="B768" s="74"/>
      <c r="F768" s="12"/>
      <c r="G768" s="74"/>
      <c r="I768" s="4" t="s">
        <v>101</v>
      </c>
    </row>
    <row r="769">
      <c r="A769" s="12"/>
      <c r="B769" s="74"/>
      <c r="F769" s="12"/>
      <c r="G769" s="74"/>
      <c r="I769" s="4" t="s">
        <v>101</v>
      </c>
    </row>
    <row r="770">
      <c r="A770" s="12"/>
      <c r="B770" s="74"/>
      <c r="F770" s="12"/>
      <c r="G770" s="74"/>
      <c r="I770" s="4" t="s">
        <v>101</v>
      </c>
    </row>
    <row r="771">
      <c r="A771" s="12"/>
      <c r="B771" s="74"/>
      <c r="F771" s="12"/>
      <c r="G771" s="74"/>
      <c r="I771" s="4" t="s">
        <v>101</v>
      </c>
    </row>
    <row r="772">
      <c r="A772" s="12"/>
      <c r="B772" s="74"/>
      <c r="F772" s="12"/>
      <c r="G772" s="74"/>
      <c r="I772" s="4" t="s">
        <v>101</v>
      </c>
    </row>
    <row r="773">
      <c r="A773" s="12"/>
      <c r="B773" s="74"/>
      <c r="F773" s="12"/>
      <c r="G773" s="74"/>
      <c r="I773" s="4" t="s">
        <v>101</v>
      </c>
    </row>
    <row r="774">
      <c r="A774" s="12"/>
      <c r="B774" s="74"/>
      <c r="F774" s="12"/>
      <c r="G774" s="74"/>
      <c r="I774" s="4" t="s">
        <v>101</v>
      </c>
    </row>
    <row r="775">
      <c r="A775" s="12"/>
      <c r="B775" s="74"/>
      <c r="F775" s="12"/>
      <c r="G775" s="74"/>
      <c r="I775" s="4" t="s">
        <v>101</v>
      </c>
    </row>
    <row r="776">
      <c r="A776" s="12"/>
      <c r="B776" s="74"/>
      <c r="F776" s="12"/>
      <c r="G776" s="74"/>
      <c r="I776" s="4" t="s">
        <v>101</v>
      </c>
    </row>
    <row r="777">
      <c r="A777" s="12"/>
      <c r="B777" s="74"/>
      <c r="F777" s="12"/>
      <c r="G777" s="74"/>
      <c r="I777" s="4" t="s">
        <v>101</v>
      </c>
    </row>
    <row r="778">
      <c r="A778" s="12"/>
      <c r="B778" s="74"/>
      <c r="F778" s="12"/>
      <c r="G778" s="74"/>
      <c r="I778" s="4" t="s">
        <v>101</v>
      </c>
    </row>
    <row r="779">
      <c r="A779" s="12"/>
      <c r="B779" s="74"/>
      <c r="F779" s="12"/>
      <c r="G779" s="74"/>
      <c r="I779" s="4" t="s">
        <v>101</v>
      </c>
    </row>
    <row r="780">
      <c r="A780" s="12"/>
      <c r="B780" s="74"/>
      <c r="F780" s="12"/>
      <c r="G780" s="74"/>
      <c r="I780" s="4" t="s">
        <v>101</v>
      </c>
    </row>
    <row r="781">
      <c r="A781" s="12"/>
      <c r="B781" s="74"/>
      <c r="F781" s="12"/>
      <c r="G781" s="74"/>
      <c r="I781" s="4" t="s">
        <v>101</v>
      </c>
    </row>
    <row r="782">
      <c r="A782" s="12"/>
      <c r="B782" s="74"/>
      <c r="F782" s="12"/>
      <c r="G782" s="74"/>
      <c r="I782" s="4" t="s">
        <v>101</v>
      </c>
    </row>
    <row r="783">
      <c r="A783" s="12"/>
      <c r="B783" s="74"/>
      <c r="F783" s="12"/>
      <c r="G783" s="74"/>
      <c r="I783" s="4" t="s">
        <v>101</v>
      </c>
    </row>
    <row r="784">
      <c r="A784" s="12"/>
      <c r="B784" s="74"/>
      <c r="F784" s="12"/>
      <c r="G784" s="74"/>
      <c r="I784" s="4" t="s">
        <v>101</v>
      </c>
    </row>
    <row r="785">
      <c r="A785" s="12"/>
      <c r="B785" s="74"/>
      <c r="F785" s="12"/>
      <c r="G785" s="74"/>
      <c r="I785" s="4" t="s">
        <v>101</v>
      </c>
    </row>
    <row r="786">
      <c r="A786" s="12"/>
      <c r="B786" s="74"/>
      <c r="F786" s="12"/>
      <c r="G786" s="74"/>
      <c r="I786" s="4" t="s">
        <v>101</v>
      </c>
    </row>
    <row r="787">
      <c r="A787" s="12"/>
      <c r="B787" s="74"/>
      <c r="F787" s="12"/>
      <c r="G787" s="74"/>
      <c r="I787" s="4" t="s">
        <v>101</v>
      </c>
    </row>
    <row r="788">
      <c r="A788" s="12"/>
      <c r="B788" s="74"/>
      <c r="F788" s="12"/>
      <c r="G788" s="74"/>
      <c r="I788" s="4" t="s">
        <v>101</v>
      </c>
    </row>
    <row r="789">
      <c r="A789" s="12"/>
      <c r="B789" s="74"/>
      <c r="F789" s="12"/>
      <c r="G789" s="74"/>
      <c r="I789" s="4" t="s">
        <v>101</v>
      </c>
    </row>
    <row r="790">
      <c r="A790" s="12"/>
      <c r="B790" s="74"/>
      <c r="F790" s="12"/>
      <c r="G790" s="74"/>
      <c r="I790" s="4" t="s">
        <v>101</v>
      </c>
    </row>
    <row r="791">
      <c r="A791" s="12"/>
      <c r="B791" s="74"/>
      <c r="F791" s="12"/>
      <c r="G791" s="74"/>
      <c r="I791" s="4" t="s">
        <v>101</v>
      </c>
    </row>
    <row r="792">
      <c r="A792" s="12"/>
      <c r="B792" s="74"/>
      <c r="F792" s="12"/>
      <c r="G792" s="74"/>
      <c r="I792" s="4" t="s">
        <v>101</v>
      </c>
    </row>
    <row r="793">
      <c r="A793" s="12"/>
      <c r="B793" s="74"/>
      <c r="F793" s="12"/>
      <c r="G793" s="74"/>
      <c r="I793" s="4" t="s">
        <v>101</v>
      </c>
    </row>
    <row r="794">
      <c r="A794" s="12"/>
      <c r="B794" s="74"/>
      <c r="F794" s="12"/>
      <c r="G794" s="74"/>
      <c r="I794" s="4" t="s">
        <v>101</v>
      </c>
    </row>
    <row r="795">
      <c r="A795" s="12"/>
      <c r="B795" s="74"/>
      <c r="F795" s="12"/>
      <c r="G795" s="74"/>
      <c r="I795" s="4" t="s">
        <v>101</v>
      </c>
    </row>
    <row r="796">
      <c r="A796" s="12"/>
      <c r="B796" s="74"/>
      <c r="F796" s="12"/>
      <c r="G796" s="74"/>
      <c r="I796" s="4" t="s">
        <v>101</v>
      </c>
    </row>
    <row r="797">
      <c r="A797" s="12"/>
      <c r="B797" s="74"/>
      <c r="F797" s="12"/>
      <c r="G797" s="74"/>
      <c r="I797" s="4" t="s">
        <v>101</v>
      </c>
    </row>
    <row r="798">
      <c r="A798" s="12"/>
      <c r="B798" s="74"/>
      <c r="F798" s="12"/>
      <c r="G798" s="74"/>
      <c r="I798" s="4" t="s">
        <v>101</v>
      </c>
    </row>
    <row r="799">
      <c r="A799" s="12"/>
      <c r="B799" s="74"/>
      <c r="F799" s="12"/>
      <c r="G799" s="74"/>
      <c r="I799" s="4" t="s">
        <v>101</v>
      </c>
    </row>
    <row r="800">
      <c r="A800" s="12"/>
      <c r="B800" s="74"/>
      <c r="F800" s="12"/>
      <c r="G800" s="74"/>
      <c r="I800" s="4" t="s">
        <v>101</v>
      </c>
    </row>
    <row r="801">
      <c r="A801" s="12"/>
      <c r="B801" s="74"/>
      <c r="F801" s="12"/>
      <c r="G801" s="74"/>
      <c r="I801" s="4" t="s">
        <v>101</v>
      </c>
    </row>
    <row r="802">
      <c r="A802" s="12"/>
      <c r="B802" s="74"/>
      <c r="F802" s="12"/>
      <c r="G802" s="74"/>
      <c r="I802" s="4" t="s">
        <v>101</v>
      </c>
    </row>
    <row r="803">
      <c r="A803" s="12"/>
      <c r="B803" s="74"/>
      <c r="F803" s="12"/>
      <c r="G803" s="74"/>
      <c r="I803" s="4" t="s">
        <v>101</v>
      </c>
    </row>
    <row r="804">
      <c r="A804" s="12"/>
      <c r="B804" s="74"/>
      <c r="F804" s="12"/>
      <c r="G804" s="74"/>
      <c r="I804" s="4" t="s">
        <v>101</v>
      </c>
    </row>
    <row r="805">
      <c r="A805" s="12"/>
      <c r="B805" s="74"/>
      <c r="F805" s="12"/>
      <c r="G805" s="74"/>
      <c r="I805" s="4" t="s">
        <v>101</v>
      </c>
    </row>
    <row r="806">
      <c r="A806" s="12"/>
      <c r="B806" s="74"/>
      <c r="F806" s="12"/>
      <c r="G806" s="74"/>
      <c r="I806" s="4" t="s">
        <v>101</v>
      </c>
    </row>
    <row r="807">
      <c r="A807" s="12"/>
      <c r="B807" s="74"/>
      <c r="F807" s="12"/>
      <c r="G807" s="74"/>
      <c r="I807" s="4" t="s">
        <v>101</v>
      </c>
    </row>
    <row r="808">
      <c r="A808" s="12"/>
      <c r="B808" s="74"/>
      <c r="F808" s="12"/>
      <c r="G808" s="74"/>
      <c r="I808" s="4" t="s">
        <v>101</v>
      </c>
    </row>
    <row r="809">
      <c r="A809" s="12"/>
      <c r="B809" s="74"/>
      <c r="F809" s="12"/>
      <c r="G809" s="74"/>
      <c r="I809" s="4" t="s">
        <v>101</v>
      </c>
    </row>
    <row r="810">
      <c r="A810" s="12"/>
      <c r="B810" s="74"/>
      <c r="F810" s="12"/>
      <c r="G810" s="74"/>
      <c r="I810" s="4" t="s">
        <v>101</v>
      </c>
    </row>
    <row r="811">
      <c r="A811" s="12"/>
      <c r="B811" s="74"/>
      <c r="F811" s="12"/>
      <c r="G811" s="74"/>
      <c r="I811" s="4" t="s">
        <v>101</v>
      </c>
    </row>
    <row r="812">
      <c r="A812" s="12"/>
      <c r="B812" s="74"/>
      <c r="F812" s="12"/>
      <c r="G812" s="74"/>
      <c r="I812" s="4" t="s">
        <v>101</v>
      </c>
    </row>
    <row r="813">
      <c r="A813" s="12"/>
      <c r="B813" s="74"/>
      <c r="F813" s="12"/>
      <c r="G813" s="74"/>
      <c r="I813" s="4" t="s">
        <v>101</v>
      </c>
    </row>
    <row r="814">
      <c r="A814" s="12"/>
      <c r="B814" s="74"/>
      <c r="F814" s="12"/>
      <c r="G814" s="74"/>
      <c r="I814" s="4" t="s">
        <v>101</v>
      </c>
    </row>
    <row r="815">
      <c r="A815" s="12"/>
      <c r="B815" s="74"/>
      <c r="F815" s="12"/>
      <c r="G815" s="74"/>
      <c r="I815" s="4" t="s">
        <v>101</v>
      </c>
    </row>
    <row r="816">
      <c r="A816" s="12"/>
      <c r="B816" s="74"/>
      <c r="F816" s="12"/>
      <c r="G816" s="74"/>
      <c r="I816" s="4" t="s">
        <v>101</v>
      </c>
    </row>
    <row r="817">
      <c r="A817" s="12"/>
      <c r="B817" s="74"/>
      <c r="F817" s="12"/>
      <c r="G817" s="74"/>
      <c r="I817" s="4" t="s">
        <v>101</v>
      </c>
    </row>
    <row r="818">
      <c r="A818" s="12"/>
      <c r="B818" s="74"/>
      <c r="F818" s="12"/>
      <c r="G818" s="74"/>
      <c r="I818" s="4" t="s">
        <v>101</v>
      </c>
    </row>
    <row r="819">
      <c r="A819" s="12"/>
      <c r="B819" s="74"/>
      <c r="F819" s="12"/>
      <c r="G819" s="74"/>
      <c r="I819" s="4" t="s">
        <v>101</v>
      </c>
    </row>
    <row r="820">
      <c r="A820" s="12"/>
      <c r="B820" s="74"/>
      <c r="F820" s="12"/>
      <c r="G820" s="74"/>
      <c r="I820" s="4" t="s">
        <v>101</v>
      </c>
    </row>
    <row r="821">
      <c r="A821" s="12"/>
      <c r="B821" s="74"/>
      <c r="F821" s="12"/>
      <c r="G821" s="74"/>
      <c r="I821" s="4" t="s">
        <v>101</v>
      </c>
    </row>
    <row r="822">
      <c r="A822" s="12"/>
      <c r="B822" s="74"/>
      <c r="F822" s="12"/>
      <c r="G822" s="74"/>
      <c r="I822" s="4" t="s">
        <v>101</v>
      </c>
    </row>
    <row r="823">
      <c r="A823" s="12"/>
      <c r="B823" s="74"/>
      <c r="F823" s="12"/>
      <c r="G823" s="74"/>
      <c r="I823" s="4" t="s">
        <v>101</v>
      </c>
    </row>
    <row r="824">
      <c r="A824" s="12"/>
      <c r="B824" s="74"/>
      <c r="F824" s="12"/>
      <c r="G824" s="74"/>
      <c r="I824" s="4" t="s">
        <v>101</v>
      </c>
    </row>
    <row r="825">
      <c r="A825" s="12"/>
      <c r="B825" s="74"/>
      <c r="F825" s="12"/>
      <c r="G825" s="74"/>
      <c r="I825" s="4" t="s">
        <v>101</v>
      </c>
    </row>
    <row r="826">
      <c r="A826" s="12"/>
      <c r="B826" s="74"/>
      <c r="F826" s="12"/>
      <c r="G826" s="74"/>
      <c r="I826" s="4" t="s">
        <v>101</v>
      </c>
    </row>
    <row r="827">
      <c r="A827" s="12"/>
      <c r="B827" s="74"/>
      <c r="F827" s="12"/>
      <c r="G827" s="74"/>
      <c r="I827" s="4" t="s">
        <v>101</v>
      </c>
    </row>
    <row r="828">
      <c r="A828" s="12"/>
      <c r="B828" s="74"/>
      <c r="F828" s="12"/>
      <c r="G828" s="74"/>
      <c r="I828" s="4" t="s">
        <v>101</v>
      </c>
    </row>
    <row r="829">
      <c r="A829" s="12"/>
      <c r="B829" s="74"/>
      <c r="F829" s="12"/>
      <c r="G829" s="74"/>
      <c r="I829" s="4" t="s">
        <v>101</v>
      </c>
    </row>
    <row r="830">
      <c r="A830" s="12"/>
      <c r="B830" s="74"/>
      <c r="F830" s="12"/>
      <c r="G830" s="74"/>
      <c r="I830" s="4" t="s">
        <v>101</v>
      </c>
    </row>
    <row r="831">
      <c r="A831" s="12"/>
      <c r="B831" s="74"/>
      <c r="F831" s="12"/>
      <c r="G831" s="74"/>
      <c r="I831" s="4" t="s">
        <v>101</v>
      </c>
    </row>
    <row r="832">
      <c r="A832" s="12"/>
      <c r="B832" s="74"/>
      <c r="F832" s="12"/>
      <c r="G832" s="74"/>
      <c r="I832" s="4" t="s">
        <v>101</v>
      </c>
    </row>
    <row r="833">
      <c r="A833" s="12"/>
      <c r="B833" s="74"/>
      <c r="F833" s="12"/>
      <c r="G833" s="74"/>
      <c r="I833" s="4" t="s">
        <v>101</v>
      </c>
    </row>
    <row r="834">
      <c r="A834" s="12"/>
      <c r="B834" s="74"/>
      <c r="F834" s="12"/>
      <c r="G834" s="74"/>
      <c r="I834" s="4" t="s">
        <v>101</v>
      </c>
    </row>
    <row r="835">
      <c r="A835" s="12"/>
      <c r="B835" s="74"/>
      <c r="F835" s="12"/>
      <c r="G835" s="74"/>
      <c r="I835" s="4" t="s">
        <v>101</v>
      </c>
    </row>
    <row r="836">
      <c r="A836" s="12"/>
      <c r="B836" s="74"/>
      <c r="F836" s="12"/>
      <c r="G836" s="74"/>
      <c r="I836" s="4" t="s">
        <v>101</v>
      </c>
    </row>
    <row r="837">
      <c r="A837" s="12"/>
      <c r="B837" s="74"/>
      <c r="F837" s="12"/>
      <c r="G837" s="74"/>
      <c r="I837" s="4" t="s">
        <v>101</v>
      </c>
    </row>
    <row r="838">
      <c r="A838" s="12"/>
      <c r="B838" s="74"/>
      <c r="F838" s="12"/>
      <c r="G838" s="74"/>
      <c r="I838" s="4" t="s">
        <v>101</v>
      </c>
    </row>
    <row r="839">
      <c r="A839" s="12"/>
      <c r="B839" s="74"/>
      <c r="F839" s="12"/>
      <c r="G839" s="74"/>
      <c r="I839" s="4" t="s">
        <v>101</v>
      </c>
    </row>
    <row r="840">
      <c r="A840" s="12"/>
      <c r="B840" s="74"/>
      <c r="F840" s="12"/>
      <c r="G840" s="74"/>
      <c r="I840" s="4" t="s">
        <v>101</v>
      </c>
    </row>
    <row r="841">
      <c r="A841" s="12"/>
      <c r="B841" s="74"/>
      <c r="F841" s="12"/>
      <c r="G841" s="74"/>
      <c r="I841" s="4" t="s">
        <v>101</v>
      </c>
    </row>
    <row r="842">
      <c r="A842" s="12"/>
      <c r="B842" s="74"/>
      <c r="F842" s="12"/>
      <c r="G842" s="74"/>
      <c r="I842" s="4" t="s">
        <v>101</v>
      </c>
    </row>
    <row r="843">
      <c r="A843" s="12"/>
      <c r="B843" s="74"/>
      <c r="F843" s="12"/>
      <c r="G843" s="74"/>
      <c r="I843" s="4" t="s">
        <v>101</v>
      </c>
    </row>
    <row r="844">
      <c r="A844" s="12"/>
      <c r="B844" s="74"/>
      <c r="F844" s="12"/>
      <c r="G844" s="74"/>
      <c r="I844" s="4" t="s">
        <v>101</v>
      </c>
    </row>
    <row r="845">
      <c r="A845" s="12"/>
      <c r="B845" s="74"/>
      <c r="F845" s="12"/>
      <c r="G845" s="74"/>
      <c r="I845" s="4" t="s">
        <v>101</v>
      </c>
    </row>
    <row r="846">
      <c r="A846" s="12"/>
      <c r="B846" s="74"/>
      <c r="F846" s="12"/>
      <c r="G846" s="74"/>
      <c r="I846" s="4" t="s">
        <v>101</v>
      </c>
    </row>
    <row r="847">
      <c r="A847" s="12"/>
      <c r="B847" s="74"/>
      <c r="F847" s="12"/>
      <c r="G847" s="74"/>
      <c r="I847" s="4" t="s">
        <v>101</v>
      </c>
    </row>
    <row r="848">
      <c r="A848" s="12"/>
      <c r="B848" s="74"/>
      <c r="F848" s="12"/>
      <c r="G848" s="74"/>
      <c r="I848" s="4" t="s">
        <v>101</v>
      </c>
    </row>
    <row r="849">
      <c r="A849" s="12"/>
      <c r="B849" s="74"/>
      <c r="F849" s="12"/>
      <c r="G849" s="74"/>
      <c r="I849" s="4" t="s">
        <v>101</v>
      </c>
    </row>
    <row r="850">
      <c r="A850" s="12"/>
      <c r="B850" s="74"/>
      <c r="F850" s="12"/>
      <c r="G850" s="74"/>
      <c r="I850" s="4" t="s">
        <v>101</v>
      </c>
    </row>
    <row r="851">
      <c r="A851" s="12"/>
      <c r="B851" s="74"/>
      <c r="F851" s="12"/>
      <c r="G851" s="74"/>
      <c r="I851" s="4" t="s">
        <v>101</v>
      </c>
    </row>
    <row r="852">
      <c r="A852" s="12"/>
      <c r="B852" s="74"/>
      <c r="F852" s="12"/>
      <c r="G852" s="74"/>
      <c r="I852" s="4" t="s">
        <v>101</v>
      </c>
    </row>
    <row r="853">
      <c r="A853" s="12"/>
      <c r="B853" s="74"/>
      <c r="F853" s="12"/>
      <c r="G853" s="74"/>
      <c r="I853" s="4" t="s">
        <v>101</v>
      </c>
    </row>
    <row r="854">
      <c r="A854" s="12"/>
      <c r="B854" s="74"/>
      <c r="F854" s="12"/>
      <c r="G854" s="74"/>
      <c r="I854" s="4" t="s">
        <v>101</v>
      </c>
    </row>
    <row r="855">
      <c r="A855" s="12"/>
      <c r="B855" s="74"/>
      <c r="F855" s="12"/>
      <c r="G855" s="74"/>
      <c r="I855" s="4" t="s">
        <v>101</v>
      </c>
    </row>
    <row r="856">
      <c r="A856" s="12"/>
      <c r="B856" s="74"/>
      <c r="F856" s="12"/>
      <c r="G856" s="74"/>
      <c r="I856" s="4" t="s">
        <v>101</v>
      </c>
    </row>
    <row r="857">
      <c r="A857" s="12"/>
      <c r="B857" s="74"/>
      <c r="F857" s="12"/>
      <c r="G857" s="74"/>
      <c r="I857" s="4" t="s">
        <v>101</v>
      </c>
    </row>
    <row r="858">
      <c r="A858" s="12"/>
      <c r="B858" s="74"/>
      <c r="F858" s="12"/>
      <c r="G858" s="74"/>
      <c r="I858" s="4" t="s">
        <v>101</v>
      </c>
    </row>
    <row r="859">
      <c r="A859" s="12"/>
      <c r="B859" s="74"/>
      <c r="F859" s="12"/>
      <c r="G859" s="74"/>
      <c r="I859" s="4" t="s">
        <v>101</v>
      </c>
    </row>
    <row r="860">
      <c r="A860" s="12"/>
      <c r="B860" s="74"/>
      <c r="F860" s="12"/>
      <c r="G860" s="74"/>
      <c r="I860" s="4" t="s">
        <v>101</v>
      </c>
    </row>
    <row r="861">
      <c r="A861" s="12"/>
      <c r="B861" s="74"/>
      <c r="F861" s="12"/>
      <c r="G861" s="74"/>
      <c r="I861" s="4" t="s">
        <v>101</v>
      </c>
    </row>
    <row r="862">
      <c r="A862" s="12"/>
      <c r="B862" s="74"/>
      <c r="F862" s="12"/>
      <c r="G862" s="74"/>
      <c r="I862" s="4" t="s">
        <v>101</v>
      </c>
    </row>
    <row r="863">
      <c r="A863" s="12"/>
      <c r="B863" s="74"/>
      <c r="F863" s="12"/>
      <c r="G863" s="74"/>
      <c r="I863" s="4" t="s">
        <v>101</v>
      </c>
    </row>
    <row r="864">
      <c r="A864" s="12"/>
      <c r="B864" s="74"/>
      <c r="F864" s="12"/>
      <c r="G864" s="74"/>
      <c r="I864" s="4" t="s">
        <v>101</v>
      </c>
    </row>
    <row r="865">
      <c r="A865" s="12"/>
      <c r="B865" s="74"/>
      <c r="F865" s="12"/>
      <c r="G865" s="74"/>
      <c r="I865" s="4" t="s">
        <v>101</v>
      </c>
    </row>
    <row r="866">
      <c r="A866" s="12"/>
      <c r="B866" s="74"/>
      <c r="F866" s="12"/>
      <c r="G866" s="74"/>
      <c r="I866" s="4" t="s">
        <v>101</v>
      </c>
    </row>
    <row r="867">
      <c r="A867" s="12"/>
      <c r="B867" s="74"/>
      <c r="F867" s="12"/>
      <c r="G867" s="74"/>
      <c r="I867" s="4" t="s">
        <v>101</v>
      </c>
    </row>
    <row r="868">
      <c r="A868" s="12"/>
      <c r="B868" s="74"/>
      <c r="F868" s="12"/>
      <c r="G868" s="74"/>
      <c r="I868" s="4" t="s">
        <v>101</v>
      </c>
    </row>
    <row r="869">
      <c r="A869" s="12"/>
      <c r="B869" s="74"/>
      <c r="F869" s="12"/>
      <c r="G869" s="74"/>
      <c r="I869" s="4" t="s">
        <v>101</v>
      </c>
    </row>
    <row r="870">
      <c r="A870" s="12"/>
      <c r="B870" s="74"/>
      <c r="F870" s="12"/>
      <c r="G870" s="74"/>
      <c r="I870" s="4" t="s">
        <v>101</v>
      </c>
    </row>
    <row r="871">
      <c r="A871" s="12"/>
      <c r="B871" s="74"/>
      <c r="F871" s="12"/>
      <c r="G871" s="74"/>
      <c r="I871" s="4" t="s">
        <v>101</v>
      </c>
    </row>
    <row r="872">
      <c r="A872" s="12"/>
      <c r="B872" s="74"/>
      <c r="F872" s="12"/>
      <c r="G872" s="74"/>
      <c r="I872" s="4" t="s">
        <v>101</v>
      </c>
    </row>
    <row r="873">
      <c r="A873" s="12"/>
      <c r="B873" s="74"/>
      <c r="F873" s="12"/>
      <c r="G873" s="74"/>
      <c r="I873" s="4" t="s">
        <v>101</v>
      </c>
    </row>
    <row r="874">
      <c r="A874" s="12"/>
      <c r="B874" s="74"/>
      <c r="F874" s="12"/>
      <c r="G874" s="74"/>
      <c r="I874" s="4" t="s">
        <v>101</v>
      </c>
    </row>
    <row r="875">
      <c r="A875" s="12"/>
      <c r="B875" s="74"/>
      <c r="F875" s="12"/>
      <c r="G875" s="74"/>
      <c r="I875" s="4" t="s">
        <v>101</v>
      </c>
    </row>
    <row r="876">
      <c r="A876" s="12"/>
      <c r="B876" s="74"/>
      <c r="F876" s="12"/>
      <c r="G876" s="74"/>
      <c r="I876" s="4" t="s">
        <v>101</v>
      </c>
    </row>
    <row r="877">
      <c r="A877" s="12"/>
      <c r="B877" s="74"/>
      <c r="F877" s="12"/>
      <c r="G877" s="74"/>
      <c r="I877" s="4" t="s">
        <v>101</v>
      </c>
    </row>
    <row r="878">
      <c r="A878" s="12"/>
      <c r="B878" s="74"/>
      <c r="F878" s="12"/>
      <c r="G878" s="74"/>
      <c r="I878" s="4" t="s">
        <v>101</v>
      </c>
    </row>
    <row r="879">
      <c r="A879" s="12"/>
      <c r="B879" s="74"/>
      <c r="F879" s="12"/>
      <c r="G879" s="74"/>
      <c r="I879" s="4" t="s">
        <v>101</v>
      </c>
    </row>
    <row r="880">
      <c r="A880" s="12"/>
      <c r="B880" s="74"/>
      <c r="F880" s="12"/>
      <c r="G880" s="74"/>
      <c r="I880" s="4" t="s">
        <v>101</v>
      </c>
    </row>
    <row r="881">
      <c r="A881" s="12"/>
      <c r="B881" s="74"/>
      <c r="F881" s="12"/>
      <c r="G881" s="74"/>
      <c r="I881" s="4" t="s">
        <v>101</v>
      </c>
    </row>
    <row r="882">
      <c r="A882" s="12"/>
      <c r="B882" s="74"/>
      <c r="F882" s="12"/>
      <c r="G882" s="74"/>
      <c r="I882" s="4" t="s">
        <v>101</v>
      </c>
    </row>
    <row r="883">
      <c r="A883" s="12"/>
      <c r="B883" s="74"/>
      <c r="F883" s="12"/>
      <c r="G883" s="74"/>
      <c r="I883" s="4" t="s">
        <v>101</v>
      </c>
    </row>
    <row r="884">
      <c r="A884" s="12"/>
      <c r="B884" s="74"/>
      <c r="F884" s="12"/>
      <c r="G884" s="74"/>
      <c r="I884" s="4" t="s">
        <v>101</v>
      </c>
    </row>
    <row r="885">
      <c r="A885" s="12"/>
      <c r="B885" s="74"/>
      <c r="F885" s="12"/>
      <c r="G885" s="74"/>
      <c r="I885" s="4" t="s">
        <v>101</v>
      </c>
    </row>
    <row r="886">
      <c r="A886" s="12"/>
      <c r="B886" s="74"/>
      <c r="F886" s="12"/>
      <c r="G886" s="74"/>
      <c r="I886" s="4" t="s">
        <v>101</v>
      </c>
    </row>
    <row r="887">
      <c r="A887" s="12"/>
      <c r="B887" s="74"/>
      <c r="F887" s="12"/>
      <c r="G887" s="74"/>
      <c r="I887" s="4" t="s">
        <v>101</v>
      </c>
    </row>
    <row r="888">
      <c r="A888" s="12"/>
      <c r="B888" s="74"/>
      <c r="F888" s="12"/>
      <c r="G888" s="74"/>
      <c r="I888" s="4" t="s">
        <v>101</v>
      </c>
    </row>
    <row r="889">
      <c r="A889" s="12"/>
      <c r="B889" s="74"/>
      <c r="F889" s="12"/>
      <c r="G889" s="74"/>
      <c r="I889" s="4" t="s">
        <v>101</v>
      </c>
    </row>
    <row r="890">
      <c r="A890" s="12"/>
      <c r="B890" s="74"/>
      <c r="F890" s="12"/>
      <c r="G890" s="74"/>
      <c r="I890" s="4" t="s">
        <v>101</v>
      </c>
    </row>
    <row r="891">
      <c r="A891" s="12"/>
      <c r="B891" s="74"/>
      <c r="F891" s="12"/>
      <c r="G891" s="74"/>
      <c r="I891" s="4" t="s">
        <v>101</v>
      </c>
    </row>
    <row r="892">
      <c r="A892" s="12"/>
      <c r="B892" s="74"/>
      <c r="F892" s="12"/>
      <c r="G892" s="74"/>
      <c r="I892" s="4" t="s">
        <v>101</v>
      </c>
    </row>
    <row r="893">
      <c r="A893" s="12"/>
      <c r="B893" s="74"/>
      <c r="F893" s="12"/>
      <c r="G893" s="74"/>
      <c r="I893" s="4" t="s">
        <v>101</v>
      </c>
    </row>
    <row r="894">
      <c r="A894" s="12"/>
      <c r="B894" s="74"/>
      <c r="F894" s="12"/>
      <c r="G894" s="74"/>
      <c r="I894" s="4" t="s">
        <v>101</v>
      </c>
    </row>
    <row r="895">
      <c r="A895" s="12"/>
      <c r="B895" s="74"/>
      <c r="F895" s="12"/>
      <c r="G895" s="74"/>
      <c r="I895" s="4" t="s">
        <v>101</v>
      </c>
    </row>
    <row r="896">
      <c r="A896" s="12"/>
      <c r="B896" s="74"/>
      <c r="F896" s="12"/>
      <c r="G896" s="74"/>
      <c r="I896" s="4" t="s">
        <v>101</v>
      </c>
    </row>
    <row r="897">
      <c r="A897" s="12"/>
      <c r="B897" s="74"/>
      <c r="F897" s="12"/>
      <c r="G897" s="74"/>
      <c r="I897" s="4" t="s">
        <v>101</v>
      </c>
    </row>
    <row r="898">
      <c r="A898" s="12"/>
      <c r="B898" s="74"/>
      <c r="F898" s="12"/>
      <c r="G898" s="74"/>
      <c r="I898" s="4" t="s">
        <v>101</v>
      </c>
    </row>
    <row r="899">
      <c r="A899" s="12"/>
      <c r="B899" s="74"/>
      <c r="F899" s="12"/>
      <c r="G899" s="74"/>
      <c r="I899" s="4" t="s">
        <v>101</v>
      </c>
    </row>
    <row r="900">
      <c r="A900" s="12"/>
      <c r="B900" s="74"/>
      <c r="F900" s="12"/>
      <c r="G900" s="74"/>
      <c r="I900" s="4" t="s">
        <v>101</v>
      </c>
    </row>
    <row r="901">
      <c r="A901" s="12"/>
      <c r="B901" s="74"/>
      <c r="F901" s="12"/>
      <c r="G901" s="74"/>
      <c r="I901" s="4" t="s">
        <v>101</v>
      </c>
    </row>
    <row r="902">
      <c r="A902" s="12"/>
      <c r="B902" s="74"/>
      <c r="F902" s="12"/>
      <c r="G902" s="74"/>
      <c r="I902" s="4" t="s">
        <v>101</v>
      </c>
    </row>
    <row r="903">
      <c r="A903" s="12"/>
      <c r="B903" s="74"/>
      <c r="F903" s="12"/>
      <c r="G903" s="74"/>
      <c r="I903" s="4" t="s">
        <v>101</v>
      </c>
    </row>
    <row r="904">
      <c r="A904" s="12"/>
      <c r="B904" s="74"/>
      <c r="F904" s="12"/>
      <c r="G904" s="74"/>
      <c r="I904" s="4" t="s">
        <v>101</v>
      </c>
    </row>
    <row r="905">
      <c r="A905" s="12"/>
      <c r="B905" s="74"/>
      <c r="F905" s="12"/>
      <c r="G905" s="74"/>
      <c r="I905" s="4" t="s">
        <v>101</v>
      </c>
    </row>
    <row r="906">
      <c r="A906" s="12"/>
      <c r="B906" s="74"/>
      <c r="F906" s="12"/>
      <c r="G906" s="74"/>
      <c r="I906" s="4" t="s">
        <v>101</v>
      </c>
    </row>
    <row r="907">
      <c r="F907" s="12"/>
      <c r="G907" s="74"/>
      <c r="I907" s="4" t="s">
        <v>101</v>
      </c>
    </row>
    <row r="908">
      <c r="F908" s="12"/>
      <c r="G908" s="74"/>
      <c r="I908" s="4" t="s">
        <v>101</v>
      </c>
    </row>
    <row r="909">
      <c r="F909" s="12"/>
      <c r="G909" s="74"/>
      <c r="I909" s="4" t="s">
        <v>101</v>
      </c>
    </row>
    <row r="910">
      <c r="F910" s="12"/>
      <c r="G910" s="74"/>
      <c r="I910" s="4" t="s">
        <v>101</v>
      </c>
    </row>
    <row r="911">
      <c r="F911" s="12"/>
      <c r="G911" s="74"/>
      <c r="I911" s="4" t="s">
        <v>101</v>
      </c>
    </row>
    <row r="912">
      <c r="F912" s="12"/>
      <c r="G912" s="74"/>
      <c r="I912" s="4" t="s">
        <v>101</v>
      </c>
    </row>
    <row r="913">
      <c r="F913" s="12"/>
      <c r="G913" s="74"/>
      <c r="I913" s="4" t="s">
        <v>101</v>
      </c>
    </row>
    <row r="914">
      <c r="F914" s="12"/>
      <c r="G914" s="74"/>
      <c r="I914" s="4" t="s">
        <v>101</v>
      </c>
    </row>
    <row r="915">
      <c r="F915" s="12"/>
      <c r="G915" s="74"/>
      <c r="I915" s="4" t="s">
        <v>101</v>
      </c>
    </row>
    <row r="916">
      <c r="F916" s="12"/>
      <c r="G916" s="74"/>
      <c r="I916" s="4" t="s">
        <v>101</v>
      </c>
    </row>
    <row r="917">
      <c r="F917" s="12"/>
      <c r="G917" s="74"/>
      <c r="I917" s="4" t="s">
        <v>101</v>
      </c>
    </row>
    <row r="918">
      <c r="F918" s="12"/>
      <c r="G918" s="74"/>
      <c r="I918" s="4" t="s">
        <v>101</v>
      </c>
    </row>
    <row r="919">
      <c r="F919" s="12"/>
      <c r="G919" s="74"/>
      <c r="I919" s="4" t="s">
        <v>101</v>
      </c>
    </row>
    <row r="920">
      <c r="F920" s="12"/>
      <c r="G920" s="74"/>
      <c r="I920" s="4" t="s">
        <v>101</v>
      </c>
    </row>
    <row r="921">
      <c r="F921" s="12"/>
      <c r="G921" s="74"/>
      <c r="I921" s="4" t="s">
        <v>101</v>
      </c>
    </row>
    <row r="922">
      <c r="F922" s="12"/>
      <c r="G922" s="74"/>
      <c r="I922" s="4" t="s">
        <v>101</v>
      </c>
    </row>
    <row r="923">
      <c r="F923" s="12"/>
      <c r="G923" s="74"/>
      <c r="I923" s="4" t="s">
        <v>101</v>
      </c>
    </row>
    <row r="924">
      <c r="F924" s="12"/>
      <c r="G924" s="74"/>
      <c r="I924" s="4" t="s">
        <v>101</v>
      </c>
    </row>
    <row r="925">
      <c r="F925" s="12"/>
      <c r="G925" s="74"/>
      <c r="I925" s="4" t="s">
        <v>101</v>
      </c>
    </row>
    <row r="926">
      <c r="F926" s="12"/>
      <c r="G926" s="74"/>
      <c r="I926" s="4" t="s">
        <v>101</v>
      </c>
    </row>
    <row r="927">
      <c r="F927" s="12"/>
      <c r="G927" s="74"/>
      <c r="I927" s="4" t="s">
        <v>101</v>
      </c>
    </row>
    <row r="928">
      <c r="F928" s="12"/>
      <c r="G928" s="74"/>
      <c r="I928" s="4" t="s">
        <v>101</v>
      </c>
    </row>
    <row r="929">
      <c r="F929" s="12"/>
      <c r="G929" s="74"/>
      <c r="I929" s="4" t="s">
        <v>101</v>
      </c>
    </row>
    <row r="930">
      <c r="F930" s="12"/>
      <c r="G930" s="74"/>
      <c r="I930" s="4" t="s">
        <v>101</v>
      </c>
    </row>
    <row r="931">
      <c r="F931" s="12"/>
      <c r="G931" s="74"/>
      <c r="I931" s="4" t="s">
        <v>101</v>
      </c>
    </row>
    <row r="932">
      <c r="F932" s="12"/>
      <c r="G932" s="74"/>
      <c r="I932" s="4" t="s">
        <v>101</v>
      </c>
    </row>
    <row r="933">
      <c r="F933" s="12"/>
      <c r="G933" s="74"/>
      <c r="I933" s="4" t="s">
        <v>101</v>
      </c>
    </row>
    <row r="934">
      <c r="F934" s="12"/>
      <c r="G934" s="74"/>
      <c r="I934" s="4" t="s">
        <v>101</v>
      </c>
    </row>
    <row r="935">
      <c r="F935" s="12"/>
      <c r="G935" s="74"/>
      <c r="I935" s="4" t="s">
        <v>101</v>
      </c>
    </row>
    <row r="936">
      <c r="F936" s="12"/>
      <c r="G936" s="74"/>
      <c r="I936" s="4" t="s">
        <v>101</v>
      </c>
    </row>
    <row r="937">
      <c r="F937" s="12"/>
      <c r="G937" s="74"/>
      <c r="I937" s="4" t="s">
        <v>101</v>
      </c>
    </row>
    <row r="938">
      <c r="F938" s="12"/>
      <c r="G938" s="74"/>
      <c r="I938" s="4" t="s">
        <v>101</v>
      </c>
    </row>
    <row r="939">
      <c r="F939" s="12"/>
      <c r="G939" s="74"/>
      <c r="I939" s="4" t="s">
        <v>101</v>
      </c>
    </row>
    <row r="940">
      <c r="F940" s="12"/>
      <c r="G940" s="74"/>
      <c r="I940" s="4" t="s">
        <v>101</v>
      </c>
    </row>
    <row r="941">
      <c r="F941" s="12"/>
      <c r="G941" s="74"/>
      <c r="I941" s="4" t="s">
        <v>101</v>
      </c>
    </row>
    <row r="942">
      <c r="F942" s="12"/>
      <c r="G942" s="74"/>
      <c r="I942" s="4" t="s">
        <v>101</v>
      </c>
    </row>
    <row r="943">
      <c r="F943" s="12"/>
      <c r="G943" s="74"/>
      <c r="I943" s="4" t="s">
        <v>101</v>
      </c>
    </row>
    <row r="944">
      <c r="F944" s="12"/>
      <c r="G944" s="74"/>
      <c r="I944" s="4" t="s">
        <v>101</v>
      </c>
    </row>
    <row r="945">
      <c r="F945" s="12"/>
      <c r="G945" s="74"/>
      <c r="I945" s="4" t="s">
        <v>101</v>
      </c>
    </row>
    <row r="946">
      <c r="F946" s="12"/>
      <c r="G946" s="74"/>
      <c r="I946" s="4" t="s">
        <v>101</v>
      </c>
    </row>
    <row r="947">
      <c r="F947" s="12"/>
      <c r="G947" s="74"/>
      <c r="I947" s="4" t="s">
        <v>101</v>
      </c>
    </row>
    <row r="948">
      <c r="F948" s="12"/>
      <c r="G948" s="74"/>
      <c r="I948" s="4" t="s">
        <v>101</v>
      </c>
    </row>
    <row r="949">
      <c r="F949" s="12"/>
      <c r="G949" s="74"/>
      <c r="I949" s="4" t="s">
        <v>101</v>
      </c>
    </row>
    <row r="950">
      <c r="F950" s="12"/>
      <c r="G950" s="74"/>
      <c r="I950" s="4" t="s">
        <v>101</v>
      </c>
    </row>
    <row r="951">
      <c r="F951" s="12"/>
      <c r="G951" s="74"/>
      <c r="I951" s="4" t="s">
        <v>101</v>
      </c>
    </row>
    <row r="952">
      <c r="F952" s="12"/>
      <c r="G952" s="74"/>
      <c r="I952" s="4" t="s">
        <v>101</v>
      </c>
    </row>
    <row r="953">
      <c r="F953" s="12"/>
      <c r="G953" s="74"/>
      <c r="I953" s="4" t="s">
        <v>101</v>
      </c>
    </row>
    <row r="954">
      <c r="F954" s="12"/>
      <c r="G954" s="74"/>
      <c r="I954" s="4" t="s">
        <v>101</v>
      </c>
    </row>
    <row r="955">
      <c r="F955" s="12"/>
      <c r="G955" s="74"/>
      <c r="I955" s="4" t="s">
        <v>101</v>
      </c>
    </row>
    <row r="956">
      <c r="F956" s="12"/>
      <c r="G956" s="74"/>
      <c r="I956" s="4" t="s">
        <v>101</v>
      </c>
    </row>
    <row r="957">
      <c r="F957" s="12"/>
      <c r="G957" s="74"/>
      <c r="I957" s="4" t="s">
        <v>101</v>
      </c>
    </row>
    <row r="958">
      <c r="F958" s="12"/>
      <c r="G958" s="74"/>
      <c r="I958" s="4" t="s">
        <v>101</v>
      </c>
    </row>
    <row r="959">
      <c r="F959" s="12"/>
      <c r="G959" s="74"/>
      <c r="I959" s="4" t="s">
        <v>101</v>
      </c>
    </row>
    <row r="960">
      <c r="F960" s="12"/>
      <c r="G960" s="74"/>
      <c r="I960" s="4" t="s">
        <v>101</v>
      </c>
    </row>
    <row r="961">
      <c r="F961" s="12"/>
      <c r="G961" s="74"/>
      <c r="I961" s="4" t="s">
        <v>101</v>
      </c>
    </row>
    <row r="962">
      <c r="F962" s="12"/>
      <c r="G962" s="74"/>
      <c r="I962" s="4" t="s">
        <v>101</v>
      </c>
    </row>
    <row r="963">
      <c r="F963" s="12"/>
      <c r="G963" s="74"/>
      <c r="I963" s="4" t="s">
        <v>101</v>
      </c>
    </row>
    <row r="964">
      <c r="F964" s="12"/>
      <c r="G964" s="74"/>
      <c r="I964" s="4" t="s">
        <v>101</v>
      </c>
    </row>
    <row r="965">
      <c r="F965" s="12"/>
      <c r="G965" s="74"/>
      <c r="I965" s="4" t="s">
        <v>101</v>
      </c>
    </row>
    <row r="966">
      <c r="F966" s="12"/>
      <c r="G966" s="74"/>
      <c r="I966" s="4" t="s">
        <v>101</v>
      </c>
    </row>
    <row r="967">
      <c r="F967" s="12"/>
      <c r="G967" s="74"/>
      <c r="I967" s="4" t="s">
        <v>101</v>
      </c>
    </row>
    <row r="968">
      <c r="F968" s="12"/>
      <c r="G968" s="74"/>
      <c r="I968" s="4" t="s">
        <v>101</v>
      </c>
    </row>
    <row r="969">
      <c r="I969" s="4" t="s">
        <v>101</v>
      </c>
    </row>
    <row r="970">
      <c r="I970" s="4" t="s">
        <v>101</v>
      </c>
    </row>
    <row r="971">
      <c r="I971" s="4" t="s">
        <v>101</v>
      </c>
    </row>
    <row r="972">
      <c r="I972" s="4" t="s">
        <v>101</v>
      </c>
    </row>
    <row r="973">
      <c r="I973" s="4" t="s">
        <v>101</v>
      </c>
    </row>
    <row r="974">
      <c r="I974" s="4" t="s">
        <v>101</v>
      </c>
    </row>
    <row r="975">
      <c r="I975" s="4" t="s">
        <v>101</v>
      </c>
    </row>
    <row r="976">
      <c r="I976" s="4" t="s">
        <v>101</v>
      </c>
    </row>
    <row r="977">
      <c r="I977" s="4" t="s">
        <v>101</v>
      </c>
    </row>
    <row r="978">
      <c r="I978" s="4" t="s">
        <v>101</v>
      </c>
    </row>
    <row r="979">
      <c r="I979" s="4" t="s">
        <v>101</v>
      </c>
    </row>
    <row r="980">
      <c r="I980" s="4" t="s">
        <v>101</v>
      </c>
    </row>
    <row r="981">
      <c r="I981" s="4" t="s">
        <v>101</v>
      </c>
    </row>
    <row r="982">
      <c r="I982" s="4" t="s">
        <v>101</v>
      </c>
    </row>
    <row r="983">
      <c r="I983" s="4" t="s">
        <v>101</v>
      </c>
    </row>
    <row r="984">
      <c r="I984" s="4" t="s">
        <v>101</v>
      </c>
    </row>
    <row r="985">
      <c r="I985" s="4" t="s">
        <v>101</v>
      </c>
    </row>
    <row r="986">
      <c r="I986" s="4" t="s">
        <v>101</v>
      </c>
    </row>
    <row r="987">
      <c r="I987" s="4" t="s">
        <v>101</v>
      </c>
    </row>
    <row r="988">
      <c r="I988" s="4" t="s">
        <v>101</v>
      </c>
    </row>
    <row r="989">
      <c r="I989" s="4" t="s">
        <v>101</v>
      </c>
    </row>
    <row r="990">
      <c r="I990" s="4" t="s">
        <v>101</v>
      </c>
    </row>
    <row r="991">
      <c r="I991" s="4" t="s">
        <v>101</v>
      </c>
    </row>
    <row r="992">
      <c r="I992" s="4" t="s">
        <v>101</v>
      </c>
    </row>
    <row r="993">
      <c r="I993" s="4" t="s">
        <v>101</v>
      </c>
    </row>
    <row r="994">
      <c r="I994" s="4" t="s">
        <v>101</v>
      </c>
    </row>
    <row r="995">
      <c r="I995" s="4" t="s">
        <v>101</v>
      </c>
    </row>
    <row r="996">
      <c r="I996" s="4" t="s">
        <v>101</v>
      </c>
    </row>
    <row r="997">
      <c r="I997" s="4" t="s">
        <v>101</v>
      </c>
    </row>
    <row r="998">
      <c r="I998" s="4" t="s">
        <v>101</v>
      </c>
    </row>
    <row r="999">
      <c r="I999" s="4" t="s">
        <v>101</v>
      </c>
    </row>
    <row r="1000">
      <c r="I1000" s="4" t="s">
        <v>101</v>
      </c>
    </row>
  </sheetData>
  <conditionalFormatting sqref="F2:G493 A428:B431">
    <cfRule type="expression" dxfId="0" priority="1">
      <formula>$X2="Excluded"</formula>
    </cfRule>
  </conditionalFormatting>
  <conditionalFormatting sqref="G2:G968 B428:B906">
    <cfRule type="cellIs" dxfId="1" priority="2" operator="equal">
      <formula>"patellar"</formula>
    </cfRule>
  </conditionalFormatting>
  <conditionalFormatting sqref="G2:G968 B428:B906">
    <cfRule type="cellIs" dxfId="2" priority="3" operator="equal">
      <formula>"hamstring"</formula>
    </cfRule>
  </conditionalFormatting>
  <conditionalFormatting sqref="G2:G968 B428:B906">
    <cfRule type="cellIs" dxfId="3" priority="4" operator="equal">
      <formula>"quadriceps"</formula>
    </cfRule>
  </conditionalFormatting>
  <conditionalFormatting sqref="G1:G968 B428:B906">
    <cfRule type="cellIs" dxfId="4" priority="5" operator="equal">
      <formula>"tibialis"</formula>
    </cfRule>
  </conditionalFormatting>
  <conditionalFormatting sqref="A423:B427">
    <cfRule type="expression" dxfId="0" priority="6">
      <formula>$X423="Excluded"</formula>
    </cfRule>
  </conditionalFormatting>
  <conditionalFormatting sqref="B423:B427">
    <cfRule type="cellIs" dxfId="1" priority="7" operator="equal">
      <formula>"patellar"</formula>
    </cfRule>
  </conditionalFormatting>
  <conditionalFormatting sqref="B423:B427">
    <cfRule type="cellIs" dxfId="2" priority="8" operator="equal">
      <formula>"hamstring"</formula>
    </cfRule>
  </conditionalFormatting>
  <conditionalFormatting sqref="B423:B427">
    <cfRule type="cellIs" dxfId="3" priority="9" operator="equal">
      <formula>"quadriceps"</formula>
    </cfRule>
  </conditionalFormatting>
  <conditionalFormatting sqref="B423:B427">
    <cfRule type="cellIs" dxfId="4" priority="10" operator="equal">
      <formula>"tibialis"</formula>
    </cfRule>
  </conditionalFormatting>
  <conditionalFormatting sqref="A401:B422">
    <cfRule type="expression" dxfId="0" priority="11">
      <formula>$X401="Excluded"</formula>
    </cfRule>
  </conditionalFormatting>
  <conditionalFormatting sqref="B401:B422">
    <cfRule type="cellIs" dxfId="1" priority="12" operator="equal">
      <formula>"patellar"</formula>
    </cfRule>
  </conditionalFormatting>
  <conditionalFormatting sqref="B401:B422">
    <cfRule type="cellIs" dxfId="2" priority="13" operator="equal">
      <formula>"hamstring"</formula>
    </cfRule>
  </conditionalFormatting>
  <conditionalFormatting sqref="B401:B422">
    <cfRule type="cellIs" dxfId="3" priority="14" operator="equal">
      <formula>"quadriceps"</formula>
    </cfRule>
  </conditionalFormatting>
  <conditionalFormatting sqref="B401:B422">
    <cfRule type="cellIs" dxfId="4" priority="15" operator="equal">
      <formula>"tibialis"</formula>
    </cfRule>
  </conditionalFormatting>
  <conditionalFormatting sqref="A387:B400">
    <cfRule type="expression" dxfId="0" priority="16">
      <formula>$X387="Excluded"</formula>
    </cfRule>
  </conditionalFormatting>
  <conditionalFormatting sqref="B387:B400">
    <cfRule type="cellIs" dxfId="1" priority="17" operator="equal">
      <formula>"patellar"</formula>
    </cfRule>
  </conditionalFormatting>
  <conditionalFormatting sqref="B387:B400">
    <cfRule type="cellIs" dxfId="2" priority="18" operator="equal">
      <formula>"hamstring"</formula>
    </cfRule>
  </conditionalFormatting>
  <conditionalFormatting sqref="B387:B400">
    <cfRule type="cellIs" dxfId="3" priority="19" operator="equal">
      <formula>"quadriceps"</formula>
    </cfRule>
  </conditionalFormatting>
  <conditionalFormatting sqref="B387:B400">
    <cfRule type="cellIs" dxfId="4" priority="20" operator="equal">
      <formula>"tibialis"</formula>
    </cfRule>
  </conditionalFormatting>
  <conditionalFormatting sqref="A368:B386">
    <cfRule type="expression" dxfId="0" priority="21">
      <formula>$X368="Excluded"</formula>
    </cfRule>
  </conditionalFormatting>
  <conditionalFormatting sqref="B368:B386">
    <cfRule type="cellIs" dxfId="1" priority="22" operator="equal">
      <formula>"patellar"</formula>
    </cfRule>
  </conditionalFormatting>
  <conditionalFormatting sqref="B368:B386">
    <cfRule type="cellIs" dxfId="2" priority="23" operator="equal">
      <formula>"hamstring"</formula>
    </cfRule>
  </conditionalFormatting>
  <conditionalFormatting sqref="B368:B386">
    <cfRule type="cellIs" dxfId="3" priority="24" operator="equal">
      <formula>"quadriceps"</formula>
    </cfRule>
  </conditionalFormatting>
  <conditionalFormatting sqref="B368:B386">
    <cfRule type="cellIs" dxfId="4" priority="25" operator="equal">
      <formula>"tibialis"</formula>
    </cfRule>
  </conditionalFormatting>
  <conditionalFormatting sqref="A281:B367">
    <cfRule type="expression" dxfId="0" priority="26">
      <formula>$X281="Excluded"</formula>
    </cfRule>
  </conditionalFormatting>
  <conditionalFormatting sqref="B281:B367">
    <cfRule type="cellIs" dxfId="1" priority="27" operator="equal">
      <formula>"patellar"</formula>
    </cfRule>
  </conditionalFormatting>
  <conditionalFormatting sqref="B281:B367">
    <cfRule type="cellIs" dxfId="2" priority="28" operator="equal">
      <formula>"hamstring"</formula>
    </cfRule>
  </conditionalFormatting>
  <conditionalFormatting sqref="B281:B367">
    <cfRule type="cellIs" dxfId="3" priority="29" operator="equal">
      <formula>"quadriceps"</formula>
    </cfRule>
  </conditionalFormatting>
  <conditionalFormatting sqref="B281:B367">
    <cfRule type="cellIs" dxfId="4" priority="30" operator="equal">
      <formula>"tibialis"</formula>
    </cfRule>
  </conditionalFormatting>
  <conditionalFormatting sqref="A267:B280">
    <cfRule type="expression" dxfId="0" priority="31">
      <formula>$X267="Excluded"</formula>
    </cfRule>
  </conditionalFormatting>
  <conditionalFormatting sqref="B267:B280">
    <cfRule type="cellIs" dxfId="1" priority="32" operator="equal">
      <formula>"patellar"</formula>
    </cfRule>
  </conditionalFormatting>
  <conditionalFormatting sqref="B267:B280">
    <cfRule type="cellIs" dxfId="2" priority="33" operator="equal">
      <formula>"hamstring"</formula>
    </cfRule>
  </conditionalFormatting>
  <conditionalFormatting sqref="B267:B280">
    <cfRule type="cellIs" dxfId="3" priority="34" operator="equal">
      <formula>"quadriceps"</formula>
    </cfRule>
  </conditionalFormatting>
  <conditionalFormatting sqref="B267:B280">
    <cfRule type="cellIs" dxfId="4" priority="35" operator="equal">
      <formula>"tibialis"</formula>
    </cfRule>
  </conditionalFormatting>
  <conditionalFormatting sqref="A244:B266">
    <cfRule type="expression" dxfId="0" priority="36">
      <formula>$X244="Excluded"</formula>
    </cfRule>
  </conditionalFormatting>
  <conditionalFormatting sqref="B244:B266">
    <cfRule type="cellIs" dxfId="1" priority="37" operator="equal">
      <formula>"patellar"</formula>
    </cfRule>
  </conditionalFormatting>
  <conditionalFormatting sqref="B244:B266">
    <cfRule type="cellIs" dxfId="2" priority="38" operator="equal">
      <formula>"hamstring"</formula>
    </cfRule>
  </conditionalFormatting>
  <conditionalFormatting sqref="B244:B266">
    <cfRule type="cellIs" dxfId="3" priority="39" operator="equal">
      <formula>"quadriceps"</formula>
    </cfRule>
  </conditionalFormatting>
  <conditionalFormatting sqref="B244:B266">
    <cfRule type="cellIs" dxfId="4" priority="40" operator="equal">
      <formula>"tibialis"</formula>
    </cfRule>
  </conditionalFormatting>
  <conditionalFormatting sqref="A230:B243">
    <cfRule type="expression" dxfId="0" priority="41">
      <formula>$X230="Excluded"</formula>
    </cfRule>
  </conditionalFormatting>
  <conditionalFormatting sqref="B230:B243">
    <cfRule type="cellIs" dxfId="1" priority="42" operator="equal">
      <formula>"patellar"</formula>
    </cfRule>
  </conditionalFormatting>
  <conditionalFormatting sqref="B230:B243">
    <cfRule type="cellIs" dxfId="2" priority="43" operator="equal">
      <formula>"hamstring"</formula>
    </cfRule>
  </conditionalFormatting>
  <conditionalFormatting sqref="B230:B243">
    <cfRule type="cellIs" dxfId="3" priority="44" operator="equal">
      <formula>"quadriceps"</formula>
    </cfRule>
  </conditionalFormatting>
  <conditionalFormatting sqref="B230:B243">
    <cfRule type="cellIs" dxfId="4" priority="45" operator="equal">
      <formula>"tibialis"</formula>
    </cfRule>
  </conditionalFormatting>
  <conditionalFormatting sqref="A210:B229">
    <cfRule type="expression" dxfId="0" priority="46">
      <formula>$X210="Excluded"</formula>
    </cfRule>
  </conditionalFormatting>
  <conditionalFormatting sqref="B210:B229">
    <cfRule type="cellIs" dxfId="1" priority="47" operator="equal">
      <formula>"patellar"</formula>
    </cfRule>
  </conditionalFormatting>
  <conditionalFormatting sqref="B210:B229">
    <cfRule type="cellIs" dxfId="2" priority="48" operator="equal">
      <formula>"hamstring"</formula>
    </cfRule>
  </conditionalFormatting>
  <conditionalFormatting sqref="B210:B229">
    <cfRule type="cellIs" dxfId="3" priority="49" operator="equal">
      <formula>"quadriceps"</formula>
    </cfRule>
  </conditionalFormatting>
  <conditionalFormatting sqref="B210:B229">
    <cfRule type="cellIs" dxfId="4" priority="50" operator="equal">
      <formula>"tibialis"</formula>
    </cfRule>
  </conditionalFormatting>
  <conditionalFormatting sqref="A187:B209">
    <cfRule type="expression" dxfId="0" priority="51">
      <formula>$X187="Excluded"</formula>
    </cfRule>
  </conditionalFormatting>
  <conditionalFormatting sqref="B187:B209">
    <cfRule type="cellIs" dxfId="1" priority="52" operator="equal">
      <formula>"patellar"</formula>
    </cfRule>
  </conditionalFormatting>
  <conditionalFormatting sqref="B187:B209">
    <cfRule type="cellIs" dxfId="2" priority="53" operator="equal">
      <formula>"hamstring"</formula>
    </cfRule>
  </conditionalFormatting>
  <conditionalFormatting sqref="B187:B209">
    <cfRule type="cellIs" dxfId="3" priority="54" operator="equal">
      <formula>"quadriceps"</formula>
    </cfRule>
  </conditionalFormatting>
  <conditionalFormatting sqref="B187:B209">
    <cfRule type="cellIs" dxfId="4" priority="55" operator="equal">
      <formula>"tibialis"</formula>
    </cfRule>
  </conditionalFormatting>
  <conditionalFormatting sqref="A153:B186">
    <cfRule type="expression" dxfId="0" priority="56">
      <formula>$X153="Excluded"</formula>
    </cfRule>
  </conditionalFormatting>
  <conditionalFormatting sqref="B153:B186">
    <cfRule type="cellIs" dxfId="1" priority="57" operator="equal">
      <formula>"patellar"</formula>
    </cfRule>
  </conditionalFormatting>
  <conditionalFormatting sqref="B153:B186">
    <cfRule type="cellIs" dxfId="2" priority="58" operator="equal">
      <formula>"hamstring"</formula>
    </cfRule>
  </conditionalFormatting>
  <conditionalFormatting sqref="B153:B186">
    <cfRule type="cellIs" dxfId="3" priority="59" operator="equal">
      <formula>"quadriceps"</formula>
    </cfRule>
  </conditionalFormatting>
  <conditionalFormatting sqref="B153:B186">
    <cfRule type="cellIs" dxfId="4" priority="60" operator="equal">
      <formula>"tibialis"</formula>
    </cfRule>
  </conditionalFormatting>
  <conditionalFormatting sqref="A81:B152">
    <cfRule type="expression" dxfId="0" priority="61">
      <formula>$X81="Excluded"</formula>
    </cfRule>
  </conditionalFormatting>
  <conditionalFormatting sqref="B81:B152">
    <cfRule type="cellIs" dxfId="1" priority="62" operator="equal">
      <formula>"patellar"</formula>
    </cfRule>
  </conditionalFormatting>
  <conditionalFormatting sqref="B81:B152">
    <cfRule type="cellIs" dxfId="2" priority="63" operator="equal">
      <formula>"hamstring"</formula>
    </cfRule>
  </conditionalFormatting>
  <conditionalFormatting sqref="B81:B152">
    <cfRule type="cellIs" dxfId="3" priority="64" operator="equal">
      <formula>"quadriceps"</formula>
    </cfRule>
  </conditionalFormatting>
  <conditionalFormatting sqref="B81:B152">
    <cfRule type="cellIs" dxfId="4" priority="65" operator="equal">
      <formula>"tibialis"</formula>
    </cfRule>
  </conditionalFormatting>
  <conditionalFormatting sqref="A80:B80">
    <cfRule type="expression" dxfId="0" priority="66">
      <formula>$X80="Excluded"</formula>
    </cfRule>
  </conditionalFormatting>
  <conditionalFormatting sqref="B80">
    <cfRule type="cellIs" dxfId="1" priority="67" operator="equal">
      <formula>"patellar"</formula>
    </cfRule>
  </conditionalFormatting>
  <conditionalFormatting sqref="B80">
    <cfRule type="cellIs" dxfId="2" priority="68" operator="equal">
      <formula>"hamstring"</formula>
    </cfRule>
  </conditionalFormatting>
  <conditionalFormatting sqref="B80">
    <cfRule type="cellIs" dxfId="3" priority="69" operator="equal">
      <formula>"quadriceps"</formula>
    </cfRule>
  </conditionalFormatting>
  <conditionalFormatting sqref="B80">
    <cfRule type="cellIs" dxfId="4" priority="70" operator="equal">
      <formula>"tibialis"</formula>
    </cfRule>
  </conditionalFormatting>
  <conditionalFormatting sqref="A78:B79">
    <cfRule type="expression" dxfId="0" priority="71">
      <formula>$X78="Excluded"</formula>
    </cfRule>
  </conditionalFormatting>
  <conditionalFormatting sqref="B78:B79">
    <cfRule type="cellIs" dxfId="1" priority="72" operator="equal">
      <formula>"patellar"</formula>
    </cfRule>
  </conditionalFormatting>
  <conditionalFormatting sqref="B78:B79">
    <cfRule type="cellIs" dxfId="2" priority="73" operator="equal">
      <formula>"hamstring"</formula>
    </cfRule>
  </conditionalFormatting>
  <conditionalFormatting sqref="B78:B79">
    <cfRule type="cellIs" dxfId="3" priority="74" operator="equal">
      <formula>"quadriceps"</formula>
    </cfRule>
  </conditionalFormatting>
  <conditionalFormatting sqref="B78:B79">
    <cfRule type="cellIs" dxfId="4" priority="75" operator="equal">
      <formula>"tibialis"</formula>
    </cfRule>
  </conditionalFormatting>
  <conditionalFormatting sqref="A72:B77">
    <cfRule type="expression" dxfId="0" priority="76">
      <formula>$X72="Excluded"</formula>
    </cfRule>
  </conditionalFormatting>
  <conditionalFormatting sqref="B72:B77">
    <cfRule type="cellIs" dxfId="1" priority="77" operator="equal">
      <formula>"patellar"</formula>
    </cfRule>
  </conditionalFormatting>
  <conditionalFormatting sqref="B72:B77">
    <cfRule type="cellIs" dxfId="2" priority="78" operator="equal">
      <formula>"hamstring"</formula>
    </cfRule>
  </conditionalFormatting>
  <conditionalFormatting sqref="B72:B77">
    <cfRule type="cellIs" dxfId="3" priority="79" operator="equal">
      <formula>"quadriceps"</formula>
    </cfRule>
  </conditionalFormatting>
  <conditionalFormatting sqref="B72:B77">
    <cfRule type="cellIs" dxfId="4" priority="80" operator="equal">
      <formula>"tibialis"</formula>
    </cfRule>
  </conditionalFormatting>
  <conditionalFormatting sqref="A58:B71">
    <cfRule type="expression" dxfId="0" priority="81">
      <formula>$X58="Excluded"</formula>
    </cfRule>
  </conditionalFormatting>
  <conditionalFormatting sqref="B58:B71">
    <cfRule type="cellIs" dxfId="1" priority="82" operator="equal">
      <formula>"patellar"</formula>
    </cfRule>
  </conditionalFormatting>
  <conditionalFormatting sqref="B58:B71">
    <cfRule type="cellIs" dxfId="2" priority="83" operator="equal">
      <formula>"hamstring"</formula>
    </cfRule>
  </conditionalFormatting>
  <conditionalFormatting sqref="B58:B71">
    <cfRule type="cellIs" dxfId="3" priority="84" operator="equal">
      <formula>"quadriceps"</formula>
    </cfRule>
  </conditionalFormatting>
  <conditionalFormatting sqref="B58:B71">
    <cfRule type="cellIs" dxfId="4" priority="85" operator="equal">
      <formula>"tibialis"</formula>
    </cfRule>
  </conditionalFormatting>
  <conditionalFormatting sqref="A44:B57">
    <cfRule type="expression" dxfId="0" priority="86">
      <formula>$X44="Excluded"</formula>
    </cfRule>
  </conditionalFormatting>
  <conditionalFormatting sqref="B44:B57">
    <cfRule type="cellIs" dxfId="1" priority="87" operator="equal">
      <formula>"patellar"</formula>
    </cfRule>
  </conditionalFormatting>
  <conditionalFormatting sqref="B44:B57">
    <cfRule type="cellIs" dxfId="2" priority="88" operator="equal">
      <formula>"hamstring"</formula>
    </cfRule>
  </conditionalFormatting>
  <conditionalFormatting sqref="B44:B57">
    <cfRule type="cellIs" dxfId="3" priority="89" operator="equal">
      <formula>"quadriceps"</formula>
    </cfRule>
  </conditionalFormatting>
  <conditionalFormatting sqref="B44:B57">
    <cfRule type="cellIs" dxfId="4" priority="90" operator="equal">
      <formula>"tibialis"</formula>
    </cfRule>
  </conditionalFormatting>
  <conditionalFormatting sqref="A2:B43">
    <cfRule type="expression" dxfId="0" priority="91">
      <formula>$X2="Excluded"</formula>
    </cfRule>
  </conditionalFormatting>
  <conditionalFormatting sqref="B2:B43">
    <cfRule type="cellIs" dxfId="1" priority="92" operator="equal">
      <formula>"patellar"</formula>
    </cfRule>
  </conditionalFormatting>
  <conditionalFormatting sqref="B2:B43">
    <cfRule type="cellIs" dxfId="2" priority="93" operator="equal">
      <formula>"hamstring"</formula>
    </cfRule>
  </conditionalFormatting>
  <conditionalFormatting sqref="B2:B43">
    <cfRule type="cellIs" dxfId="3" priority="94" operator="equal">
      <formula>"quadriceps"</formula>
    </cfRule>
  </conditionalFormatting>
  <conditionalFormatting sqref="B1:B43">
    <cfRule type="cellIs" dxfId="4" priority="95" operator="equal">
      <formula>"tibialis"</formula>
    </cfRule>
  </conditionalFormatting>
  <dataValidations>
    <dataValidation type="list" allowBlank="1" showErrorMessage="1" sqref="B2:B431 G2:G493">
      <formula1>"AT,BPTB,HT,PLT,QT,TA"</formula1>
    </dataValidation>
  </dataValidations>
  <hyperlinks>
    <hyperlink r:id="rId1" ref="C3"/>
    <hyperlink r:id="rId2" ref="H3"/>
    <hyperlink r:id="rId3" ref="C4"/>
    <hyperlink r:id="rId4" ref="H4"/>
    <hyperlink r:id="rId5" ref="C5"/>
    <hyperlink r:id="rId6" ref="H5"/>
    <hyperlink r:id="rId7" ref="C6"/>
    <hyperlink r:id="rId8" ref="H6"/>
    <hyperlink r:id="rId9" ref="C7"/>
    <hyperlink r:id="rId10" ref="H7"/>
    <hyperlink r:id="rId11" ref="C8"/>
    <hyperlink r:id="rId12" ref="H8"/>
    <hyperlink r:id="rId13" ref="C9"/>
    <hyperlink r:id="rId14" ref="H9"/>
    <hyperlink r:id="rId15" ref="C10"/>
    <hyperlink r:id="rId16" ref="H10"/>
    <hyperlink r:id="rId17" ref="C11"/>
    <hyperlink r:id="rId18" ref="H11"/>
    <hyperlink r:id="rId19" ref="C12"/>
    <hyperlink r:id="rId20" ref="H12"/>
    <hyperlink r:id="rId21" ref="C13"/>
    <hyperlink r:id="rId22" ref="H13"/>
    <hyperlink r:id="rId23" ref="C14"/>
    <hyperlink r:id="rId24" ref="H14"/>
    <hyperlink r:id="rId25" ref="C15"/>
    <hyperlink r:id="rId26" ref="H15"/>
    <hyperlink r:id="rId27" ref="C16"/>
    <hyperlink r:id="rId28" ref="H16"/>
    <hyperlink r:id="rId29" ref="C17"/>
    <hyperlink r:id="rId30" ref="H17"/>
    <hyperlink r:id="rId31" ref="C18"/>
    <hyperlink r:id="rId32" ref="H18"/>
    <hyperlink r:id="rId33" ref="C19"/>
    <hyperlink r:id="rId34" ref="H19"/>
    <hyperlink r:id="rId35" ref="C20"/>
    <hyperlink r:id="rId36" ref="H20"/>
    <hyperlink r:id="rId37" ref="C21"/>
    <hyperlink r:id="rId38" ref="H21"/>
    <hyperlink r:id="rId39" ref="C22"/>
    <hyperlink r:id="rId40" ref="H22"/>
    <hyperlink r:id="rId41" ref="C23"/>
    <hyperlink r:id="rId42" ref="H23"/>
    <hyperlink r:id="rId43" ref="C24"/>
    <hyperlink r:id="rId44" ref="H24"/>
    <hyperlink r:id="rId45" ref="C25"/>
    <hyperlink r:id="rId46" ref="H25"/>
    <hyperlink r:id="rId47" ref="C26"/>
    <hyperlink r:id="rId48" ref="H26"/>
    <hyperlink r:id="rId49" ref="C27"/>
    <hyperlink r:id="rId50" ref="H27"/>
    <hyperlink r:id="rId51" ref="C28"/>
    <hyperlink r:id="rId52" ref="H28"/>
    <hyperlink r:id="rId53" ref="C29"/>
    <hyperlink r:id="rId54" ref="H29"/>
    <hyperlink r:id="rId55" ref="C30"/>
    <hyperlink r:id="rId56" ref="H30"/>
    <hyperlink r:id="rId57" ref="C31"/>
    <hyperlink r:id="rId58" ref="H31"/>
    <hyperlink r:id="rId59" ref="C32"/>
    <hyperlink r:id="rId60" ref="H32"/>
    <hyperlink r:id="rId61" ref="C33"/>
    <hyperlink r:id="rId62" ref="H33"/>
    <hyperlink r:id="rId63" ref="C34"/>
    <hyperlink r:id="rId64" ref="H34"/>
    <hyperlink r:id="rId65" ref="C35"/>
    <hyperlink r:id="rId66" ref="H35"/>
    <hyperlink r:id="rId67" ref="C36"/>
    <hyperlink r:id="rId68" ref="H36"/>
    <hyperlink r:id="rId69" ref="C37"/>
    <hyperlink r:id="rId70" ref="H37"/>
    <hyperlink r:id="rId71" ref="C38"/>
    <hyperlink r:id="rId72" ref="H38"/>
    <hyperlink r:id="rId73" ref="C39"/>
    <hyperlink r:id="rId74" ref="H39"/>
    <hyperlink r:id="rId75" ref="C40"/>
    <hyperlink r:id="rId76" ref="H40"/>
    <hyperlink r:id="rId77" ref="C41"/>
    <hyperlink r:id="rId78" ref="H41"/>
    <hyperlink r:id="rId79" ref="C42"/>
    <hyperlink r:id="rId80" ref="H42"/>
    <hyperlink r:id="rId81" ref="C43"/>
    <hyperlink r:id="rId82" ref="H43"/>
    <hyperlink r:id="rId83" ref="C44"/>
    <hyperlink r:id="rId84" ref="H44"/>
    <hyperlink r:id="rId85" ref="C45"/>
    <hyperlink r:id="rId86" ref="H45"/>
    <hyperlink r:id="rId87" ref="C46"/>
    <hyperlink r:id="rId88" ref="H46"/>
    <hyperlink r:id="rId89" ref="C47"/>
    <hyperlink r:id="rId90" ref="H47"/>
    <hyperlink r:id="rId91" ref="C48"/>
    <hyperlink r:id="rId92" ref="H48"/>
    <hyperlink r:id="rId93" ref="C49"/>
    <hyperlink r:id="rId94" ref="H49"/>
    <hyperlink r:id="rId95" ref="C50"/>
    <hyperlink r:id="rId96" ref="H50"/>
    <hyperlink r:id="rId97" ref="C51"/>
    <hyperlink r:id="rId98" ref="H51"/>
    <hyperlink r:id="rId99" ref="C52"/>
    <hyperlink r:id="rId100" ref="H52"/>
    <hyperlink r:id="rId101" ref="C53"/>
    <hyperlink r:id="rId102" ref="H53"/>
    <hyperlink r:id="rId103" ref="C54"/>
    <hyperlink r:id="rId104" ref="H54"/>
    <hyperlink r:id="rId105" ref="C55"/>
    <hyperlink r:id="rId106" ref="H55"/>
    <hyperlink r:id="rId107" ref="C56"/>
    <hyperlink r:id="rId108" ref="H56"/>
    <hyperlink r:id="rId109" ref="C57"/>
    <hyperlink r:id="rId110" ref="H57"/>
    <hyperlink r:id="rId111" ref="C58"/>
    <hyperlink r:id="rId112" ref="H58"/>
    <hyperlink r:id="rId113" ref="C59"/>
    <hyperlink r:id="rId114" ref="H59"/>
    <hyperlink r:id="rId115" ref="C60"/>
    <hyperlink r:id="rId116" ref="H60"/>
    <hyperlink r:id="rId117" ref="C61"/>
    <hyperlink r:id="rId118" ref="H61"/>
    <hyperlink r:id="rId119" ref="C62"/>
    <hyperlink r:id="rId120" ref="H62"/>
    <hyperlink r:id="rId121" ref="C63"/>
    <hyperlink r:id="rId122" ref="H63"/>
    <hyperlink r:id="rId123" ref="C64"/>
    <hyperlink r:id="rId124" ref="H64"/>
    <hyperlink r:id="rId125" ref="C65"/>
    <hyperlink r:id="rId126" ref="H65"/>
    <hyperlink r:id="rId127" ref="C66"/>
    <hyperlink r:id="rId128" ref="H66"/>
    <hyperlink r:id="rId129" ref="C67"/>
    <hyperlink r:id="rId130" ref="H67"/>
    <hyperlink r:id="rId131" ref="C68"/>
    <hyperlink r:id="rId132" ref="H68"/>
  </hyperlinks>
  <drawing r:id="rId13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2" max="2" width="21.75"/>
    <col customWidth="1" min="4" max="4" width="21.75"/>
  </cols>
  <sheetData>
    <row r="2">
      <c r="B2" s="3" t="s">
        <v>1</v>
      </c>
      <c r="C2" s="3" t="s">
        <v>42</v>
      </c>
      <c r="D2" s="4" t="str">
        <f>FUNCTION3(B2:B117)</f>
        <v>Ageberg et al., 2009</v>
      </c>
      <c r="E2" s="4" t="str">
        <f>FUNCTION4(C2:C1000,B2:B1000,D2:D1000)</f>
        <v>BPTB, HT</v>
      </c>
      <c r="F2" s="4" t="str">
        <f>IFERROR(__xludf.DUMMYFUNCTION("split(E2,"", "", FALSE)"),"BPTB")</f>
        <v>BPTB</v>
      </c>
      <c r="G2" s="4" t="str">
        <f>IFERROR(__xludf.DUMMYFUNCTION("""COMPUTED_VALUE"""),"HT")</f>
        <v>HT</v>
      </c>
    </row>
    <row r="3">
      <c r="B3" s="3" t="s">
        <v>1</v>
      </c>
      <c r="C3" s="3" t="s">
        <v>84</v>
      </c>
      <c r="D3" s="4" t="s">
        <v>11</v>
      </c>
      <c r="E3" s="4" t="s">
        <v>321</v>
      </c>
      <c r="F3" s="4" t="str">
        <f>IFERROR(__xludf.DUMMYFUNCTION("split(E3,"", "", FALSE)"),"BPTB")</f>
        <v>BPTB</v>
      </c>
      <c r="G3" s="4" t="str">
        <f>IFERROR(__xludf.DUMMYFUNCTION("""COMPUTED_VALUE"""),"HT")</f>
        <v>HT</v>
      </c>
    </row>
    <row r="4">
      <c r="B4" s="3" t="s">
        <v>11</v>
      </c>
      <c r="C4" s="3" t="s">
        <v>42</v>
      </c>
      <c r="D4" s="4" t="s">
        <v>16</v>
      </c>
      <c r="E4" s="4" t="s">
        <v>321</v>
      </c>
      <c r="F4" s="4" t="str">
        <f>IFERROR(__xludf.DUMMYFUNCTION("split(E4,"", "", FALSE)"),"BPTB")</f>
        <v>BPTB</v>
      </c>
      <c r="G4" s="4" t="str">
        <f>IFERROR(__xludf.DUMMYFUNCTION("""COMPUTED_VALUE"""),"HT")</f>
        <v>HT</v>
      </c>
    </row>
    <row r="5">
      <c r="B5" s="3" t="s">
        <v>11</v>
      </c>
      <c r="C5" s="3" t="s">
        <v>84</v>
      </c>
      <c r="D5" s="4" t="s">
        <v>387</v>
      </c>
      <c r="E5" s="4" t="s">
        <v>321</v>
      </c>
      <c r="F5" s="4" t="str">
        <f>IFERROR(__xludf.DUMMYFUNCTION("split(E5,"", "", FALSE)"),"BPTB")</f>
        <v>BPTB</v>
      </c>
      <c r="G5" s="4" t="str">
        <f>IFERROR(__xludf.DUMMYFUNCTION("""COMPUTED_VALUE"""),"HT")</f>
        <v>HT</v>
      </c>
    </row>
    <row r="6">
      <c r="B6" s="3" t="s">
        <v>16</v>
      </c>
      <c r="C6" s="3" t="s">
        <v>42</v>
      </c>
      <c r="D6" s="4" t="s">
        <v>22</v>
      </c>
      <c r="E6" s="4" t="s">
        <v>321</v>
      </c>
      <c r="F6" s="4" t="str">
        <f>IFERROR(__xludf.DUMMYFUNCTION("split(E6,"", "", FALSE)"),"BPTB")</f>
        <v>BPTB</v>
      </c>
      <c r="G6" s="4" t="str">
        <f>IFERROR(__xludf.DUMMYFUNCTION("""COMPUTED_VALUE"""),"HT")</f>
        <v>HT</v>
      </c>
    </row>
    <row r="7">
      <c r="B7" s="3" t="s">
        <v>16</v>
      </c>
      <c r="C7" s="3" t="s">
        <v>84</v>
      </c>
      <c r="D7" s="4" t="s">
        <v>26</v>
      </c>
      <c r="E7" s="4" t="s">
        <v>321</v>
      </c>
      <c r="F7" s="4" t="str">
        <f>IFERROR(__xludf.DUMMYFUNCTION("split(E7,"", "", FALSE)"),"BPTB")</f>
        <v>BPTB</v>
      </c>
      <c r="G7" s="4" t="str">
        <f>IFERROR(__xludf.DUMMYFUNCTION("""COMPUTED_VALUE"""),"HT")</f>
        <v>HT</v>
      </c>
    </row>
    <row r="8">
      <c r="B8" s="3" t="s">
        <v>387</v>
      </c>
      <c r="C8" s="3" t="s">
        <v>42</v>
      </c>
      <c r="D8" s="4" t="s">
        <v>30</v>
      </c>
      <c r="E8" s="4" t="s">
        <v>321</v>
      </c>
      <c r="F8" s="4" t="str">
        <f>IFERROR(__xludf.DUMMYFUNCTION("split(E8,"", "", FALSE)"),"BPTB")</f>
        <v>BPTB</v>
      </c>
      <c r="G8" s="4" t="str">
        <f>IFERROR(__xludf.DUMMYFUNCTION("""COMPUTED_VALUE"""),"HT")</f>
        <v>HT</v>
      </c>
    </row>
    <row r="9">
      <c r="B9" s="3" t="s">
        <v>387</v>
      </c>
      <c r="C9" s="3" t="s">
        <v>84</v>
      </c>
      <c r="D9" s="4" t="s">
        <v>32</v>
      </c>
      <c r="E9" s="4" t="s">
        <v>321</v>
      </c>
      <c r="F9" s="4" t="str">
        <f>IFERROR(__xludf.DUMMYFUNCTION("split(E9,"", "", FALSE)"),"BPTB")</f>
        <v>BPTB</v>
      </c>
      <c r="G9" s="4" t="str">
        <f>IFERROR(__xludf.DUMMYFUNCTION("""COMPUTED_VALUE"""),"HT")</f>
        <v>HT</v>
      </c>
    </row>
    <row r="10">
      <c r="B10" s="3" t="s">
        <v>22</v>
      </c>
      <c r="C10" s="3" t="s">
        <v>42</v>
      </c>
      <c r="D10" s="4" t="s">
        <v>35</v>
      </c>
      <c r="E10" s="4" t="s">
        <v>42</v>
      </c>
      <c r="F10" s="4" t="str">
        <f>IFERROR(__xludf.DUMMYFUNCTION("split(E10,"", "", FALSE)"),"BPTB")</f>
        <v>BPTB</v>
      </c>
    </row>
    <row r="11">
      <c r="B11" s="3" t="s">
        <v>22</v>
      </c>
      <c r="C11" s="3" t="s">
        <v>84</v>
      </c>
      <c r="D11" s="4" t="s">
        <v>37</v>
      </c>
      <c r="E11" s="4" t="s">
        <v>321</v>
      </c>
      <c r="F11" s="4" t="str">
        <f>IFERROR(__xludf.DUMMYFUNCTION("split(E11,"", "", FALSE)"),"BPTB")</f>
        <v>BPTB</v>
      </c>
      <c r="G11" s="4" t="str">
        <f>IFERROR(__xludf.DUMMYFUNCTION("""COMPUTED_VALUE"""),"HT")</f>
        <v>HT</v>
      </c>
    </row>
    <row r="12">
      <c r="B12" s="3" t="s">
        <v>26</v>
      </c>
      <c r="C12" s="3" t="s">
        <v>42</v>
      </c>
      <c r="D12" s="4" t="s">
        <v>39</v>
      </c>
      <c r="E12" s="4" t="s">
        <v>84</v>
      </c>
      <c r="F12" s="4" t="str">
        <f>IFERROR(__xludf.DUMMYFUNCTION("split(E12,"", "", FALSE)"),"HT")</f>
        <v>HT</v>
      </c>
    </row>
    <row r="13">
      <c r="B13" s="3" t="s">
        <v>26</v>
      </c>
      <c r="C13" s="3" t="s">
        <v>84</v>
      </c>
      <c r="D13" s="4" t="s">
        <v>43</v>
      </c>
      <c r="E13" s="4" t="s">
        <v>321</v>
      </c>
      <c r="F13" s="4" t="str">
        <f>IFERROR(__xludf.DUMMYFUNCTION("split(E13,"", "", FALSE)"),"BPTB")</f>
        <v>BPTB</v>
      </c>
      <c r="G13" s="4" t="str">
        <f>IFERROR(__xludf.DUMMYFUNCTION("""COMPUTED_VALUE"""),"HT")</f>
        <v>HT</v>
      </c>
    </row>
    <row r="14">
      <c r="B14" s="3" t="s">
        <v>30</v>
      </c>
      <c r="C14" s="3" t="s">
        <v>42</v>
      </c>
      <c r="D14" s="4" t="s">
        <v>45</v>
      </c>
      <c r="E14" s="4" t="s">
        <v>84</v>
      </c>
      <c r="F14" s="4" t="str">
        <f>IFERROR(__xludf.DUMMYFUNCTION("split(E14,"", "", FALSE)"),"HT")</f>
        <v>HT</v>
      </c>
    </row>
    <row r="15">
      <c r="B15" s="3" t="s">
        <v>30</v>
      </c>
      <c r="C15" s="3" t="s">
        <v>84</v>
      </c>
      <c r="D15" s="4" t="s">
        <v>389</v>
      </c>
      <c r="E15" s="4" t="s">
        <v>321</v>
      </c>
      <c r="F15" s="4" t="str">
        <f>IFERROR(__xludf.DUMMYFUNCTION("split(E15,"", "", FALSE)"),"BPTB")</f>
        <v>BPTB</v>
      </c>
      <c r="G15" s="4" t="str">
        <f>IFERROR(__xludf.DUMMYFUNCTION("""COMPUTED_VALUE"""),"HT")</f>
        <v>HT</v>
      </c>
    </row>
    <row r="16">
      <c r="B16" s="3" t="s">
        <v>32</v>
      </c>
      <c r="C16" s="3" t="s">
        <v>42</v>
      </c>
      <c r="D16" s="4" t="s">
        <v>47</v>
      </c>
      <c r="E16" s="4" t="s">
        <v>84</v>
      </c>
      <c r="F16" s="4" t="str">
        <f>IFERROR(__xludf.DUMMYFUNCTION("split(E16,"", "", FALSE)"),"HT")</f>
        <v>HT</v>
      </c>
    </row>
    <row r="17">
      <c r="B17" s="3" t="s">
        <v>32</v>
      </c>
      <c r="C17" s="3" t="s">
        <v>84</v>
      </c>
      <c r="D17" s="4" t="s">
        <v>52</v>
      </c>
      <c r="E17" s="4" t="s">
        <v>84</v>
      </c>
      <c r="F17" s="4" t="str">
        <f>IFERROR(__xludf.DUMMYFUNCTION("split(E17,"", "", FALSE)"),"HT")</f>
        <v>HT</v>
      </c>
    </row>
    <row r="18">
      <c r="B18" s="3" t="s">
        <v>35</v>
      </c>
      <c r="C18" s="3" t="s">
        <v>42</v>
      </c>
      <c r="D18" s="4" t="s">
        <v>390</v>
      </c>
      <c r="E18" s="4" t="s">
        <v>84</v>
      </c>
      <c r="F18" s="4" t="str">
        <f>IFERROR(__xludf.DUMMYFUNCTION("split(E18,"", "", FALSE)"),"HT")</f>
        <v>HT</v>
      </c>
    </row>
    <row r="19">
      <c r="B19" s="3" t="s">
        <v>37</v>
      </c>
      <c r="C19" s="3" t="s">
        <v>42</v>
      </c>
      <c r="D19" s="4" t="s">
        <v>56</v>
      </c>
      <c r="E19" s="4" t="s">
        <v>321</v>
      </c>
      <c r="F19" s="4" t="str">
        <f>IFERROR(__xludf.DUMMYFUNCTION("split(E19,"", "", FALSE)"),"BPTB")</f>
        <v>BPTB</v>
      </c>
      <c r="G19" s="4" t="str">
        <f>IFERROR(__xludf.DUMMYFUNCTION("""COMPUTED_VALUE"""),"HT")</f>
        <v>HT</v>
      </c>
    </row>
    <row r="20">
      <c r="B20" s="3" t="s">
        <v>37</v>
      </c>
      <c r="C20" s="3" t="s">
        <v>84</v>
      </c>
      <c r="D20" s="4" t="s">
        <v>58</v>
      </c>
      <c r="E20" s="4" t="s">
        <v>321</v>
      </c>
      <c r="F20" s="4" t="str">
        <f>IFERROR(__xludf.DUMMYFUNCTION("split(E20,"", "", FALSE)"),"BPTB")</f>
        <v>BPTB</v>
      </c>
      <c r="G20" s="4" t="str">
        <f>IFERROR(__xludf.DUMMYFUNCTION("""COMPUTED_VALUE"""),"HT")</f>
        <v>HT</v>
      </c>
    </row>
    <row r="21">
      <c r="B21" s="3" t="s">
        <v>39</v>
      </c>
      <c r="C21" s="3" t="s">
        <v>84</v>
      </c>
      <c r="D21" s="4" t="s">
        <v>60</v>
      </c>
      <c r="E21" s="4" t="s">
        <v>321</v>
      </c>
      <c r="F21" s="4" t="str">
        <f>IFERROR(__xludf.DUMMYFUNCTION("split(E21,"", "", FALSE)"),"BPTB")</f>
        <v>BPTB</v>
      </c>
      <c r="G21" s="4" t="str">
        <f>IFERROR(__xludf.DUMMYFUNCTION("""COMPUTED_VALUE"""),"HT")</f>
        <v>HT</v>
      </c>
    </row>
    <row r="22">
      <c r="B22" s="3" t="s">
        <v>43</v>
      </c>
      <c r="C22" s="3" t="s">
        <v>42</v>
      </c>
      <c r="D22" s="4" t="s">
        <v>391</v>
      </c>
      <c r="E22" s="4" t="s">
        <v>321</v>
      </c>
      <c r="F22" s="4" t="str">
        <f>IFERROR(__xludf.DUMMYFUNCTION("split(E22,"", "", FALSE)"),"BPTB")</f>
        <v>BPTB</v>
      </c>
      <c r="G22" s="4" t="str">
        <f>IFERROR(__xludf.DUMMYFUNCTION("""COMPUTED_VALUE"""),"HT")</f>
        <v>HT</v>
      </c>
    </row>
    <row r="23">
      <c r="B23" s="3" t="s">
        <v>43</v>
      </c>
      <c r="C23" s="3" t="s">
        <v>84</v>
      </c>
      <c r="D23" s="4" t="s">
        <v>62</v>
      </c>
      <c r="E23" s="4" t="s">
        <v>321</v>
      </c>
      <c r="F23" s="4" t="str">
        <f>IFERROR(__xludf.DUMMYFUNCTION("split(E23,"", "", FALSE)"),"BPTB")</f>
        <v>BPTB</v>
      </c>
      <c r="G23" s="4" t="str">
        <f>IFERROR(__xludf.DUMMYFUNCTION("""COMPUTED_VALUE"""),"HT")</f>
        <v>HT</v>
      </c>
    </row>
    <row r="24">
      <c r="B24" s="3" t="s">
        <v>45</v>
      </c>
      <c r="C24" s="3" t="s">
        <v>84</v>
      </c>
      <c r="D24" s="4" t="s">
        <v>392</v>
      </c>
      <c r="E24" s="4" t="s">
        <v>321</v>
      </c>
      <c r="F24" s="4" t="str">
        <f>IFERROR(__xludf.DUMMYFUNCTION("split(E24,"", "", FALSE)"),"BPTB")</f>
        <v>BPTB</v>
      </c>
      <c r="G24" s="4" t="str">
        <f>IFERROR(__xludf.DUMMYFUNCTION("""COMPUTED_VALUE"""),"HT")</f>
        <v>HT</v>
      </c>
    </row>
    <row r="25">
      <c r="B25" s="3" t="s">
        <v>389</v>
      </c>
      <c r="C25" s="3" t="s">
        <v>42</v>
      </c>
      <c r="D25" s="4" t="s">
        <v>65</v>
      </c>
      <c r="E25" s="4" t="s">
        <v>321</v>
      </c>
      <c r="F25" s="4" t="str">
        <f>IFERROR(__xludf.DUMMYFUNCTION("split(E25,"", "", FALSE)"),"BPTB")</f>
        <v>BPTB</v>
      </c>
      <c r="G25" s="4" t="str">
        <f>IFERROR(__xludf.DUMMYFUNCTION("""COMPUTED_VALUE"""),"HT")</f>
        <v>HT</v>
      </c>
    </row>
    <row r="26">
      <c r="B26" s="3" t="s">
        <v>389</v>
      </c>
      <c r="C26" s="3" t="s">
        <v>84</v>
      </c>
      <c r="D26" s="4" t="s">
        <v>67</v>
      </c>
      <c r="E26" s="4" t="s">
        <v>321</v>
      </c>
      <c r="F26" s="4" t="str">
        <f>IFERROR(__xludf.DUMMYFUNCTION("split(E26,"", "", FALSE)"),"BPTB")</f>
        <v>BPTB</v>
      </c>
      <c r="G26" s="4" t="str">
        <f>IFERROR(__xludf.DUMMYFUNCTION("""COMPUTED_VALUE"""),"HT")</f>
        <v>HT</v>
      </c>
    </row>
    <row r="27">
      <c r="B27" s="3" t="s">
        <v>47</v>
      </c>
      <c r="C27" s="3" t="s">
        <v>84</v>
      </c>
      <c r="D27" s="4" t="s">
        <v>69</v>
      </c>
      <c r="E27" s="4" t="s">
        <v>321</v>
      </c>
      <c r="F27" s="4" t="str">
        <f>IFERROR(__xludf.DUMMYFUNCTION("split(E27,"", "", FALSE)"),"BPTB")</f>
        <v>BPTB</v>
      </c>
      <c r="G27" s="4" t="str">
        <f>IFERROR(__xludf.DUMMYFUNCTION("""COMPUTED_VALUE"""),"HT")</f>
        <v>HT</v>
      </c>
    </row>
    <row r="28">
      <c r="B28" s="3" t="s">
        <v>52</v>
      </c>
      <c r="C28" s="3" t="s">
        <v>84</v>
      </c>
      <c r="D28" s="4" t="s">
        <v>71</v>
      </c>
      <c r="E28" s="4" t="s">
        <v>321</v>
      </c>
      <c r="F28" s="4" t="str">
        <f>IFERROR(__xludf.DUMMYFUNCTION("split(E28,"", "", FALSE)"),"BPTB")</f>
        <v>BPTB</v>
      </c>
      <c r="G28" s="4" t="str">
        <f>IFERROR(__xludf.DUMMYFUNCTION("""COMPUTED_VALUE"""),"HT")</f>
        <v>HT</v>
      </c>
    </row>
    <row r="29">
      <c r="B29" s="3" t="s">
        <v>390</v>
      </c>
      <c r="C29" s="3" t="s">
        <v>84</v>
      </c>
      <c r="D29" s="4" t="s">
        <v>73</v>
      </c>
      <c r="E29" s="4" t="s">
        <v>84</v>
      </c>
      <c r="F29" s="4" t="str">
        <f>IFERROR(__xludf.DUMMYFUNCTION("split(E29,"", "", FALSE)"),"HT")</f>
        <v>HT</v>
      </c>
    </row>
    <row r="30">
      <c r="B30" s="3" t="s">
        <v>56</v>
      </c>
      <c r="C30" s="3" t="s">
        <v>42</v>
      </c>
      <c r="D30" s="4" t="s">
        <v>75</v>
      </c>
      <c r="E30" s="4" t="s">
        <v>321</v>
      </c>
      <c r="F30" s="4" t="str">
        <f>IFERROR(__xludf.DUMMYFUNCTION("split(E30,"", "", FALSE)"),"BPTB")</f>
        <v>BPTB</v>
      </c>
      <c r="G30" s="4" t="str">
        <f>IFERROR(__xludf.DUMMYFUNCTION("""COMPUTED_VALUE"""),"HT")</f>
        <v>HT</v>
      </c>
    </row>
    <row r="31">
      <c r="B31" s="3" t="s">
        <v>56</v>
      </c>
      <c r="C31" s="3" t="s">
        <v>84</v>
      </c>
      <c r="D31" s="4" t="s">
        <v>77</v>
      </c>
      <c r="E31" s="4" t="s">
        <v>321</v>
      </c>
      <c r="F31" s="4" t="str">
        <f>IFERROR(__xludf.DUMMYFUNCTION("split(E31,"", "", FALSE)"),"BPTB")</f>
        <v>BPTB</v>
      </c>
      <c r="G31" s="4" t="str">
        <f>IFERROR(__xludf.DUMMYFUNCTION("""COMPUTED_VALUE"""),"HT")</f>
        <v>HT</v>
      </c>
    </row>
    <row r="32">
      <c r="B32" s="3" t="s">
        <v>58</v>
      </c>
      <c r="C32" s="3" t="s">
        <v>42</v>
      </c>
      <c r="D32" s="4" t="s">
        <v>79</v>
      </c>
      <c r="E32" s="4" t="s">
        <v>321</v>
      </c>
      <c r="F32" s="4" t="str">
        <f>IFERROR(__xludf.DUMMYFUNCTION("split(E32,"", "", FALSE)"),"BPTB")</f>
        <v>BPTB</v>
      </c>
      <c r="G32" s="4" t="str">
        <f>IFERROR(__xludf.DUMMYFUNCTION("""COMPUTED_VALUE"""),"HT")</f>
        <v>HT</v>
      </c>
    </row>
    <row r="33">
      <c r="B33" s="3" t="s">
        <v>58</v>
      </c>
      <c r="C33" s="3" t="s">
        <v>84</v>
      </c>
      <c r="D33" s="4" t="s">
        <v>82</v>
      </c>
      <c r="E33" s="4" t="s">
        <v>321</v>
      </c>
      <c r="F33" s="4" t="str">
        <f>IFERROR(__xludf.DUMMYFUNCTION("split(E33,"", "", FALSE)"),"BPTB")</f>
        <v>BPTB</v>
      </c>
      <c r="G33" s="4" t="str">
        <f>IFERROR(__xludf.DUMMYFUNCTION("""COMPUTED_VALUE"""),"HT")</f>
        <v>HT</v>
      </c>
    </row>
    <row r="34">
      <c r="B34" s="3" t="s">
        <v>60</v>
      </c>
      <c r="C34" s="3" t="s">
        <v>42</v>
      </c>
      <c r="D34" s="4" t="s">
        <v>85</v>
      </c>
      <c r="E34" s="4" t="s">
        <v>42</v>
      </c>
      <c r="F34" s="4" t="str">
        <f>IFERROR(__xludf.DUMMYFUNCTION("split(E34,"", "", FALSE)"),"BPTB")</f>
        <v>BPTB</v>
      </c>
    </row>
    <row r="35">
      <c r="B35" s="3" t="s">
        <v>60</v>
      </c>
      <c r="C35" s="3" t="s">
        <v>84</v>
      </c>
      <c r="D35" s="4" t="s">
        <v>88</v>
      </c>
      <c r="E35" s="4" t="s">
        <v>321</v>
      </c>
      <c r="F35" s="4" t="str">
        <f>IFERROR(__xludf.DUMMYFUNCTION("split(E35,"", "", FALSE)"),"BPTB")</f>
        <v>BPTB</v>
      </c>
      <c r="G35" s="4" t="str">
        <f>IFERROR(__xludf.DUMMYFUNCTION("""COMPUTED_VALUE"""),"HT")</f>
        <v>HT</v>
      </c>
    </row>
    <row r="36">
      <c r="B36" s="3" t="s">
        <v>391</v>
      </c>
      <c r="C36" s="3" t="s">
        <v>42</v>
      </c>
      <c r="D36" s="4" t="s">
        <v>90</v>
      </c>
      <c r="E36" s="4" t="s">
        <v>321</v>
      </c>
      <c r="F36" s="4" t="str">
        <f>IFERROR(__xludf.DUMMYFUNCTION("split(E36,"", "", FALSE)"),"BPTB")</f>
        <v>BPTB</v>
      </c>
      <c r="G36" s="4" t="str">
        <f>IFERROR(__xludf.DUMMYFUNCTION("""COMPUTED_VALUE"""),"HT")</f>
        <v>HT</v>
      </c>
    </row>
    <row r="37">
      <c r="B37" s="3" t="s">
        <v>391</v>
      </c>
      <c r="C37" s="3" t="s">
        <v>84</v>
      </c>
      <c r="D37" s="4" t="s">
        <v>91</v>
      </c>
      <c r="E37" s="4" t="s">
        <v>84</v>
      </c>
      <c r="F37" s="4" t="str">
        <f>IFERROR(__xludf.DUMMYFUNCTION("split(E37,"", "", FALSE)"),"HT")</f>
        <v>HT</v>
      </c>
    </row>
    <row r="38">
      <c r="B38" s="3" t="s">
        <v>62</v>
      </c>
      <c r="C38" s="3" t="s">
        <v>42</v>
      </c>
      <c r="D38" s="4" t="s">
        <v>93</v>
      </c>
      <c r="E38" s="4" t="s">
        <v>321</v>
      </c>
      <c r="F38" s="4" t="str">
        <f>IFERROR(__xludf.DUMMYFUNCTION("split(E38,"", "", FALSE)"),"BPTB")</f>
        <v>BPTB</v>
      </c>
      <c r="G38" s="4" t="str">
        <f>IFERROR(__xludf.DUMMYFUNCTION("""COMPUTED_VALUE"""),"HT")</f>
        <v>HT</v>
      </c>
    </row>
    <row r="39">
      <c r="B39" s="3" t="s">
        <v>62</v>
      </c>
      <c r="C39" s="3" t="s">
        <v>84</v>
      </c>
      <c r="D39" s="4" t="s">
        <v>395</v>
      </c>
      <c r="E39" s="4" t="s">
        <v>321</v>
      </c>
      <c r="F39" s="4" t="str">
        <f>IFERROR(__xludf.DUMMYFUNCTION("split(E39,"", "", FALSE)"),"BPTB")</f>
        <v>BPTB</v>
      </c>
      <c r="G39" s="4" t="str">
        <f>IFERROR(__xludf.DUMMYFUNCTION("""COMPUTED_VALUE"""),"HT")</f>
        <v>HT</v>
      </c>
    </row>
    <row r="40">
      <c r="B40" s="3" t="s">
        <v>392</v>
      </c>
      <c r="C40" s="3" t="s">
        <v>42</v>
      </c>
      <c r="D40" s="4" t="s">
        <v>96</v>
      </c>
      <c r="E40" s="4" t="s">
        <v>84</v>
      </c>
      <c r="F40" s="4" t="str">
        <f>IFERROR(__xludf.DUMMYFUNCTION("split(E40,"", "", FALSE)"),"HT")</f>
        <v>HT</v>
      </c>
    </row>
    <row r="41">
      <c r="B41" s="3" t="s">
        <v>392</v>
      </c>
      <c r="C41" s="3" t="s">
        <v>84</v>
      </c>
      <c r="D41" s="4" t="s">
        <v>98</v>
      </c>
      <c r="E41" s="4" t="s">
        <v>321</v>
      </c>
      <c r="F41" s="4" t="str">
        <f>IFERROR(__xludf.DUMMYFUNCTION("split(E41,"", "", FALSE)"),"BPTB")</f>
        <v>BPTB</v>
      </c>
      <c r="G41" s="4" t="str">
        <f>IFERROR(__xludf.DUMMYFUNCTION("""COMPUTED_VALUE"""),"HT")</f>
        <v>HT</v>
      </c>
    </row>
    <row r="42">
      <c r="B42" s="3" t="s">
        <v>65</v>
      </c>
      <c r="C42" s="3" t="s">
        <v>42</v>
      </c>
      <c r="D42" s="4" t="s">
        <v>102</v>
      </c>
      <c r="E42" s="4" t="s">
        <v>84</v>
      </c>
      <c r="F42" s="4" t="str">
        <f>IFERROR(__xludf.DUMMYFUNCTION("split(E42,"", "", FALSE)"),"HT")</f>
        <v>HT</v>
      </c>
    </row>
    <row r="43">
      <c r="B43" s="3" t="s">
        <v>65</v>
      </c>
      <c r="C43" s="3" t="s">
        <v>84</v>
      </c>
      <c r="D43" s="4" t="s">
        <v>104</v>
      </c>
      <c r="E43" s="4" t="s">
        <v>321</v>
      </c>
      <c r="F43" s="4" t="str">
        <f>IFERROR(__xludf.DUMMYFUNCTION("split(E43,"", "", FALSE)"),"BPTB")</f>
        <v>BPTB</v>
      </c>
      <c r="G43" s="4" t="str">
        <f>IFERROR(__xludf.DUMMYFUNCTION("""COMPUTED_VALUE"""),"HT")</f>
        <v>HT</v>
      </c>
    </row>
    <row r="44">
      <c r="B44" s="3" t="s">
        <v>67</v>
      </c>
      <c r="C44" s="3" t="s">
        <v>42</v>
      </c>
      <c r="D44" s="4" t="s">
        <v>106</v>
      </c>
      <c r="E44" s="4" t="s">
        <v>321</v>
      </c>
      <c r="F44" s="4" t="str">
        <f>IFERROR(__xludf.DUMMYFUNCTION("split(E44,"", "", FALSE)"),"BPTB")</f>
        <v>BPTB</v>
      </c>
      <c r="G44" s="4" t="str">
        <f>IFERROR(__xludf.DUMMYFUNCTION("""COMPUTED_VALUE"""),"HT")</f>
        <v>HT</v>
      </c>
    </row>
    <row r="45">
      <c r="B45" s="3" t="s">
        <v>67</v>
      </c>
      <c r="C45" s="3" t="s">
        <v>84</v>
      </c>
      <c r="D45" s="4" t="s">
        <v>110</v>
      </c>
      <c r="E45" s="4" t="s">
        <v>42</v>
      </c>
      <c r="F45" s="4" t="str">
        <f>IFERROR(__xludf.DUMMYFUNCTION("split(E45,"", "", FALSE)"),"BPTB")</f>
        <v>BPTB</v>
      </c>
    </row>
    <row r="46">
      <c r="B46" s="3" t="s">
        <v>69</v>
      </c>
      <c r="C46" s="3" t="s">
        <v>42</v>
      </c>
      <c r="D46" s="4" t="s">
        <v>397</v>
      </c>
      <c r="E46" s="4" t="s">
        <v>321</v>
      </c>
      <c r="F46" s="4" t="str">
        <f>IFERROR(__xludf.DUMMYFUNCTION("split(E46,"", "", FALSE)"),"BPTB")</f>
        <v>BPTB</v>
      </c>
      <c r="G46" s="4" t="str">
        <f>IFERROR(__xludf.DUMMYFUNCTION("""COMPUTED_VALUE"""),"HT")</f>
        <v>HT</v>
      </c>
    </row>
    <row r="47">
      <c r="B47" s="3" t="s">
        <v>69</v>
      </c>
      <c r="C47" s="3" t="s">
        <v>84</v>
      </c>
      <c r="D47" s="4" t="s">
        <v>112</v>
      </c>
      <c r="E47" s="4" t="s">
        <v>84</v>
      </c>
      <c r="F47" s="4" t="str">
        <f>IFERROR(__xludf.DUMMYFUNCTION("split(E47,"", "", FALSE)"),"HT")</f>
        <v>HT</v>
      </c>
    </row>
    <row r="48">
      <c r="B48" s="3" t="s">
        <v>71</v>
      </c>
      <c r="C48" s="3" t="s">
        <v>42</v>
      </c>
      <c r="D48" s="4" t="s">
        <v>114</v>
      </c>
      <c r="E48" s="4" t="s">
        <v>321</v>
      </c>
      <c r="F48" s="4" t="str">
        <f>IFERROR(__xludf.DUMMYFUNCTION("split(E48,"", "", FALSE)"),"BPTB")</f>
        <v>BPTB</v>
      </c>
      <c r="G48" s="4" t="str">
        <f>IFERROR(__xludf.DUMMYFUNCTION("""COMPUTED_VALUE"""),"HT")</f>
        <v>HT</v>
      </c>
    </row>
    <row r="49">
      <c r="B49" s="3" t="s">
        <v>71</v>
      </c>
      <c r="C49" s="3" t="s">
        <v>84</v>
      </c>
      <c r="D49" s="4" t="s">
        <v>116</v>
      </c>
      <c r="E49" s="4" t="s">
        <v>321</v>
      </c>
      <c r="F49" s="4" t="str">
        <f>IFERROR(__xludf.DUMMYFUNCTION("split(E49,"", "", FALSE)"),"BPTB")</f>
        <v>BPTB</v>
      </c>
      <c r="G49" s="4" t="str">
        <f>IFERROR(__xludf.DUMMYFUNCTION("""COMPUTED_VALUE"""),"HT")</f>
        <v>HT</v>
      </c>
    </row>
    <row r="50">
      <c r="B50" s="3" t="s">
        <v>73</v>
      </c>
      <c r="C50" s="3" t="s">
        <v>84</v>
      </c>
      <c r="D50" s="4" t="s">
        <v>399</v>
      </c>
      <c r="E50" s="4" t="s">
        <v>321</v>
      </c>
      <c r="F50" s="4" t="str">
        <f>IFERROR(__xludf.DUMMYFUNCTION("split(E50,"", "", FALSE)"),"BPTB")</f>
        <v>BPTB</v>
      </c>
      <c r="G50" s="4" t="str">
        <f>IFERROR(__xludf.DUMMYFUNCTION("""COMPUTED_VALUE"""),"HT")</f>
        <v>HT</v>
      </c>
    </row>
    <row r="51">
      <c r="B51" s="3" t="s">
        <v>75</v>
      </c>
      <c r="C51" s="3" t="s">
        <v>42</v>
      </c>
      <c r="D51" s="4" t="s">
        <v>119</v>
      </c>
      <c r="E51" s="4" t="s">
        <v>321</v>
      </c>
      <c r="F51" s="4" t="str">
        <f>IFERROR(__xludf.DUMMYFUNCTION("split(E51,"", "", FALSE)"),"BPTB")</f>
        <v>BPTB</v>
      </c>
      <c r="G51" s="4" t="str">
        <f>IFERROR(__xludf.DUMMYFUNCTION("""COMPUTED_VALUE"""),"HT")</f>
        <v>HT</v>
      </c>
    </row>
    <row r="52">
      <c r="B52" s="3" t="s">
        <v>75</v>
      </c>
      <c r="C52" s="3" t="s">
        <v>84</v>
      </c>
      <c r="D52" s="4" t="s">
        <v>121</v>
      </c>
      <c r="E52" s="4" t="s">
        <v>362</v>
      </c>
      <c r="F52" s="4" t="str">
        <f>IFERROR(__xludf.DUMMYFUNCTION("split(E52,"", "", FALSE)"),"HT")</f>
        <v>HT</v>
      </c>
      <c r="G52" s="4" t="str">
        <f>IFERROR(__xludf.DUMMYFUNCTION("""COMPUTED_VALUE"""),"AT")</f>
        <v>AT</v>
      </c>
    </row>
    <row r="53">
      <c r="B53" s="3" t="s">
        <v>77</v>
      </c>
      <c r="C53" s="3" t="s">
        <v>42</v>
      </c>
      <c r="D53" s="4" t="s">
        <v>401</v>
      </c>
      <c r="E53" s="4" t="s">
        <v>321</v>
      </c>
      <c r="F53" s="4" t="str">
        <f>IFERROR(__xludf.DUMMYFUNCTION("split(E53,"", "", FALSE)"),"BPTB")</f>
        <v>BPTB</v>
      </c>
      <c r="G53" s="4" t="str">
        <f>IFERROR(__xludf.DUMMYFUNCTION("""COMPUTED_VALUE"""),"HT")</f>
        <v>HT</v>
      </c>
    </row>
    <row r="54">
      <c r="B54" s="3" t="s">
        <v>77</v>
      </c>
      <c r="C54" s="3" t="s">
        <v>84</v>
      </c>
      <c r="D54" s="4" t="s">
        <v>123</v>
      </c>
      <c r="E54" s="4" t="s">
        <v>321</v>
      </c>
      <c r="F54" s="4" t="str">
        <f>IFERROR(__xludf.DUMMYFUNCTION("split(E54,"", "", FALSE)"),"BPTB")</f>
        <v>BPTB</v>
      </c>
      <c r="G54" s="4" t="str">
        <f>IFERROR(__xludf.DUMMYFUNCTION("""COMPUTED_VALUE"""),"HT")</f>
        <v>HT</v>
      </c>
    </row>
    <row r="55">
      <c r="B55" s="3" t="s">
        <v>79</v>
      </c>
      <c r="C55" s="3" t="s">
        <v>42</v>
      </c>
      <c r="D55" s="4" t="s">
        <v>125</v>
      </c>
      <c r="E55" s="4" t="s">
        <v>321</v>
      </c>
      <c r="F55" s="4" t="str">
        <f>IFERROR(__xludf.DUMMYFUNCTION("split(E55,"", "", FALSE)"),"BPTB")</f>
        <v>BPTB</v>
      </c>
      <c r="G55" s="4" t="str">
        <f>IFERROR(__xludf.DUMMYFUNCTION("""COMPUTED_VALUE"""),"HT")</f>
        <v>HT</v>
      </c>
    </row>
    <row r="56">
      <c r="B56" s="3" t="s">
        <v>79</v>
      </c>
      <c r="C56" s="3" t="s">
        <v>84</v>
      </c>
      <c r="D56" s="4" t="s">
        <v>128</v>
      </c>
      <c r="E56" s="4" t="s">
        <v>321</v>
      </c>
      <c r="F56" s="4" t="str">
        <f>IFERROR(__xludf.DUMMYFUNCTION("split(E56,"", "", FALSE)"),"BPTB")</f>
        <v>BPTB</v>
      </c>
      <c r="G56" s="4" t="str">
        <f>IFERROR(__xludf.DUMMYFUNCTION("""COMPUTED_VALUE"""),"HT")</f>
        <v>HT</v>
      </c>
    </row>
    <row r="57">
      <c r="B57" s="3" t="s">
        <v>82</v>
      </c>
      <c r="C57" s="3" t="s">
        <v>42</v>
      </c>
      <c r="D57" s="4" t="s">
        <v>130</v>
      </c>
      <c r="E57" s="4" t="s">
        <v>321</v>
      </c>
      <c r="F57" s="4" t="str">
        <f>IFERROR(__xludf.DUMMYFUNCTION("split(E57,"", "", FALSE)"),"BPTB")</f>
        <v>BPTB</v>
      </c>
      <c r="G57" s="4" t="str">
        <f>IFERROR(__xludf.DUMMYFUNCTION("""COMPUTED_VALUE"""),"HT")</f>
        <v>HT</v>
      </c>
    </row>
    <row r="58">
      <c r="B58" s="3" t="s">
        <v>82</v>
      </c>
      <c r="C58" s="3" t="s">
        <v>84</v>
      </c>
      <c r="D58" s="4" t="s">
        <v>132</v>
      </c>
      <c r="E58" s="4" t="s">
        <v>84</v>
      </c>
      <c r="F58" s="4" t="str">
        <f>IFERROR(__xludf.DUMMYFUNCTION("split(E58,"", "", FALSE)"),"HT")</f>
        <v>HT</v>
      </c>
    </row>
    <row r="59">
      <c r="B59" s="3" t="s">
        <v>85</v>
      </c>
      <c r="C59" s="3" t="s">
        <v>42</v>
      </c>
      <c r="D59" s="4" t="s">
        <v>134</v>
      </c>
      <c r="E59" s="4" t="s">
        <v>321</v>
      </c>
      <c r="F59" s="4" t="str">
        <f>IFERROR(__xludf.DUMMYFUNCTION("split(E59,"", "", FALSE)"),"BPTB")</f>
        <v>BPTB</v>
      </c>
      <c r="G59" s="4" t="str">
        <f>IFERROR(__xludf.DUMMYFUNCTION("""COMPUTED_VALUE"""),"HT")</f>
        <v>HT</v>
      </c>
    </row>
    <row r="60">
      <c r="B60" s="3" t="s">
        <v>88</v>
      </c>
      <c r="C60" s="3" t="s">
        <v>42</v>
      </c>
      <c r="D60" s="4" t="s">
        <v>136</v>
      </c>
      <c r="E60" s="4" t="s">
        <v>321</v>
      </c>
      <c r="F60" s="4" t="str">
        <f>IFERROR(__xludf.DUMMYFUNCTION("split(E60,"", "", FALSE)"),"BPTB")</f>
        <v>BPTB</v>
      </c>
      <c r="G60" s="4" t="str">
        <f>IFERROR(__xludf.DUMMYFUNCTION("""COMPUTED_VALUE"""),"HT")</f>
        <v>HT</v>
      </c>
    </row>
    <row r="61">
      <c r="B61" s="3" t="s">
        <v>88</v>
      </c>
      <c r="C61" s="3" t="s">
        <v>84</v>
      </c>
      <c r="D61" s="4" t="s">
        <v>139</v>
      </c>
      <c r="E61" s="4" t="s">
        <v>84</v>
      </c>
      <c r="F61" s="4" t="str">
        <f>IFERROR(__xludf.DUMMYFUNCTION("split(E61,"", "", FALSE)"),"HT")</f>
        <v>HT</v>
      </c>
    </row>
    <row r="62">
      <c r="B62" s="3" t="s">
        <v>90</v>
      </c>
      <c r="C62" s="3" t="s">
        <v>42</v>
      </c>
      <c r="D62" s="4" t="s">
        <v>141</v>
      </c>
      <c r="E62" s="4" t="s">
        <v>321</v>
      </c>
      <c r="F62" s="4" t="str">
        <f>IFERROR(__xludf.DUMMYFUNCTION("split(E62,"", "", FALSE)"),"BPTB")</f>
        <v>BPTB</v>
      </c>
      <c r="G62" s="4" t="str">
        <f>IFERROR(__xludf.DUMMYFUNCTION("""COMPUTED_VALUE"""),"HT")</f>
        <v>HT</v>
      </c>
    </row>
    <row r="63">
      <c r="B63" s="3" t="s">
        <v>90</v>
      </c>
      <c r="C63" s="3" t="s">
        <v>84</v>
      </c>
      <c r="D63" s="4" t="s">
        <v>143</v>
      </c>
      <c r="E63" s="4" t="s">
        <v>42</v>
      </c>
      <c r="F63" s="4" t="str">
        <f>IFERROR(__xludf.DUMMYFUNCTION("split(E63,"", "", FALSE)"),"BPTB")</f>
        <v>BPTB</v>
      </c>
    </row>
    <row r="64">
      <c r="B64" s="3" t="s">
        <v>91</v>
      </c>
      <c r="C64" s="3" t="s">
        <v>84</v>
      </c>
      <c r="D64" s="4" t="s">
        <v>145</v>
      </c>
      <c r="E64" s="4" t="s">
        <v>321</v>
      </c>
      <c r="F64" s="4" t="str">
        <f>IFERROR(__xludf.DUMMYFUNCTION("split(E64,"", "", FALSE)"),"BPTB")</f>
        <v>BPTB</v>
      </c>
      <c r="G64" s="4" t="str">
        <f>IFERROR(__xludf.DUMMYFUNCTION("""COMPUTED_VALUE"""),"HT")</f>
        <v>HT</v>
      </c>
    </row>
    <row r="65">
      <c r="B65" s="3" t="s">
        <v>93</v>
      </c>
      <c r="C65" s="3" t="s">
        <v>42</v>
      </c>
      <c r="D65" s="4" t="s">
        <v>147</v>
      </c>
      <c r="E65" s="4" t="s">
        <v>321</v>
      </c>
      <c r="F65" s="4" t="str">
        <f>IFERROR(__xludf.DUMMYFUNCTION("split(E65,"", "", FALSE)"),"BPTB")</f>
        <v>BPTB</v>
      </c>
      <c r="G65" s="4" t="str">
        <f>IFERROR(__xludf.DUMMYFUNCTION("""COMPUTED_VALUE"""),"HT")</f>
        <v>HT</v>
      </c>
    </row>
    <row r="66">
      <c r="B66" s="3" t="s">
        <v>93</v>
      </c>
      <c r="C66" s="3" t="s">
        <v>84</v>
      </c>
      <c r="D66" s="4" t="s">
        <v>149</v>
      </c>
      <c r="E66" s="4" t="s">
        <v>84</v>
      </c>
      <c r="F66" s="4" t="str">
        <f>IFERROR(__xludf.DUMMYFUNCTION("split(E66,"", "", FALSE)"),"HT")</f>
        <v>HT</v>
      </c>
    </row>
    <row r="67">
      <c r="B67" s="3" t="s">
        <v>395</v>
      </c>
      <c r="C67" s="3" t="s">
        <v>42</v>
      </c>
      <c r="D67" s="4" t="s">
        <v>152</v>
      </c>
      <c r="E67" s="4" t="s">
        <v>84</v>
      </c>
      <c r="F67" s="4" t="str">
        <f>IFERROR(__xludf.DUMMYFUNCTION("split(E67,"", "", FALSE)"),"HT")</f>
        <v>HT</v>
      </c>
    </row>
    <row r="68">
      <c r="B68" s="3" t="s">
        <v>395</v>
      </c>
      <c r="C68" s="3" t="s">
        <v>84</v>
      </c>
      <c r="D68" s="4" t="s">
        <v>154</v>
      </c>
      <c r="E68" s="4" t="s">
        <v>321</v>
      </c>
      <c r="F68" s="4" t="str">
        <f>IFERROR(__xludf.DUMMYFUNCTION("split(E68,"", "", FALSE)"),"BPTB")</f>
        <v>BPTB</v>
      </c>
      <c r="G68" s="4" t="str">
        <f>IFERROR(__xludf.DUMMYFUNCTION("""COMPUTED_VALUE"""),"HT")</f>
        <v>HT</v>
      </c>
    </row>
    <row r="69">
      <c r="B69" s="3" t="s">
        <v>96</v>
      </c>
      <c r="C69" s="3" t="s">
        <v>84</v>
      </c>
      <c r="E69" s="4" t="s">
        <v>101</v>
      </c>
    </row>
    <row r="70">
      <c r="B70" s="3" t="s">
        <v>98</v>
      </c>
      <c r="C70" s="3" t="s">
        <v>42</v>
      </c>
      <c r="E70" s="4" t="s">
        <v>101</v>
      </c>
    </row>
    <row r="71">
      <c r="B71" s="3" t="s">
        <v>98</v>
      </c>
      <c r="C71" s="3" t="s">
        <v>84</v>
      </c>
      <c r="E71" s="4" t="s">
        <v>101</v>
      </c>
    </row>
    <row r="72">
      <c r="B72" s="3" t="s">
        <v>102</v>
      </c>
      <c r="C72" s="3" t="s">
        <v>84</v>
      </c>
      <c r="E72" s="4" t="s">
        <v>101</v>
      </c>
    </row>
    <row r="73">
      <c r="B73" s="3" t="s">
        <v>104</v>
      </c>
      <c r="C73" s="3" t="s">
        <v>42</v>
      </c>
      <c r="E73" s="4" t="s">
        <v>101</v>
      </c>
    </row>
    <row r="74">
      <c r="B74" s="3" t="s">
        <v>104</v>
      </c>
      <c r="C74" s="3" t="s">
        <v>84</v>
      </c>
      <c r="E74" s="4" t="s">
        <v>101</v>
      </c>
    </row>
    <row r="75">
      <c r="B75" s="3" t="s">
        <v>106</v>
      </c>
      <c r="C75" s="3" t="s">
        <v>42</v>
      </c>
      <c r="E75" s="4" t="s">
        <v>101</v>
      </c>
    </row>
    <row r="76">
      <c r="B76" s="3" t="s">
        <v>106</v>
      </c>
      <c r="C76" s="3" t="s">
        <v>84</v>
      </c>
      <c r="E76" s="4" t="s">
        <v>101</v>
      </c>
    </row>
    <row r="77">
      <c r="B77" s="3" t="s">
        <v>110</v>
      </c>
      <c r="C77" s="3" t="s">
        <v>42</v>
      </c>
      <c r="E77" s="4" t="s">
        <v>101</v>
      </c>
    </row>
    <row r="78">
      <c r="B78" s="3" t="s">
        <v>397</v>
      </c>
      <c r="C78" s="3" t="s">
        <v>42</v>
      </c>
      <c r="E78" s="4" t="s">
        <v>101</v>
      </c>
    </row>
    <row r="79">
      <c r="B79" s="3" t="s">
        <v>397</v>
      </c>
      <c r="C79" s="3" t="s">
        <v>84</v>
      </c>
      <c r="E79" s="4" t="s">
        <v>101</v>
      </c>
    </row>
    <row r="80">
      <c r="B80" s="3" t="s">
        <v>112</v>
      </c>
      <c r="C80" s="3" t="s">
        <v>84</v>
      </c>
      <c r="E80" s="4" t="s">
        <v>101</v>
      </c>
    </row>
    <row r="81">
      <c r="B81" s="3" t="s">
        <v>114</v>
      </c>
      <c r="C81" s="3" t="s">
        <v>42</v>
      </c>
      <c r="E81" s="4" t="s">
        <v>101</v>
      </c>
    </row>
    <row r="82">
      <c r="B82" s="3" t="s">
        <v>114</v>
      </c>
      <c r="C82" s="3" t="s">
        <v>84</v>
      </c>
      <c r="E82" s="4" t="s">
        <v>101</v>
      </c>
    </row>
    <row r="83">
      <c r="B83" s="3" t="s">
        <v>116</v>
      </c>
      <c r="C83" s="3" t="s">
        <v>42</v>
      </c>
      <c r="E83" s="4" t="s">
        <v>101</v>
      </c>
    </row>
    <row r="84">
      <c r="B84" s="3" t="s">
        <v>116</v>
      </c>
      <c r="C84" s="3" t="s">
        <v>84</v>
      </c>
      <c r="E84" s="4" t="s">
        <v>101</v>
      </c>
    </row>
    <row r="85">
      <c r="B85" s="3" t="s">
        <v>399</v>
      </c>
      <c r="C85" s="3" t="s">
        <v>42</v>
      </c>
      <c r="E85" s="4" t="s">
        <v>101</v>
      </c>
    </row>
    <row r="86">
      <c r="B86" s="3" t="s">
        <v>399</v>
      </c>
      <c r="C86" s="3" t="s">
        <v>84</v>
      </c>
      <c r="E86" s="4" t="s">
        <v>101</v>
      </c>
    </row>
    <row r="87">
      <c r="B87" s="3" t="s">
        <v>119</v>
      </c>
      <c r="C87" s="3" t="s">
        <v>42</v>
      </c>
      <c r="E87" s="4" t="s">
        <v>101</v>
      </c>
    </row>
    <row r="88">
      <c r="B88" s="3" t="s">
        <v>119</v>
      </c>
      <c r="C88" s="3" t="s">
        <v>84</v>
      </c>
      <c r="E88" s="4" t="s">
        <v>101</v>
      </c>
    </row>
    <row r="89">
      <c r="B89" s="3" t="s">
        <v>121</v>
      </c>
      <c r="C89" s="3" t="s">
        <v>84</v>
      </c>
      <c r="E89" s="4" t="s">
        <v>101</v>
      </c>
    </row>
    <row r="90">
      <c r="B90" s="3" t="s">
        <v>121</v>
      </c>
      <c r="C90" s="3" t="s">
        <v>246</v>
      </c>
      <c r="E90" s="4" t="s">
        <v>101</v>
      </c>
    </row>
    <row r="91">
      <c r="B91" s="3" t="s">
        <v>401</v>
      </c>
      <c r="C91" s="3" t="s">
        <v>42</v>
      </c>
      <c r="E91" s="4" t="s">
        <v>101</v>
      </c>
    </row>
    <row r="92">
      <c r="B92" s="3" t="s">
        <v>401</v>
      </c>
      <c r="C92" s="3" t="s">
        <v>84</v>
      </c>
      <c r="E92" s="4" t="s">
        <v>101</v>
      </c>
    </row>
    <row r="93">
      <c r="B93" s="3" t="s">
        <v>123</v>
      </c>
      <c r="C93" s="3" t="s">
        <v>42</v>
      </c>
      <c r="E93" s="4" t="s">
        <v>101</v>
      </c>
    </row>
    <row r="94">
      <c r="B94" s="3" t="s">
        <v>123</v>
      </c>
      <c r="C94" s="3" t="s">
        <v>84</v>
      </c>
      <c r="E94" s="4" t="s">
        <v>101</v>
      </c>
    </row>
    <row r="95">
      <c r="B95" s="3" t="s">
        <v>125</v>
      </c>
      <c r="C95" s="3" t="s">
        <v>42</v>
      </c>
      <c r="E95" s="4" t="s">
        <v>101</v>
      </c>
    </row>
    <row r="96">
      <c r="B96" s="3" t="s">
        <v>125</v>
      </c>
      <c r="C96" s="3" t="s">
        <v>84</v>
      </c>
      <c r="E96" s="4" t="s">
        <v>101</v>
      </c>
    </row>
    <row r="97">
      <c r="B97" s="3" t="s">
        <v>128</v>
      </c>
      <c r="C97" s="3" t="s">
        <v>42</v>
      </c>
      <c r="E97" s="4" t="s">
        <v>101</v>
      </c>
    </row>
    <row r="98">
      <c r="B98" s="3" t="s">
        <v>128</v>
      </c>
      <c r="C98" s="3" t="s">
        <v>84</v>
      </c>
      <c r="E98" s="4" t="s">
        <v>101</v>
      </c>
    </row>
    <row r="99">
      <c r="B99" s="3" t="s">
        <v>130</v>
      </c>
      <c r="C99" s="3" t="s">
        <v>42</v>
      </c>
      <c r="E99" s="4" t="s">
        <v>101</v>
      </c>
    </row>
    <row r="100">
      <c r="B100" s="3" t="s">
        <v>130</v>
      </c>
      <c r="C100" s="3" t="s">
        <v>84</v>
      </c>
      <c r="E100" s="4" t="s">
        <v>101</v>
      </c>
    </row>
    <row r="101">
      <c r="B101" s="3" t="s">
        <v>132</v>
      </c>
      <c r="C101" s="3" t="s">
        <v>84</v>
      </c>
      <c r="E101" s="4" t="s">
        <v>101</v>
      </c>
    </row>
    <row r="102">
      <c r="B102" s="3" t="s">
        <v>134</v>
      </c>
      <c r="C102" s="3" t="s">
        <v>42</v>
      </c>
      <c r="E102" s="4" t="s">
        <v>101</v>
      </c>
    </row>
    <row r="103">
      <c r="B103" s="3" t="s">
        <v>134</v>
      </c>
      <c r="C103" s="3" t="s">
        <v>84</v>
      </c>
      <c r="E103" s="4" t="s">
        <v>101</v>
      </c>
    </row>
    <row r="104">
      <c r="B104" s="3" t="s">
        <v>136</v>
      </c>
      <c r="C104" s="3" t="s">
        <v>42</v>
      </c>
      <c r="E104" s="4" t="s">
        <v>101</v>
      </c>
    </row>
    <row r="105">
      <c r="B105" s="3" t="s">
        <v>136</v>
      </c>
      <c r="C105" s="3" t="s">
        <v>84</v>
      </c>
      <c r="E105" s="4" t="s">
        <v>101</v>
      </c>
    </row>
    <row r="106">
      <c r="B106" s="3" t="s">
        <v>139</v>
      </c>
      <c r="C106" s="3" t="s">
        <v>84</v>
      </c>
      <c r="E106" s="4" t="s">
        <v>101</v>
      </c>
    </row>
    <row r="107">
      <c r="B107" s="3" t="s">
        <v>141</v>
      </c>
      <c r="C107" s="3" t="s">
        <v>42</v>
      </c>
      <c r="E107" s="4" t="s">
        <v>101</v>
      </c>
    </row>
    <row r="108">
      <c r="B108" s="3" t="s">
        <v>141</v>
      </c>
      <c r="C108" s="3" t="s">
        <v>84</v>
      </c>
      <c r="E108" s="4" t="s">
        <v>101</v>
      </c>
    </row>
    <row r="109">
      <c r="B109" s="3" t="s">
        <v>143</v>
      </c>
      <c r="C109" s="3" t="s">
        <v>42</v>
      </c>
      <c r="E109" s="4" t="s">
        <v>101</v>
      </c>
    </row>
    <row r="110">
      <c r="B110" s="3" t="s">
        <v>145</v>
      </c>
      <c r="C110" s="3" t="s">
        <v>42</v>
      </c>
      <c r="E110" s="4" t="s">
        <v>101</v>
      </c>
    </row>
    <row r="111">
      <c r="B111" s="3" t="s">
        <v>145</v>
      </c>
      <c r="C111" s="3" t="s">
        <v>84</v>
      </c>
      <c r="E111" s="4" t="s">
        <v>101</v>
      </c>
    </row>
    <row r="112">
      <c r="B112" s="3" t="s">
        <v>147</v>
      </c>
      <c r="C112" s="3" t="s">
        <v>42</v>
      </c>
      <c r="E112" s="4" t="s">
        <v>101</v>
      </c>
    </row>
    <row r="113">
      <c r="B113" s="3" t="s">
        <v>147</v>
      </c>
      <c r="C113" s="3" t="s">
        <v>84</v>
      </c>
      <c r="E113" s="4" t="s">
        <v>101</v>
      </c>
    </row>
    <row r="114">
      <c r="B114" s="3" t="s">
        <v>149</v>
      </c>
      <c r="C114" s="3" t="s">
        <v>84</v>
      </c>
      <c r="E114" s="4" t="s">
        <v>101</v>
      </c>
    </row>
    <row r="115">
      <c r="B115" s="3" t="s">
        <v>152</v>
      </c>
      <c r="C115" s="3" t="s">
        <v>84</v>
      </c>
      <c r="E115" s="4" t="s">
        <v>101</v>
      </c>
    </row>
    <row r="116">
      <c r="B116" s="3" t="s">
        <v>154</v>
      </c>
      <c r="C116" s="3" t="s">
        <v>42</v>
      </c>
      <c r="E116" s="4" t="s">
        <v>101</v>
      </c>
    </row>
    <row r="117">
      <c r="B117" s="3" t="s">
        <v>154</v>
      </c>
      <c r="C117" s="3" t="s">
        <v>84</v>
      </c>
      <c r="E117" s="4" t="s">
        <v>101</v>
      </c>
    </row>
    <row r="118">
      <c r="E118" s="4" t="s">
        <v>101</v>
      </c>
    </row>
    <row r="119">
      <c r="E119" s="4" t="s">
        <v>101</v>
      </c>
    </row>
    <row r="120">
      <c r="E120" s="4" t="s">
        <v>101</v>
      </c>
    </row>
    <row r="121">
      <c r="E121" s="4" t="s">
        <v>101</v>
      </c>
    </row>
    <row r="122">
      <c r="E122" s="4" t="s">
        <v>101</v>
      </c>
    </row>
    <row r="123">
      <c r="E123" s="4" t="s">
        <v>101</v>
      </c>
    </row>
    <row r="124">
      <c r="E124" s="4" t="s">
        <v>101</v>
      </c>
    </row>
    <row r="125">
      <c r="E125" s="4" t="s">
        <v>101</v>
      </c>
    </row>
    <row r="126">
      <c r="E126" s="4" t="s">
        <v>101</v>
      </c>
    </row>
    <row r="127">
      <c r="E127" s="4" t="s">
        <v>101</v>
      </c>
    </row>
    <row r="128">
      <c r="E128" s="4" t="s">
        <v>101</v>
      </c>
    </row>
    <row r="129">
      <c r="E129" s="4" t="s">
        <v>101</v>
      </c>
    </row>
    <row r="130">
      <c r="E130" s="4" t="s">
        <v>101</v>
      </c>
    </row>
    <row r="131">
      <c r="E131" s="4" t="s">
        <v>101</v>
      </c>
    </row>
    <row r="132">
      <c r="E132" s="4" t="s">
        <v>101</v>
      </c>
    </row>
    <row r="133">
      <c r="E133" s="4" t="s">
        <v>101</v>
      </c>
    </row>
    <row r="134">
      <c r="E134" s="4" t="s">
        <v>101</v>
      </c>
    </row>
    <row r="135">
      <c r="E135" s="4" t="s">
        <v>101</v>
      </c>
    </row>
    <row r="136">
      <c r="E136" s="4" t="s">
        <v>101</v>
      </c>
    </row>
    <row r="137">
      <c r="E137" s="4" t="s">
        <v>101</v>
      </c>
    </row>
    <row r="138">
      <c r="E138" s="4" t="s">
        <v>101</v>
      </c>
    </row>
    <row r="139">
      <c r="E139" s="4" t="s">
        <v>101</v>
      </c>
    </row>
    <row r="140">
      <c r="E140" s="4" t="s">
        <v>101</v>
      </c>
    </row>
    <row r="141">
      <c r="E141" s="4" t="s">
        <v>101</v>
      </c>
    </row>
    <row r="142">
      <c r="E142" s="4" t="s">
        <v>101</v>
      </c>
    </row>
    <row r="143">
      <c r="E143" s="4" t="s">
        <v>101</v>
      </c>
    </row>
    <row r="144">
      <c r="E144" s="4" t="s">
        <v>101</v>
      </c>
    </row>
    <row r="145">
      <c r="E145" s="4" t="s">
        <v>101</v>
      </c>
    </row>
    <row r="146">
      <c r="E146" s="4" t="s">
        <v>101</v>
      </c>
    </row>
    <row r="147">
      <c r="E147" s="4" t="s">
        <v>101</v>
      </c>
    </row>
    <row r="148">
      <c r="E148" s="4" t="s">
        <v>101</v>
      </c>
    </row>
    <row r="149">
      <c r="E149" s="4" t="s">
        <v>101</v>
      </c>
    </row>
    <row r="150">
      <c r="E150" s="4" t="s">
        <v>101</v>
      </c>
    </row>
    <row r="151">
      <c r="E151" s="4" t="s">
        <v>101</v>
      </c>
    </row>
    <row r="152">
      <c r="E152" s="4" t="s">
        <v>101</v>
      </c>
    </row>
    <row r="153">
      <c r="E153" s="4" t="s">
        <v>101</v>
      </c>
    </row>
    <row r="154">
      <c r="E154" s="4" t="s">
        <v>101</v>
      </c>
    </row>
    <row r="155">
      <c r="E155" s="4" t="s">
        <v>101</v>
      </c>
    </row>
    <row r="156">
      <c r="E156" s="4" t="s">
        <v>101</v>
      </c>
    </row>
    <row r="157">
      <c r="E157" s="4" t="s">
        <v>101</v>
      </c>
    </row>
    <row r="158">
      <c r="E158" s="4" t="s">
        <v>101</v>
      </c>
    </row>
    <row r="159">
      <c r="E159" s="4" t="s">
        <v>101</v>
      </c>
    </row>
    <row r="160">
      <c r="E160" s="4" t="s">
        <v>101</v>
      </c>
    </row>
    <row r="161">
      <c r="E161" s="4" t="s">
        <v>101</v>
      </c>
    </row>
    <row r="162">
      <c r="E162" s="4" t="s">
        <v>101</v>
      </c>
    </row>
    <row r="163">
      <c r="E163" s="4" t="s">
        <v>101</v>
      </c>
    </row>
    <row r="164">
      <c r="E164" s="4" t="s">
        <v>101</v>
      </c>
    </row>
    <row r="165">
      <c r="E165" s="4" t="s">
        <v>101</v>
      </c>
    </row>
    <row r="166">
      <c r="E166" s="4" t="s">
        <v>101</v>
      </c>
    </row>
    <row r="167">
      <c r="E167" s="4" t="s">
        <v>101</v>
      </c>
    </row>
    <row r="168">
      <c r="E168" s="4" t="s">
        <v>101</v>
      </c>
    </row>
    <row r="169">
      <c r="E169" s="4" t="s">
        <v>101</v>
      </c>
    </row>
    <row r="170">
      <c r="E170" s="4" t="s">
        <v>101</v>
      </c>
    </row>
    <row r="171">
      <c r="E171" s="4" t="s">
        <v>101</v>
      </c>
    </row>
    <row r="172">
      <c r="E172" s="4" t="s">
        <v>101</v>
      </c>
    </row>
    <row r="173">
      <c r="E173" s="4" t="s">
        <v>101</v>
      </c>
    </row>
    <row r="174">
      <c r="E174" s="4" t="s">
        <v>101</v>
      </c>
    </row>
    <row r="175">
      <c r="E175" s="4" t="s">
        <v>101</v>
      </c>
    </row>
    <row r="176">
      <c r="E176" s="4" t="s">
        <v>101</v>
      </c>
    </row>
    <row r="177">
      <c r="E177" s="4" t="s">
        <v>101</v>
      </c>
    </row>
    <row r="178">
      <c r="E178" s="4" t="s">
        <v>101</v>
      </c>
    </row>
    <row r="179">
      <c r="E179" s="4" t="s">
        <v>101</v>
      </c>
    </row>
    <row r="180">
      <c r="E180" s="4" t="s">
        <v>101</v>
      </c>
    </row>
    <row r="181">
      <c r="E181" s="4" t="s">
        <v>101</v>
      </c>
    </row>
    <row r="182">
      <c r="E182" s="4" t="s">
        <v>101</v>
      </c>
    </row>
    <row r="183">
      <c r="E183" s="4" t="s">
        <v>101</v>
      </c>
    </row>
    <row r="184">
      <c r="E184" s="4" t="s">
        <v>101</v>
      </c>
    </row>
    <row r="185">
      <c r="E185" s="4" t="s">
        <v>101</v>
      </c>
    </row>
    <row r="186">
      <c r="E186" s="4" t="s">
        <v>101</v>
      </c>
    </row>
    <row r="187">
      <c r="E187" s="4" t="s">
        <v>101</v>
      </c>
    </row>
    <row r="188">
      <c r="E188" s="4" t="s">
        <v>101</v>
      </c>
    </row>
    <row r="189">
      <c r="E189" s="4" t="s">
        <v>101</v>
      </c>
    </row>
    <row r="190">
      <c r="E190" s="4" t="s">
        <v>101</v>
      </c>
    </row>
    <row r="191">
      <c r="E191" s="4" t="s">
        <v>101</v>
      </c>
    </row>
    <row r="192">
      <c r="E192" s="4" t="s">
        <v>101</v>
      </c>
    </row>
    <row r="193">
      <c r="E193" s="4" t="s">
        <v>101</v>
      </c>
    </row>
    <row r="194">
      <c r="E194" s="4" t="s">
        <v>101</v>
      </c>
    </row>
    <row r="195">
      <c r="E195" s="4" t="s">
        <v>101</v>
      </c>
    </row>
    <row r="196">
      <c r="E196" s="4" t="s">
        <v>101</v>
      </c>
    </row>
    <row r="197">
      <c r="E197" s="4" t="s">
        <v>101</v>
      </c>
    </row>
    <row r="198">
      <c r="E198" s="4" t="s">
        <v>101</v>
      </c>
    </row>
    <row r="199">
      <c r="E199" s="4" t="s">
        <v>101</v>
      </c>
    </row>
    <row r="200">
      <c r="E200" s="4" t="s">
        <v>101</v>
      </c>
    </row>
    <row r="201">
      <c r="E201" s="4" t="s">
        <v>101</v>
      </c>
    </row>
    <row r="202">
      <c r="E202" s="4" t="s">
        <v>101</v>
      </c>
    </row>
    <row r="203">
      <c r="E203" s="4" t="s">
        <v>101</v>
      </c>
    </row>
    <row r="204">
      <c r="E204" s="4" t="s">
        <v>101</v>
      </c>
    </row>
    <row r="205">
      <c r="E205" s="4" t="s">
        <v>101</v>
      </c>
    </row>
    <row r="206">
      <c r="E206" s="4" t="s">
        <v>101</v>
      </c>
    </row>
    <row r="207">
      <c r="E207" s="4" t="s">
        <v>101</v>
      </c>
    </row>
    <row r="208">
      <c r="E208" s="4" t="s">
        <v>101</v>
      </c>
    </row>
    <row r="209">
      <c r="E209" s="4" t="s">
        <v>101</v>
      </c>
    </row>
    <row r="210">
      <c r="E210" s="4" t="s">
        <v>101</v>
      </c>
    </row>
    <row r="211">
      <c r="E211" s="4" t="s">
        <v>101</v>
      </c>
    </row>
    <row r="212">
      <c r="E212" s="4" t="s">
        <v>101</v>
      </c>
    </row>
    <row r="213">
      <c r="E213" s="4" t="s">
        <v>101</v>
      </c>
    </row>
    <row r="214">
      <c r="E214" s="4" t="s">
        <v>101</v>
      </c>
    </row>
    <row r="215">
      <c r="E215" s="4" t="s">
        <v>101</v>
      </c>
    </row>
    <row r="216">
      <c r="E216" s="4" t="s">
        <v>101</v>
      </c>
    </row>
    <row r="217">
      <c r="E217" s="4" t="s">
        <v>101</v>
      </c>
    </row>
    <row r="218">
      <c r="E218" s="4" t="s">
        <v>101</v>
      </c>
    </row>
    <row r="219">
      <c r="E219" s="4" t="s">
        <v>101</v>
      </c>
    </row>
    <row r="220">
      <c r="E220" s="4" t="s">
        <v>101</v>
      </c>
    </row>
    <row r="221">
      <c r="E221" s="4" t="s">
        <v>101</v>
      </c>
    </row>
    <row r="222">
      <c r="E222" s="4" t="s">
        <v>101</v>
      </c>
    </row>
    <row r="223">
      <c r="E223" s="4" t="s">
        <v>101</v>
      </c>
    </row>
    <row r="224">
      <c r="E224" s="4" t="s">
        <v>101</v>
      </c>
    </row>
    <row r="225">
      <c r="E225" s="4" t="s">
        <v>101</v>
      </c>
    </row>
    <row r="226">
      <c r="E226" s="4" t="s">
        <v>101</v>
      </c>
    </row>
    <row r="227">
      <c r="E227" s="4" t="s">
        <v>101</v>
      </c>
    </row>
    <row r="228">
      <c r="E228" s="4" t="s">
        <v>101</v>
      </c>
    </row>
    <row r="229">
      <c r="E229" s="4" t="s">
        <v>101</v>
      </c>
    </row>
    <row r="230">
      <c r="E230" s="4" t="s">
        <v>101</v>
      </c>
    </row>
    <row r="231">
      <c r="E231" s="4" t="s">
        <v>101</v>
      </c>
    </row>
    <row r="232">
      <c r="E232" s="4" t="s">
        <v>101</v>
      </c>
    </row>
    <row r="233">
      <c r="E233" s="4" t="s">
        <v>101</v>
      </c>
    </row>
    <row r="234">
      <c r="E234" s="4" t="s">
        <v>101</v>
      </c>
    </row>
    <row r="235">
      <c r="E235" s="4" t="s">
        <v>101</v>
      </c>
    </row>
    <row r="236">
      <c r="E236" s="4" t="s">
        <v>101</v>
      </c>
    </row>
    <row r="237">
      <c r="E237" s="4" t="s">
        <v>101</v>
      </c>
    </row>
    <row r="238">
      <c r="E238" s="4" t="s">
        <v>101</v>
      </c>
    </row>
    <row r="239">
      <c r="E239" s="4" t="s">
        <v>101</v>
      </c>
    </row>
    <row r="240">
      <c r="E240" s="4" t="s">
        <v>101</v>
      </c>
    </row>
    <row r="241">
      <c r="E241" s="4" t="s">
        <v>101</v>
      </c>
    </row>
    <row r="242">
      <c r="E242" s="4" t="s">
        <v>101</v>
      </c>
    </row>
    <row r="243">
      <c r="E243" s="4" t="s">
        <v>101</v>
      </c>
    </row>
    <row r="244">
      <c r="E244" s="4" t="s">
        <v>101</v>
      </c>
    </row>
    <row r="245">
      <c r="E245" s="4" t="s">
        <v>101</v>
      </c>
    </row>
    <row r="246">
      <c r="E246" s="4" t="s">
        <v>101</v>
      </c>
    </row>
    <row r="247">
      <c r="E247" s="4" t="s">
        <v>101</v>
      </c>
    </row>
    <row r="248">
      <c r="E248" s="4" t="s">
        <v>101</v>
      </c>
    </row>
    <row r="249">
      <c r="E249" s="4" t="s">
        <v>101</v>
      </c>
    </row>
    <row r="250">
      <c r="E250" s="4" t="s">
        <v>101</v>
      </c>
    </row>
    <row r="251">
      <c r="E251" s="4" t="s">
        <v>101</v>
      </c>
    </row>
    <row r="252">
      <c r="E252" s="4" t="s">
        <v>101</v>
      </c>
    </row>
    <row r="253">
      <c r="E253" s="4" t="s">
        <v>101</v>
      </c>
    </row>
    <row r="254">
      <c r="E254" s="4" t="s">
        <v>101</v>
      </c>
    </row>
    <row r="255">
      <c r="E255" s="4" t="s">
        <v>101</v>
      </c>
    </row>
    <row r="256">
      <c r="E256" s="4" t="s">
        <v>101</v>
      </c>
    </row>
    <row r="257">
      <c r="E257" s="4" t="s">
        <v>101</v>
      </c>
    </row>
    <row r="258">
      <c r="E258" s="4" t="s">
        <v>101</v>
      </c>
    </row>
    <row r="259">
      <c r="E259" s="4" t="s">
        <v>101</v>
      </c>
    </row>
    <row r="260">
      <c r="E260" s="4" t="s">
        <v>101</v>
      </c>
    </row>
    <row r="261">
      <c r="E261" s="4" t="s">
        <v>101</v>
      </c>
    </row>
    <row r="262">
      <c r="E262" s="4" t="s">
        <v>101</v>
      </c>
    </row>
    <row r="263">
      <c r="E263" s="4" t="s">
        <v>101</v>
      </c>
    </row>
    <row r="264">
      <c r="E264" s="4" t="s">
        <v>101</v>
      </c>
    </row>
    <row r="265">
      <c r="E265" s="4" t="s">
        <v>101</v>
      </c>
    </row>
    <row r="266">
      <c r="E266" s="4" t="s">
        <v>101</v>
      </c>
    </row>
    <row r="267">
      <c r="E267" s="4" t="s">
        <v>101</v>
      </c>
    </row>
    <row r="268">
      <c r="E268" s="4" t="s">
        <v>101</v>
      </c>
    </row>
    <row r="269">
      <c r="E269" s="4" t="s">
        <v>101</v>
      </c>
    </row>
    <row r="270">
      <c r="E270" s="4" t="s">
        <v>101</v>
      </c>
    </row>
    <row r="271">
      <c r="E271" s="4" t="s">
        <v>101</v>
      </c>
    </row>
    <row r="272">
      <c r="E272" s="4" t="s">
        <v>101</v>
      </c>
    </row>
    <row r="273">
      <c r="E273" s="4" t="s">
        <v>101</v>
      </c>
    </row>
    <row r="274">
      <c r="E274" s="4" t="s">
        <v>101</v>
      </c>
    </row>
    <row r="275">
      <c r="E275" s="4" t="s">
        <v>101</v>
      </c>
    </row>
    <row r="276">
      <c r="E276" s="4" t="s">
        <v>101</v>
      </c>
    </row>
    <row r="277">
      <c r="E277" s="4" t="s">
        <v>101</v>
      </c>
    </row>
    <row r="278">
      <c r="E278" s="4" t="s">
        <v>101</v>
      </c>
    </row>
    <row r="279">
      <c r="E279" s="4" t="s">
        <v>101</v>
      </c>
    </row>
    <row r="280">
      <c r="E280" s="4" t="s">
        <v>101</v>
      </c>
    </row>
    <row r="281">
      <c r="E281" s="4" t="s">
        <v>101</v>
      </c>
    </row>
    <row r="282">
      <c r="E282" s="4" t="s">
        <v>101</v>
      </c>
    </row>
    <row r="283">
      <c r="E283" s="4" t="s">
        <v>101</v>
      </c>
    </row>
    <row r="284">
      <c r="E284" s="4" t="s">
        <v>101</v>
      </c>
    </row>
    <row r="285">
      <c r="E285" s="4" t="s">
        <v>101</v>
      </c>
    </row>
    <row r="286">
      <c r="E286" s="4" t="s">
        <v>101</v>
      </c>
    </row>
    <row r="287">
      <c r="E287" s="4" t="s">
        <v>101</v>
      </c>
    </row>
    <row r="288">
      <c r="E288" s="4" t="s">
        <v>101</v>
      </c>
    </row>
    <row r="289">
      <c r="E289" s="4" t="s">
        <v>101</v>
      </c>
    </row>
    <row r="290">
      <c r="E290" s="4" t="s">
        <v>101</v>
      </c>
    </row>
    <row r="291">
      <c r="E291" s="4" t="s">
        <v>101</v>
      </c>
    </row>
    <row r="292">
      <c r="E292" s="4" t="s">
        <v>101</v>
      </c>
    </row>
    <row r="293">
      <c r="E293" s="4" t="s">
        <v>101</v>
      </c>
    </row>
    <row r="294">
      <c r="E294" s="4" t="s">
        <v>101</v>
      </c>
    </row>
    <row r="295">
      <c r="E295" s="4" t="s">
        <v>101</v>
      </c>
    </row>
    <row r="296">
      <c r="E296" s="4" t="s">
        <v>101</v>
      </c>
    </row>
    <row r="297">
      <c r="E297" s="4" t="s">
        <v>101</v>
      </c>
    </row>
    <row r="298">
      <c r="E298" s="4" t="s">
        <v>101</v>
      </c>
    </row>
    <row r="299">
      <c r="E299" s="4" t="s">
        <v>101</v>
      </c>
    </row>
    <row r="300">
      <c r="E300" s="4" t="s">
        <v>101</v>
      </c>
    </row>
    <row r="301">
      <c r="E301" s="4" t="s">
        <v>101</v>
      </c>
    </row>
    <row r="302">
      <c r="E302" s="4" t="s">
        <v>101</v>
      </c>
    </row>
    <row r="303">
      <c r="E303" s="4" t="s">
        <v>101</v>
      </c>
    </row>
    <row r="304">
      <c r="E304" s="4" t="s">
        <v>101</v>
      </c>
    </row>
    <row r="305">
      <c r="E305" s="4" t="s">
        <v>101</v>
      </c>
    </row>
    <row r="306">
      <c r="E306" s="4" t="s">
        <v>101</v>
      </c>
    </row>
    <row r="307">
      <c r="E307" s="4" t="s">
        <v>101</v>
      </c>
    </row>
    <row r="308">
      <c r="E308" s="4" t="s">
        <v>101</v>
      </c>
    </row>
    <row r="309">
      <c r="E309" s="4" t="s">
        <v>101</v>
      </c>
    </row>
    <row r="310">
      <c r="E310" s="4" t="s">
        <v>101</v>
      </c>
    </row>
    <row r="311">
      <c r="E311" s="4" t="s">
        <v>101</v>
      </c>
    </row>
    <row r="312">
      <c r="E312" s="4" t="s">
        <v>101</v>
      </c>
    </row>
    <row r="313">
      <c r="E313" s="4" t="s">
        <v>101</v>
      </c>
    </row>
    <row r="314">
      <c r="E314" s="4" t="s">
        <v>101</v>
      </c>
    </row>
    <row r="315">
      <c r="E315" s="4" t="s">
        <v>101</v>
      </c>
    </row>
    <row r="316">
      <c r="E316" s="4" t="s">
        <v>101</v>
      </c>
    </row>
    <row r="317">
      <c r="E317" s="4" t="s">
        <v>101</v>
      </c>
    </row>
    <row r="318">
      <c r="E318" s="4" t="s">
        <v>101</v>
      </c>
    </row>
    <row r="319">
      <c r="E319" s="4" t="s">
        <v>101</v>
      </c>
    </row>
    <row r="320">
      <c r="E320" s="4" t="s">
        <v>101</v>
      </c>
    </row>
    <row r="321">
      <c r="E321" s="4" t="s">
        <v>101</v>
      </c>
    </row>
    <row r="322">
      <c r="E322" s="4" t="s">
        <v>101</v>
      </c>
    </row>
    <row r="323">
      <c r="E323" s="4" t="s">
        <v>101</v>
      </c>
    </row>
    <row r="324">
      <c r="E324" s="4" t="s">
        <v>101</v>
      </c>
    </row>
    <row r="325">
      <c r="E325" s="4" t="s">
        <v>101</v>
      </c>
    </row>
    <row r="326">
      <c r="E326" s="4" t="s">
        <v>101</v>
      </c>
    </row>
    <row r="327">
      <c r="E327" s="4" t="s">
        <v>101</v>
      </c>
    </row>
    <row r="328">
      <c r="E328" s="4" t="s">
        <v>101</v>
      </c>
    </row>
    <row r="329">
      <c r="E329" s="4" t="s">
        <v>101</v>
      </c>
    </row>
    <row r="330">
      <c r="E330" s="4" t="s">
        <v>101</v>
      </c>
    </row>
    <row r="331">
      <c r="E331" s="4" t="s">
        <v>101</v>
      </c>
    </row>
    <row r="332">
      <c r="E332" s="4" t="s">
        <v>101</v>
      </c>
    </row>
    <row r="333">
      <c r="E333" s="4" t="s">
        <v>101</v>
      </c>
    </row>
    <row r="334">
      <c r="E334" s="4" t="s">
        <v>101</v>
      </c>
    </row>
    <row r="335">
      <c r="E335" s="4" t="s">
        <v>101</v>
      </c>
    </row>
    <row r="336">
      <c r="E336" s="4" t="s">
        <v>101</v>
      </c>
    </row>
    <row r="337">
      <c r="E337" s="4" t="s">
        <v>101</v>
      </c>
    </row>
    <row r="338">
      <c r="E338" s="4" t="s">
        <v>101</v>
      </c>
    </row>
    <row r="339">
      <c r="E339" s="4" t="s">
        <v>101</v>
      </c>
    </row>
    <row r="340">
      <c r="E340" s="4" t="s">
        <v>101</v>
      </c>
    </row>
    <row r="341">
      <c r="E341" s="4" t="s">
        <v>101</v>
      </c>
    </row>
    <row r="342">
      <c r="E342" s="4" t="s">
        <v>101</v>
      </c>
    </row>
    <row r="343">
      <c r="E343" s="4" t="s">
        <v>101</v>
      </c>
    </row>
    <row r="344">
      <c r="E344" s="4" t="s">
        <v>101</v>
      </c>
    </row>
    <row r="345">
      <c r="E345" s="4" t="s">
        <v>101</v>
      </c>
    </row>
    <row r="346">
      <c r="E346" s="4" t="s">
        <v>101</v>
      </c>
    </row>
    <row r="347">
      <c r="E347" s="4" t="s">
        <v>101</v>
      </c>
    </row>
    <row r="348">
      <c r="E348" s="4" t="s">
        <v>101</v>
      </c>
    </row>
    <row r="349">
      <c r="E349" s="4" t="s">
        <v>101</v>
      </c>
    </row>
    <row r="350">
      <c r="E350" s="4" t="s">
        <v>101</v>
      </c>
    </row>
    <row r="351">
      <c r="E351" s="4" t="s">
        <v>101</v>
      </c>
    </row>
    <row r="352">
      <c r="E352" s="4" t="s">
        <v>101</v>
      </c>
    </row>
    <row r="353">
      <c r="E353" s="4" t="s">
        <v>101</v>
      </c>
    </row>
    <row r="354">
      <c r="E354" s="4" t="s">
        <v>101</v>
      </c>
    </row>
    <row r="355">
      <c r="E355" s="4" t="s">
        <v>101</v>
      </c>
    </row>
    <row r="356">
      <c r="E356" s="4" t="s">
        <v>101</v>
      </c>
    </row>
    <row r="357">
      <c r="E357" s="4" t="s">
        <v>101</v>
      </c>
    </row>
    <row r="358">
      <c r="E358" s="4" t="s">
        <v>101</v>
      </c>
    </row>
    <row r="359">
      <c r="E359" s="4" t="s">
        <v>101</v>
      </c>
    </row>
    <row r="360">
      <c r="E360" s="4" t="s">
        <v>101</v>
      </c>
    </row>
    <row r="361">
      <c r="E361" s="4" t="s">
        <v>101</v>
      </c>
    </row>
    <row r="362">
      <c r="E362" s="4" t="s">
        <v>101</v>
      </c>
    </row>
    <row r="363">
      <c r="E363" s="4" t="s">
        <v>101</v>
      </c>
    </row>
    <row r="364">
      <c r="E364" s="4" t="s">
        <v>101</v>
      </c>
    </row>
    <row r="365">
      <c r="E365" s="4" t="s">
        <v>101</v>
      </c>
    </row>
    <row r="366">
      <c r="E366" s="4" t="s">
        <v>101</v>
      </c>
    </row>
    <row r="367">
      <c r="E367" s="4" t="s">
        <v>101</v>
      </c>
    </row>
    <row r="368">
      <c r="E368" s="4" t="s">
        <v>101</v>
      </c>
    </row>
    <row r="369">
      <c r="E369" s="4" t="s">
        <v>101</v>
      </c>
    </row>
    <row r="370">
      <c r="E370" s="4" t="s">
        <v>101</v>
      </c>
    </row>
    <row r="371">
      <c r="E371" s="4" t="s">
        <v>101</v>
      </c>
    </row>
    <row r="372">
      <c r="E372" s="4" t="s">
        <v>101</v>
      </c>
    </row>
    <row r="373">
      <c r="E373" s="4" t="s">
        <v>101</v>
      </c>
    </row>
    <row r="374">
      <c r="E374" s="4" t="s">
        <v>101</v>
      </c>
    </row>
    <row r="375">
      <c r="E375" s="4" t="s">
        <v>101</v>
      </c>
    </row>
    <row r="376">
      <c r="E376" s="4" t="s">
        <v>101</v>
      </c>
    </row>
    <row r="377">
      <c r="E377" s="4" t="s">
        <v>101</v>
      </c>
    </row>
    <row r="378">
      <c r="E378" s="4" t="s">
        <v>101</v>
      </c>
    </row>
    <row r="379">
      <c r="E379" s="4" t="s">
        <v>101</v>
      </c>
    </row>
    <row r="380">
      <c r="E380" s="4" t="s">
        <v>101</v>
      </c>
    </row>
    <row r="381">
      <c r="E381" s="4" t="s">
        <v>101</v>
      </c>
    </row>
    <row r="382">
      <c r="E382" s="4" t="s">
        <v>101</v>
      </c>
    </row>
    <row r="383">
      <c r="E383" s="4" t="s">
        <v>101</v>
      </c>
    </row>
    <row r="384">
      <c r="E384" s="4" t="s">
        <v>101</v>
      </c>
    </row>
    <row r="385">
      <c r="E385" s="4" t="s">
        <v>101</v>
      </c>
    </row>
    <row r="386">
      <c r="E386" s="4" t="s">
        <v>101</v>
      </c>
    </row>
    <row r="387">
      <c r="E387" s="4" t="s">
        <v>101</v>
      </c>
    </row>
    <row r="388">
      <c r="E388" s="4" t="s">
        <v>101</v>
      </c>
    </row>
    <row r="389">
      <c r="E389" s="4" t="s">
        <v>101</v>
      </c>
    </row>
    <row r="390">
      <c r="E390" s="4" t="s">
        <v>101</v>
      </c>
    </row>
    <row r="391">
      <c r="E391" s="4" t="s">
        <v>101</v>
      </c>
    </row>
    <row r="392">
      <c r="E392" s="4" t="s">
        <v>101</v>
      </c>
    </row>
    <row r="393">
      <c r="E393" s="4" t="s">
        <v>101</v>
      </c>
    </row>
    <row r="394">
      <c r="E394" s="4" t="s">
        <v>101</v>
      </c>
    </row>
    <row r="395">
      <c r="E395" s="4" t="s">
        <v>101</v>
      </c>
    </row>
    <row r="396">
      <c r="E396" s="4" t="s">
        <v>101</v>
      </c>
    </row>
    <row r="397">
      <c r="E397" s="4" t="s">
        <v>101</v>
      </c>
    </row>
    <row r="398">
      <c r="E398" s="4" t="s">
        <v>101</v>
      </c>
    </row>
    <row r="399">
      <c r="E399" s="4" t="s">
        <v>101</v>
      </c>
    </row>
    <row r="400">
      <c r="E400" s="4" t="s">
        <v>101</v>
      </c>
    </row>
    <row r="401">
      <c r="E401" s="4" t="s">
        <v>101</v>
      </c>
    </row>
    <row r="402">
      <c r="E402" s="4" t="s">
        <v>101</v>
      </c>
    </row>
    <row r="403">
      <c r="E403" s="4" t="s">
        <v>101</v>
      </c>
    </row>
    <row r="404">
      <c r="E404" s="4" t="s">
        <v>101</v>
      </c>
    </row>
    <row r="405">
      <c r="E405" s="4" t="s">
        <v>101</v>
      </c>
    </row>
    <row r="406">
      <c r="E406" s="4" t="s">
        <v>101</v>
      </c>
    </row>
    <row r="407">
      <c r="E407" s="4" t="s">
        <v>101</v>
      </c>
    </row>
    <row r="408">
      <c r="E408" s="4" t="s">
        <v>101</v>
      </c>
    </row>
    <row r="409">
      <c r="E409" s="4" t="s">
        <v>101</v>
      </c>
    </row>
    <row r="410">
      <c r="E410" s="4" t="s">
        <v>101</v>
      </c>
    </row>
    <row r="411">
      <c r="E411" s="4" t="s">
        <v>101</v>
      </c>
    </row>
    <row r="412">
      <c r="E412" s="4" t="s">
        <v>101</v>
      </c>
    </row>
    <row r="413">
      <c r="E413" s="4" t="s">
        <v>101</v>
      </c>
    </row>
    <row r="414">
      <c r="E414" s="4" t="s">
        <v>101</v>
      </c>
    </row>
    <row r="415">
      <c r="E415" s="4" t="s">
        <v>101</v>
      </c>
    </row>
    <row r="416">
      <c r="E416" s="4" t="s">
        <v>101</v>
      </c>
    </row>
    <row r="417">
      <c r="E417" s="4" t="s">
        <v>101</v>
      </c>
    </row>
    <row r="418">
      <c r="E418" s="4" t="s">
        <v>101</v>
      </c>
    </row>
    <row r="419">
      <c r="E419" s="4" t="s">
        <v>101</v>
      </c>
    </row>
    <row r="420">
      <c r="E420" s="4" t="s">
        <v>101</v>
      </c>
    </row>
    <row r="421">
      <c r="E421" s="4" t="s">
        <v>101</v>
      </c>
    </row>
    <row r="422">
      <c r="E422" s="4" t="s">
        <v>101</v>
      </c>
    </row>
    <row r="423">
      <c r="E423" s="4" t="s">
        <v>101</v>
      </c>
    </row>
    <row r="424">
      <c r="E424" s="4" t="s">
        <v>101</v>
      </c>
    </row>
    <row r="425">
      <c r="E425" s="4" t="s">
        <v>101</v>
      </c>
    </row>
    <row r="426">
      <c r="E426" s="4" t="s">
        <v>101</v>
      </c>
    </row>
    <row r="427">
      <c r="E427" s="4" t="s">
        <v>101</v>
      </c>
    </row>
    <row r="428">
      <c r="E428" s="4" t="s">
        <v>101</v>
      </c>
    </row>
    <row r="429">
      <c r="E429" s="4" t="s">
        <v>101</v>
      </c>
    </row>
    <row r="430">
      <c r="E430" s="4" t="s">
        <v>101</v>
      </c>
    </row>
    <row r="431">
      <c r="E431" s="4" t="s">
        <v>101</v>
      </c>
    </row>
    <row r="432">
      <c r="E432" s="4" t="s">
        <v>101</v>
      </c>
    </row>
    <row r="433">
      <c r="E433" s="4" t="s">
        <v>101</v>
      </c>
    </row>
    <row r="434">
      <c r="E434" s="4" t="s">
        <v>101</v>
      </c>
    </row>
    <row r="435">
      <c r="E435" s="4" t="s">
        <v>101</v>
      </c>
    </row>
    <row r="436">
      <c r="E436" s="4" t="s">
        <v>101</v>
      </c>
    </row>
    <row r="437">
      <c r="E437" s="4" t="s">
        <v>101</v>
      </c>
    </row>
    <row r="438">
      <c r="E438" s="4" t="s">
        <v>101</v>
      </c>
    </row>
    <row r="439">
      <c r="E439" s="4" t="s">
        <v>101</v>
      </c>
    </row>
    <row r="440">
      <c r="E440" s="4" t="s">
        <v>101</v>
      </c>
    </row>
    <row r="441">
      <c r="E441" s="4" t="s">
        <v>101</v>
      </c>
    </row>
    <row r="442">
      <c r="E442" s="4" t="s">
        <v>101</v>
      </c>
    </row>
    <row r="443">
      <c r="E443" s="4" t="s">
        <v>101</v>
      </c>
    </row>
    <row r="444">
      <c r="E444" s="4" t="s">
        <v>101</v>
      </c>
    </row>
    <row r="445">
      <c r="E445" s="4" t="s">
        <v>101</v>
      </c>
    </row>
    <row r="446">
      <c r="E446" s="4" t="s">
        <v>101</v>
      </c>
    </row>
    <row r="447">
      <c r="E447" s="4" t="s">
        <v>101</v>
      </c>
    </row>
    <row r="448">
      <c r="E448" s="4" t="s">
        <v>101</v>
      </c>
    </row>
    <row r="449">
      <c r="E449" s="4" t="s">
        <v>101</v>
      </c>
    </row>
    <row r="450">
      <c r="E450" s="4" t="s">
        <v>101</v>
      </c>
    </row>
    <row r="451">
      <c r="E451" s="4" t="s">
        <v>101</v>
      </c>
    </row>
    <row r="452">
      <c r="E452" s="4" t="s">
        <v>101</v>
      </c>
    </row>
    <row r="453">
      <c r="E453" s="4" t="s">
        <v>101</v>
      </c>
    </row>
    <row r="454">
      <c r="E454" s="4" t="s">
        <v>101</v>
      </c>
    </row>
    <row r="455">
      <c r="E455" s="4" t="s">
        <v>101</v>
      </c>
    </row>
    <row r="456">
      <c r="E456" s="4" t="s">
        <v>101</v>
      </c>
    </row>
    <row r="457">
      <c r="E457" s="4" t="s">
        <v>101</v>
      </c>
    </row>
    <row r="458">
      <c r="E458" s="4" t="s">
        <v>101</v>
      </c>
    </row>
    <row r="459">
      <c r="E459" s="4" t="s">
        <v>101</v>
      </c>
    </row>
    <row r="460">
      <c r="E460" s="4" t="s">
        <v>101</v>
      </c>
    </row>
    <row r="461">
      <c r="E461" s="4" t="s">
        <v>101</v>
      </c>
    </row>
    <row r="462">
      <c r="E462" s="4" t="s">
        <v>101</v>
      </c>
    </row>
    <row r="463">
      <c r="E463" s="4" t="s">
        <v>101</v>
      </c>
    </row>
    <row r="464">
      <c r="E464" s="4" t="s">
        <v>101</v>
      </c>
    </row>
    <row r="465">
      <c r="E465" s="4" t="s">
        <v>101</v>
      </c>
    </row>
    <row r="466">
      <c r="E466" s="4" t="s">
        <v>101</v>
      </c>
    </row>
    <row r="467">
      <c r="E467" s="4" t="s">
        <v>101</v>
      </c>
    </row>
    <row r="468">
      <c r="E468" s="4" t="s">
        <v>101</v>
      </c>
    </row>
    <row r="469">
      <c r="E469" s="4" t="s">
        <v>101</v>
      </c>
    </row>
    <row r="470">
      <c r="E470" s="4" t="s">
        <v>101</v>
      </c>
    </row>
    <row r="471">
      <c r="E471" s="4" t="s">
        <v>101</v>
      </c>
    </row>
    <row r="472">
      <c r="E472" s="4" t="s">
        <v>101</v>
      </c>
    </row>
    <row r="473">
      <c r="E473" s="4" t="s">
        <v>101</v>
      </c>
    </row>
    <row r="474">
      <c r="E474" s="4" t="s">
        <v>101</v>
      </c>
    </row>
    <row r="475">
      <c r="E475" s="4" t="s">
        <v>101</v>
      </c>
    </row>
    <row r="476">
      <c r="E476" s="4" t="s">
        <v>101</v>
      </c>
    </row>
    <row r="477">
      <c r="E477" s="4" t="s">
        <v>101</v>
      </c>
    </row>
    <row r="478">
      <c r="E478" s="4" t="s">
        <v>101</v>
      </c>
    </row>
    <row r="479">
      <c r="E479" s="4" t="s">
        <v>101</v>
      </c>
    </row>
    <row r="480">
      <c r="E480" s="4" t="s">
        <v>101</v>
      </c>
    </row>
    <row r="481">
      <c r="E481" s="4" t="s">
        <v>101</v>
      </c>
    </row>
    <row r="482">
      <c r="E482" s="4" t="s">
        <v>101</v>
      </c>
    </row>
    <row r="483">
      <c r="E483" s="4" t="s">
        <v>101</v>
      </c>
    </row>
    <row r="484">
      <c r="E484" s="4" t="s">
        <v>101</v>
      </c>
    </row>
    <row r="485">
      <c r="E485" s="4" t="s">
        <v>101</v>
      </c>
    </row>
    <row r="486">
      <c r="E486" s="4" t="s">
        <v>101</v>
      </c>
    </row>
    <row r="487">
      <c r="E487" s="4" t="s">
        <v>101</v>
      </c>
    </row>
    <row r="488">
      <c r="E488" s="4" t="s">
        <v>101</v>
      </c>
    </row>
    <row r="489">
      <c r="E489" s="4" t="s">
        <v>101</v>
      </c>
    </row>
    <row r="490">
      <c r="E490" s="4" t="s">
        <v>101</v>
      </c>
    </row>
    <row r="491">
      <c r="E491" s="4" t="s">
        <v>101</v>
      </c>
    </row>
    <row r="492">
      <c r="E492" s="4" t="s">
        <v>101</v>
      </c>
    </row>
    <row r="493">
      <c r="E493" s="4" t="s">
        <v>101</v>
      </c>
    </row>
    <row r="494">
      <c r="E494" s="4" t="s">
        <v>101</v>
      </c>
    </row>
    <row r="495">
      <c r="E495" s="4" t="s">
        <v>101</v>
      </c>
    </row>
    <row r="496">
      <c r="E496" s="4" t="s">
        <v>101</v>
      </c>
    </row>
    <row r="497">
      <c r="E497" s="4" t="s">
        <v>101</v>
      </c>
    </row>
    <row r="498">
      <c r="E498" s="4" t="s">
        <v>101</v>
      </c>
    </row>
    <row r="499">
      <c r="E499" s="4" t="s">
        <v>101</v>
      </c>
    </row>
    <row r="500">
      <c r="E500" s="4" t="s">
        <v>101</v>
      </c>
    </row>
    <row r="501">
      <c r="E501" s="4" t="s">
        <v>101</v>
      </c>
    </row>
    <row r="502">
      <c r="E502" s="4" t="s">
        <v>101</v>
      </c>
    </row>
    <row r="503">
      <c r="E503" s="4" t="s">
        <v>101</v>
      </c>
    </row>
    <row r="504">
      <c r="E504" s="4" t="s">
        <v>101</v>
      </c>
    </row>
    <row r="505">
      <c r="E505" s="4" t="s">
        <v>101</v>
      </c>
    </row>
    <row r="506">
      <c r="E506" s="4" t="s">
        <v>101</v>
      </c>
    </row>
    <row r="507">
      <c r="E507" s="4" t="s">
        <v>101</v>
      </c>
    </row>
    <row r="508">
      <c r="E508" s="4" t="s">
        <v>101</v>
      </c>
    </row>
    <row r="509">
      <c r="E509" s="4" t="s">
        <v>101</v>
      </c>
    </row>
    <row r="510">
      <c r="E510" s="4" t="s">
        <v>101</v>
      </c>
    </row>
    <row r="511">
      <c r="E511" s="4" t="s">
        <v>101</v>
      </c>
    </row>
    <row r="512">
      <c r="E512" s="4" t="s">
        <v>101</v>
      </c>
    </row>
    <row r="513">
      <c r="E513" s="4" t="s">
        <v>101</v>
      </c>
    </row>
    <row r="514">
      <c r="E514" s="4" t="s">
        <v>101</v>
      </c>
    </row>
    <row r="515">
      <c r="E515" s="4" t="s">
        <v>101</v>
      </c>
    </row>
    <row r="516">
      <c r="E516" s="4" t="s">
        <v>101</v>
      </c>
    </row>
    <row r="517">
      <c r="E517" s="4" t="s">
        <v>101</v>
      </c>
    </row>
    <row r="518">
      <c r="E518" s="4" t="s">
        <v>101</v>
      </c>
    </row>
    <row r="519">
      <c r="E519" s="4" t="s">
        <v>101</v>
      </c>
    </row>
    <row r="520">
      <c r="E520" s="4" t="s">
        <v>101</v>
      </c>
    </row>
    <row r="521">
      <c r="E521" s="4" t="s">
        <v>101</v>
      </c>
    </row>
    <row r="522">
      <c r="E522" s="4" t="s">
        <v>101</v>
      </c>
    </row>
    <row r="523">
      <c r="E523" s="4" t="s">
        <v>101</v>
      </c>
    </row>
    <row r="524">
      <c r="E524" s="4" t="s">
        <v>101</v>
      </c>
    </row>
    <row r="525">
      <c r="E525" s="4" t="s">
        <v>101</v>
      </c>
    </row>
    <row r="526">
      <c r="E526" s="4" t="s">
        <v>101</v>
      </c>
    </row>
    <row r="527">
      <c r="E527" s="4" t="s">
        <v>101</v>
      </c>
    </row>
    <row r="528">
      <c r="E528" s="4" t="s">
        <v>101</v>
      </c>
    </row>
    <row r="529">
      <c r="E529" s="4" t="s">
        <v>101</v>
      </c>
    </row>
    <row r="530">
      <c r="E530" s="4" t="s">
        <v>101</v>
      </c>
    </row>
    <row r="531">
      <c r="E531" s="4" t="s">
        <v>101</v>
      </c>
    </row>
    <row r="532">
      <c r="E532" s="4" t="s">
        <v>101</v>
      </c>
    </row>
    <row r="533">
      <c r="E533" s="4" t="s">
        <v>101</v>
      </c>
    </row>
    <row r="534">
      <c r="E534" s="4" t="s">
        <v>101</v>
      </c>
    </row>
    <row r="535">
      <c r="E535" s="4" t="s">
        <v>101</v>
      </c>
    </row>
    <row r="536">
      <c r="E536" s="4" t="s">
        <v>101</v>
      </c>
    </row>
    <row r="537">
      <c r="E537" s="4" t="s">
        <v>101</v>
      </c>
    </row>
    <row r="538">
      <c r="E538" s="4" t="s">
        <v>101</v>
      </c>
    </row>
    <row r="539">
      <c r="E539" s="4" t="s">
        <v>101</v>
      </c>
    </row>
    <row r="540">
      <c r="E540" s="4" t="s">
        <v>101</v>
      </c>
    </row>
    <row r="541">
      <c r="E541" s="4" t="s">
        <v>101</v>
      </c>
    </row>
    <row r="542">
      <c r="E542" s="4" t="s">
        <v>101</v>
      </c>
    </row>
    <row r="543">
      <c r="E543" s="4" t="s">
        <v>101</v>
      </c>
    </row>
    <row r="544">
      <c r="E544" s="4" t="s">
        <v>101</v>
      </c>
    </row>
    <row r="545">
      <c r="E545" s="4" t="s">
        <v>101</v>
      </c>
    </row>
    <row r="546">
      <c r="E546" s="4" t="s">
        <v>101</v>
      </c>
    </row>
    <row r="547">
      <c r="E547" s="4" t="s">
        <v>101</v>
      </c>
    </row>
    <row r="548">
      <c r="E548" s="4" t="s">
        <v>101</v>
      </c>
    </row>
    <row r="549">
      <c r="E549" s="4" t="s">
        <v>101</v>
      </c>
    </row>
    <row r="550">
      <c r="E550" s="4" t="s">
        <v>101</v>
      </c>
    </row>
    <row r="551">
      <c r="E551" s="4" t="s">
        <v>101</v>
      </c>
    </row>
    <row r="552">
      <c r="E552" s="4" t="s">
        <v>101</v>
      </c>
    </row>
    <row r="553">
      <c r="E553" s="4" t="s">
        <v>101</v>
      </c>
    </row>
    <row r="554">
      <c r="E554" s="4" t="s">
        <v>101</v>
      </c>
    </row>
    <row r="555">
      <c r="E555" s="4" t="s">
        <v>101</v>
      </c>
    </row>
    <row r="556">
      <c r="E556" s="4" t="s">
        <v>101</v>
      </c>
    </row>
    <row r="557">
      <c r="E557" s="4" t="s">
        <v>101</v>
      </c>
    </row>
    <row r="558">
      <c r="E558" s="4" t="s">
        <v>101</v>
      </c>
    </row>
    <row r="559">
      <c r="E559" s="4" t="s">
        <v>101</v>
      </c>
    </row>
    <row r="560">
      <c r="E560" s="4" t="s">
        <v>101</v>
      </c>
    </row>
    <row r="561">
      <c r="E561" s="4" t="s">
        <v>101</v>
      </c>
    </row>
    <row r="562">
      <c r="E562" s="4" t="s">
        <v>101</v>
      </c>
    </row>
    <row r="563">
      <c r="E563" s="4" t="s">
        <v>101</v>
      </c>
    </row>
    <row r="564">
      <c r="E564" s="4" t="s">
        <v>101</v>
      </c>
    </row>
    <row r="565">
      <c r="E565" s="4" t="s">
        <v>101</v>
      </c>
    </row>
    <row r="566">
      <c r="E566" s="4" t="s">
        <v>101</v>
      </c>
    </row>
    <row r="567">
      <c r="E567" s="4" t="s">
        <v>101</v>
      </c>
    </row>
    <row r="568">
      <c r="E568" s="4" t="s">
        <v>101</v>
      </c>
    </row>
    <row r="569">
      <c r="E569" s="4" t="s">
        <v>101</v>
      </c>
    </row>
    <row r="570">
      <c r="E570" s="4" t="s">
        <v>101</v>
      </c>
    </row>
    <row r="571">
      <c r="E571" s="4" t="s">
        <v>101</v>
      </c>
    </row>
    <row r="572">
      <c r="E572" s="4" t="s">
        <v>101</v>
      </c>
    </row>
    <row r="573">
      <c r="E573" s="4" t="s">
        <v>101</v>
      </c>
    </row>
    <row r="574">
      <c r="E574" s="4" t="s">
        <v>101</v>
      </c>
    </row>
    <row r="575">
      <c r="E575" s="4" t="s">
        <v>101</v>
      </c>
    </row>
    <row r="576">
      <c r="E576" s="4" t="s">
        <v>101</v>
      </c>
    </row>
    <row r="577">
      <c r="E577" s="4" t="s">
        <v>101</v>
      </c>
    </row>
    <row r="578">
      <c r="E578" s="4" t="s">
        <v>101</v>
      </c>
    </row>
    <row r="579">
      <c r="E579" s="4" t="s">
        <v>101</v>
      </c>
    </row>
    <row r="580">
      <c r="E580" s="4" t="s">
        <v>101</v>
      </c>
    </row>
    <row r="581">
      <c r="E581" s="4" t="s">
        <v>101</v>
      </c>
    </row>
    <row r="582">
      <c r="E582" s="4" t="s">
        <v>101</v>
      </c>
    </row>
    <row r="583">
      <c r="E583" s="4" t="s">
        <v>101</v>
      </c>
    </row>
    <row r="584">
      <c r="E584" s="4" t="s">
        <v>101</v>
      </c>
    </row>
    <row r="585">
      <c r="E585" s="4" t="s">
        <v>101</v>
      </c>
    </row>
    <row r="586">
      <c r="E586" s="4" t="s">
        <v>101</v>
      </c>
    </row>
    <row r="587">
      <c r="E587" s="4" t="s">
        <v>101</v>
      </c>
    </row>
    <row r="588">
      <c r="E588" s="4" t="s">
        <v>101</v>
      </c>
    </row>
    <row r="589">
      <c r="E589" s="4" t="s">
        <v>101</v>
      </c>
    </row>
    <row r="590">
      <c r="E590" s="4" t="s">
        <v>101</v>
      </c>
    </row>
    <row r="591">
      <c r="E591" s="4" t="s">
        <v>101</v>
      </c>
    </row>
    <row r="592">
      <c r="E592" s="4" t="s">
        <v>101</v>
      </c>
    </row>
    <row r="593">
      <c r="E593" s="4" t="s">
        <v>101</v>
      </c>
    </row>
    <row r="594">
      <c r="E594" s="4" t="s">
        <v>101</v>
      </c>
    </row>
    <row r="595">
      <c r="E595" s="4" t="s">
        <v>101</v>
      </c>
    </row>
    <row r="596">
      <c r="E596" s="4" t="s">
        <v>101</v>
      </c>
    </row>
    <row r="597">
      <c r="E597" s="4" t="s">
        <v>101</v>
      </c>
    </row>
    <row r="598">
      <c r="E598" s="4" t="s">
        <v>101</v>
      </c>
    </row>
    <row r="599">
      <c r="E599" s="4" t="s">
        <v>101</v>
      </c>
    </row>
    <row r="600">
      <c r="E600" s="4" t="s">
        <v>101</v>
      </c>
    </row>
    <row r="601">
      <c r="E601" s="4" t="s">
        <v>101</v>
      </c>
    </row>
    <row r="602">
      <c r="E602" s="4" t="s">
        <v>101</v>
      </c>
    </row>
    <row r="603">
      <c r="E603" s="4" t="s">
        <v>101</v>
      </c>
    </row>
    <row r="604">
      <c r="E604" s="4" t="s">
        <v>101</v>
      </c>
    </row>
    <row r="605">
      <c r="E605" s="4" t="s">
        <v>101</v>
      </c>
    </row>
    <row r="606">
      <c r="E606" s="4" t="s">
        <v>101</v>
      </c>
    </row>
    <row r="607">
      <c r="E607" s="4" t="s">
        <v>101</v>
      </c>
    </row>
    <row r="608">
      <c r="E608" s="4" t="s">
        <v>101</v>
      </c>
    </row>
    <row r="609">
      <c r="E609" s="4" t="s">
        <v>101</v>
      </c>
    </row>
    <row r="610">
      <c r="E610" s="4" t="s">
        <v>101</v>
      </c>
    </row>
    <row r="611">
      <c r="E611" s="4" t="s">
        <v>101</v>
      </c>
    </row>
    <row r="612">
      <c r="E612" s="4" t="s">
        <v>101</v>
      </c>
    </row>
    <row r="613">
      <c r="E613" s="4" t="s">
        <v>101</v>
      </c>
    </row>
    <row r="614">
      <c r="E614" s="4" t="s">
        <v>101</v>
      </c>
    </row>
    <row r="615">
      <c r="E615" s="4" t="s">
        <v>101</v>
      </c>
    </row>
    <row r="616">
      <c r="E616" s="4" t="s">
        <v>101</v>
      </c>
    </row>
    <row r="617">
      <c r="E617" s="4" t="s">
        <v>101</v>
      </c>
    </row>
    <row r="618">
      <c r="E618" s="4" t="s">
        <v>101</v>
      </c>
    </row>
    <row r="619">
      <c r="E619" s="4" t="s">
        <v>101</v>
      </c>
    </row>
    <row r="620">
      <c r="E620" s="4" t="s">
        <v>101</v>
      </c>
    </row>
    <row r="621">
      <c r="E621" s="4" t="s">
        <v>101</v>
      </c>
    </row>
    <row r="622">
      <c r="E622" s="4" t="s">
        <v>101</v>
      </c>
    </row>
    <row r="623">
      <c r="E623" s="4" t="s">
        <v>101</v>
      </c>
    </row>
    <row r="624">
      <c r="E624" s="4" t="s">
        <v>101</v>
      </c>
    </row>
    <row r="625">
      <c r="E625" s="4" t="s">
        <v>101</v>
      </c>
    </row>
    <row r="626">
      <c r="E626" s="4" t="s">
        <v>101</v>
      </c>
    </row>
    <row r="627">
      <c r="E627" s="4" t="s">
        <v>101</v>
      </c>
    </row>
    <row r="628">
      <c r="E628" s="4" t="s">
        <v>101</v>
      </c>
    </row>
    <row r="629">
      <c r="E629" s="4" t="s">
        <v>101</v>
      </c>
    </row>
    <row r="630">
      <c r="E630" s="4" t="s">
        <v>101</v>
      </c>
    </row>
    <row r="631">
      <c r="E631" s="4" t="s">
        <v>101</v>
      </c>
    </row>
    <row r="632">
      <c r="E632" s="4" t="s">
        <v>101</v>
      </c>
    </row>
    <row r="633">
      <c r="E633" s="4" t="s">
        <v>101</v>
      </c>
    </row>
    <row r="634">
      <c r="E634" s="4" t="s">
        <v>101</v>
      </c>
    </row>
    <row r="635">
      <c r="E635" s="4" t="s">
        <v>101</v>
      </c>
    </row>
    <row r="636">
      <c r="E636" s="4" t="s">
        <v>101</v>
      </c>
    </row>
    <row r="637">
      <c r="E637" s="4" t="s">
        <v>101</v>
      </c>
    </row>
    <row r="638">
      <c r="E638" s="4" t="s">
        <v>101</v>
      </c>
    </row>
    <row r="639">
      <c r="E639" s="4" t="s">
        <v>101</v>
      </c>
    </row>
    <row r="640">
      <c r="E640" s="4" t="s">
        <v>101</v>
      </c>
    </row>
    <row r="641">
      <c r="E641" s="4" t="s">
        <v>101</v>
      </c>
    </row>
    <row r="642">
      <c r="E642" s="4" t="s">
        <v>101</v>
      </c>
    </row>
    <row r="643">
      <c r="E643" s="4" t="s">
        <v>101</v>
      </c>
    </row>
    <row r="644">
      <c r="E644" s="4" t="s">
        <v>101</v>
      </c>
    </row>
    <row r="645">
      <c r="E645" s="4" t="s">
        <v>101</v>
      </c>
    </row>
    <row r="646">
      <c r="E646" s="4" t="s">
        <v>101</v>
      </c>
    </row>
    <row r="647">
      <c r="E647" s="4" t="s">
        <v>101</v>
      </c>
    </row>
    <row r="648">
      <c r="E648" s="4" t="s">
        <v>101</v>
      </c>
    </row>
    <row r="649">
      <c r="E649" s="4" t="s">
        <v>101</v>
      </c>
    </row>
    <row r="650">
      <c r="E650" s="4" t="s">
        <v>101</v>
      </c>
    </row>
    <row r="651">
      <c r="E651" s="4" t="s">
        <v>101</v>
      </c>
    </row>
    <row r="652">
      <c r="E652" s="4" t="s">
        <v>101</v>
      </c>
    </row>
    <row r="653">
      <c r="E653" s="4" t="s">
        <v>101</v>
      </c>
    </row>
    <row r="654">
      <c r="E654" s="4" t="s">
        <v>101</v>
      </c>
    </row>
    <row r="655">
      <c r="E655" s="4" t="s">
        <v>101</v>
      </c>
    </row>
    <row r="656">
      <c r="E656" s="4" t="s">
        <v>101</v>
      </c>
    </row>
    <row r="657">
      <c r="E657" s="4" t="s">
        <v>101</v>
      </c>
    </row>
    <row r="658">
      <c r="E658" s="4" t="s">
        <v>101</v>
      </c>
    </row>
    <row r="659">
      <c r="E659" s="4" t="s">
        <v>101</v>
      </c>
    </row>
    <row r="660">
      <c r="E660" s="4" t="s">
        <v>101</v>
      </c>
    </row>
    <row r="661">
      <c r="E661" s="4" t="s">
        <v>101</v>
      </c>
    </row>
    <row r="662">
      <c r="E662" s="4" t="s">
        <v>101</v>
      </c>
    </row>
    <row r="663">
      <c r="E663" s="4" t="s">
        <v>101</v>
      </c>
    </row>
    <row r="664">
      <c r="E664" s="4" t="s">
        <v>101</v>
      </c>
    </row>
    <row r="665">
      <c r="E665" s="4" t="s">
        <v>101</v>
      </c>
    </row>
    <row r="666">
      <c r="E666" s="4" t="s">
        <v>101</v>
      </c>
    </row>
    <row r="667">
      <c r="E667" s="4" t="s">
        <v>101</v>
      </c>
    </row>
    <row r="668">
      <c r="E668" s="4" t="s">
        <v>101</v>
      </c>
    </row>
    <row r="669">
      <c r="E669" s="4" t="s">
        <v>101</v>
      </c>
    </row>
    <row r="670">
      <c r="E670" s="4" t="s">
        <v>101</v>
      </c>
    </row>
    <row r="671">
      <c r="E671" s="4" t="s">
        <v>101</v>
      </c>
    </row>
    <row r="672">
      <c r="E672" s="4" t="s">
        <v>101</v>
      </c>
    </row>
    <row r="673">
      <c r="E673" s="4" t="s">
        <v>101</v>
      </c>
    </row>
    <row r="674">
      <c r="E674" s="4" t="s">
        <v>101</v>
      </c>
    </row>
    <row r="675">
      <c r="E675" s="4" t="s">
        <v>101</v>
      </c>
    </row>
    <row r="676">
      <c r="E676" s="4" t="s">
        <v>101</v>
      </c>
    </row>
    <row r="677">
      <c r="E677" s="4" t="s">
        <v>101</v>
      </c>
    </row>
    <row r="678">
      <c r="E678" s="4" t="s">
        <v>101</v>
      </c>
    </row>
    <row r="679">
      <c r="E679" s="4" t="s">
        <v>101</v>
      </c>
    </row>
    <row r="680">
      <c r="E680" s="4" t="s">
        <v>101</v>
      </c>
    </row>
    <row r="681">
      <c r="E681" s="4" t="s">
        <v>101</v>
      </c>
    </row>
    <row r="682">
      <c r="E682" s="4" t="s">
        <v>101</v>
      </c>
    </row>
    <row r="683">
      <c r="E683" s="4" t="s">
        <v>101</v>
      </c>
    </row>
    <row r="684">
      <c r="E684" s="4" t="s">
        <v>101</v>
      </c>
    </row>
    <row r="685">
      <c r="E685" s="4" t="s">
        <v>101</v>
      </c>
    </row>
    <row r="686">
      <c r="E686" s="4" t="s">
        <v>101</v>
      </c>
    </row>
    <row r="687">
      <c r="E687" s="4" t="s">
        <v>101</v>
      </c>
    </row>
    <row r="688">
      <c r="E688" s="4" t="s">
        <v>101</v>
      </c>
    </row>
    <row r="689">
      <c r="E689" s="4" t="s">
        <v>101</v>
      </c>
    </row>
    <row r="690">
      <c r="E690" s="4" t="s">
        <v>101</v>
      </c>
    </row>
    <row r="691">
      <c r="E691" s="4" t="s">
        <v>101</v>
      </c>
    </row>
    <row r="692">
      <c r="E692" s="4" t="s">
        <v>101</v>
      </c>
    </row>
    <row r="693">
      <c r="E693" s="4" t="s">
        <v>101</v>
      </c>
    </row>
    <row r="694">
      <c r="E694" s="4" t="s">
        <v>101</v>
      </c>
    </row>
    <row r="695">
      <c r="E695" s="4" t="s">
        <v>101</v>
      </c>
    </row>
    <row r="696">
      <c r="E696" s="4" t="s">
        <v>101</v>
      </c>
    </row>
    <row r="697">
      <c r="E697" s="4" t="s">
        <v>101</v>
      </c>
    </row>
    <row r="698">
      <c r="E698" s="4" t="s">
        <v>101</v>
      </c>
    </row>
    <row r="699">
      <c r="E699" s="4" t="s">
        <v>101</v>
      </c>
    </row>
    <row r="700">
      <c r="E700" s="4" t="s">
        <v>101</v>
      </c>
    </row>
    <row r="701">
      <c r="E701" s="4" t="s">
        <v>101</v>
      </c>
    </row>
    <row r="702">
      <c r="E702" s="4" t="s">
        <v>101</v>
      </c>
    </row>
    <row r="703">
      <c r="E703" s="4" t="s">
        <v>101</v>
      </c>
    </row>
    <row r="704">
      <c r="E704" s="4" t="s">
        <v>101</v>
      </c>
    </row>
    <row r="705">
      <c r="E705" s="4" t="s">
        <v>101</v>
      </c>
    </row>
    <row r="706">
      <c r="E706" s="4" t="s">
        <v>101</v>
      </c>
    </row>
    <row r="707">
      <c r="E707" s="4" t="s">
        <v>101</v>
      </c>
    </row>
    <row r="708">
      <c r="E708" s="4" t="s">
        <v>101</v>
      </c>
    </row>
    <row r="709">
      <c r="E709" s="4" t="s">
        <v>101</v>
      </c>
    </row>
    <row r="710">
      <c r="E710" s="4" t="s">
        <v>101</v>
      </c>
    </row>
    <row r="711">
      <c r="E711" s="4" t="s">
        <v>101</v>
      </c>
    </row>
    <row r="712">
      <c r="E712" s="4" t="s">
        <v>101</v>
      </c>
    </row>
    <row r="713">
      <c r="E713" s="4" t="s">
        <v>101</v>
      </c>
    </row>
    <row r="714">
      <c r="E714" s="4" t="s">
        <v>101</v>
      </c>
    </row>
    <row r="715">
      <c r="E715" s="4" t="s">
        <v>101</v>
      </c>
    </row>
    <row r="716">
      <c r="E716" s="4" t="s">
        <v>101</v>
      </c>
    </row>
    <row r="717">
      <c r="E717" s="4" t="s">
        <v>101</v>
      </c>
    </row>
    <row r="718">
      <c r="E718" s="4" t="s">
        <v>101</v>
      </c>
    </row>
    <row r="719">
      <c r="E719" s="4" t="s">
        <v>101</v>
      </c>
    </row>
    <row r="720">
      <c r="E720" s="4" t="s">
        <v>101</v>
      </c>
    </row>
    <row r="721">
      <c r="E721" s="4" t="s">
        <v>101</v>
      </c>
    </row>
    <row r="722">
      <c r="E722" s="4" t="s">
        <v>101</v>
      </c>
    </row>
    <row r="723">
      <c r="E723" s="4" t="s">
        <v>101</v>
      </c>
    </row>
    <row r="724">
      <c r="E724" s="4" t="s">
        <v>101</v>
      </c>
    </row>
    <row r="725">
      <c r="E725" s="4" t="s">
        <v>101</v>
      </c>
    </row>
    <row r="726">
      <c r="E726" s="4" t="s">
        <v>101</v>
      </c>
    </row>
    <row r="727">
      <c r="E727" s="4" t="s">
        <v>101</v>
      </c>
    </row>
    <row r="728">
      <c r="E728" s="4" t="s">
        <v>101</v>
      </c>
    </row>
    <row r="729">
      <c r="E729" s="4" t="s">
        <v>101</v>
      </c>
    </row>
    <row r="730">
      <c r="E730" s="4" t="s">
        <v>101</v>
      </c>
    </row>
    <row r="731">
      <c r="E731" s="4" t="s">
        <v>101</v>
      </c>
    </row>
    <row r="732">
      <c r="E732" s="4" t="s">
        <v>101</v>
      </c>
    </row>
    <row r="733">
      <c r="E733" s="4" t="s">
        <v>101</v>
      </c>
    </row>
    <row r="734">
      <c r="E734" s="4" t="s">
        <v>101</v>
      </c>
    </row>
    <row r="735">
      <c r="E735" s="4" t="s">
        <v>101</v>
      </c>
    </row>
    <row r="736">
      <c r="E736" s="4" t="s">
        <v>101</v>
      </c>
    </row>
    <row r="737">
      <c r="E737" s="4" t="s">
        <v>101</v>
      </c>
    </row>
    <row r="738">
      <c r="E738" s="4" t="s">
        <v>101</v>
      </c>
    </row>
    <row r="739">
      <c r="E739" s="4" t="s">
        <v>101</v>
      </c>
    </row>
    <row r="740">
      <c r="E740" s="4" t="s">
        <v>101</v>
      </c>
    </row>
    <row r="741">
      <c r="E741" s="4" t="s">
        <v>101</v>
      </c>
    </row>
    <row r="742">
      <c r="E742" s="4" t="s">
        <v>101</v>
      </c>
    </row>
    <row r="743">
      <c r="E743" s="4" t="s">
        <v>101</v>
      </c>
    </row>
    <row r="744">
      <c r="E744" s="4" t="s">
        <v>101</v>
      </c>
    </row>
    <row r="745">
      <c r="E745" s="4" t="s">
        <v>101</v>
      </c>
    </row>
    <row r="746">
      <c r="E746" s="4" t="s">
        <v>101</v>
      </c>
    </row>
    <row r="747">
      <c r="E747" s="4" t="s">
        <v>101</v>
      </c>
    </row>
    <row r="748">
      <c r="E748" s="4" t="s">
        <v>101</v>
      </c>
    </row>
    <row r="749">
      <c r="E749" s="4" t="s">
        <v>101</v>
      </c>
    </row>
    <row r="750">
      <c r="E750" s="4" t="s">
        <v>101</v>
      </c>
    </row>
    <row r="751">
      <c r="E751" s="4" t="s">
        <v>101</v>
      </c>
    </row>
    <row r="752">
      <c r="E752" s="4" t="s">
        <v>101</v>
      </c>
    </row>
    <row r="753">
      <c r="E753" s="4" t="s">
        <v>101</v>
      </c>
    </row>
    <row r="754">
      <c r="E754" s="4" t="s">
        <v>101</v>
      </c>
    </row>
    <row r="755">
      <c r="E755" s="4" t="s">
        <v>101</v>
      </c>
    </row>
    <row r="756">
      <c r="E756" s="4" t="s">
        <v>101</v>
      </c>
    </row>
    <row r="757">
      <c r="E757" s="4" t="s">
        <v>101</v>
      </c>
    </row>
    <row r="758">
      <c r="E758" s="4" t="s">
        <v>101</v>
      </c>
    </row>
    <row r="759">
      <c r="E759" s="4" t="s">
        <v>101</v>
      </c>
    </row>
    <row r="760">
      <c r="E760" s="4" t="s">
        <v>101</v>
      </c>
    </row>
    <row r="761">
      <c r="E761" s="4" t="s">
        <v>101</v>
      </c>
    </row>
    <row r="762">
      <c r="E762" s="4" t="s">
        <v>101</v>
      </c>
    </row>
    <row r="763">
      <c r="E763" s="4" t="s">
        <v>101</v>
      </c>
    </row>
    <row r="764">
      <c r="E764" s="4" t="s">
        <v>101</v>
      </c>
    </row>
    <row r="765">
      <c r="E765" s="4" t="s">
        <v>101</v>
      </c>
    </row>
    <row r="766">
      <c r="E766" s="4" t="s">
        <v>101</v>
      </c>
    </row>
    <row r="767">
      <c r="E767" s="4" t="s">
        <v>101</v>
      </c>
    </row>
    <row r="768">
      <c r="E768" s="4" t="s">
        <v>101</v>
      </c>
    </row>
    <row r="769">
      <c r="E769" s="4" t="s">
        <v>101</v>
      </c>
    </row>
    <row r="770">
      <c r="E770" s="4" t="s">
        <v>101</v>
      </c>
    </row>
    <row r="771">
      <c r="E771" s="4" t="s">
        <v>101</v>
      </c>
    </row>
    <row r="772">
      <c r="E772" s="4" t="s">
        <v>101</v>
      </c>
    </row>
    <row r="773">
      <c r="E773" s="4" t="s">
        <v>101</v>
      </c>
    </row>
    <row r="774">
      <c r="E774" s="4" t="s">
        <v>101</v>
      </c>
    </row>
    <row r="775">
      <c r="E775" s="4" t="s">
        <v>101</v>
      </c>
    </row>
    <row r="776">
      <c r="E776" s="4" t="s">
        <v>101</v>
      </c>
    </row>
    <row r="777">
      <c r="E777" s="4" t="s">
        <v>101</v>
      </c>
    </row>
    <row r="778">
      <c r="E778" s="4" t="s">
        <v>101</v>
      </c>
    </row>
    <row r="779">
      <c r="E779" s="4" t="s">
        <v>101</v>
      </c>
    </row>
    <row r="780">
      <c r="E780" s="4" t="s">
        <v>101</v>
      </c>
    </row>
    <row r="781">
      <c r="E781" s="4" t="s">
        <v>101</v>
      </c>
    </row>
    <row r="782">
      <c r="E782" s="4" t="s">
        <v>101</v>
      </c>
    </row>
    <row r="783">
      <c r="E783" s="4" t="s">
        <v>101</v>
      </c>
    </row>
    <row r="784">
      <c r="E784" s="4" t="s">
        <v>101</v>
      </c>
    </row>
    <row r="785">
      <c r="E785" s="4" t="s">
        <v>101</v>
      </c>
    </row>
    <row r="786">
      <c r="E786" s="4" t="s">
        <v>101</v>
      </c>
    </row>
    <row r="787">
      <c r="E787" s="4" t="s">
        <v>101</v>
      </c>
    </row>
    <row r="788">
      <c r="E788" s="4" t="s">
        <v>101</v>
      </c>
    </row>
    <row r="789">
      <c r="E789" s="4" t="s">
        <v>101</v>
      </c>
    </row>
    <row r="790">
      <c r="E790" s="4" t="s">
        <v>101</v>
      </c>
    </row>
    <row r="791">
      <c r="E791" s="4" t="s">
        <v>101</v>
      </c>
    </row>
    <row r="792">
      <c r="E792" s="4" t="s">
        <v>101</v>
      </c>
    </row>
    <row r="793">
      <c r="E793" s="4" t="s">
        <v>101</v>
      </c>
    </row>
    <row r="794">
      <c r="E794" s="4" t="s">
        <v>101</v>
      </c>
    </row>
    <row r="795">
      <c r="E795" s="4" t="s">
        <v>101</v>
      </c>
    </row>
    <row r="796">
      <c r="E796" s="4" t="s">
        <v>101</v>
      </c>
    </row>
    <row r="797">
      <c r="E797" s="4" t="s">
        <v>101</v>
      </c>
    </row>
    <row r="798">
      <c r="E798" s="4" t="s">
        <v>101</v>
      </c>
    </row>
    <row r="799">
      <c r="E799" s="4" t="s">
        <v>101</v>
      </c>
    </row>
    <row r="800">
      <c r="E800" s="4" t="s">
        <v>101</v>
      </c>
    </row>
    <row r="801">
      <c r="E801" s="4" t="s">
        <v>101</v>
      </c>
    </row>
    <row r="802">
      <c r="E802" s="4" t="s">
        <v>101</v>
      </c>
    </row>
    <row r="803">
      <c r="E803" s="4" t="s">
        <v>101</v>
      </c>
    </row>
    <row r="804">
      <c r="E804" s="4" t="s">
        <v>101</v>
      </c>
    </row>
    <row r="805">
      <c r="E805" s="4" t="s">
        <v>101</v>
      </c>
    </row>
    <row r="806">
      <c r="E806" s="4" t="s">
        <v>101</v>
      </c>
    </row>
    <row r="807">
      <c r="E807" s="4" t="s">
        <v>101</v>
      </c>
    </row>
    <row r="808">
      <c r="E808" s="4" t="s">
        <v>101</v>
      </c>
    </row>
    <row r="809">
      <c r="E809" s="4" t="s">
        <v>101</v>
      </c>
    </row>
    <row r="810">
      <c r="E810" s="4" t="s">
        <v>101</v>
      </c>
    </row>
    <row r="811">
      <c r="E811" s="4" t="s">
        <v>101</v>
      </c>
    </row>
    <row r="812">
      <c r="E812" s="4" t="s">
        <v>101</v>
      </c>
    </row>
    <row r="813">
      <c r="E813" s="4" t="s">
        <v>101</v>
      </c>
    </row>
    <row r="814">
      <c r="E814" s="4" t="s">
        <v>101</v>
      </c>
    </row>
    <row r="815">
      <c r="E815" s="4" t="s">
        <v>101</v>
      </c>
    </row>
    <row r="816">
      <c r="E816" s="4" t="s">
        <v>101</v>
      </c>
    </row>
    <row r="817">
      <c r="E817" s="4" t="s">
        <v>101</v>
      </c>
    </row>
    <row r="818">
      <c r="E818" s="4" t="s">
        <v>101</v>
      </c>
    </row>
    <row r="819">
      <c r="E819" s="4" t="s">
        <v>101</v>
      </c>
    </row>
    <row r="820">
      <c r="E820" s="4" t="s">
        <v>101</v>
      </c>
    </row>
    <row r="821">
      <c r="E821" s="4" t="s">
        <v>101</v>
      </c>
    </row>
    <row r="822">
      <c r="E822" s="4" t="s">
        <v>101</v>
      </c>
    </row>
    <row r="823">
      <c r="E823" s="4" t="s">
        <v>101</v>
      </c>
    </row>
    <row r="824">
      <c r="E824" s="4" t="s">
        <v>101</v>
      </c>
    </row>
    <row r="825">
      <c r="E825" s="4" t="s">
        <v>101</v>
      </c>
    </row>
    <row r="826">
      <c r="E826" s="4" t="s">
        <v>101</v>
      </c>
    </row>
    <row r="827">
      <c r="E827" s="4" t="s">
        <v>101</v>
      </c>
    </row>
    <row r="828">
      <c r="E828" s="4" t="s">
        <v>101</v>
      </c>
    </row>
    <row r="829">
      <c r="E829" s="4" t="s">
        <v>101</v>
      </c>
    </row>
    <row r="830">
      <c r="E830" s="4" t="s">
        <v>101</v>
      </c>
    </row>
    <row r="831">
      <c r="E831" s="4" t="s">
        <v>101</v>
      </c>
    </row>
    <row r="832">
      <c r="E832" s="4" t="s">
        <v>101</v>
      </c>
    </row>
    <row r="833">
      <c r="E833" s="4" t="s">
        <v>101</v>
      </c>
    </row>
    <row r="834">
      <c r="E834" s="4" t="s">
        <v>101</v>
      </c>
    </row>
    <row r="835">
      <c r="E835" s="4" t="s">
        <v>101</v>
      </c>
    </row>
    <row r="836">
      <c r="E836" s="4" t="s">
        <v>101</v>
      </c>
    </row>
    <row r="837">
      <c r="E837" s="4" t="s">
        <v>101</v>
      </c>
    </row>
    <row r="838">
      <c r="E838" s="4" t="s">
        <v>101</v>
      </c>
    </row>
    <row r="839">
      <c r="E839" s="4" t="s">
        <v>101</v>
      </c>
    </row>
    <row r="840">
      <c r="E840" s="4" t="s">
        <v>101</v>
      </c>
    </row>
    <row r="841">
      <c r="E841" s="4" t="s">
        <v>101</v>
      </c>
    </row>
    <row r="842">
      <c r="E842" s="4" t="s">
        <v>101</v>
      </c>
    </row>
    <row r="843">
      <c r="E843" s="4" t="s">
        <v>101</v>
      </c>
    </row>
    <row r="844">
      <c r="E844" s="4" t="s">
        <v>101</v>
      </c>
    </row>
    <row r="845">
      <c r="E845" s="4" t="s">
        <v>101</v>
      </c>
    </row>
    <row r="846">
      <c r="E846" s="4" t="s">
        <v>101</v>
      </c>
    </row>
    <row r="847">
      <c r="E847" s="4" t="s">
        <v>101</v>
      </c>
    </row>
    <row r="848">
      <c r="E848" s="4" t="s">
        <v>101</v>
      </c>
    </row>
    <row r="849">
      <c r="E849" s="4" t="s">
        <v>101</v>
      </c>
    </row>
    <row r="850">
      <c r="E850" s="4" t="s">
        <v>101</v>
      </c>
    </row>
    <row r="851">
      <c r="E851" s="4" t="s">
        <v>101</v>
      </c>
    </row>
    <row r="852">
      <c r="E852" s="4" t="s">
        <v>101</v>
      </c>
    </row>
    <row r="853">
      <c r="E853" s="4" t="s">
        <v>101</v>
      </c>
    </row>
    <row r="854">
      <c r="E854" s="4" t="s">
        <v>101</v>
      </c>
    </row>
    <row r="855">
      <c r="E855" s="4" t="s">
        <v>101</v>
      </c>
    </row>
    <row r="856">
      <c r="E856" s="4" t="s">
        <v>101</v>
      </c>
    </row>
    <row r="857">
      <c r="E857" s="4" t="s">
        <v>101</v>
      </c>
    </row>
    <row r="858">
      <c r="E858" s="4" t="s">
        <v>101</v>
      </c>
    </row>
    <row r="859">
      <c r="E859" s="4" t="s">
        <v>101</v>
      </c>
    </row>
    <row r="860">
      <c r="E860" s="4" t="s">
        <v>101</v>
      </c>
    </row>
    <row r="861">
      <c r="E861" s="4" t="s">
        <v>101</v>
      </c>
    </row>
    <row r="862">
      <c r="E862" s="4" t="s">
        <v>101</v>
      </c>
    </row>
    <row r="863">
      <c r="E863" s="4" t="s">
        <v>101</v>
      </c>
    </row>
    <row r="864">
      <c r="E864" s="4" t="s">
        <v>101</v>
      </c>
    </row>
    <row r="865">
      <c r="E865" s="4" t="s">
        <v>101</v>
      </c>
    </row>
    <row r="866">
      <c r="E866" s="4" t="s">
        <v>101</v>
      </c>
    </row>
    <row r="867">
      <c r="E867" s="4" t="s">
        <v>101</v>
      </c>
    </row>
    <row r="868">
      <c r="E868" s="4" t="s">
        <v>101</v>
      </c>
    </row>
    <row r="869">
      <c r="E869" s="4" t="s">
        <v>101</v>
      </c>
    </row>
    <row r="870">
      <c r="E870" s="4" t="s">
        <v>101</v>
      </c>
    </row>
    <row r="871">
      <c r="E871" s="4" t="s">
        <v>101</v>
      </c>
    </row>
    <row r="872">
      <c r="E872" s="4" t="s">
        <v>101</v>
      </c>
    </row>
    <row r="873">
      <c r="E873" s="4" t="s">
        <v>101</v>
      </c>
    </row>
    <row r="874">
      <c r="E874" s="4" t="s">
        <v>101</v>
      </c>
    </row>
    <row r="875">
      <c r="E875" s="4" t="s">
        <v>101</v>
      </c>
    </row>
    <row r="876">
      <c r="E876" s="4" t="s">
        <v>101</v>
      </c>
    </row>
    <row r="877">
      <c r="E877" s="4" t="s">
        <v>101</v>
      </c>
    </row>
    <row r="878">
      <c r="E878" s="4" t="s">
        <v>101</v>
      </c>
    </row>
    <row r="879">
      <c r="E879" s="4" t="s">
        <v>101</v>
      </c>
    </row>
    <row r="880">
      <c r="E880" s="4" t="s">
        <v>101</v>
      </c>
    </row>
    <row r="881">
      <c r="E881" s="4" t="s">
        <v>101</v>
      </c>
    </row>
    <row r="882">
      <c r="E882" s="4" t="s">
        <v>101</v>
      </c>
    </row>
    <row r="883">
      <c r="E883" s="4" t="s">
        <v>101</v>
      </c>
    </row>
    <row r="884">
      <c r="E884" s="4" t="s">
        <v>101</v>
      </c>
    </row>
    <row r="885">
      <c r="E885" s="4" t="s">
        <v>101</v>
      </c>
    </row>
    <row r="886">
      <c r="E886" s="4" t="s">
        <v>101</v>
      </c>
    </row>
    <row r="887">
      <c r="E887" s="4" t="s">
        <v>101</v>
      </c>
    </row>
    <row r="888">
      <c r="E888" s="4" t="s">
        <v>101</v>
      </c>
    </row>
    <row r="889">
      <c r="E889" s="4" t="s">
        <v>101</v>
      </c>
    </row>
    <row r="890">
      <c r="E890" s="4" t="s">
        <v>101</v>
      </c>
    </row>
    <row r="891">
      <c r="E891" s="4" t="s">
        <v>101</v>
      </c>
    </row>
    <row r="892">
      <c r="E892" s="4" t="s">
        <v>101</v>
      </c>
    </row>
    <row r="893">
      <c r="E893" s="4" t="s">
        <v>101</v>
      </c>
    </row>
    <row r="894">
      <c r="E894" s="4" t="s">
        <v>101</v>
      </c>
    </row>
    <row r="895">
      <c r="E895" s="4" t="s">
        <v>101</v>
      </c>
    </row>
    <row r="896">
      <c r="E896" s="4" t="s">
        <v>101</v>
      </c>
    </row>
    <row r="897">
      <c r="E897" s="4" t="s">
        <v>101</v>
      </c>
    </row>
    <row r="898">
      <c r="E898" s="4" t="s">
        <v>101</v>
      </c>
    </row>
    <row r="899">
      <c r="E899" s="4" t="s">
        <v>101</v>
      </c>
    </row>
    <row r="900">
      <c r="E900" s="4" t="s">
        <v>101</v>
      </c>
    </row>
    <row r="901">
      <c r="E901" s="4" t="s">
        <v>101</v>
      </c>
    </row>
    <row r="902">
      <c r="E902" s="4" t="s">
        <v>101</v>
      </c>
    </row>
    <row r="903">
      <c r="E903" s="4" t="s">
        <v>101</v>
      </c>
    </row>
    <row r="904">
      <c r="E904" s="4" t="s">
        <v>101</v>
      </c>
    </row>
    <row r="905">
      <c r="E905" s="4" t="s">
        <v>101</v>
      </c>
    </row>
    <row r="906">
      <c r="E906" s="4" t="s">
        <v>101</v>
      </c>
    </row>
    <row r="907">
      <c r="E907" s="4" t="s">
        <v>101</v>
      </c>
    </row>
    <row r="908">
      <c r="E908" s="4" t="s">
        <v>101</v>
      </c>
    </row>
    <row r="909">
      <c r="E909" s="4" t="s">
        <v>101</v>
      </c>
    </row>
    <row r="910">
      <c r="E910" s="4" t="s">
        <v>101</v>
      </c>
    </row>
    <row r="911">
      <c r="E911" s="4" t="s">
        <v>101</v>
      </c>
    </row>
    <row r="912">
      <c r="E912" s="4" t="s">
        <v>101</v>
      </c>
    </row>
    <row r="913">
      <c r="E913" s="4" t="s">
        <v>101</v>
      </c>
    </row>
    <row r="914">
      <c r="E914" s="4" t="s">
        <v>101</v>
      </c>
    </row>
    <row r="915">
      <c r="E915" s="4" t="s">
        <v>101</v>
      </c>
    </row>
    <row r="916">
      <c r="E916" s="4" t="s">
        <v>101</v>
      </c>
    </row>
    <row r="917">
      <c r="E917" s="4" t="s">
        <v>101</v>
      </c>
    </row>
    <row r="918">
      <c r="E918" s="4" t="s">
        <v>101</v>
      </c>
    </row>
    <row r="919">
      <c r="E919" s="4" t="s">
        <v>101</v>
      </c>
    </row>
    <row r="920">
      <c r="E920" s="4" t="s">
        <v>101</v>
      </c>
    </row>
    <row r="921">
      <c r="E921" s="4" t="s">
        <v>101</v>
      </c>
    </row>
    <row r="922">
      <c r="E922" s="4" t="s">
        <v>101</v>
      </c>
    </row>
    <row r="923">
      <c r="E923" s="4" t="s">
        <v>101</v>
      </c>
    </row>
    <row r="924">
      <c r="E924" s="4" t="s">
        <v>101</v>
      </c>
    </row>
    <row r="925">
      <c r="E925" s="4" t="s">
        <v>101</v>
      </c>
    </row>
    <row r="926">
      <c r="E926" s="4" t="s">
        <v>101</v>
      </c>
    </row>
    <row r="927">
      <c r="E927" s="4" t="s">
        <v>101</v>
      </c>
    </row>
    <row r="928">
      <c r="E928" s="4" t="s">
        <v>101</v>
      </c>
    </row>
    <row r="929">
      <c r="E929" s="4" t="s">
        <v>101</v>
      </c>
    </row>
    <row r="930">
      <c r="E930" s="4" t="s">
        <v>101</v>
      </c>
    </row>
    <row r="931">
      <c r="E931" s="4" t="s">
        <v>101</v>
      </c>
    </row>
    <row r="932">
      <c r="E932" s="4" t="s">
        <v>101</v>
      </c>
    </row>
    <row r="933">
      <c r="E933" s="4" t="s">
        <v>101</v>
      </c>
    </row>
    <row r="934">
      <c r="E934" s="4" t="s">
        <v>101</v>
      </c>
    </row>
    <row r="935">
      <c r="E935" s="4" t="s">
        <v>101</v>
      </c>
    </row>
    <row r="936">
      <c r="E936" s="4" t="s">
        <v>101</v>
      </c>
    </row>
    <row r="937">
      <c r="E937" s="4" t="s">
        <v>101</v>
      </c>
    </row>
    <row r="938">
      <c r="E938" s="4" t="s">
        <v>101</v>
      </c>
    </row>
    <row r="939">
      <c r="E939" s="4" t="s">
        <v>101</v>
      </c>
    </row>
    <row r="940">
      <c r="E940" s="4" t="s">
        <v>101</v>
      </c>
    </row>
    <row r="941">
      <c r="E941" s="4" t="s">
        <v>101</v>
      </c>
    </row>
    <row r="942">
      <c r="E942" s="4" t="s">
        <v>101</v>
      </c>
    </row>
    <row r="943">
      <c r="E943" s="4" t="s">
        <v>101</v>
      </c>
    </row>
    <row r="944">
      <c r="E944" s="4" t="s">
        <v>101</v>
      </c>
    </row>
    <row r="945">
      <c r="E945" s="4" t="s">
        <v>101</v>
      </c>
    </row>
    <row r="946">
      <c r="E946" s="4" t="s">
        <v>101</v>
      </c>
    </row>
    <row r="947">
      <c r="E947" s="4" t="s">
        <v>101</v>
      </c>
    </row>
    <row r="948">
      <c r="E948" s="4" t="s">
        <v>101</v>
      </c>
    </row>
    <row r="949">
      <c r="E949" s="4" t="s">
        <v>101</v>
      </c>
    </row>
    <row r="950">
      <c r="E950" s="4" t="s">
        <v>101</v>
      </c>
    </row>
    <row r="951">
      <c r="E951" s="4" t="s">
        <v>101</v>
      </c>
    </row>
    <row r="952">
      <c r="E952" s="4" t="s">
        <v>101</v>
      </c>
    </row>
    <row r="953">
      <c r="E953" s="4" t="s">
        <v>101</v>
      </c>
    </row>
    <row r="954">
      <c r="E954" s="4" t="s">
        <v>101</v>
      </c>
    </row>
    <row r="955">
      <c r="E955" s="4" t="s">
        <v>101</v>
      </c>
    </row>
    <row r="956">
      <c r="E956" s="4" t="s">
        <v>101</v>
      </c>
    </row>
    <row r="957">
      <c r="E957" s="4" t="s">
        <v>101</v>
      </c>
    </row>
    <row r="958">
      <c r="E958" s="4" t="s">
        <v>101</v>
      </c>
    </row>
    <row r="959">
      <c r="E959" s="4" t="s">
        <v>101</v>
      </c>
    </row>
    <row r="960">
      <c r="E960" s="4" t="s">
        <v>101</v>
      </c>
    </row>
    <row r="961">
      <c r="E961" s="4" t="s">
        <v>101</v>
      </c>
    </row>
    <row r="962">
      <c r="E962" s="4" t="s">
        <v>101</v>
      </c>
    </row>
    <row r="963">
      <c r="E963" s="4" t="s">
        <v>101</v>
      </c>
    </row>
    <row r="964">
      <c r="E964" s="4" t="s">
        <v>101</v>
      </c>
    </row>
    <row r="965">
      <c r="E965" s="4" t="s">
        <v>101</v>
      </c>
    </row>
    <row r="966">
      <c r="E966" s="4" t="s">
        <v>101</v>
      </c>
    </row>
    <row r="967">
      <c r="E967" s="4" t="s">
        <v>101</v>
      </c>
    </row>
    <row r="968">
      <c r="E968" s="4" t="s">
        <v>101</v>
      </c>
    </row>
    <row r="969">
      <c r="E969" s="4" t="s">
        <v>101</v>
      </c>
    </row>
    <row r="970">
      <c r="E970" s="4" t="s">
        <v>101</v>
      </c>
    </row>
    <row r="971">
      <c r="E971" s="4" t="s">
        <v>101</v>
      </c>
    </row>
    <row r="972">
      <c r="E972" s="4" t="s">
        <v>101</v>
      </c>
    </row>
    <row r="973">
      <c r="E973" s="4" t="s">
        <v>101</v>
      </c>
    </row>
    <row r="974">
      <c r="E974" s="4" t="s">
        <v>101</v>
      </c>
    </row>
    <row r="975">
      <c r="E975" s="4" t="s">
        <v>101</v>
      </c>
    </row>
    <row r="976">
      <c r="E976" s="4" t="s">
        <v>101</v>
      </c>
    </row>
    <row r="977">
      <c r="E977" s="4" t="s">
        <v>101</v>
      </c>
    </row>
    <row r="978">
      <c r="E978" s="4" t="s">
        <v>101</v>
      </c>
    </row>
    <row r="979">
      <c r="E979" s="4" t="s">
        <v>101</v>
      </c>
    </row>
    <row r="980">
      <c r="E980" s="4" t="s">
        <v>101</v>
      </c>
    </row>
    <row r="981">
      <c r="E981" s="4" t="s">
        <v>101</v>
      </c>
    </row>
    <row r="982">
      <c r="E982" s="4" t="s">
        <v>101</v>
      </c>
    </row>
    <row r="983">
      <c r="E983" s="4" t="s">
        <v>101</v>
      </c>
    </row>
    <row r="984">
      <c r="E984" s="4" t="s">
        <v>101</v>
      </c>
    </row>
    <row r="985">
      <c r="E985" s="4" t="s">
        <v>101</v>
      </c>
    </row>
    <row r="986">
      <c r="E986" s="4" t="s">
        <v>101</v>
      </c>
    </row>
    <row r="987">
      <c r="E987" s="4" t="s">
        <v>101</v>
      </c>
    </row>
    <row r="988">
      <c r="E988" s="4" t="s">
        <v>101</v>
      </c>
    </row>
    <row r="989">
      <c r="E989" s="4" t="s">
        <v>101</v>
      </c>
    </row>
    <row r="990">
      <c r="E990" s="4" t="s">
        <v>101</v>
      </c>
    </row>
    <row r="991">
      <c r="E991" s="4" t="s">
        <v>101</v>
      </c>
    </row>
    <row r="992">
      <c r="E992" s="4" t="s">
        <v>101</v>
      </c>
    </row>
    <row r="993">
      <c r="E993" s="4" t="s">
        <v>101</v>
      </c>
    </row>
    <row r="994">
      <c r="E994" s="4" t="s">
        <v>101</v>
      </c>
    </row>
    <row r="995">
      <c r="E995" s="4" t="s">
        <v>101</v>
      </c>
    </row>
    <row r="996">
      <c r="E996" s="4" t="s">
        <v>101</v>
      </c>
    </row>
    <row r="997">
      <c r="E997" s="4" t="s">
        <v>101</v>
      </c>
    </row>
    <row r="998">
      <c r="E998" s="4" t="s">
        <v>101</v>
      </c>
    </row>
    <row r="999">
      <c r="E999" s="4" t="s">
        <v>101</v>
      </c>
    </row>
    <row r="1000">
      <c r="E1000" s="4" t="s">
        <v>101</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3.75"/>
    <col customWidth="1" min="2" max="2" width="21.75"/>
  </cols>
  <sheetData>
    <row r="1">
      <c r="A1" s="3" t="s">
        <v>0</v>
      </c>
    </row>
    <row r="2">
      <c r="A2" s="4">
        <v>1.0</v>
      </c>
      <c r="B2" s="4" t="s">
        <v>1</v>
      </c>
      <c r="C2" s="4" t="str">
        <f>IFERROR(__xludf.DUMMYFUNCTION("join(""; "", A2:B2)"),"1; Ageberg et al., 2009")</f>
        <v>1; Ageberg et al., 2009</v>
      </c>
      <c r="D2" s="4" t="str">
        <f t="array" ref="D2:D59">unique(C2:C349)</f>
        <v>1; Ageberg et al., 2009</v>
      </c>
      <c r="E2" s="4">
        <f>IFERROR(__xludf.DUMMYFUNCTION("split(D2,""; "", FALSE)"),1.0)</f>
        <v>1</v>
      </c>
      <c r="F2" s="4" t="str">
        <f>IFERROR(__xludf.DUMMYFUNCTION("""COMPUTED_VALUE"""),"Ageberg et al., 2009")</f>
        <v>Ageberg et al., 2009</v>
      </c>
    </row>
    <row r="3">
      <c r="A3" s="4">
        <v>1.0</v>
      </c>
      <c r="B3" s="4" t="s">
        <v>1</v>
      </c>
      <c r="C3" s="4" t="str">
        <f>IFERROR(__xludf.DUMMYFUNCTION("join(""; "", A3:B3)"),"1; Ageberg et al., 2009")</f>
        <v>1; Ageberg et al., 2009</v>
      </c>
      <c r="D3" s="4" t="s">
        <v>414</v>
      </c>
      <c r="E3" s="4">
        <f>IFERROR(__xludf.DUMMYFUNCTION("split(D3,""; "", FALSE)"),2.0)</f>
        <v>2</v>
      </c>
      <c r="F3" s="4" t="str">
        <f>IFERROR(__xludf.DUMMYFUNCTION("""COMPUTED_VALUE"""),"Aglietti et al., 2004")</f>
        <v>Aglietti et al., 2004</v>
      </c>
    </row>
    <row r="4">
      <c r="A4" s="4">
        <v>2.0</v>
      </c>
      <c r="B4" s="4" t="s">
        <v>11</v>
      </c>
      <c r="C4" s="4" t="str">
        <f>IFERROR(__xludf.DUMMYFUNCTION("join(""; "", A4:B4)"),"2; Aglietti et al., 2004")</f>
        <v>2; Aglietti et al., 2004</v>
      </c>
      <c r="D4" s="4" t="s">
        <v>415</v>
      </c>
      <c r="E4" s="4">
        <f>IFERROR(__xludf.DUMMYFUNCTION("split(D4,""; "", FALSE)"),3.0)</f>
        <v>3</v>
      </c>
      <c r="F4" s="4" t="str">
        <f>IFERROR(__xludf.DUMMYFUNCTION("""COMPUTED_VALUE"""),"Ahldén et al., 2009")</f>
        <v>Ahldén et al., 2009</v>
      </c>
    </row>
    <row r="5">
      <c r="A5" s="4">
        <v>2.0</v>
      </c>
      <c r="B5" s="4" t="s">
        <v>11</v>
      </c>
      <c r="C5" s="4" t="str">
        <f>IFERROR(__xludf.DUMMYFUNCTION("join(""; "", A5:B5)"),"2; Aglietti et al., 2004")</f>
        <v>2; Aglietti et al., 2004</v>
      </c>
      <c r="D5" s="4" t="s">
        <v>416</v>
      </c>
      <c r="E5" s="4">
        <f>IFERROR(__xludf.DUMMYFUNCTION("split(D5,""; "", FALSE)"),5.0)</f>
        <v>5</v>
      </c>
      <c r="F5" s="4" t="str">
        <f>IFERROR(__xludf.DUMMYFUNCTION("""COMPUTED_VALUE"""),"Anderson et al., 2001")</f>
        <v>Anderson et al., 2001</v>
      </c>
    </row>
    <row r="6">
      <c r="A6" s="4">
        <v>2.0</v>
      </c>
      <c r="B6" s="4" t="s">
        <v>11</v>
      </c>
      <c r="C6" s="4" t="str">
        <f>IFERROR(__xludf.DUMMYFUNCTION("join(""; "", A6:B6)"),"2; Aglietti et al., 2004")</f>
        <v>2; Aglietti et al., 2004</v>
      </c>
      <c r="D6" s="4" t="s">
        <v>417</v>
      </c>
      <c r="E6" s="4">
        <f>IFERROR(__xludf.DUMMYFUNCTION("split(D6,""; "", FALSE)"),6.0)</f>
        <v>6</v>
      </c>
      <c r="F6" s="4" t="str">
        <f>IFERROR(__xludf.DUMMYFUNCTION("""COMPUTED_VALUE"""),"Anz et al., 2023")</f>
        <v>Anz et al., 2023</v>
      </c>
    </row>
    <row r="7">
      <c r="A7" s="4">
        <v>2.0</v>
      </c>
      <c r="B7" s="4" t="s">
        <v>11</v>
      </c>
      <c r="C7" s="4" t="str">
        <f>IFERROR(__xludf.DUMMYFUNCTION("join(""; "", A7:B7)"),"2; Aglietti et al., 2004")</f>
        <v>2; Aglietti et al., 2004</v>
      </c>
      <c r="D7" s="4" t="s">
        <v>418</v>
      </c>
      <c r="E7" s="4">
        <f>IFERROR(__xludf.DUMMYFUNCTION("split(D7,""; "", FALSE)"),7.0)</f>
        <v>7</v>
      </c>
      <c r="F7" s="4" t="str">
        <f>IFERROR(__xludf.DUMMYFUNCTION("""COMPUTED_VALUE"""),"Aune et al., 2001")</f>
        <v>Aune et al., 2001</v>
      </c>
    </row>
    <row r="8">
      <c r="A8" s="4">
        <v>2.0</v>
      </c>
      <c r="B8" s="4" t="s">
        <v>11</v>
      </c>
      <c r="C8" s="4" t="str">
        <f>IFERROR(__xludf.DUMMYFUNCTION("join(""; "", A8:B8)"),"2; Aglietti et al., 2004")</f>
        <v>2; Aglietti et al., 2004</v>
      </c>
      <c r="D8" s="4" t="s">
        <v>419</v>
      </c>
      <c r="E8" s="4">
        <f>IFERROR(__xludf.DUMMYFUNCTION("split(D8,""; "", FALSE)"),9.0)</f>
        <v>9</v>
      </c>
      <c r="F8" s="4" t="str">
        <f>IFERROR(__xludf.DUMMYFUNCTION("""COMPUTED_VALUE"""),"Barenius et al., 2010")</f>
        <v>Barenius et al., 2010</v>
      </c>
    </row>
    <row r="9">
      <c r="A9" s="4">
        <v>2.0</v>
      </c>
      <c r="B9" s="4" t="s">
        <v>11</v>
      </c>
      <c r="C9" s="4" t="str">
        <f>IFERROR(__xludf.DUMMYFUNCTION("join(""; "", A9:B9)"),"2; Aglietti et al., 2004")</f>
        <v>2; Aglietti et al., 2004</v>
      </c>
      <c r="D9" s="4" t="s">
        <v>420</v>
      </c>
      <c r="E9" s="4">
        <f>IFERROR(__xludf.DUMMYFUNCTION("split(D9,""; "", FALSE)"),10.0)</f>
        <v>10</v>
      </c>
      <c r="F9" s="4" t="str">
        <f>IFERROR(__xludf.DUMMYFUNCTION("""COMPUTED_VALUE"""),"Barié et al., 2020")</f>
        <v>Barié et al., 2020</v>
      </c>
    </row>
    <row r="10">
      <c r="A10" s="4">
        <v>3.0</v>
      </c>
      <c r="B10" s="4" t="s">
        <v>16</v>
      </c>
      <c r="C10" s="4" t="str">
        <f>IFERROR(__xludf.DUMMYFUNCTION("join(""; "", A10:B10)"),"3; Ahldén et al., 2009")</f>
        <v>3; Ahldén et al., 2009</v>
      </c>
      <c r="D10" s="4" t="s">
        <v>421</v>
      </c>
      <c r="E10" s="4">
        <f>IFERROR(__xludf.DUMMYFUNCTION("split(D10,""; "", FALSE)"),11.0)</f>
        <v>11</v>
      </c>
      <c r="F10" s="4" t="str">
        <f>IFERROR(__xludf.DUMMYFUNCTION("""COMPUTED_VALUE"""),"Beynnon et al., 2002")</f>
        <v>Beynnon et al., 2002</v>
      </c>
    </row>
    <row r="11">
      <c r="A11" s="4">
        <v>3.0</v>
      </c>
      <c r="B11" s="4" t="s">
        <v>16</v>
      </c>
      <c r="C11" s="4" t="str">
        <f>IFERROR(__xludf.DUMMYFUNCTION("join(""; "", A11:B11)"),"3; Ahldén et al., 2009")</f>
        <v>3; Ahldén et al., 2009</v>
      </c>
      <c r="D11" s="4" t="s">
        <v>422</v>
      </c>
      <c r="E11" s="4">
        <f>IFERROR(__xludf.DUMMYFUNCTION("split(D11,""; "", FALSE)"),12.0)</f>
        <v>12</v>
      </c>
      <c r="F11" s="4" t="str">
        <f>IFERROR(__xludf.DUMMYFUNCTION("""COMPUTED_VALUE"""),"Bi et al., 2018")</f>
        <v>Bi et al., 2018</v>
      </c>
    </row>
    <row r="12">
      <c r="A12" s="4">
        <v>3.0</v>
      </c>
      <c r="B12" s="4" t="s">
        <v>16</v>
      </c>
      <c r="C12" s="4" t="str">
        <f>IFERROR(__xludf.DUMMYFUNCTION("join(""; "", A12:B12)"),"3; Ahldén et al., 2009")</f>
        <v>3; Ahldén et al., 2009</v>
      </c>
      <c r="D12" s="4" t="s">
        <v>423</v>
      </c>
      <c r="E12" s="4">
        <f>IFERROR(__xludf.DUMMYFUNCTION("split(D12,""; "", FALSE)"),13.0)</f>
        <v>13</v>
      </c>
      <c r="F12" s="4" t="str">
        <f>IFERROR(__xludf.DUMMYFUNCTION("""COMPUTED_VALUE"""),"Björnsson et al., 2016")</f>
        <v>Björnsson et al., 2016</v>
      </c>
    </row>
    <row r="13">
      <c r="A13" s="4">
        <v>3.0</v>
      </c>
      <c r="B13" s="4" t="s">
        <v>16</v>
      </c>
      <c r="C13" s="4" t="str">
        <f>IFERROR(__xludf.DUMMYFUNCTION("join(""; "", A13:B13)"),"3; Ahldén et al., 2009")</f>
        <v>3; Ahldén et al., 2009</v>
      </c>
      <c r="D13" s="4" t="s">
        <v>424</v>
      </c>
      <c r="E13" s="4">
        <f>IFERROR(__xludf.DUMMYFUNCTION("split(D13,""; "", FALSE)"),14.0)</f>
        <v>14</v>
      </c>
      <c r="F13" s="4" t="str">
        <f>IFERROR(__xludf.DUMMYFUNCTION("""COMPUTED_VALUE"""),"Bottoni et al., 2015")</f>
        <v>Bottoni et al., 2015</v>
      </c>
    </row>
    <row r="14">
      <c r="A14" s="4">
        <v>3.0</v>
      </c>
      <c r="B14" s="4" t="s">
        <v>16</v>
      </c>
      <c r="C14" s="4" t="str">
        <f>IFERROR(__xludf.DUMMYFUNCTION("join(""; "", A14:B14)"),"3; Ahldén et al., 2009")</f>
        <v>3; Ahldén et al., 2009</v>
      </c>
      <c r="D14" s="4" t="s">
        <v>425</v>
      </c>
      <c r="E14" s="4">
        <f>IFERROR(__xludf.DUMMYFUNCTION("split(D14,""; "", FALSE)"),18.0)</f>
        <v>18</v>
      </c>
      <c r="F14" s="4" t="str">
        <f>IFERROR(__xludf.DUMMYFUNCTION("""COMPUTED_VALUE"""),"Butt et al., 2024")</f>
        <v>Butt et al., 2024</v>
      </c>
    </row>
    <row r="15">
      <c r="A15" s="4">
        <v>3.0</v>
      </c>
      <c r="B15" s="4" t="s">
        <v>16</v>
      </c>
      <c r="C15" s="4" t="str">
        <f>IFERROR(__xludf.DUMMYFUNCTION("join(""; "", A15:B15)"),"3; Ahldén et al., 2009")</f>
        <v>3; Ahldén et al., 2009</v>
      </c>
      <c r="D15" s="4" t="s">
        <v>426</v>
      </c>
      <c r="E15" s="4">
        <f>IFERROR(__xludf.DUMMYFUNCTION("split(D15,""; "", FALSE)"),19.0)</f>
        <v>19</v>
      </c>
      <c r="F15" s="4" t="str">
        <f>IFERROR(__xludf.DUMMYFUNCTION("""COMPUTED_VALUE"""),"Calvert et al., 2025")</f>
        <v>Calvert et al., 2025</v>
      </c>
    </row>
    <row r="16">
      <c r="A16" s="4">
        <v>5.0</v>
      </c>
      <c r="B16" s="4" t="s">
        <v>22</v>
      </c>
      <c r="C16" s="4" t="str">
        <f>IFERROR(__xludf.DUMMYFUNCTION("join(""; "", A16:B16)"),"5; Anderson et al., 2001")</f>
        <v>5; Anderson et al., 2001</v>
      </c>
      <c r="D16" s="4" t="s">
        <v>427</v>
      </c>
      <c r="E16" s="4">
        <f>IFERROR(__xludf.DUMMYFUNCTION("split(D16,""; "", FALSE)"),23.0)</f>
        <v>23</v>
      </c>
      <c r="F16" s="4" t="str">
        <f>IFERROR(__xludf.DUMMYFUNCTION("""COMPUTED_VALUE"""),"Ejerhed et al., 2003")</f>
        <v>Ejerhed et al., 2003</v>
      </c>
    </row>
    <row r="17">
      <c r="A17" s="4">
        <v>5.0</v>
      </c>
      <c r="B17" s="4" t="s">
        <v>22</v>
      </c>
      <c r="C17" s="4" t="str">
        <f>IFERROR(__xludf.DUMMYFUNCTION("join(""; "", A17:B17)"),"5; Anderson et al., 2001")</f>
        <v>5; Anderson et al., 2001</v>
      </c>
      <c r="D17" s="4" t="s">
        <v>428</v>
      </c>
      <c r="E17" s="4">
        <f>IFERROR(__xludf.DUMMYFUNCTION("split(D17,""; "", FALSE)"),25.0)</f>
        <v>25</v>
      </c>
      <c r="F17" s="4" t="str">
        <f>IFERROR(__xludf.DUMMYFUNCTION("""COMPUTED_VALUE"""),"Eriksson et al., 2001")</f>
        <v>Eriksson et al., 2001</v>
      </c>
    </row>
    <row r="18">
      <c r="A18" s="4">
        <v>5.0</v>
      </c>
      <c r="B18" s="4" t="s">
        <v>22</v>
      </c>
      <c r="C18" s="4" t="str">
        <f>IFERROR(__xludf.DUMMYFUNCTION("join(""; "", A18:B18)"),"5; Anderson et al., 2001")</f>
        <v>5; Anderson et al., 2001</v>
      </c>
      <c r="D18" s="4" t="s">
        <v>429</v>
      </c>
      <c r="E18" s="4">
        <f>IFERROR(__xludf.DUMMYFUNCTION("split(D18,""; "", FALSE)"),26.0)</f>
        <v>26</v>
      </c>
      <c r="F18" s="4" t="str">
        <f>IFERROR(__xludf.DUMMYFUNCTION("""COMPUTED_VALUE"""),"Feller &amp; Webster, 2003")</f>
        <v>Feller &amp; Webster, 2003</v>
      </c>
    </row>
    <row r="19">
      <c r="A19" s="4">
        <v>5.0</v>
      </c>
      <c r="B19" s="4" t="s">
        <v>22</v>
      </c>
      <c r="C19" s="4" t="str">
        <f>IFERROR(__xludf.DUMMYFUNCTION("join(""; "", A19:B19)"),"5; Anderson et al., 2001")</f>
        <v>5; Anderson et al., 2001</v>
      </c>
      <c r="D19" s="4" t="s">
        <v>430</v>
      </c>
      <c r="E19" s="4">
        <f>IFERROR(__xludf.DUMMYFUNCTION("split(D19,""; "", FALSE)"),30.0)</f>
        <v>30</v>
      </c>
      <c r="F19" s="4" t="str">
        <f>IFERROR(__xludf.DUMMYFUNCTION("""COMPUTED_VALUE"""),"Gifstad et al., 2013")</f>
        <v>Gifstad et al., 2013</v>
      </c>
    </row>
    <row r="20">
      <c r="A20" s="4">
        <v>6.0</v>
      </c>
      <c r="B20" s="4" t="s">
        <v>26</v>
      </c>
      <c r="C20" s="4" t="str">
        <f>IFERROR(__xludf.DUMMYFUNCTION("join(""; "", A20:B20)"),"6; Anz et al., 2023")</f>
        <v>6; Anz et al., 2023</v>
      </c>
      <c r="D20" s="4" t="s">
        <v>431</v>
      </c>
      <c r="E20" s="4">
        <f>IFERROR(__xludf.DUMMYFUNCTION("split(D20,""; "", FALSE)"),32.0)</f>
        <v>32</v>
      </c>
      <c r="F20" s="4" t="str">
        <f>IFERROR(__xludf.DUMMYFUNCTION("""COMPUTED_VALUE"""),"Guglielmetti et al., 2021")</f>
        <v>Guglielmetti et al., 2021</v>
      </c>
    </row>
    <row r="21">
      <c r="A21" s="4">
        <v>6.0</v>
      </c>
      <c r="B21" s="4" t="s">
        <v>26</v>
      </c>
      <c r="C21" s="4" t="str">
        <f>IFERROR(__xludf.DUMMYFUNCTION("join(""; "", A21:B21)"),"6; Anz et al., 2023")</f>
        <v>6; Anz et al., 2023</v>
      </c>
      <c r="D21" s="4" t="s">
        <v>432</v>
      </c>
      <c r="E21" s="4">
        <f>IFERROR(__xludf.DUMMYFUNCTION("split(D21,""; "", FALSE)"),33.0)</f>
        <v>33</v>
      </c>
      <c r="F21" s="4" t="str">
        <f>IFERROR(__xludf.DUMMYFUNCTION("""COMPUTED_VALUE"""),"Harilainen et al., 2006")</f>
        <v>Harilainen et al., 2006</v>
      </c>
    </row>
    <row r="22">
      <c r="A22" s="4">
        <v>7.0</v>
      </c>
      <c r="B22" s="4" t="s">
        <v>30</v>
      </c>
      <c r="C22" s="4" t="str">
        <f>IFERROR(__xludf.DUMMYFUNCTION("join(""; "", A22:B22)"),"7; Aune et al., 2001")</f>
        <v>7; Aune et al., 2001</v>
      </c>
      <c r="D22" s="4" t="s">
        <v>433</v>
      </c>
      <c r="E22" s="4">
        <f>IFERROR(__xludf.DUMMYFUNCTION("split(D22,""; "", FALSE)"),34.0)</f>
        <v>34</v>
      </c>
      <c r="F22" s="4" t="str">
        <f>IFERROR(__xludf.DUMMYFUNCTION("""COMPUTED_VALUE"""),"Heijne &amp; Werner, 2010")</f>
        <v>Heijne &amp; Werner, 2010</v>
      </c>
    </row>
    <row r="23">
      <c r="A23" s="4">
        <v>7.0</v>
      </c>
      <c r="B23" s="4" t="s">
        <v>30</v>
      </c>
      <c r="C23" s="4" t="str">
        <f>IFERROR(__xludf.DUMMYFUNCTION("join(""; "", A23:B23)"),"7; Aune et al., 2001")</f>
        <v>7; Aune et al., 2001</v>
      </c>
      <c r="D23" s="4" t="s">
        <v>434</v>
      </c>
      <c r="E23" s="4">
        <f>IFERROR(__xludf.DUMMYFUNCTION("split(D23,""; "", FALSE)"),35.0)</f>
        <v>35</v>
      </c>
      <c r="F23" s="4" t="str">
        <f>IFERROR(__xludf.DUMMYFUNCTION("""COMPUTED_VALUE"""),"Holm et al., 2010")</f>
        <v>Holm et al., 2010</v>
      </c>
    </row>
    <row r="24">
      <c r="A24" s="4">
        <v>9.0</v>
      </c>
      <c r="B24" s="4" t="s">
        <v>32</v>
      </c>
      <c r="C24" s="4" t="str">
        <f>IFERROR(__xludf.DUMMYFUNCTION("join(""; "", A24:B24)"),"9; Barenius et al., 2010")</f>
        <v>9; Barenius et al., 2010</v>
      </c>
      <c r="D24" s="4" t="s">
        <v>435</v>
      </c>
      <c r="E24" s="4">
        <f>IFERROR(__xludf.DUMMYFUNCTION("split(D24,""; "", FALSE)"),36.0)</f>
        <v>36</v>
      </c>
      <c r="F24" s="4" t="str">
        <f>IFERROR(__xludf.DUMMYFUNCTION("""COMPUTED_VALUE"""),"Horstmann et al., 2022")</f>
        <v>Horstmann et al., 2022</v>
      </c>
    </row>
    <row r="25">
      <c r="A25" s="4">
        <v>9.0</v>
      </c>
      <c r="B25" s="4" t="s">
        <v>32</v>
      </c>
      <c r="C25" s="4" t="str">
        <f>IFERROR(__xludf.DUMMYFUNCTION("join(""; "", A25:B25)"),"9; Barenius et al., 2010")</f>
        <v>9; Barenius et al., 2010</v>
      </c>
      <c r="D25" s="4" t="s">
        <v>436</v>
      </c>
      <c r="E25" s="4">
        <f>IFERROR(__xludf.DUMMYFUNCTION("split(D25,""; "", FALSE)"),37.0)</f>
        <v>37</v>
      </c>
      <c r="F25" s="4" t="str">
        <f>IFERROR(__xludf.DUMMYFUNCTION("""COMPUTED_VALUE"""),"Ibrahim et al., 2005")</f>
        <v>Ibrahim et al., 2005</v>
      </c>
    </row>
    <row r="26">
      <c r="A26" s="4">
        <v>9.0</v>
      </c>
      <c r="B26" s="4" t="s">
        <v>32</v>
      </c>
      <c r="C26" s="4" t="str">
        <f>IFERROR(__xludf.DUMMYFUNCTION("join(""; "", A26:B26)"),"9; Barenius et al., 2010")</f>
        <v>9; Barenius et al., 2010</v>
      </c>
      <c r="D26" s="4" t="s">
        <v>437</v>
      </c>
      <c r="E26" s="4">
        <f>IFERROR(__xludf.DUMMYFUNCTION("split(D26,""; "", FALSE)"),38.0)</f>
        <v>38</v>
      </c>
      <c r="F26" s="4" t="str">
        <f>IFERROR(__xludf.DUMMYFUNCTION("""COMPUTED_VALUE"""),"Iliopoulos et al., 2017")</f>
        <v>Iliopoulos et al., 2017</v>
      </c>
    </row>
    <row r="27">
      <c r="A27" s="4">
        <v>9.0</v>
      </c>
      <c r="B27" s="4" t="s">
        <v>32</v>
      </c>
      <c r="C27" s="4" t="str">
        <f>IFERROR(__xludf.DUMMYFUNCTION("join(""; "", A27:B27)"),"9; Barenius et al., 2010")</f>
        <v>9; Barenius et al., 2010</v>
      </c>
      <c r="D27" s="4" t="s">
        <v>438</v>
      </c>
      <c r="E27" s="4">
        <f>IFERROR(__xludf.DUMMYFUNCTION("split(D27,""; "", FALSE)"),41.0)</f>
        <v>41</v>
      </c>
      <c r="F27" s="4" t="str">
        <f>IFERROR(__xludf.DUMMYFUNCTION("""COMPUTED_VALUE"""),"Jansson et al., 2003")</f>
        <v>Jansson et al., 2003</v>
      </c>
    </row>
    <row r="28">
      <c r="A28" s="4">
        <v>10.0</v>
      </c>
      <c r="B28" s="4" t="s">
        <v>35</v>
      </c>
      <c r="C28" s="4" t="str">
        <f>IFERROR(__xludf.DUMMYFUNCTION("join(""; "", A28:B28)"),"10; Barié et al., 2020")</f>
        <v>10; Barié et al., 2020</v>
      </c>
      <c r="D28" s="4" t="s">
        <v>439</v>
      </c>
      <c r="E28" s="4">
        <f>IFERROR(__xludf.DUMMYFUNCTION("split(D28,""; "", FALSE)"),43.0)</f>
        <v>43</v>
      </c>
      <c r="F28" s="4" t="str">
        <f>IFERROR(__xludf.DUMMYFUNCTION("""COMPUTED_VALUE"""),"Kautzner et al., 2015")</f>
        <v>Kautzner et al., 2015</v>
      </c>
    </row>
    <row r="29">
      <c r="A29" s="4">
        <v>10.0</v>
      </c>
      <c r="B29" s="4" t="s">
        <v>35</v>
      </c>
      <c r="C29" s="4" t="str">
        <f>IFERROR(__xludf.DUMMYFUNCTION("join(""; "", A29:B29)"),"10; Barié et al., 2020")</f>
        <v>10; Barié et al., 2020</v>
      </c>
      <c r="D29" s="4" t="s">
        <v>440</v>
      </c>
      <c r="E29" s="4">
        <f>IFERROR(__xludf.DUMMYFUNCTION("split(D29,""; "", FALSE)"),44.0)</f>
        <v>44</v>
      </c>
      <c r="F29" s="4" t="str">
        <f>IFERROR(__xludf.DUMMYFUNCTION("""COMPUTED_VALUE"""),"Komzak et al., 2022")</f>
        <v>Komzak et al., 2022</v>
      </c>
    </row>
    <row r="30">
      <c r="A30" s="4">
        <v>10.0</v>
      </c>
      <c r="B30" s="4" t="s">
        <v>35</v>
      </c>
      <c r="C30" s="4" t="str">
        <f>IFERROR(__xludf.DUMMYFUNCTION("join(""; "", A30:B30)"),"10; Barié et al., 2020")</f>
        <v>10; Barié et al., 2020</v>
      </c>
      <c r="D30" s="4" t="s">
        <v>441</v>
      </c>
      <c r="E30" s="4">
        <f>IFERROR(__xludf.DUMMYFUNCTION("split(D30,""; "", FALSE)"),45.0)</f>
        <v>45</v>
      </c>
      <c r="F30" s="4" t="str">
        <f>IFERROR(__xludf.DUMMYFUNCTION("""COMPUTED_VALUE"""),"Konrads et al., 2016")</f>
        <v>Konrads et al., 2016</v>
      </c>
    </row>
    <row r="31">
      <c r="A31" s="4">
        <v>10.0</v>
      </c>
      <c r="B31" s="4" t="s">
        <v>35</v>
      </c>
      <c r="C31" s="4" t="str">
        <f>IFERROR(__xludf.DUMMYFUNCTION("join(""; "", A31:B31)"),"10; Barié et al., 2020")</f>
        <v>10; Barié et al., 2020</v>
      </c>
      <c r="D31" s="4" t="s">
        <v>442</v>
      </c>
      <c r="E31" s="4">
        <f>IFERROR(__xludf.DUMMYFUNCTION("split(D31,""; "", FALSE)"),46.0)</f>
        <v>46</v>
      </c>
      <c r="F31" s="4" t="str">
        <f>IFERROR(__xludf.DUMMYFUNCTION("""COMPUTED_VALUE"""),"Laoruengthana et al., 2009")</f>
        <v>Laoruengthana et al., 2009</v>
      </c>
    </row>
    <row r="32">
      <c r="A32" s="4">
        <v>10.0</v>
      </c>
      <c r="B32" s="4" t="s">
        <v>35</v>
      </c>
      <c r="C32" s="4" t="str">
        <f>IFERROR(__xludf.DUMMYFUNCTION("join(""; "", A32:B32)"),"10; Barié et al., 2020")</f>
        <v>10; Barié et al., 2020</v>
      </c>
      <c r="D32" s="4" t="s">
        <v>443</v>
      </c>
      <c r="E32" s="4">
        <f>IFERROR(__xludf.DUMMYFUNCTION("split(D32,""; "", FALSE)"),47.0)</f>
        <v>47</v>
      </c>
      <c r="F32" s="4" t="str">
        <f>IFERROR(__xludf.DUMMYFUNCTION("""COMPUTED_VALUE"""),"Lawhorn et al., 2012")</f>
        <v>Lawhorn et al., 2012</v>
      </c>
    </row>
    <row r="33">
      <c r="A33" s="4">
        <v>10.0</v>
      </c>
      <c r="B33" s="4" t="s">
        <v>35</v>
      </c>
      <c r="C33" s="4" t="str">
        <f>IFERROR(__xludf.DUMMYFUNCTION("join(""; "", A33:B33)"),"10; Barié et al., 2020")</f>
        <v>10; Barié et al., 2020</v>
      </c>
      <c r="D33" s="4" t="s">
        <v>444</v>
      </c>
      <c r="E33" s="4">
        <f>IFERROR(__xludf.DUMMYFUNCTION("split(D33,""; "", FALSE)"),49.0)</f>
        <v>49</v>
      </c>
      <c r="F33" s="4" t="str">
        <f>IFERROR(__xludf.DUMMYFUNCTION("""COMPUTED_VALUE"""),"Laxdal et al., 2005")</f>
        <v>Laxdal et al., 2005</v>
      </c>
    </row>
    <row r="34">
      <c r="A34" s="4">
        <v>10.0</v>
      </c>
      <c r="B34" s="4" t="s">
        <v>35</v>
      </c>
      <c r="C34" s="4" t="str">
        <f>IFERROR(__xludf.DUMMYFUNCTION("join(""; "", A34:B34)"),"10; Barié et al., 2020")</f>
        <v>10; Barié et al., 2020</v>
      </c>
      <c r="D34" s="4" t="s">
        <v>445</v>
      </c>
      <c r="E34" s="4">
        <f>IFERROR(__xludf.DUMMYFUNCTION("split(D34,""; "", FALSE)"),51.0)</f>
        <v>51</v>
      </c>
      <c r="F34" s="4" t="str">
        <f>IFERROR(__xludf.DUMMYFUNCTION("""COMPUTED_VALUE"""),"Li et al., 2015")</f>
        <v>Li et al., 2015</v>
      </c>
    </row>
    <row r="35">
      <c r="A35" s="4">
        <v>10.0</v>
      </c>
      <c r="B35" s="4" t="s">
        <v>35</v>
      </c>
      <c r="C35" s="4" t="str">
        <f>IFERROR(__xludf.DUMMYFUNCTION("join(""; "", A35:B35)"),"10; Barié et al., 2020")</f>
        <v>10; Barié et al., 2020</v>
      </c>
      <c r="D35" s="4" t="s">
        <v>446</v>
      </c>
      <c r="E35" s="4">
        <f>IFERROR(__xludf.DUMMYFUNCTION("split(D35,""; "", FALSE)"),52.0)</f>
        <v>52</v>
      </c>
      <c r="F35" s="4" t="str">
        <f>IFERROR(__xludf.DUMMYFUNCTION("""COMPUTED_VALUE"""),"Lidén et al., 2007")</f>
        <v>Lidén et al., 2007</v>
      </c>
    </row>
    <row r="36">
      <c r="A36" s="4">
        <v>11.0</v>
      </c>
      <c r="B36" s="4" t="s">
        <v>37</v>
      </c>
      <c r="C36" s="4" t="str">
        <f>IFERROR(__xludf.DUMMYFUNCTION("join(""; "", A36:B36)"),"11; Beynnon et al., 2002")</f>
        <v>11; Beynnon et al., 2002</v>
      </c>
      <c r="D36" s="4" t="s">
        <v>447</v>
      </c>
      <c r="E36" s="4">
        <f>IFERROR(__xludf.DUMMYFUNCTION("split(D36,""; "", FALSE)"),53.0)</f>
        <v>53</v>
      </c>
      <c r="F36" s="4" t="str">
        <f>IFERROR(__xludf.DUMMYFUNCTION("""COMPUTED_VALUE"""),"Lind et al., 2020")</f>
        <v>Lind et al., 2020</v>
      </c>
    </row>
    <row r="37">
      <c r="A37" s="4">
        <v>11.0</v>
      </c>
      <c r="B37" s="4" t="s">
        <v>37</v>
      </c>
      <c r="C37" s="4" t="str">
        <f>IFERROR(__xludf.DUMMYFUNCTION("join(""; "", A37:B37)"),"11; Beynnon et al., 2002")</f>
        <v>11; Beynnon et al., 2002</v>
      </c>
      <c r="D37" s="4" t="s">
        <v>448</v>
      </c>
      <c r="E37" s="4">
        <f>IFERROR(__xludf.DUMMYFUNCTION("split(D37,""; "", FALSE)"),54.0)</f>
        <v>54</v>
      </c>
      <c r="F37" s="4" t="str">
        <f>IFERROR(__xludf.DUMMYFUNCTION("""COMPUTED_VALUE"""),"Lucidi et al., 2025")</f>
        <v>Lucidi et al., 2025</v>
      </c>
    </row>
    <row r="38">
      <c r="A38" s="4">
        <v>11.0</v>
      </c>
      <c r="B38" s="4" t="s">
        <v>37</v>
      </c>
      <c r="C38" s="4" t="str">
        <f>IFERROR(__xludf.DUMMYFUNCTION("join(""; "", A38:B38)"),"11; Beynnon et al., 2002")</f>
        <v>11; Beynnon et al., 2002</v>
      </c>
      <c r="D38" s="4" t="s">
        <v>449</v>
      </c>
      <c r="E38" s="4">
        <f>IFERROR(__xludf.DUMMYFUNCTION("split(D38,""; "", FALSE)"),55.0)</f>
        <v>55</v>
      </c>
      <c r="F38" s="4" t="str">
        <f>IFERROR(__xludf.DUMMYFUNCTION("""COMPUTED_VALUE"""),"Lui et al., 2012")</f>
        <v>Lui et al., 2012</v>
      </c>
    </row>
    <row r="39">
      <c r="A39" s="4">
        <v>11.0</v>
      </c>
      <c r="B39" s="4" t="s">
        <v>37</v>
      </c>
      <c r="C39" s="4" t="str">
        <f>IFERROR(__xludf.DUMMYFUNCTION("join(""; "", A39:B39)"),"11; Beynnon et al., 2002")</f>
        <v>11; Beynnon et al., 2002</v>
      </c>
      <c r="D39" s="4" t="s">
        <v>450</v>
      </c>
      <c r="E39" s="4">
        <f>IFERROR(__xludf.DUMMYFUNCTION("split(D39,""; "", FALSE)"),56.0)</f>
        <v>56</v>
      </c>
      <c r="F39" s="4" t="str">
        <f>IFERROR(__xludf.DUMMYFUNCTION("""COMPUTED_VALUE"""),"Lund et al., 2014")</f>
        <v>Lund et al., 2014</v>
      </c>
    </row>
    <row r="40">
      <c r="A40" s="4">
        <v>12.0</v>
      </c>
      <c r="B40" s="4" t="s">
        <v>39</v>
      </c>
      <c r="C40" s="4" t="str">
        <f>IFERROR(__xludf.DUMMYFUNCTION("join(""; "", A40:B40)"),"12; Bi et al., 2018")</f>
        <v>12; Bi et al., 2018</v>
      </c>
      <c r="D40" s="4" t="s">
        <v>451</v>
      </c>
      <c r="E40" s="4">
        <f>IFERROR(__xludf.DUMMYFUNCTION("split(D40,""; "", FALSE)"),58.0)</f>
        <v>58</v>
      </c>
      <c r="F40" s="4" t="str">
        <f>IFERROR(__xludf.DUMMYFUNCTION("""COMPUTED_VALUE"""),"Malik et al., 2026")</f>
        <v>Malik et al., 2026</v>
      </c>
    </row>
    <row r="41">
      <c r="A41" s="4">
        <v>12.0</v>
      </c>
      <c r="B41" s="4" t="s">
        <v>39</v>
      </c>
      <c r="C41" s="4" t="str">
        <f>IFERROR(__xludf.DUMMYFUNCTION("join(""; "", A41:B41)"),"12; Bi et al., 2018")</f>
        <v>12; Bi et al., 2018</v>
      </c>
      <c r="D41" s="4" t="s">
        <v>452</v>
      </c>
      <c r="E41" s="4">
        <f>IFERROR(__xludf.DUMMYFUNCTION("split(D41,""; "", FALSE)"),62.0)</f>
        <v>62</v>
      </c>
      <c r="F41" s="4" t="str">
        <f>IFERROR(__xludf.DUMMYFUNCTION("""COMPUTED_VALUE"""),"Matsumoto et al., 2006")</f>
        <v>Matsumoto et al., 2006</v>
      </c>
    </row>
    <row r="42">
      <c r="A42" s="4">
        <v>12.0</v>
      </c>
      <c r="B42" s="4" t="s">
        <v>39</v>
      </c>
      <c r="C42" s="4" t="str">
        <f>IFERROR(__xludf.DUMMYFUNCTION("join(""; "", A42:B42)"),"12; Bi et al., 2018")</f>
        <v>12; Bi et al., 2018</v>
      </c>
      <c r="D42" s="4" t="s">
        <v>453</v>
      </c>
      <c r="E42" s="4">
        <f>IFERROR(__xludf.DUMMYFUNCTION("split(D42,""; "", FALSE)"),66.0)</f>
        <v>66</v>
      </c>
      <c r="F42" s="4" t="str">
        <f>IFERROR(__xludf.DUMMYFUNCTION("""COMPUTED_VALUE"""),"Mohtadi et al., 2016")</f>
        <v>Mohtadi et al., 2016</v>
      </c>
    </row>
    <row r="43">
      <c r="A43" s="4">
        <v>12.0</v>
      </c>
      <c r="B43" s="4" t="s">
        <v>39</v>
      </c>
      <c r="C43" s="4" t="str">
        <f>IFERROR(__xludf.DUMMYFUNCTION("join(""; "", A43:B43)"),"12; Bi et al., 2018")</f>
        <v>12; Bi et al., 2018</v>
      </c>
      <c r="D43" s="4" t="s">
        <v>454</v>
      </c>
      <c r="E43" s="4">
        <f>IFERROR(__xludf.DUMMYFUNCTION("split(D43,""; "", FALSE)"),68.0)</f>
        <v>68</v>
      </c>
      <c r="F43" s="4" t="str">
        <f>IFERROR(__xludf.DUMMYFUNCTION("""COMPUTED_VALUE"""),"Moraiti et al., 2010")</f>
        <v>Moraiti et al., 2010</v>
      </c>
    </row>
    <row r="44">
      <c r="A44" s="4">
        <v>12.0</v>
      </c>
      <c r="B44" s="4" t="s">
        <v>39</v>
      </c>
      <c r="C44" s="4" t="str">
        <f>IFERROR(__xludf.DUMMYFUNCTION("join(""; "", A44:B44)"),"12; Bi et al., 2018")</f>
        <v>12; Bi et al., 2018</v>
      </c>
      <c r="D44" s="4" t="s">
        <v>455</v>
      </c>
      <c r="E44" s="4">
        <f>IFERROR(__xludf.DUMMYFUNCTION("split(D44,""; "", FALSE)"),70.0)</f>
        <v>70</v>
      </c>
      <c r="F44" s="4" t="str">
        <f>IFERROR(__xludf.DUMMYFUNCTION("""COMPUTED_VALUE"""),"Noh et al., 2011")</f>
        <v>Noh et al., 2011</v>
      </c>
    </row>
    <row r="45">
      <c r="A45" s="4">
        <v>12.0</v>
      </c>
      <c r="B45" s="4" t="s">
        <v>39</v>
      </c>
      <c r="C45" s="4" t="str">
        <f>IFERROR(__xludf.DUMMYFUNCTION("join(""; "", A45:B45)"),"12; Bi et al., 2018")</f>
        <v>12; Bi et al., 2018</v>
      </c>
      <c r="D45" s="4" t="s">
        <v>456</v>
      </c>
      <c r="E45" s="4">
        <f>IFERROR(__xludf.DUMMYFUNCTION("split(D45,""; "", FALSE)"),73.0)</f>
        <v>73</v>
      </c>
      <c r="F45" s="4" t="str">
        <f>IFERROR(__xludf.DUMMYFUNCTION("""COMPUTED_VALUE"""),"Papalia et al., 2015")</f>
        <v>Papalia et al., 2015</v>
      </c>
    </row>
    <row r="46">
      <c r="A46" s="3">
        <v>13.0</v>
      </c>
      <c r="B46" s="4" t="s">
        <v>43</v>
      </c>
      <c r="C46" s="4" t="str">
        <f>IFERROR(__xludf.DUMMYFUNCTION("join(""; "", A46:B46)"),"13; Björnsson et al., 2016")</f>
        <v>13; Björnsson et al., 2016</v>
      </c>
      <c r="D46" s="4" t="s">
        <v>457</v>
      </c>
      <c r="E46" s="4">
        <f>IFERROR(__xludf.DUMMYFUNCTION("split(D46,""; "", FALSE)"),76.0)</f>
        <v>76</v>
      </c>
      <c r="F46" s="4" t="str">
        <f>IFERROR(__xludf.DUMMYFUNCTION("""COMPUTED_VALUE"""),"Pinczewski et al., 2007")</f>
        <v>Pinczewski et al., 2007</v>
      </c>
    </row>
    <row r="47">
      <c r="A47" s="3">
        <v>13.0</v>
      </c>
      <c r="B47" s="4" t="s">
        <v>43</v>
      </c>
      <c r="C47" s="4" t="str">
        <f>IFERROR(__xludf.DUMMYFUNCTION("join(""; "", A47:B47)"),"13; Björnsson et al., 2016")</f>
        <v>13; Björnsson et al., 2016</v>
      </c>
      <c r="D47" s="4" t="s">
        <v>458</v>
      </c>
      <c r="E47" s="4">
        <f>IFERROR(__xludf.DUMMYFUNCTION("split(D47,""; "", FALSE)"),77.0)</f>
        <v>77</v>
      </c>
      <c r="F47" s="4" t="str">
        <f>IFERROR(__xludf.DUMMYFUNCTION("""COMPUTED_VALUE"""),"Popovic et al., 2024")</f>
        <v>Popovic et al., 2024</v>
      </c>
    </row>
    <row r="48">
      <c r="A48" s="4">
        <v>13.0</v>
      </c>
      <c r="B48" s="4" t="s">
        <v>43</v>
      </c>
      <c r="C48" s="4" t="str">
        <f>IFERROR(__xludf.DUMMYFUNCTION("join(""; "", A48:B48)"),"13; Björnsson et al., 2016")</f>
        <v>13; Björnsson et al., 2016</v>
      </c>
      <c r="D48" s="4" t="s">
        <v>459</v>
      </c>
      <c r="E48" s="4">
        <f>IFERROR(__xludf.DUMMYFUNCTION("split(D48,""; "", FALSE)"),82.0)</f>
        <v>82</v>
      </c>
      <c r="F48" s="4" t="str">
        <f>IFERROR(__xludf.DUMMYFUNCTION("""COMPUTED_VALUE"""),"Sajovic et al., 2018")</f>
        <v>Sajovic et al., 2018</v>
      </c>
    </row>
    <row r="49">
      <c r="A49" s="4">
        <v>13.0</v>
      </c>
      <c r="B49" s="4" t="s">
        <v>43</v>
      </c>
      <c r="C49" s="4" t="str">
        <f>IFERROR(__xludf.DUMMYFUNCTION("join(""; "", A49:B49)"),"13; Björnsson et al., 2016")</f>
        <v>13; Björnsson et al., 2016</v>
      </c>
      <c r="D49" s="4" t="s">
        <v>460</v>
      </c>
      <c r="E49" s="4">
        <f>IFERROR(__xludf.DUMMYFUNCTION("split(D49,""; "", FALSE)"),84.0)</f>
        <v>84</v>
      </c>
      <c r="F49" s="4" t="str">
        <f>IFERROR(__xludf.DUMMYFUNCTION("""COMPUTED_VALUE"""),"Sinding et al., 2020")</f>
        <v>Sinding et al., 2020</v>
      </c>
    </row>
    <row r="50">
      <c r="A50" s="4">
        <v>13.0</v>
      </c>
      <c r="B50" s="4" t="s">
        <v>43</v>
      </c>
      <c r="C50" s="4" t="str">
        <f>IFERROR(__xludf.DUMMYFUNCTION("join(""; "", A50:B50)"),"13; Björnsson et al., 2016")</f>
        <v>13; Björnsson et al., 2016</v>
      </c>
      <c r="D50" s="4" t="s">
        <v>461</v>
      </c>
      <c r="E50" s="4">
        <f>IFERROR(__xludf.DUMMYFUNCTION("split(D50,""; "", FALSE)"),85.0)</f>
        <v>85</v>
      </c>
      <c r="F50" s="4" t="str">
        <f>IFERROR(__xludf.DUMMYFUNCTION("""COMPUTED_VALUE"""),"Smith et al., 2020")</f>
        <v>Smith et al., 2020</v>
      </c>
    </row>
    <row r="51">
      <c r="A51" s="3">
        <v>13.0</v>
      </c>
      <c r="B51" s="4" t="s">
        <v>43</v>
      </c>
      <c r="C51" s="4" t="str">
        <f>IFERROR(__xludf.DUMMYFUNCTION("join(""; "", A51:B51)"),"13; Björnsson et al., 2016")</f>
        <v>13; Björnsson et al., 2016</v>
      </c>
      <c r="D51" s="4" t="s">
        <v>462</v>
      </c>
      <c r="E51" s="4">
        <f>IFERROR(__xludf.DUMMYFUNCTION("split(D51,""; "", FALSE)"),87.0)</f>
        <v>87</v>
      </c>
      <c r="F51" s="4" t="str">
        <f>IFERROR(__xludf.DUMMYFUNCTION("""COMPUTED_VALUE"""),"Sonnery-cottet et al., 2026")</f>
        <v>Sonnery-cottet et al., 2026</v>
      </c>
    </row>
    <row r="52">
      <c r="A52" s="3">
        <v>13.0</v>
      </c>
      <c r="B52" s="4" t="s">
        <v>43</v>
      </c>
      <c r="C52" s="4" t="str">
        <f>IFERROR(__xludf.DUMMYFUNCTION("join(""; "", A52:B52)"),"13; Björnsson et al., 2016")</f>
        <v>13; Björnsson et al., 2016</v>
      </c>
      <c r="D52" s="4" t="s">
        <v>463</v>
      </c>
      <c r="E52" s="4">
        <f>IFERROR(__xludf.DUMMYFUNCTION("split(D52,""; "", FALSE)"),89.0)</f>
        <v>89</v>
      </c>
      <c r="F52" s="4" t="str">
        <f>IFERROR(__xludf.DUMMYFUNCTION("""COMPUTED_VALUE"""),"Tang et al., 2023")</f>
        <v>Tang et al., 2023</v>
      </c>
    </row>
    <row r="53">
      <c r="A53" s="4">
        <v>13.0</v>
      </c>
      <c r="B53" s="4" t="s">
        <v>43</v>
      </c>
      <c r="C53" s="4" t="str">
        <f>IFERROR(__xludf.DUMMYFUNCTION("join(""; "", A53:B53)"),"13; Björnsson et al., 2016")</f>
        <v>13; Björnsson et al., 2016</v>
      </c>
      <c r="D53" s="4" t="s">
        <v>464</v>
      </c>
      <c r="E53" s="4">
        <f>IFERROR(__xludf.DUMMYFUNCTION("split(D53,""; "", FALSE)"),90.0)</f>
        <v>90</v>
      </c>
      <c r="F53" s="4" t="str">
        <f>IFERROR(__xludf.DUMMYFUNCTION("""COMPUTED_VALUE"""),"Taylor et al., 2009")</f>
        <v>Taylor et al., 2009</v>
      </c>
    </row>
    <row r="54">
      <c r="A54" s="4">
        <v>13.0</v>
      </c>
      <c r="B54" s="4" t="s">
        <v>43</v>
      </c>
      <c r="C54" s="4" t="str">
        <f>IFERROR(__xludf.DUMMYFUNCTION("join(""; "", A54:B54)"),"13; Björnsson et al., 2016")</f>
        <v>13; Björnsson et al., 2016</v>
      </c>
      <c r="D54" s="4" t="s">
        <v>465</v>
      </c>
      <c r="E54" s="4">
        <f>IFERROR(__xludf.DUMMYFUNCTION("split(D54,""; "", FALSE)"),93.0)</f>
        <v>93</v>
      </c>
      <c r="F54" s="4" t="str">
        <f>IFERROR(__xludf.DUMMYFUNCTION("""COMPUTED_VALUE"""),"Vilchez-cavazos et al., 2020")</f>
        <v>Vilchez-cavazos et al., 2020</v>
      </c>
    </row>
    <row r="55">
      <c r="A55" s="4">
        <v>13.0</v>
      </c>
      <c r="B55" s="4" t="s">
        <v>43</v>
      </c>
      <c r="C55" s="4" t="str">
        <f>IFERROR(__xludf.DUMMYFUNCTION("join(""; "", A55:B55)"),"13; Björnsson et al., 2016")</f>
        <v>13; Björnsson et al., 2016</v>
      </c>
      <c r="D55" s="4" t="s">
        <v>466</v>
      </c>
      <c r="E55" s="4">
        <f>IFERROR(__xludf.DUMMYFUNCTION("split(D55,""; "", FALSE)"),95.0)</f>
        <v>95</v>
      </c>
      <c r="F55" s="4" t="str">
        <f>IFERROR(__xludf.DUMMYFUNCTION("""COMPUTED_VALUE"""),"Webster et al., 2001")</f>
        <v>Webster et al., 2001</v>
      </c>
    </row>
    <row r="56">
      <c r="A56" s="4">
        <v>14.0</v>
      </c>
      <c r="B56" s="4" t="s">
        <v>45</v>
      </c>
      <c r="C56" s="4" t="str">
        <f>IFERROR(__xludf.DUMMYFUNCTION("join(""; "", A56:B56)"),"14; Bottoni et al., 2015")</f>
        <v>14; Bottoni et al., 2015</v>
      </c>
      <c r="D56" s="4" t="s">
        <v>467</v>
      </c>
      <c r="E56" s="4">
        <f>IFERROR(__xludf.DUMMYFUNCTION("split(D56,""; "", FALSE)"),96.0)</f>
        <v>96</v>
      </c>
      <c r="F56" s="4" t="str">
        <f>IFERROR(__xludf.DUMMYFUNCTION("""COMPUTED_VALUE"""),"Wipfler et al., 2011")</f>
        <v>Wipfler et al., 2011</v>
      </c>
    </row>
    <row r="57">
      <c r="A57" s="4">
        <v>14.0</v>
      </c>
      <c r="B57" s="4" t="s">
        <v>45</v>
      </c>
      <c r="C57" s="4" t="str">
        <f>IFERROR(__xludf.DUMMYFUNCTION("join(""; "", A57:B57)"),"14; Bottoni et al., 2015")</f>
        <v>14; Bottoni et al., 2015</v>
      </c>
      <c r="D57" s="4" t="s">
        <v>468</v>
      </c>
      <c r="E57" s="4">
        <f>IFERROR(__xludf.DUMMYFUNCTION("split(D57,""; "", FALSE)"),97.0)</f>
        <v>97</v>
      </c>
      <c r="F57" s="4" t="str">
        <f>IFERROR(__xludf.DUMMYFUNCTION("""COMPUTED_VALUE"""),"Yadav et al., 2025")</f>
        <v>Yadav et al., 2025</v>
      </c>
    </row>
    <row r="58">
      <c r="A58" s="4">
        <v>14.0</v>
      </c>
      <c r="B58" s="4" t="s">
        <v>45</v>
      </c>
      <c r="C58" s="4" t="str">
        <f>IFERROR(__xludf.DUMMYFUNCTION("join(""; "", A58:B58)"),"14; Bottoni et al., 2015")</f>
        <v>14; Bottoni et al., 2015</v>
      </c>
      <c r="D58" s="4" t="s">
        <v>469</v>
      </c>
      <c r="E58" s="4">
        <f>IFERROR(__xludf.DUMMYFUNCTION("split(D58,""; "", FALSE)"),98.0)</f>
        <v>98</v>
      </c>
      <c r="F58" s="4" t="str">
        <f>IFERROR(__xludf.DUMMYFUNCTION("""COMPUTED_VALUE"""),"Yoo et al., 2017")</f>
        <v>Yoo et al., 2017</v>
      </c>
    </row>
    <row r="59">
      <c r="A59" s="4">
        <v>14.0</v>
      </c>
      <c r="B59" s="4" t="s">
        <v>45</v>
      </c>
      <c r="C59" s="4" t="str">
        <f>IFERROR(__xludf.DUMMYFUNCTION("join(""; "", A59:B59)"),"14; Bottoni et al., 2015")</f>
        <v>14; Bottoni et al., 2015</v>
      </c>
      <c r="D59" s="4" t="s">
        <v>470</v>
      </c>
      <c r="E59" s="4">
        <f>IFERROR(__xludf.DUMMYFUNCTION("split(D59,""; "", FALSE)"),100.0)</f>
        <v>100</v>
      </c>
      <c r="F59" s="4" t="str">
        <f>IFERROR(__xludf.DUMMYFUNCTION("""COMPUTED_VALUE"""),"Zaffagnini et al., 2011")</f>
        <v>Zaffagnini et al., 2011</v>
      </c>
    </row>
    <row r="60">
      <c r="A60" s="4">
        <v>18.0</v>
      </c>
      <c r="B60" s="4" t="s">
        <v>47</v>
      </c>
      <c r="C60" s="4" t="str">
        <f>IFERROR(__xludf.DUMMYFUNCTION("join(""; "", A60:B60)"),"18; Butt et al., 2024")</f>
        <v>18; Butt et al., 2024</v>
      </c>
    </row>
    <row r="61">
      <c r="A61" s="4">
        <v>18.0</v>
      </c>
      <c r="B61" s="4" t="s">
        <v>47</v>
      </c>
      <c r="C61" s="4" t="str">
        <f>IFERROR(__xludf.DUMMYFUNCTION("join(""; "", A61:B61)"),"18; Butt et al., 2024")</f>
        <v>18; Butt et al., 2024</v>
      </c>
    </row>
    <row r="62">
      <c r="A62" s="4">
        <v>18.0</v>
      </c>
      <c r="B62" s="4" t="s">
        <v>47</v>
      </c>
      <c r="C62" s="4" t="str">
        <f>IFERROR(__xludf.DUMMYFUNCTION("join(""; "", A62:B62)"),"18; Butt et al., 2024")</f>
        <v>18; Butt et al., 2024</v>
      </c>
    </row>
    <row r="63">
      <c r="A63" s="4">
        <v>18.0</v>
      </c>
      <c r="B63" s="4" t="s">
        <v>47</v>
      </c>
      <c r="C63" s="4" t="str">
        <f>IFERROR(__xludf.DUMMYFUNCTION("join(""; "", A63:B63)"),"18; Butt et al., 2024")</f>
        <v>18; Butt et al., 2024</v>
      </c>
    </row>
    <row r="64">
      <c r="A64" s="4">
        <v>19.0</v>
      </c>
      <c r="B64" s="4" t="s">
        <v>52</v>
      </c>
      <c r="C64" s="4" t="str">
        <f>IFERROR(__xludf.DUMMYFUNCTION("join(""; "", A64:B64)"),"19; Calvert et al., 2025")</f>
        <v>19; Calvert et al., 2025</v>
      </c>
    </row>
    <row r="65">
      <c r="A65" s="4">
        <v>19.0</v>
      </c>
      <c r="B65" s="4" t="s">
        <v>52</v>
      </c>
      <c r="C65" s="4" t="str">
        <f>IFERROR(__xludf.DUMMYFUNCTION("join(""; "", A65:B65)"),"19; Calvert et al., 2025")</f>
        <v>19; Calvert et al., 2025</v>
      </c>
    </row>
    <row r="66">
      <c r="A66" s="4">
        <v>19.0</v>
      </c>
      <c r="B66" s="4" t="s">
        <v>52</v>
      </c>
      <c r="C66" s="4" t="str">
        <f>IFERROR(__xludf.DUMMYFUNCTION("join(""; "", A66:B66)"),"19; Calvert et al., 2025")</f>
        <v>19; Calvert et al., 2025</v>
      </c>
    </row>
    <row r="67">
      <c r="A67" s="4">
        <v>19.0</v>
      </c>
      <c r="B67" s="4" t="s">
        <v>52</v>
      </c>
      <c r="C67" s="4" t="str">
        <f>IFERROR(__xludf.DUMMYFUNCTION("join(""; "", A67:B67)"),"19; Calvert et al., 2025")</f>
        <v>19; Calvert et al., 2025</v>
      </c>
    </row>
    <row r="68">
      <c r="A68" s="4">
        <v>23.0</v>
      </c>
      <c r="B68" s="4" t="s">
        <v>56</v>
      </c>
      <c r="C68" s="4" t="str">
        <f>IFERROR(__xludf.DUMMYFUNCTION("join(""; "", A68:B68)"),"23; Ejerhed et al., 2003")</f>
        <v>23; Ejerhed et al., 2003</v>
      </c>
    </row>
    <row r="69">
      <c r="A69" s="4">
        <v>23.0</v>
      </c>
      <c r="B69" s="4" t="s">
        <v>56</v>
      </c>
      <c r="C69" s="4" t="str">
        <f>IFERROR(__xludf.DUMMYFUNCTION("join(""; "", A69:B69)"),"23; Ejerhed et al., 2003")</f>
        <v>23; Ejerhed et al., 2003</v>
      </c>
    </row>
    <row r="70">
      <c r="A70" s="4">
        <v>23.0</v>
      </c>
      <c r="B70" s="4" t="s">
        <v>56</v>
      </c>
      <c r="C70" s="4" t="str">
        <f>IFERROR(__xludf.DUMMYFUNCTION("join(""; "", A70:B70)"),"23; Ejerhed et al., 2003")</f>
        <v>23; Ejerhed et al., 2003</v>
      </c>
    </row>
    <row r="71">
      <c r="A71" s="4">
        <v>23.0</v>
      </c>
      <c r="B71" s="4" t="s">
        <v>56</v>
      </c>
      <c r="C71" s="4" t="str">
        <f>IFERROR(__xludf.DUMMYFUNCTION("join(""; "", A71:B71)"),"23; Ejerhed et al., 2003")</f>
        <v>23; Ejerhed et al., 2003</v>
      </c>
    </row>
    <row r="72">
      <c r="A72" s="4">
        <v>23.0</v>
      </c>
      <c r="B72" s="4" t="s">
        <v>56</v>
      </c>
      <c r="C72" s="4" t="str">
        <f>IFERROR(__xludf.DUMMYFUNCTION("join(""; "", A72:B72)"),"23; Ejerhed et al., 2003")</f>
        <v>23; Ejerhed et al., 2003</v>
      </c>
    </row>
    <row r="73">
      <c r="A73" s="4">
        <v>23.0</v>
      </c>
      <c r="B73" s="4" t="s">
        <v>56</v>
      </c>
      <c r="C73" s="4" t="str">
        <f>IFERROR(__xludf.DUMMYFUNCTION("join(""; "", A73:B73)"),"23; Ejerhed et al., 2003")</f>
        <v>23; Ejerhed et al., 2003</v>
      </c>
    </row>
    <row r="74">
      <c r="A74" s="4">
        <v>23.0</v>
      </c>
      <c r="B74" s="4" t="s">
        <v>56</v>
      </c>
      <c r="C74" s="4" t="str">
        <f>IFERROR(__xludf.DUMMYFUNCTION("join(""; "", A74:B74)"),"23; Ejerhed et al., 2003")</f>
        <v>23; Ejerhed et al., 2003</v>
      </c>
    </row>
    <row r="75">
      <c r="A75" s="4">
        <v>23.0</v>
      </c>
      <c r="B75" s="4" t="s">
        <v>56</v>
      </c>
      <c r="C75" s="4" t="str">
        <f>IFERROR(__xludf.DUMMYFUNCTION("join(""; "", A75:B75)"),"23; Ejerhed et al., 2003")</f>
        <v>23; Ejerhed et al., 2003</v>
      </c>
    </row>
    <row r="76">
      <c r="A76" s="4">
        <v>25.0</v>
      </c>
      <c r="B76" s="4" t="s">
        <v>58</v>
      </c>
      <c r="C76" s="4" t="str">
        <f>IFERROR(__xludf.DUMMYFUNCTION("join(""; "", A76:B76)"),"25; Eriksson et al., 2001")</f>
        <v>25; Eriksson et al., 2001</v>
      </c>
    </row>
    <row r="77">
      <c r="A77" s="4">
        <v>25.0</v>
      </c>
      <c r="B77" s="4" t="s">
        <v>58</v>
      </c>
      <c r="C77" s="4" t="str">
        <f>IFERROR(__xludf.DUMMYFUNCTION("join(""; "", A77:B77)"),"25; Eriksson et al., 2001")</f>
        <v>25; Eriksson et al., 2001</v>
      </c>
    </row>
    <row r="78">
      <c r="A78" s="4">
        <v>25.0</v>
      </c>
      <c r="B78" s="4" t="s">
        <v>58</v>
      </c>
      <c r="C78" s="4" t="str">
        <f>IFERROR(__xludf.DUMMYFUNCTION("join(""; "", A78:B78)"),"25; Eriksson et al., 2001")</f>
        <v>25; Eriksson et al., 2001</v>
      </c>
    </row>
    <row r="79">
      <c r="A79" s="4">
        <v>25.0</v>
      </c>
      <c r="B79" s="4" t="s">
        <v>58</v>
      </c>
      <c r="C79" s="4" t="str">
        <f>IFERROR(__xludf.DUMMYFUNCTION("join(""; "", A79:B79)"),"25; Eriksson et al., 2001")</f>
        <v>25; Eriksson et al., 2001</v>
      </c>
    </row>
    <row r="80">
      <c r="A80" s="4">
        <v>26.0</v>
      </c>
      <c r="B80" s="4" t="s">
        <v>60</v>
      </c>
      <c r="C80" s="4" t="str">
        <f>IFERROR(__xludf.DUMMYFUNCTION("join(""; "", A80:B80)"),"26; Feller &amp; Webster, 2003")</f>
        <v>26; Feller &amp; Webster, 2003</v>
      </c>
    </row>
    <row r="81">
      <c r="A81" s="4">
        <v>26.0</v>
      </c>
      <c r="B81" s="4" t="s">
        <v>60</v>
      </c>
      <c r="C81" s="4" t="str">
        <f>IFERROR(__xludf.DUMMYFUNCTION("join(""; "", A81:B81)"),"26; Feller &amp; Webster, 2003")</f>
        <v>26; Feller &amp; Webster, 2003</v>
      </c>
    </row>
    <row r="82">
      <c r="A82" s="4">
        <v>26.0</v>
      </c>
      <c r="B82" s="4" t="s">
        <v>60</v>
      </c>
      <c r="C82" s="4" t="str">
        <f>IFERROR(__xludf.DUMMYFUNCTION("join(""; "", A82:B82)"),"26; Feller &amp; Webster, 2003")</f>
        <v>26; Feller &amp; Webster, 2003</v>
      </c>
    </row>
    <row r="83">
      <c r="A83" s="4">
        <v>26.0</v>
      </c>
      <c r="B83" s="4" t="s">
        <v>60</v>
      </c>
      <c r="C83" s="4" t="str">
        <f>IFERROR(__xludf.DUMMYFUNCTION("join(""; "", A83:B83)"),"26; Feller &amp; Webster, 2003")</f>
        <v>26; Feller &amp; Webster, 2003</v>
      </c>
    </row>
    <row r="84">
      <c r="A84" s="4">
        <v>26.0</v>
      </c>
      <c r="B84" s="4" t="s">
        <v>60</v>
      </c>
      <c r="C84" s="4" t="str">
        <f>IFERROR(__xludf.DUMMYFUNCTION("join(""; "", A84:B84)"),"26; Feller &amp; Webster, 2003")</f>
        <v>26; Feller &amp; Webster, 2003</v>
      </c>
    </row>
    <row r="85">
      <c r="A85" s="4">
        <v>26.0</v>
      </c>
      <c r="B85" s="4" t="s">
        <v>60</v>
      </c>
      <c r="C85" s="4" t="str">
        <f>IFERROR(__xludf.DUMMYFUNCTION("join(""; "", A85:B85)"),"26; Feller &amp; Webster, 2003")</f>
        <v>26; Feller &amp; Webster, 2003</v>
      </c>
    </row>
    <row r="86">
      <c r="A86" s="4">
        <v>30.0</v>
      </c>
      <c r="B86" s="4" t="s">
        <v>62</v>
      </c>
      <c r="C86" s="4" t="str">
        <f>IFERROR(__xludf.DUMMYFUNCTION("join(""; "", A86:B86)"),"30; Gifstad et al., 2013")</f>
        <v>30; Gifstad et al., 2013</v>
      </c>
    </row>
    <row r="87">
      <c r="A87" s="4">
        <v>30.0</v>
      </c>
      <c r="B87" s="4" t="s">
        <v>62</v>
      </c>
      <c r="C87" s="4" t="str">
        <f>IFERROR(__xludf.DUMMYFUNCTION("join(""; "", A87:B87)"),"30; Gifstad et al., 2013")</f>
        <v>30; Gifstad et al., 2013</v>
      </c>
    </row>
    <row r="88">
      <c r="A88" s="4">
        <v>30.0</v>
      </c>
      <c r="B88" s="4" t="s">
        <v>62</v>
      </c>
      <c r="C88" s="4" t="str">
        <f>IFERROR(__xludf.DUMMYFUNCTION("join(""; "", A88:B88)"),"30; Gifstad et al., 2013")</f>
        <v>30; Gifstad et al., 2013</v>
      </c>
    </row>
    <row r="89">
      <c r="A89" s="4">
        <v>30.0</v>
      </c>
      <c r="B89" s="4" t="s">
        <v>62</v>
      </c>
      <c r="C89" s="4" t="str">
        <f>IFERROR(__xludf.DUMMYFUNCTION("join(""; "", A89:B89)"),"30; Gifstad et al., 2013")</f>
        <v>30; Gifstad et al., 2013</v>
      </c>
    </row>
    <row r="90">
      <c r="A90" s="4">
        <v>32.0</v>
      </c>
      <c r="B90" s="4" t="s">
        <v>65</v>
      </c>
      <c r="C90" s="4" t="str">
        <f>IFERROR(__xludf.DUMMYFUNCTION("join(""; "", A90:B90)"),"32; Guglielmetti et al., 2021")</f>
        <v>32; Guglielmetti et al., 2021</v>
      </c>
    </row>
    <row r="91">
      <c r="A91" s="4">
        <v>32.0</v>
      </c>
      <c r="B91" s="4" t="s">
        <v>65</v>
      </c>
      <c r="C91" s="4" t="str">
        <f>IFERROR(__xludf.DUMMYFUNCTION("join(""; "", A91:B91)"),"32; Guglielmetti et al., 2021")</f>
        <v>32; Guglielmetti et al., 2021</v>
      </c>
    </row>
    <row r="92">
      <c r="A92" s="4">
        <v>32.0</v>
      </c>
      <c r="B92" s="4" t="s">
        <v>65</v>
      </c>
      <c r="C92" s="4" t="str">
        <f>IFERROR(__xludf.DUMMYFUNCTION("join(""; "", A92:B92)"),"32; Guglielmetti et al., 2021")</f>
        <v>32; Guglielmetti et al., 2021</v>
      </c>
    </row>
    <row r="93">
      <c r="A93" s="4">
        <v>32.0</v>
      </c>
      <c r="B93" s="4" t="s">
        <v>65</v>
      </c>
      <c r="C93" s="4" t="str">
        <f>IFERROR(__xludf.DUMMYFUNCTION("join(""; "", A93:B93)"),"32; Guglielmetti et al., 2021")</f>
        <v>32; Guglielmetti et al., 2021</v>
      </c>
    </row>
    <row r="94">
      <c r="A94" s="4">
        <v>32.0</v>
      </c>
      <c r="B94" s="4" t="s">
        <v>65</v>
      </c>
      <c r="C94" s="4" t="str">
        <f>IFERROR(__xludf.DUMMYFUNCTION("join(""; "", A94:B94)"),"32; Guglielmetti et al., 2021")</f>
        <v>32; Guglielmetti et al., 2021</v>
      </c>
    </row>
    <row r="95">
      <c r="A95" s="4">
        <v>32.0</v>
      </c>
      <c r="B95" s="4" t="s">
        <v>65</v>
      </c>
      <c r="C95" s="4" t="str">
        <f>IFERROR(__xludf.DUMMYFUNCTION("join(""; "", A95:B95)"),"32; Guglielmetti et al., 2021")</f>
        <v>32; Guglielmetti et al., 2021</v>
      </c>
    </row>
    <row r="96">
      <c r="A96" s="4">
        <v>32.0</v>
      </c>
      <c r="B96" s="4" t="s">
        <v>65</v>
      </c>
      <c r="C96" s="4" t="str">
        <f>IFERROR(__xludf.DUMMYFUNCTION("join(""; "", A96:B96)"),"32; Guglielmetti et al., 2021")</f>
        <v>32; Guglielmetti et al., 2021</v>
      </c>
    </row>
    <row r="97">
      <c r="A97" s="4">
        <v>32.0</v>
      </c>
      <c r="B97" s="4" t="s">
        <v>65</v>
      </c>
      <c r="C97" s="4" t="str">
        <f>IFERROR(__xludf.DUMMYFUNCTION("join(""; "", A97:B97)"),"32; Guglielmetti et al., 2021")</f>
        <v>32; Guglielmetti et al., 2021</v>
      </c>
    </row>
    <row r="98">
      <c r="A98" s="4">
        <v>33.0</v>
      </c>
      <c r="B98" s="4" t="s">
        <v>67</v>
      </c>
      <c r="C98" s="4" t="str">
        <f>IFERROR(__xludf.DUMMYFUNCTION("join(""; "", A98:B98)"),"33; Harilainen et al., 2006")</f>
        <v>33; Harilainen et al., 2006</v>
      </c>
    </row>
    <row r="99">
      <c r="A99" s="3">
        <v>33.0</v>
      </c>
      <c r="B99" s="4" t="s">
        <v>67</v>
      </c>
      <c r="C99" s="4" t="str">
        <f>IFERROR(__xludf.DUMMYFUNCTION("join(""; "", A99:B99)"),"33; Harilainen et al., 2006")</f>
        <v>33; Harilainen et al., 2006</v>
      </c>
    </row>
    <row r="100">
      <c r="A100" s="4">
        <v>33.0</v>
      </c>
      <c r="B100" s="4" t="s">
        <v>67</v>
      </c>
      <c r="C100" s="4" t="str">
        <f>IFERROR(__xludf.DUMMYFUNCTION("join(""; "", A100:B100)"),"33; Harilainen et al., 2006")</f>
        <v>33; Harilainen et al., 2006</v>
      </c>
    </row>
    <row r="101">
      <c r="A101" s="4">
        <v>33.0</v>
      </c>
      <c r="B101" s="4" t="s">
        <v>67</v>
      </c>
      <c r="C101" s="4" t="str">
        <f>IFERROR(__xludf.DUMMYFUNCTION("join(""; "", A101:B101)"),"33; Harilainen et al., 2006")</f>
        <v>33; Harilainen et al., 2006</v>
      </c>
    </row>
    <row r="102">
      <c r="A102" s="4">
        <v>33.0</v>
      </c>
      <c r="B102" s="4" t="s">
        <v>67</v>
      </c>
      <c r="C102" s="4" t="str">
        <f>IFERROR(__xludf.DUMMYFUNCTION("join(""; "", A102:B102)"),"33; Harilainen et al., 2006")</f>
        <v>33; Harilainen et al., 2006</v>
      </c>
    </row>
    <row r="103">
      <c r="A103" s="3">
        <v>33.0</v>
      </c>
      <c r="B103" s="4" t="s">
        <v>67</v>
      </c>
      <c r="C103" s="4" t="str">
        <f>IFERROR(__xludf.DUMMYFUNCTION("join(""; "", A103:B103)"),"33; Harilainen et al., 2006")</f>
        <v>33; Harilainen et al., 2006</v>
      </c>
    </row>
    <row r="104">
      <c r="A104" s="4">
        <v>33.0</v>
      </c>
      <c r="B104" s="4" t="s">
        <v>67</v>
      </c>
      <c r="C104" s="4" t="str">
        <f>IFERROR(__xludf.DUMMYFUNCTION("join(""; "", A104:B104)"),"33; Harilainen et al., 2006")</f>
        <v>33; Harilainen et al., 2006</v>
      </c>
    </row>
    <row r="105">
      <c r="A105" s="4">
        <v>33.0</v>
      </c>
      <c r="B105" s="4" t="s">
        <v>67</v>
      </c>
      <c r="C105" s="4" t="str">
        <f>IFERROR(__xludf.DUMMYFUNCTION("join(""; "", A105:B105)"),"33; Harilainen et al., 2006")</f>
        <v>33; Harilainen et al., 2006</v>
      </c>
    </row>
    <row r="106">
      <c r="A106" s="4">
        <v>33.0</v>
      </c>
      <c r="B106" s="4" t="s">
        <v>67</v>
      </c>
      <c r="C106" s="4" t="str">
        <f>IFERROR(__xludf.DUMMYFUNCTION("join(""; "", A106:B106)"),"33; Harilainen et al., 2006")</f>
        <v>33; Harilainen et al., 2006</v>
      </c>
    </row>
    <row r="107">
      <c r="A107" s="4">
        <v>33.0</v>
      </c>
      <c r="B107" s="4" t="s">
        <v>67</v>
      </c>
      <c r="C107" s="4" t="str">
        <f>IFERROR(__xludf.DUMMYFUNCTION("join(""; "", A107:B107)"),"33; Harilainen et al., 2006")</f>
        <v>33; Harilainen et al., 2006</v>
      </c>
    </row>
    <row r="108">
      <c r="A108" s="4">
        <v>34.0</v>
      </c>
      <c r="B108" s="4" t="s">
        <v>69</v>
      </c>
      <c r="C108" s="4" t="str">
        <f>IFERROR(__xludf.DUMMYFUNCTION("join(""; "", A108:B108)"),"34; Heijne &amp; Werner, 2010")</f>
        <v>34; Heijne &amp; Werner, 2010</v>
      </c>
    </row>
    <row r="109">
      <c r="A109" s="4">
        <v>34.0</v>
      </c>
      <c r="B109" s="4" t="s">
        <v>69</v>
      </c>
      <c r="C109" s="4" t="str">
        <f>IFERROR(__xludf.DUMMYFUNCTION("join(""; "", A109:B109)"),"34; Heijne &amp; Werner, 2010")</f>
        <v>34; Heijne &amp; Werner, 2010</v>
      </c>
    </row>
    <row r="110">
      <c r="A110" s="4">
        <v>34.0</v>
      </c>
      <c r="B110" s="4" t="s">
        <v>69</v>
      </c>
      <c r="C110" s="4" t="str">
        <f>IFERROR(__xludf.DUMMYFUNCTION("join(""; "", A110:B110)"),"34; Heijne &amp; Werner, 2010")</f>
        <v>34; Heijne &amp; Werner, 2010</v>
      </c>
    </row>
    <row r="111">
      <c r="A111" s="4">
        <v>34.0</v>
      </c>
      <c r="B111" s="4" t="s">
        <v>69</v>
      </c>
      <c r="C111" s="4" t="str">
        <f>IFERROR(__xludf.DUMMYFUNCTION("join(""; "", A111:B111)"),"34; Heijne &amp; Werner, 2010")</f>
        <v>34; Heijne &amp; Werner, 2010</v>
      </c>
    </row>
    <row r="112">
      <c r="A112" s="4">
        <v>35.0</v>
      </c>
      <c r="B112" s="4" t="s">
        <v>71</v>
      </c>
      <c r="C112" s="4" t="str">
        <f>IFERROR(__xludf.DUMMYFUNCTION("join(""; "", A112:B112)"),"35; Holm et al., 2010")</f>
        <v>35; Holm et al., 2010</v>
      </c>
    </row>
    <row r="113">
      <c r="A113" s="4">
        <v>35.0</v>
      </c>
      <c r="B113" s="4" t="s">
        <v>71</v>
      </c>
      <c r="C113" s="4" t="str">
        <f>IFERROR(__xludf.DUMMYFUNCTION("join(""; "", A113:B113)"),"35; Holm et al., 2010")</f>
        <v>35; Holm et al., 2010</v>
      </c>
    </row>
    <row r="114">
      <c r="A114" s="4">
        <v>35.0</v>
      </c>
      <c r="B114" s="4" t="s">
        <v>71</v>
      </c>
      <c r="C114" s="4" t="str">
        <f>IFERROR(__xludf.DUMMYFUNCTION("join(""; "", A114:B114)"),"35; Holm et al., 2010")</f>
        <v>35; Holm et al., 2010</v>
      </c>
    </row>
    <row r="115">
      <c r="A115" s="4">
        <v>35.0</v>
      </c>
      <c r="B115" s="4" t="s">
        <v>71</v>
      </c>
      <c r="C115" s="4" t="str">
        <f>IFERROR(__xludf.DUMMYFUNCTION("join(""; "", A115:B115)"),"35; Holm et al., 2010")</f>
        <v>35; Holm et al., 2010</v>
      </c>
    </row>
    <row r="116">
      <c r="A116" s="4">
        <v>36.0</v>
      </c>
      <c r="B116" s="4" t="s">
        <v>73</v>
      </c>
      <c r="C116" s="4" t="str">
        <f>IFERROR(__xludf.DUMMYFUNCTION("join(""; "", A116:B116)"),"36; Horstmann et al., 2022")</f>
        <v>36; Horstmann et al., 2022</v>
      </c>
    </row>
    <row r="117">
      <c r="A117" s="4">
        <v>36.0</v>
      </c>
      <c r="B117" s="4" t="s">
        <v>73</v>
      </c>
      <c r="C117" s="4" t="str">
        <f>IFERROR(__xludf.DUMMYFUNCTION("join(""; "", A117:B117)"),"36; Horstmann et al., 2022")</f>
        <v>36; Horstmann et al., 2022</v>
      </c>
    </row>
    <row r="118">
      <c r="A118" s="4">
        <v>36.0</v>
      </c>
      <c r="B118" s="4" t="s">
        <v>73</v>
      </c>
      <c r="C118" s="4" t="str">
        <f>IFERROR(__xludf.DUMMYFUNCTION("join(""; "", A118:B118)"),"36; Horstmann et al., 2022")</f>
        <v>36; Horstmann et al., 2022</v>
      </c>
    </row>
    <row r="119">
      <c r="A119" s="4">
        <v>36.0</v>
      </c>
      <c r="B119" s="4" t="s">
        <v>73</v>
      </c>
      <c r="C119" s="4" t="str">
        <f>IFERROR(__xludf.DUMMYFUNCTION("join(""; "", A119:B119)"),"36; Horstmann et al., 2022")</f>
        <v>36; Horstmann et al., 2022</v>
      </c>
    </row>
    <row r="120">
      <c r="A120" s="4">
        <v>36.0</v>
      </c>
      <c r="B120" s="4" t="s">
        <v>73</v>
      </c>
      <c r="C120" s="4" t="str">
        <f>IFERROR(__xludf.DUMMYFUNCTION("join(""; "", A120:B120)"),"36; Horstmann et al., 2022")</f>
        <v>36; Horstmann et al., 2022</v>
      </c>
    </row>
    <row r="121">
      <c r="A121" s="4">
        <v>36.0</v>
      </c>
      <c r="B121" s="4" t="s">
        <v>73</v>
      </c>
      <c r="C121" s="4" t="str">
        <f>IFERROR(__xludf.DUMMYFUNCTION("join(""; "", A121:B121)"),"36; Horstmann et al., 2022")</f>
        <v>36; Horstmann et al., 2022</v>
      </c>
    </row>
    <row r="122">
      <c r="A122" s="4">
        <v>36.0</v>
      </c>
      <c r="B122" s="4" t="s">
        <v>73</v>
      </c>
      <c r="C122" s="4" t="str">
        <f>IFERROR(__xludf.DUMMYFUNCTION("join(""; "", A122:B122)"),"36; Horstmann et al., 2022")</f>
        <v>36; Horstmann et al., 2022</v>
      </c>
    </row>
    <row r="123">
      <c r="A123" s="4">
        <v>36.0</v>
      </c>
      <c r="B123" s="4" t="s">
        <v>73</v>
      </c>
      <c r="C123" s="4" t="str">
        <f>IFERROR(__xludf.DUMMYFUNCTION("join(""; "", A123:B123)"),"36; Horstmann et al., 2022")</f>
        <v>36; Horstmann et al., 2022</v>
      </c>
    </row>
    <row r="124">
      <c r="A124" s="4">
        <v>37.0</v>
      </c>
      <c r="B124" s="4" t="s">
        <v>75</v>
      </c>
      <c r="C124" s="4" t="str">
        <f>IFERROR(__xludf.DUMMYFUNCTION("join(""; "", A124:B124)"),"37; Ibrahim et al., 2005")</f>
        <v>37; Ibrahim et al., 2005</v>
      </c>
    </row>
    <row r="125">
      <c r="A125" s="4">
        <v>37.0</v>
      </c>
      <c r="B125" s="4" t="s">
        <v>75</v>
      </c>
      <c r="C125" s="4" t="str">
        <f>IFERROR(__xludf.DUMMYFUNCTION("join(""; "", A125:B125)"),"37; Ibrahim et al., 2005")</f>
        <v>37; Ibrahim et al., 2005</v>
      </c>
    </row>
    <row r="126">
      <c r="A126" s="4">
        <v>37.0</v>
      </c>
      <c r="B126" s="4" t="s">
        <v>75</v>
      </c>
      <c r="C126" s="4" t="str">
        <f>IFERROR(__xludf.DUMMYFUNCTION("join(""; "", A126:B126)"),"37; Ibrahim et al., 2005")</f>
        <v>37; Ibrahim et al., 2005</v>
      </c>
    </row>
    <row r="127">
      <c r="A127" s="4">
        <v>37.0</v>
      </c>
      <c r="B127" s="4" t="s">
        <v>75</v>
      </c>
      <c r="C127" s="4" t="str">
        <f>IFERROR(__xludf.DUMMYFUNCTION("join(""; "", A127:B127)"),"37; Ibrahim et al., 2005")</f>
        <v>37; Ibrahim et al., 2005</v>
      </c>
    </row>
    <row r="128">
      <c r="A128" s="4">
        <v>37.0</v>
      </c>
      <c r="B128" s="4" t="s">
        <v>75</v>
      </c>
      <c r="C128" s="4" t="str">
        <f>IFERROR(__xludf.DUMMYFUNCTION("join(""; "", A128:B128)"),"37; Ibrahim et al., 2005")</f>
        <v>37; Ibrahim et al., 2005</v>
      </c>
    </row>
    <row r="129">
      <c r="A129" s="4">
        <v>37.0</v>
      </c>
      <c r="B129" s="4" t="s">
        <v>75</v>
      </c>
      <c r="C129" s="4" t="str">
        <f>IFERROR(__xludf.DUMMYFUNCTION("join(""; "", A129:B129)"),"37; Ibrahim et al., 2005")</f>
        <v>37; Ibrahim et al., 2005</v>
      </c>
    </row>
    <row r="130">
      <c r="A130" s="4">
        <v>38.0</v>
      </c>
      <c r="B130" s="4" t="s">
        <v>77</v>
      </c>
      <c r="C130" s="4" t="str">
        <f>IFERROR(__xludf.DUMMYFUNCTION("join(""; "", A130:B130)"),"38; Iliopoulos et al., 2017")</f>
        <v>38; Iliopoulos et al., 2017</v>
      </c>
    </row>
    <row r="131">
      <c r="A131" s="4">
        <v>38.0</v>
      </c>
      <c r="B131" s="4" t="s">
        <v>77</v>
      </c>
      <c r="C131" s="4" t="str">
        <f>IFERROR(__xludf.DUMMYFUNCTION("join(""; "", A131:B131)"),"38; Iliopoulos et al., 2017")</f>
        <v>38; Iliopoulos et al., 2017</v>
      </c>
    </row>
    <row r="132">
      <c r="A132" s="4">
        <v>38.0</v>
      </c>
      <c r="B132" s="4" t="s">
        <v>77</v>
      </c>
      <c r="C132" s="4" t="str">
        <f>IFERROR(__xludf.DUMMYFUNCTION("join(""; "", A132:B132)"),"38; Iliopoulos et al., 2017")</f>
        <v>38; Iliopoulos et al., 2017</v>
      </c>
    </row>
    <row r="133">
      <c r="A133" s="4">
        <v>38.0</v>
      </c>
      <c r="B133" s="4" t="s">
        <v>77</v>
      </c>
      <c r="C133" s="4" t="str">
        <f>IFERROR(__xludf.DUMMYFUNCTION("join(""; "", A133:B133)"),"38; Iliopoulos et al., 2017")</f>
        <v>38; Iliopoulos et al., 2017</v>
      </c>
    </row>
    <row r="134">
      <c r="A134" s="4">
        <v>41.0</v>
      </c>
      <c r="B134" s="4" t="s">
        <v>79</v>
      </c>
      <c r="C134" s="4" t="str">
        <f>IFERROR(__xludf.DUMMYFUNCTION("join(""; "", A134:B134)"),"41; Jansson et al., 2003")</f>
        <v>41; Jansson et al., 2003</v>
      </c>
    </row>
    <row r="135">
      <c r="A135" s="4">
        <v>41.0</v>
      </c>
      <c r="B135" s="4" t="s">
        <v>79</v>
      </c>
      <c r="C135" s="4" t="str">
        <f>IFERROR(__xludf.DUMMYFUNCTION("join(""; "", A135:B135)"),"41; Jansson et al., 2003")</f>
        <v>41; Jansson et al., 2003</v>
      </c>
    </row>
    <row r="136">
      <c r="A136" s="4">
        <v>41.0</v>
      </c>
      <c r="B136" s="4" t="s">
        <v>79</v>
      </c>
      <c r="C136" s="4" t="str">
        <f>IFERROR(__xludf.DUMMYFUNCTION("join(""; "", A136:B136)"),"41; Jansson et al., 2003")</f>
        <v>41; Jansson et al., 2003</v>
      </c>
    </row>
    <row r="137">
      <c r="A137" s="4">
        <v>41.0</v>
      </c>
      <c r="B137" s="4" t="s">
        <v>79</v>
      </c>
      <c r="C137" s="4" t="str">
        <f>IFERROR(__xludf.DUMMYFUNCTION("join(""; "", A137:B137)"),"41; Jansson et al., 2003")</f>
        <v>41; Jansson et al., 2003</v>
      </c>
    </row>
    <row r="138">
      <c r="A138" s="4">
        <v>41.0</v>
      </c>
      <c r="B138" s="4" t="s">
        <v>79</v>
      </c>
      <c r="C138" s="4" t="str">
        <f>IFERROR(__xludf.DUMMYFUNCTION("join(""; "", A138:B138)"),"41; Jansson et al., 2003")</f>
        <v>41; Jansson et al., 2003</v>
      </c>
    </row>
    <row r="139">
      <c r="A139" s="4">
        <v>41.0</v>
      </c>
      <c r="B139" s="4" t="s">
        <v>79</v>
      </c>
      <c r="C139" s="4" t="str">
        <f>IFERROR(__xludf.DUMMYFUNCTION("join(""; "", A139:B139)"),"41; Jansson et al., 2003")</f>
        <v>41; Jansson et al., 2003</v>
      </c>
    </row>
    <row r="140">
      <c r="A140" s="4">
        <v>41.0</v>
      </c>
      <c r="B140" s="4" t="s">
        <v>79</v>
      </c>
      <c r="C140" s="4" t="str">
        <f>IFERROR(__xludf.DUMMYFUNCTION("join(""; "", A140:B140)"),"41; Jansson et al., 2003")</f>
        <v>41; Jansson et al., 2003</v>
      </c>
    </row>
    <row r="141">
      <c r="A141" s="4">
        <v>41.0</v>
      </c>
      <c r="B141" s="4" t="s">
        <v>79</v>
      </c>
      <c r="C141" s="4" t="str">
        <f>IFERROR(__xludf.DUMMYFUNCTION("join(""; "", A141:B141)"),"41; Jansson et al., 2003")</f>
        <v>41; Jansson et al., 2003</v>
      </c>
    </row>
    <row r="142">
      <c r="A142" s="4">
        <v>43.0</v>
      </c>
      <c r="B142" s="4" t="s">
        <v>82</v>
      </c>
      <c r="C142" s="4" t="str">
        <f>IFERROR(__xludf.DUMMYFUNCTION("join(""; "", A142:B142)"),"43; Kautzner et al., 2015")</f>
        <v>43; Kautzner et al., 2015</v>
      </c>
    </row>
    <row r="143">
      <c r="A143" s="4">
        <v>43.0</v>
      </c>
      <c r="B143" s="4" t="s">
        <v>82</v>
      </c>
      <c r="C143" s="4" t="str">
        <f>IFERROR(__xludf.DUMMYFUNCTION("join(""; "", A143:B143)"),"43; Kautzner et al., 2015")</f>
        <v>43; Kautzner et al., 2015</v>
      </c>
    </row>
    <row r="144">
      <c r="A144" s="3">
        <v>43.0</v>
      </c>
      <c r="B144" s="4" t="s">
        <v>82</v>
      </c>
      <c r="C144" s="4" t="str">
        <f>IFERROR(__xludf.DUMMYFUNCTION("join(""; "", A144:B144)"),"43; Kautzner et al., 2015")</f>
        <v>43; Kautzner et al., 2015</v>
      </c>
    </row>
    <row r="145">
      <c r="A145" s="4">
        <v>43.0</v>
      </c>
      <c r="B145" s="4" t="s">
        <v>82</v>
      </c>
      <c r="C145" s="4" t="str">
        <f>IFERROR(__xludf.DUMMYFUNCTION("join(""; "", A145:B145)"),"43; Kautzner et al., 2015")</f>
        <v>43; Kautzner et al., 2015</v>
      </c>
    </row>
    <row r="146">
      <c r="A146" s="4">
        <v>43.0</v>
      </c>
      <c r="B146" s="4" t="s">
        <v>82</v>
      </c>
      <c r="C146" s="4" t="str">
        <f>IFERROR(__xludf.DUMMYFUNCTION("join(""; "", A146:B146)"),"43; Kautzner et al., 2015")</f>
        <v>43; Kautzner et al., 2015</v>
      </c>
    </row>
    <row r="147">
      <c r="A147" s="3">
        <v>43.0</v>
      </c>
      <c r="B147" s="4" t="s">
        <v>82</v>
      </c>
      <c r="C147" s="4" t="str">
        <f>IFERROR(__xludf.DUMMYFUNCTION("join(""; "", A147:B147)"),"43; Kautzner et al., 2015")</f>
        <v>43; Kautzner et al., 2015</v>
      </c>
    </row>
    <row r="148">
      <c r="A148" s="4">
        <v>44.0</v>
      </c>
      <c r="B148" s="4" t="s">
        <v>85</v>
      </c>
      <c r="C148" s="4" t="str">
        <f>IFERROR(__xludf.DUMMYFUNCTION("join(""; "", A148:B148)"),"44; Komzak et al., 2022")</f>
        <v>44; Komzak et al., 2022</v>
      </c>
    </row>
    <row r="149">
      <c r="A149" s="4">
        <v>44.0</v>
      </c>
      <c r="B149" s="4" t="s">
        <v>85</v>
      </c>
      <c r="C149" s="4" t="str">
        <f>IFERROR(__xludf.DUMMYFUNCTION("join(""; "", A149:B149)"),"44; Komzak et al., 2022")</f>
        <v>44; Komzak et al., 2022</v>
      </c>
    </row>
    <row r="150">
      <c r="A150" s="4">
        <v>44.0</v>
      </c>
      <c r="B150" s="4" t="s">
        <v>85</v>
      </c>
      <c r="C150" s="4" t="str">
        <f>IFERROR(__xludf.DUMMYFUNCTION("join(""; "", A150:B150)"),"44; Komzak et al., 2022")</f>
        <v>44; Komzak et al., 2022</v>
      </c>
    </row>
    <row r="151">
      <c r="A151" s="4">
        <v>44.0</v>
      </c>
      <c r="B151" s="4" t="s">
        <v>85</v>
      </c>
      <c r="C151" s="4" t="str">
        <f>IFERROR(__xludf.DUMMYFUNCTION("join(""; "", A151:B151)"),"44; Komzak et al., 2022")</f>
        <v>44; Komzak et al., 2022</v>
      </c>
    </row>
    <row r="152">
      <c r="A152" s="4">
        <v>45.0</v>
      </c>
      <c r="B152" s="4" t="s">
        <v>88</v>
      </c>
      <c r="C152" s="4" t="str">
        <f>IFERROR(__xludf.DUMMYFUNCTION("join(""; "", A152:B152)"),"45; Konrads et al., 2016")</f>
        <v>45; Konrads et al., 2016</v>
      </c>
    </row>
    <row r="153">
      <c r="A153" s="4">
        <v>45.0</v>
      </c>
      <c r="B153" s="4" t="s">
        <v>88</v>
      </c>
      <c r="C153" s="4" t="str">
        <f>IFERROR(__xludf.DUMMYFUNCTION("join(""; "", A153:B153)"),"45; Konrads et al., 2016")</f>
        <v>45; Konrads et al., 2016</v>
      </c>
    </row>
    <row r="154">
      <c r="A154" s="4">
        <v>45.0</v>
      </c>
      <c r="B154" s="4" t="s">
        <v>88</v>
      </c>
      <c r="C154" s="4" t="str">
        <f>IFERROR(__xludf.DUMMYFUNCTION("join(""; "", A154:B154)"),"45; Konrads et al., 2016")</f>
        <v>45; Konrads et al., 2016</v>
      </c>
    </row>
    <row r="155">
      <c r="A155" s="4">
        <v>45.0</v>
      </c>
      <c r="B155" s="4" t="s">
        <v>88</v>
      </c>
      <c r="C155" s="4" t="str">
        <f>IFERROR(__xludf.DUMMYFUNCTION("join(""; "", A155:B155)"),"45; Konrads et al., 2016")</f>
        <v>45; Konrads et al., 2016</v>
      </c>
    </row>
    <row r="156">
      <c r="A156" s="4">
        <v>45.0</v>
      </c>
      <c r="B156" s="4" t="s">
        <v>88</v>
      </c>
      <c r="C156" s="4" t="str">
        <f>IFERROR(__xludf.DUMMYFUNCTION("join(""; "", A156:B156)"),"45; Konrads et al., 2016")</f>
        <v>45; Konrads et al., 2016</v>
      </c>
    </row>
    <row r="157">
      <c r="A157" s="4">
        <v>45.0</v>
      </c>
      <c r="B157" s="4" t="s">
        <v>88</v>
      </c>
      <c r="C157" s="4" t="str">
        <f>IFERROR(__xludf.DUMMYFUNCTION("join(""; "", A157:B157)"),"45; Konrads et al., 2016")</f>
        <v>45; Konrads et al., 2016</v>
      </c>
    </row>
    <row r="158">
      <c r="A158" s="4">
        <v>45.0</v>
      </c>
      <c r="B158" s="4" t="s">
        <v>88</v>
      </c>
      <c r="C158" s="4" t="str">
        <f>IFERROR(__xludf.DUMMYFUNCTION("join(""; "", A158:B158)"),"45; Konrads et al., 2016")</f>
        <v>45; Konrads et al., 2016</v>
      </c>
    </row>
    <row r="159">
      <c r="A159" s="4">
        <v>45.0</v>
      </c>
      <c r="B159" s="4" t="s">
        <v>88</v>
      </c>
      <c r="C159" s="4" t="str">
        <f>IFERROR(__xludf.DUMMYFUNCTION("join(""; "", A159:B159)"),"45; Konrads et al., 2016")</f>
        <v>45; Konrads et al., 2016</v>
      </c>
    </row>
    <row r="160">
      <c r="A160" s="4">
        <v>46.0</v>
      </c>
      <c r="B160" s="4" t="s">
        <v>90</v>
      </c>
      <c r="C160" s="4" t="str">
        <f>IFERROR(__xludf.DUMMYFUNCTION("join(""; "", A160:B160)"),"46; Laoruengthana et al., 2009")</f>
        <v>46; Laoruengthana et al., 2009</v>
      </c>
    </row>
    <row r="161">
      <c r="A161" s="4">
        <v>46.0</v>
      </c>
      <c r="B161" s="4" t="s">
        <v>90</v>
      </c>
      <c r="C161" s="4" t="str">
        <f>IFERROR(__xludf.DUMMYFUNCTION("join(""; "", A161:B161)"),"46; Laoruengthana et al., 2009")</f>
        <v>46; Laoruengthana et al., 2009</v>
      </c>
    </row>
    <row r="162">
      <c r="A162" s="4">
        <v>46.0</v>
      </c>
      <c r="B162" s="4" t="s">
        <v>90</v>
      </c>
      <c r="C162" s="4" t="str">
        <f>IFERROR(__xludf.DUMMYFUNCTION("join(""; "", A162:B162)"),"46; Laoruengthana et al., 2009")</f>
        <v>46; Laoruengthana et al., 2009</v>
      </c>
    </row>
    <row r="163">
      <c r="A163" s="4">
        <v>46.0</v>
      </c>
      <c r="B163" s="4" t="s">
        <v>90</v>
      </c>
      <c r="C163" s="4" t="str">
        <f>IFERROR(__xludf.DUMMYFUNCTION("join(""; "", A163:B163)"),"46; Laoruengthana et al., 2009")</f>
        <v>46; Laoruengthana et al., 2009</v>
      </c>
    </row>
    <row r="164">
      <c r="A164" s="4">
        <v>47.0</v>
      </c>
      <c r="B164" s="4" t="s">
        <v>91</v>
      </c>
      <c r="C164" s="4" t="str">
        <f>IFERROR(__xludf.DUMMYFUNCTION("join(""; "", A164:B164)"),"47; Lawhorn et al., 2012")</f>
        <v>47; Lawhorn et al., 2012</v>
      </c>
    </row>
    <row r="165">
      <c r="A165" s="4">
        <v>47.0</v>
      </c>
      <c r="B165" s="4" t="s">
        <v>91</v>
      </c>
      <c r="C165" s="4" t="str">
        <f>IFERROR(__xludf.DUMMYFUNCTION("join(""; "", A165:B165)"),"47; Lawhorn et al., 2012")</f>
        <v>47; Lawhorn et al., 2012</v>
      </c>
    </row>
    <row r="166">
      <c r="A166" s="4">
        <v>49.0</v>
      </c>
      <c r="B166" s="4" t="s">
        <v>93</v>
      </c>
      <c r="C166" s="4" t="str">
        <f>IFERROR(__xludf.DUMMYFUNCTION("join(""; "", A166:B166)"),"49; Laxdal et al., 2005")</f>
        <v>49; Laxdal et al., 2005</v>
      </c>
    </row>
    <row r="167">
      <c r="A167" s="4">
        <v>49.0</v>
      </c>
      <c r="B167" s="4" t="s">
        <v>93</v>
      </c>
      <c r="C167" s="4" t="str">
        <f>IFERROR(__xludf.DUMMYFUNCTION("join(""; "", A167:B167)"),"49; Laxdal et al., 2005")</f>
        <v>49; Laxdal et al., 2005</v>
      </c>
    </row>
    <row r="168">
      <c r="A168" s="4">
        <v>49.0</v>
      </c>
      <c r="B168" s="4" t="s">
        <v>93</v>
      </c>
      <c r="C168" s="4" t="str">
        <f>IFERROR(__xludf.DUMMYFUNCTION("join(""; "", A168:B168)"),"49; Laxdal et al., 2005")</f>
        <v>49; Laxdal et al., 2005</v>
      </c>
    </row>
    <row r="169">
      <c r="A169" s="4">
        <v>49.0</v>
      </c>
      <c r="B169" s="4" t="s">
        <v>93</v>
      </c>
      <c r="C169" s="4" t="str">
        <f>IFERROR(__xludf.DUMMYFUNCTION("join(""; "", A169:B169)"),"49; Laxdal et al., 2005")</f>
        <v>49; Laxdal et al., 2005</v>
      </c>
    </row>
    <row r="170">
      <c r="A170" s="3">
        <v>49.0</v>
      </c>
      <c r="B170" s="4" t="s">
        <v>93</v>
      </c>
      <c r="C170" s="4" t="str">
        <f>IFERROR(__xludf.DUMMYFUNCTION("join(""; "", A170:B170)"),"49; Laxdal et al., 2005")</f>
        <v>49; Laxdal et al., 2005</v>
      </c>
    </row>
    <row r="171">
      <c r="A171" s="3">
        <v>49.0</v>
      </c>
      <c r="B171" s="4" t="s">
        <v>93</v>
      </c>
      <c r="C171" s="4" t="str">
        <f>IFERROR(__xludf.DUMMYFUNCTION("join(""; "", A171:B171)"),"49; Laxdal et al., 2005")</f>
        <v>49; Laxdal et al., 2005</v>
      </c>
    </row>
    <row r="172">
      <c r="A172" s="3">
        <v>49.0</v>
      </c>
      <c r="B172" s="4" t="s">
        <v>93</v>
      </c>
      <c r="C172" s="4" t="str">
        <f>IFERROR(__xludf.DUMMYFUNCTION("join(""; "", A172:B172)"),"49; Laxdal et al., 2005")</f>
        <v>49; Laxdal et al., 2005</v>
      </c>
    </row>
    <row r="173">
      <c r="A173" s="3">
        <v>49.0</v>
      </c>
      <c r="B173" s="4" t="s">
        <v>93</v>
      </c>
      <c r="C173" s="4" t="str">
        <f>IFERROR(__xludf.DUMMYFUNCTION("join(""; "", A173:B173)"),"49; Laxdal et al., 2005")</f>
        <v>49; Laxdal et al., 2005</v>
      </c>
    </row>
    <row r="174">
      <c r="A174" s="4">
        <v>51.0</v>
      </c>
      <c r="B174" s="4" t="s">
        <v>96</v>
      </c>
      <c r="C174" s="4" t="str">
        <f>IFERROR(__xludf.DUMMYFUNCTION("join(""; "", A174:B174)"),"51; Li et al., 2015")</f>
        <v>51; Li et al., 2015</v>
      </c>
    </row>
    <row r="175">
      <c r="A175" s="4">
        <v>51.0</v>
      </c>
      <c r="B175" s="4" t="s">
        <v>96</v>
      </c>
      <c r="C175" s="4" t="str">
        <f>IFERROR(__xludf.DUMMYFUNCTION("join(""; "", A175:B175)"),"51; Li et al., 2015")</f>
        <v>51; Li et al., 2015</v>
      </c>
    </row>
    <row r="176">
      <c r="A176" s="4">
        <v>51.0</v>
      </c>
      <c r="B176" s="4" t="s">
        <v>96</v>
      </c>
      <c r="C176" s="4" t="str">
        <f>IFERROR(__xludf.DUMMYFUNCTION("join(""; "", A176:B176)"),"51; Li et al., 2015")</f>
        <v>51; Li et al., 2015</v>
      </c>
    </row>
    <row r="177">
      <c r="A177" s="4">
        <v>51.0</v>
      </c>
      <c r="B177" s="4" t="s">
        <v>96</v>
      </c>
      <c r="C177" s="4" t="str">
        <f>IFERROR(__xludf.DUMMYFUNCTION("join(""; "", A177:B177)"),"51; Li et al., 2015")</f>
        <v>51; Li et al., 2015</v>
      </c>
    </row>
    <row r="178">
      <c r="A178" s="4">
        <v>51.0</v>
      </c>
      <c r="B178" s="4" t="s">
        <v>96</v>
      </c>
      <c r="C178" s="4" t="str">
        <f>IFERROR(__xludf.DUMMYFUNCTION("join(""; "", A178:B178)"),"51; Li et al., 2015")</f>
        <v>51; Li et al., 2015</v>
      </c>
    </row>
    <row r="179">
      <c r="A179" s="4">
        <v>51.0</v>
      </c>
      <c r="B179" s="4" t="s">
        <v>96</v>
      </c>
      <c r="C179" s="4" t="str">
        <f>IFERROR(__xludf.DUMMYFUNCTION("join(""; "", A179:B179)"),"51; Li et al., 2015")</f>
        <v>51; Li et al., 2015</v>
      </c>
    </row>
    <row r="180">
      <c r="A180" s="4">
        <v>51.0</v>
      </c>
      <c r="B180" s="4" t="s">
        <v>96</v>
      </c>
      <c r="C180" s="4" t="str">
        <f>IFERROR(__xludf.DUMMYFUNCTION("join(""; "", A180:B180)"),"51; Li et al., 2015")</f>
        <v>51; Li et al., 2015</v>
      </c>
    </row>
    <row r="181">
      <c r="A181" s="4">
        <v>51.0</v>
      </c>
      <c r="B181" s="4" t="s">
        <v>96</v>
      </c>
      <c r="C181" s="4" t="str">
        <f>IFERROR(__xludf.DUMMYFUNCTION("join(""; "", A181:B181)"),"51; Li et al., 2015")</f>
        <v>51; Li et al., 2015</v>
      </c>
    </row>
    <row r="182">
      <c r="A182" s="4">
        <v>51.0</v>
      </c>
      <c r="B182" s="4" t="s">
        <v>96</v>
      </c>
      <c r="C182" s="4" t="str">
        <f>IFERROR(__xludf.DUMMYFUNCTION("join(""; "", A182:B182)"),"51; Li et al., 2015")</f>
        <v>51; Li et al., 2015</v>
      </c>
    </row>
    <row r="183">
      <c r="A183" s="4">
        <v>51.0</v>
      </c>
      <c r="B183" s="4" t="s">
        <v>96</v>
      </c>
      <c r="C183" s="4" t="str">
        <f>IFERROR(__xludf.DUMMYFUNCTION("join(""; "", A183:B183)"),"51; Li et al., 2015")</f>
        <v>51; Li et al., 2015</v>
      </c>
    </row>
    <row r="184">
      <c r="A184" s="4">
        <v>51.0</v>
      </c>
      <c r="B184" s="4" t="s">
        <v>96</v>
      </c>
      <c r="C184" s="4" t="str">
        <f>IFERROR(__xludf.DUMMYFUNCTION("join(""; "", A184:B184)"),"51; Li et al., 2015")</f>
        <v>51; Li et al., 2015</v>
      </c>
    </row>
    <row r="185">
      <c r="A185" s="4">
        <v>51.0</v>
      </c>
      <c r="B185" s="4" t="s">
        <v>96</v>
      </c>
      <c r="C185" s="4" t="str">
        <f>IFERROR(__xludf.DUMMYFUNCTION("join(""; "", A185:B185)"),"51; Li et al., 2015")</f>
        <v>51; Li et al., 2015</v>
      </c>
    </row>
    <row r="186">
      <c r="A186" s="4">
        <v>52.0</v>
      </c>
      <c r="B186" s="4" t="s">
        <v>98</v>
      </c>
      <c r="C186" s="4" t="str">
        <f>IFERROR(__xludf.DUMMYFUNCTION("join(""; "", A186:B186)"),"52; Lidén et al., 2007")</f>
        <v>52; Lidén et al., 2007</v>
      </c>
    </row>
    <row r="187">
      <c r="A187" s="4">
        <v>52.0</v>
      </c>
      <c r="B187" s="4" t="s">
        <v>98</v>
      </c>
      <c r="C187" s="4" t="str">
        <f>IFERROR(__xludf.DUMMYFUNCTION("join(""; "", A187:B187)"),"52; Lidén et al., 2007")</f>
        <v>52; Lidén et al., 2007</v>
      </c>
    </row>
    <row r="188">
      <c r="A188" s="4">
        <v>52.0</v>
      </c>
      <c r="B188" s="4" t="s">
        <v>98</v>
      </c>
      <c r="C188" s="4" t="str">
        <f>IFERROR(__xludf.DUMMYFUNCTION("join(""; "", A188:B188)"),"52; Lidén et al., 2007")</f>
        <v>52; Lidén et al., 2007</v>
      </c>
    </row>
    <row r="189">
      <c r="A189" s="4">
        <v>52.0</v>
      </c>
      <c r="B189" s="4" t="s">
        <v>98</v>
      </c>
      <c r="C189" s="4" t="str">
        <f>IFERROR(__xludf.DUMMYFUNCTION("join(""; "", A189:B189)"),"52; Lidén et al., 2007")</f>
        <v>52; Lidén et al., 2007</v>
      </c>
    </row>
    <row r="190">
      <c r="A190" s="4">
        <v>52.0</v>
      </c>
      <c r="B190" s="4" t="s">
        <v>98</v>
      </c>
      <c r="C190" s="4" t="str">
        <f>IFERROR(__xludf.DUMMYFUNCTION("join(""; "", A190:B190)"),"52; Lidén et al., 2007")</f>
        <v>52; Lidén et al., 2007</v>
      </c>
    </row>
    <row r="191">
      <c r="A191" s="4">
        <v>52.0</v>
      </c>
      <c r="B191" s="4" t="s">
        <v>98</v>
      </c>
      <c r="C191" s="4" t="str">
        <f>IFERROR(__xludf.DUMMYFUNCTION("join(""; "", A191:B191)"),"52; Lidén et al., 2007")</f>
        <v>52; Lidén et al., 2007</v>
      </c>
    </row>
    <row r="192">
      <c r="A192" s="4">
        <v>52.0</v>
      </c>
      <c r="B192" s="4" t="s">
        <v>98</v>
      </c>
      <c r="C192" s="4" t="str">
        <f>IFERROR(__xludf.DUMMYFUNCTION("join(""; "", A192:B192)"),"52; Lidén et al., 2007")</f>
        <v>52; Lidén et al., 2007</v>
      </c>
    </row>
    <row r="193">
      <c r="A193" s="4">
        <v>52.0</v>
      </c>
      <c r="B193" s="4" t="s">
        <v>98</v>
      </c>
      <c r="C193" s="4" t="str">
        <f>IFERROR(__xludf.DUMMYFUNCTION("join(""; "", A193:B193)"),"52; Lidén et al., 2007")</f>
        <v>52; Lidén et al., 2007</v>
      </c>
    </row>
    <row r="194">
      <c r="A194" s="4">
        <v>53.0</v>
      </c>
      <c r="B194" s="4" t="s">
        <v>102</v>
      </c>
      <c r="C194" s="4" t="str">
        <f>IFERROR(__xludf.DUMMYFUNCTION("join(""; "", A194:B194)"),"53; Lind et al., 2020")</f>
        <v>53; Lind et al., 2020</v>
      </c>
    </row>
    <row r="195">
      <c r="A195" s="4">
        <v>53.0</v>
      </c>
      <c r="B195" s="4" t="s">
        <v>102</v>
      </c>
      <c r="C195" s="4" t="str">
        <f>IFERROR(__xludf.DUMMYFUNCTION("join(""; "", A195:B195)"),"53; Lind et al., 2020")</f>
        <v>53; Lind et al., 2020</v>
      </c>
    </row>
    <row r="196">
      <c r="A196" s="4">
        <v>53.0</v>
      </c>
      <c r="B196" s="4" t="s">
        <v>102</v>
      </c>
      <c r="C196" s="4" t="str">
        <f>IFERROR(__xludf.DUMMYFUNCTION("join(""; "", A196:B196)"),"53; Lind et al., 2020")</f>
        <v>53; Lind et al., 2020</v>
      </c>
    </row>
    <row r="197">
      <c r="A197" s="4">
        <v>53.0</v>
      </c>
      <c r="B197" s="4" t="s">
        <v>102</v>
      </c>
      <c r="C197" s="4" t="str">
        <f>IFERROR(__xludf.DUMMYFUNCTION("join(""; "", A197:B197)"),"53; Lind et al., 2020")</f>
        <v>53; Lind et al., 2020</v>
      </c>
    </row>
    <row r="198">
      <c r="A198" s="4">
        <v>53.0</v>
      </c>
      <c r="B198" s="4" t="s">
        <v>102</v>
      </c>
      <c r="C198" s="4" t="str">
        <f>IFERROR(__xludf.DUMMYFUNCTION("join(""; "", A198:B198)"),"53; Lind et al., 2020")</f>
        <v>53; Lind et al., 2020</v>
      </c>
    </row>
    <row r="199">
      <c r="A199" s="4">
        <v>53.0</v>
      </c>
      <c r="B199" s="4" t="s">
        <v>102</v>
      </c>
      <c r="C199" s="4" t="str">
        <f>IFERROR(__xludf.DUMMYFUNCTION("join(""; "", A199:B199)"),"53; Lind et al., 2020")</f>
        <v>53; Lind et al., 2020</v>
      </c>
    </row>
    <row r="200">
      <c r="A200" s="4">
        <v>53.0</v>
      </c>
      <c r="B200" s="4" t="s">
        <v>102</v>
      </c>
      <c r="C200" s="4" t="str">
        <f>IFERROR(__xludf.DUMMYFUNCTION("join(""; "", A200:B200)"),"53; Lind et al., 2020")</f>
        <v>53; Lind et al., 2020</v>
      </c>
    </row>
    <row r="201">
      <c r="A201" s="4">
        <v>53.0</v>
      </c>
      <c r="B201" s="4" t="s">
        <v>102</v>
      </c>
      <c r="C201" s="4" t="str">
        <f>IFERROR(__xludf.DUMMYFUNCTION("join(""; "", A201:B201)"),"53; Lind et al., 2020")</f>
        <v>53; Lind et al., 2020</v>
      </c>
    </row>
    <row r="202">
      <c r="A202" s="4">
        <v>54.0</v>
      </c>
      <c r="B202" s="4" t="s">
        <v>104</v>
      </c>
      <c r="C202" s="4" t="str">
        <f>IFERROR(__xludf.DUMMYFUNCTION("join(""; "", A202:B202)"),"54; Lucidi et al., 2025")</f>
        <v>54; Lucidi et al., 2025</v>
      </c>
    </row>
    <row r="203">
      <c r="A203" s="4">
        <v>54.0</v>
      </c>
      <c r="B203" s="4" t="s">
        <v>104</v>
      </c>
      <c r="C203" s="4" t="str">
        <f>IFERROR(__xludf.DUMMYFUNCTION("join(""; "", A203:B203)"),"54; Lucidi et al., 2025")</f>
        <v>54; Lucidi et al., 2025</v>
      </c>
    </row>
    <row r="204">
      <c r="A204" s="4">
        <v>54.0</v>
      </c>
      <c r="B204" s="4" t="s">
        <v>104</v>
      </c>
      <c r="C204" s="4" t="str">
        <f>IFERROR(__xludf.DUMMYFUNCTION("join(""; "", A204:B204)"),"54; Lucidi et al., 2025")</f>
        <v>54; Lucidi et al., 2025</v>
      </c>
    </row>
    <row r="205">
      <c r="A205" s="4">
        <v>54.0</v>
      </c>
      <c r="B205" s="4" t="s">
        <v>104</v>
      </c>
      <c r="C205" s="4" t="str">
        <f>IFERROR(__xludf.DUMMYFUNCTION("join(""; "", A205:B205)"),"54; Lucidi et al., 2025")</f>
        <v>54; Lucidi et al., 2025</v>
      </c>
    </row>
    <row r="206">
      <c r="A206" s="4">
        <v>54.0</v>
      </c>
      <c r="B206" s="4" t="s">
        <v>104</v>
      </c>
      <c r="C206" s="4" t="str">
        <f>IFERROR(__xludf.DUMMYFUNCTION("join(""; "", A206:B206)"),"54; Lucidi et al., 2025")</f>
        <v>54; Lucidi et al., 2025</v>
      </c>
    </row>
    <row r="207">
      <c r="A207" s="4">
        <v>54.0</v>
      </c>
      <c r="B207" s="4" t="s">
        <v>104</v>
      </c>
      <c r="C207" s="4" t="str">
        <f>IFERROR(__xludf.DUMMYFUNCTION("join(""; "", A207:B207)"),"54; Lucidi et al., 2025")</f>
        <v>54; Lucidi et al., 2025</v>
      </c>
    </row>
    <row r="208">
      <c r="A208" s="4">
        <v>54.0</v>
      </c>
      <c r="B208" s="4" t="s">
        <v>104</v>
      </c>
      <c r="C208" s="4" t="str">
        <f>IFERROR(__xludf.DUMMYFUNCTION("join(""; "", A208:B208)"),"54; Lucidi et al., 2025")</f>
        <v>54; Lucidi et al., 2025</v>
      </c>
    </row>
    <row r="209">
      <c r="A209" s="4">
        <v>54.0</v>
      </c>
      <c r="B209" s="4" t="s">
        <v>104</v>
      </c>
      <c r="C209" s="4" t="str">
        <f>IFERROR(__xludf.DUMMYFUNCTION("join(""; "", A209:B209)"),"54; Lucidi et al., 2025")</f>
        <v>54; Lucidi et al., 2025</v>
      </c>
    </row>
    <row r="210">
      <c r="A210" s="4">
        <v>54.0</v>
      </c>
      <c r="B210" s="4" t="s">
        <v>104</v>
      </c>
      <c r="C210" s="4" t="str">
        <f>IFERROR(__xludf.DUMMYFUNCTION("join(""; "", A210:B210)"),"54; Lucidi et al., 2025")</f>
        <v>54; Lucidi et al., 2025</v>
      </c>
    </row>
    <row r="211">
      <c r="A211" s="4">
        <v>54.0</v>
      </c>
      <c r="B211" s="4" t="s">
        <v>104</v>
      </c>
      <c r="C211" s="4" t="str">
        <f>IFERROR(__xludf.DUMMYFUNCTION("join(""; "", A211:B211)"),"54; Lucidi et al., 2025")</f>
        <v>54; Lucidi et al., 2025</v>
      </c>
    </row>
    <row r="212">
      <c r="A212" s="4">
        <v>54.0</v>
      </c>
      <c r="B212" s="4" t="s">
        <v>104</v>
      </c>
      <c r="C212" s="4" t="str">
        <f>IFERROR(__xludf.DUMMYFUNCTION("join(""; "", A212:B212)"),"54; Lucidi et al., 2025")</f>
        <v>54; Lucidi et al., 2025</v>
      </c>
    </row>
    <row r="213">
      <c r="A213" s="4">
        <v>54.0</v>
      </c>
      <c r="B213" s="4" t="s">
        <v>104</v>
      </c>
      <c r="C213" s="4" t="str">
        <f>IFERROR(__xludf.DUMMYFUNCTION("join(""; "", A213:B213)"),"54; Lucidi et al., 2025")</f>
        <v>54; Lucidi et al., 2025</v>
      </c>
    </row>
    <row r="214">
      <c r="A214" s="4">
        <v>55.0</v>
      </c>
      <c r="B214" s="4" t="s">
        <v>106</v>
      </c>
      <c r="C214" s="4" t="str">
        <f>IFERROR(__xludf.DUMMYFUNCTION("join(""; "", A214:B214)"),"55; Lui et al., 2012")</f>
        <v>55; Lui et al., 2012</v>
      </c>
    </row>
    <row r="215">
      <c r="A215" s="4">
        <v>55.0</v>
      </c>
      <c r="B215" s="4" t="s">
        <v>106</v>
      </c>
      <c r="C215" s="4" t="str">
        <f>IFERROR(__xludf.DUMMYFUNCTION("join(""; "", A215:B215)"),"55; Lui et al., 2012")</f>
        <v>55; Lui et al., 2012</v>
      </c>
    </row>
    <row r="216">
      <c r="A216" s="4">
        <v>55.0</v>
      </c>
      <c r="B216" s="4" t="s">
        <v>106</v>
      </c>
      <c r="C216" s="4" t="str">
        <f>IFERROR(__xludf.DUMMYFUNCTION("join(""; "", A216:B216)"),"55; Lui et al., 2012")</f>
        <v>55; Lui et al., 2012</v>
      </c>
    </row>
    <row r="217">
      <c r="A217" s="4">
        <v>55.0</v>
      </c>
      <c r="B217" s="4" t="s">
        <v>106</v>
      </c>
      <c r="C217" s="4" t="str">
        <f>IFERROR(__xludf.DUMMYFUNCTION("join(""; "", A217:B217)"),"55; Lui et al., 2012")</f>
        <v>55; Lui et al., 2012</v>
      </c>
    </row>
    <row r="218">
      <c r="A218" s="4">
        <v>55.0</v>
      </c>
      <c r="B218" s="4" t="s">
        <v>106</v>
      </c>
      <c r="C218" s="4" t="str">
        <f>IFERROR(__xludf.DUMMYFUNCTION("join(""; "", A218:B218)"),"55; Lui et al., 2012")</f>
        <v>55; Lui et al., 2012</v>
      </c>
    </row>
    <row r="219">
      <c r="A219" s="4">
        <v>55.0</v>
      </c>
      <c r="B219" s="4" t="s">
        <v>106</v>
      </c>
      <c r="C219" s="4" t="str">
        <f>IFERROR(__xludf.DUMMYFUNCTION("join(""; "", A219:B219)"),"55; Lui et al., 2012")</f>
        <v>55; Lui et al., 2012</v>
      </c>
    </row>
    <row r="220">
      <c r="A220" s="4">
        <v>55.0</v>
      </c>
      <c r="B220" s="4" t="s">
        <v>106</v>
      </c>
      <c r="C220" s="4" t="str">
        <f>IFERROR(__xludf.DUMMYFUNCTION("join(""; "", A220:B220)"),"55; Lui et al., 2012")</f>
        <v>55; Lui et al., 2012</v>
      </c>
    </row>
    <row r="221">
      <c r="A221" s="4">
        <v>55.0</v>
      </c>
      <c r="B221" s="4" t="s">
        <v>106</v>
      </c>
      <c r="C221" s="4" t="str">
        <f>IFERROR(__xludf.DUMMYFUNCTION("join(""; "", A221:B221)"),"55; Lui et al., 2012")</f>
        <v>55; Lui et al., 2012</v>
      </c>
    </row>
    <row r="222">
      <c r="A222" s="4">
        <v>56.0</v>
      </c>
      <c r="B222" s="4" t="s">
        <v>110</v>
      </c>
      <c r="C222" s="4" t="str">
        <f>IFERROR(__xludf.DUMMYFUNCTION("join(""; "", A222:B222)"),"56; Lund et al., 2014")</f>
        <v>56; Lund et al., 2014</v>
      </c>
    </row>
    <row r="223">
      <c r="A223" s="4">
        <v>56.0</v>
      </c>
      <c r="B223" s="4" t="s">
        <v>110</v>
      </c>
      <c r="C223" s="4" t="str">
        <f>IFERROR(__xludf.DUMMYFUNCTION("join(""; "", A223:B223)"),"56; Lund et al., 2014")</f>
        <v>56; Lund et al., 2014</v>
      </c>
    </row>
    <row r="224">
      <c r="A224" s="4">
        <v>56.0</v>
      </c>
      <c r="B224" s="4" t="s">
        <v>110</v>
      </c>
      <c r="C224" s="4" t="str">
        <f>IFERROR(__xludf.DUMMYFUNCTION("join(""; "", A224:B224)"),"56; Lund et al., 2014")</f>
        <v>56; Lund et al., 2014</v>
      </c>
    </row>
    <row r="225">
      <c r="A225" s="4">
        <v>56.0</v>
      </c>
      <c r="B225" s="4" t="s">
        <v>110</v>
      </c>
      <c r="C225" s="4" t="str">
        <f>IFERROR(__xludf.DUMMYFUNCTION("join(""; "", A225:B225)"),"56; Lund et al., 2014")</f>
        <v>56; Lund et al., 2014</v>
      </c>
    </row>
    <row r="226">
      <c r="A226" s="4">
        <v>56.0</v>
      </c>
      <c r="B226" s="4" t="s">
        <v>110</v>
      </c>
      <c r="C226" s="4" t="str">
        <f>IFERROR(__xludf.DUMMYFUNCTION("join(""; "", A226:B226)"),"56; Lund et al., 2014")</f>
        <v>56; Lund et al., 2014</v>
      </c>
    </row>
    <row r="227">
      <c r="A227" s="4">
        <v>56.0</v>
      </c>
      <c r="B227" s="4" t="s">
        <v>110</v>
      </c>
      <c r="C227" s="4" t="str">
        <f>IFERROR(__xludf.DUMMYFUNCTION("join(""; "", A227:B227)"),"56; Lund et al., 2014")</f>
        <v>56; Lund et al., 2014</v>
      </c>
    </row>
    <row r="228">
      <c r="A228" s="4">
        <v>58.0</v>
      </c>
      <c r="B228" s="4" t="s">
        <v>112</v>
      </c>
      <c r="C228" s="4" t="str">
        <f>IFERROR(__xludf.DUMMYFUNCTION("join(""; "", A228:B228)"),"58; Malik et al., 2026")</f>
        <v>58; Malik et al., 2026</v>
      </c>
    </row>
    <row r="229">
      <c r="A229" s="4">
        <v>58.0</v>
      </c>
      <c r="B229" s="4" t="s">
        <v>112</v>
      </c>
      <c r="C229" s="4" t="str">
        <f>IFERROR(__xludf.DUMMYFUNCTION("join(""; "", A229:B229)"),"58; Malik et al., 2026")</f>
        <v>58; Malik et al., 2026</v>
      </c>
    </row>
    <row r="230">
      <c r="A230" s="4">
        <v>58.0</v>
      </c>
      <c r="B230" s="4" t="s">
        <v>112</v>
      </c>
      <c r="C230" s="4" t="str">
        <f>IFERROR(__xludf.DUMMYFUNCTION("join(""; "", A230:B230)"),"58; Malik et al., 2026")</f>
        <v>58; Malik et al., 2026</v>
      </c>
    </row>
    <row r="231">
      <c r="A231" s="4">
        <v>58.0</v>
      </c>
      <c r="B231" s="4" t="s">
        <v>112</v>
      </c>
      <c r="C231" s="4" t="str">
        <f>IFERROR(__xludf.DUMMYFUNCTION("join(""; "", A231:B231)"),"58; Malik et al., 2026")</f>
        <v>58; Malik et al., 2026</v>
      </c>
    </row>
    <row r="232">
      <c r="A232" s="4">
        <v>58.0</v>
      </c>
      <c r="B232" s="4" t="s">
        <v>112</v>
      </c>
      <c r="C232" s="4" t="str">
        <f>IFERROR(__xludf.DUMMYFUNCTION("join(""; "", A232:B232)"),"58; Malik et al., 2026")</f>
        <v>58; Malik et al., 2026</v>
      </c>
    </row>
    <row r="233">
      <c r="A233" s="4">
        <v>58.0</v>
      </c>
      <c r="B233" s="4" t="s">
        <v>112</v>
      </c>
      <c r="C233" s="4" t="str">
        <f>IFERROR(__xludf.DUMMYFUNCTION("join(""; "", A233:B233)"),"58; Malik et al., 2026")</f>
        <v>58; Malik et al., 2026</v>
      </c>
    </row>
    <row r="234">
      <c r="A234" s="4">
        <v>58.0</v>
      </c>
      <c r="B234" s="4" t="s">
        <v>112</v>
      </c>
      <c r="C234" s="4" t="str">
        <f>IFERROR(__xludf.DUMMYFUNCTION("join(""; "", A234:B234)"),"58; Malik et al., 2026")</f>
        <v>58; Malik et al., 2026</v>
      </c>
    </row>
    <row r="235">
      <c r="A235" s="4">
        <v>58.0</v>
      </c>
      <c r="B235" s="4" t="s">
        <v>112</v>
      </c>
      <c r="C235" s="4" t="str">
        <f>IFERROR(__xludf.DUMMYFUNCTION("join(""; "", A235:B235)"),"58; Malik et al., 2026")</f>
        <v>58; Malik et al., 2026</v>
      </c>
    </row>
    <row r="236">
      <c r="A236" s="4">
        <v>58.0</v>
      </c>
      <c r="B236" s="4" t="s">
        <v>112</v>
      </c>
      <c r="C236" s="4" t="str">
        <f>IFERROR(__xludf.DUMMYFUNCTION("join(""; "", A236:B236)"),"58; Malik et al., 2026")</f>
        <v>58; Malik et al., 2026</v>
      </c>
    </row>
    <row r="237">
      <c r="A237" s="4">
        <v>58.0</v>
      </c>
      <c r="B237" s="4" t="s">
        <v>112</v>
      </c>
      <c r="C237" s="4" t="str">
        <f>IFERROR(__xludf.DUMMYFUNCTION("join(""; "", A237:B237)"),"58; Malik et al., 2026")</f>
        <v>58; Malik et al., 2026</v>
      </c>
    </row>
    <row r="238">
      <c r="A238" s="4">
        <v>58.0</v>
      </c>
      <c r="B238" s="4" t="s">
        <v>112</v>
      </c>
      <c r="C238" s="4" t="str">
        <f>IFERROR(__xludf.DUMMYFUNCTION("join(""; "", A238:B238)"),"58; Malik et al., 2026")</f>
        <v>58; Malik et al., 2026</v>
      </c>
    </row>
    <row r="239">
      <c r="A239" s="4">
        <v>58.0</v>
      </c>
      <c r="B239" s="4" t="s">
        <v>112</v>
      </c>
      <c r="C239" s="4" t="str">
        <f>IFERROR(__xludf.DUMMYFUNCTION("join(""; "", A239:B239)"),"58; Malik et al., 2026")</f>
        <v>58; Malik et al., 2026</v>
      </c>
    </row>
    <row r="240">
      <c r="A240" s="4">
        <v>62.0</v>
      </c>
      <c r="B240" s="4" t="s">
        <v>114</v>
      </c>
      <c r="C240" s="4" t="str">
        <f>IFERROR(__xludf.DUMMYFUNCTION("join(""; "", A240:B240)"),"62; Matsumoto et al., 2006")</f>
        <v>62; Matsumoto et al., 2006</v>
      </c>
    </row>
    <row r="241">
      <c r="A241" s="4">
        <v>62.0</v>
      </c>
      <c r="B241" s="4" t="s">
        <v>114</v>
      </c>
      <c r="C241" s="4" t="str">
        <f>IFERROR(__xludf.DUMMYFUNCTION("join(""; "", A241:B241)"),"62; Matsumoto et al., 2006")</f>
        <v>62; Matsumoto et al., 2006</v>
      </c>
    </row>
    <row r="242">
      <c r="A242" s="4">
        <v>62.0</v>
      </c>
      <c r="B242" s="4" t="s">
        <v>114</v>
      </c>
      <c r="C242" s="4" t="str">
        <f>IFERROR(__xludf.DUMMYFUNCTION("join(""; "", A242:B242)"),"62; Matsumoto et al., 2006")</f>
        <v>62; Matsumoto et al., 2006</v>
      </c>
    </row>
    <row r="243">
      <c r="A243" s="4">
        <v>62.0</v>
      </c>
      <c r="B243" s="4" t="s">
        <v>114</v>
      </c>
      <c r="C243" s="4" t="str">
        <f>IFERROR(__xludf.DUMMYFUNCTION("join(""; "", A243:B243)"),"62; Matsumoto et al., 2006")</f>
        <v>62; Matsumoto et al., 2006</v>
      </c>
    </row>
    <row r="244">
      <c r="A244" s="4">
        <v>66.0</v>
      </c>
      <c r="B244" s="4" t="s">
        <v>116</v>
      </c>
      <c r="C244" s="4" t="str">
        <f>IFERROR(__xludf.DUMMYFUNCTION("join(""; "", A244:B244)"),"66; Mohtadi et al., 2016")</f>
        <v>66; Mohtadi et al., 2016</v>
      </c>
    </row>
    <row r="245">
      <c r="A245" s="4">
        <v>66.0</v>
      </c>
      <c r="B245" s="4" t="s">
        <v>116</v>
      </c>
      <c r="C245" s="4" t="str">
        <f>IFERROR(__xludf.DUMMYFUNCTION("join(""; "", A245:B245)"),"66; Mohtadi et al., 2016")</f>
        <v>66; Mohtadi et al., 2016</v>
      </c>
    </row>
    <row r="246">
      <c r="A246" s="4">
        <v>68.0</v>
      </c>
      <c r="B246" s="4" t="s">
        <v>119</v>
      </c>
      <c r="C246" s="4" t="str">
        <f>IFERROR(__xludf.DUMMYFUNCTION("join(""; "", A246:B246)"),"68; Moraiti et al., 2010")</f>
        <v>68; Moraiti et al., 2010</v>
      </c>
    </row>
    <row r="247">
      <c r="A247" s="4">
        <v>68.0</v>
      </c>
      <c r="B247" s="4" t="s">
        <v>119</v>
      </c>
      <c r="C247" s="4" t="str">
        <f>IFERROR(__xludf.DUMMYFUNCTION("join(""; "", A247:B247)"),"68; Moraiti et al., 2010")</f>
        <v>68; Moraiti et al., 2010</v>
      </c>
    </row>
    <row r="248">
      <c r="A248" s="4">
        <v>68.0</v>
      </c>
      <c r="B248" s="4" t="s">
        <v>119</v>
      </c>
      <c r="C248" s="4" t="str">
        <f>IFERROR(__xludf.DUMMYFUNCTION("join(""; "", A248:B248)"),"68; Moraiti et al., 2010")</f>
        <v>68; Moraiti et al., 2010</v>
      </c>
    </row>
    <row r="249">
      <c r="A249" s="4">
        <v>68.0</v>
      </c>
      <c r="B249" s="4" t="s">
        <v>119</v>
      </c>
      <c r="C249" s="4" t="str">
        <f>IFERROR(__xludf.DUMMYFUNCTION("join(""; "", A249:B249)"),"68; Moraiti et al., 2010")</f>
        <v>68; Moraiti et al., 2010</v>
      </c>
    </row>
    <row r="250">
      <c r="A250" s="4">
        <v>70.0</v>
      </c>
      <c r="B250" s="4" t="s">
        <v>121</v>
      </c>
      <c r="C250" s="4" t="str">
        <f>IFERROR(__xludf.DUMMYFUNCTION("join(""; "", A250:B250)"),"70; Noh et al., 2011")</f>
        <v>70; Noh et al., 2011</v>
      </c>
    </row>
    <row r="251">
      <c r="A251" s="4">
        <v>70.0</v>
      </c>
      <c r="B251" s="4" t="s">
        <v>121</v>
      </c>
      <c r="C251" s="4" t="str">
        <f>IFERROR(__xludf.DUMMYFUNCTION("join(""; "", A251:B251)"),"70; Noh et al., 2011")</f>
        <v>70; Noh et al., 2011</v>
      </c>
    </row>
    <row r="252">
      <c r="A252" s="4">
        <v>70.0</v>
      </c>
      <c r="B252" s="4" t="s">
        <v>121</v>
      </c>
      <c r="C252" s="4" t="str">
        <f>IFERROR(__xludf.DUMMYFUNCTION("join(""; "", A252:B252)"),"70; Noh et al., 2011")</f>
        <v>70; Noh et al., 2011</v>
      </c>
    </row>
    <row r="253">
      <c r="A253" s="4">
        <v>70.0</v>
      </c>
      <c r="B253" s="4" t="s">
        <v>121</v>
      </c>
      <c r="C253" s="4" t="str">
        <f>IFERROR(__xludf.DUMMYFUNCTION("join(""; "", A253:B253)"),"70; Noh et al., 2011")</f>
        <v>70; Noh et al., 2011</v>
      </c>
    </row>
    <row r="254">
      <c r="A254" s="4">
        <v>70.0</v>
      </c>
      <c r="B254" s="4" t="s">
        <v>121</v>
      </c>
      <c r="C254" s="4" t="str">
        <f>IFERROR(__xludf.DUMMYFUNCTION("join(""; "", A254:B254)"),"70; Noh et al., 2011")</f>
        <v>70; Noh et al., 2011</v>
      </c>
    </row>
    <row r="255">
      <c r="A255" s="4">
        <v>70.0</v>
      </c>
      <c r="B255" s="4" t="s">
        <v>121</v>
      </c>
      <c r="C255" s="4" t="str">
        <f>IFERROR(__xludf.DUMMYFUNCTION("join(""; "", A255:B255)"),"70; Noh et al., 2011")</f>
        <v>70; Noh et al., 2011</v>
      </c>
    </row>
    <row r="256">
      <c r="A256" s="4">
        <v>70.0</v>
      </c>
      <c r="B256" s="4" t="s">
        <v>121</v>
      </c>
      <c r="C256" s="4" t="str">
        <f>IFERROR(__xludf.DUMMYFUNCTION("join(""; "", A256:B256)"),"70; Noh et al., 2011")</f>
        <v>70; Noh et al., 2011</v>
      </c>
    </row>
    <row r="257">
      <c r="A257" s="4">
        <v>70.0</v>
      </c>
      <c r="B257" s="4" t="s">
        <v>121</v>
      </c>
      <c r="C257" s="4" t="str">
        <f>IFERROR(__xludf.DUMMYFUNCTION("join(""; "", A257:B257)"),"70; Noh et al., 2011")</f>
        <v>70; Noh et al., 2011</v>
      </c>
    </row>
    <row r="258">
      <c r="A258" s="4">
        <v>73.0</v>
      </c>
      <c r="B258" s="4" t="s">
        <v>123</v>
      </c>
      <c r="C258" s="4" t="str">
        <f>IFERROR(__xludf.DUMMYFUNCTION("join(""; "", A258:B258)"),"73; Papalia et al., 2015")</f>
        <v>73; Papalia et al., 2015</v>
      </c>
    </row>
    <row r="259">
      <c r="A259" s="4">
        <v>73.0</v>
      </c>
      <c r="B259" s="4" t="s">
        <v>123</v>
      </c>
      <c r="C259" s="4" t="str">
        <f>IFERROR(__xludf.DUMMYFUNCTION("join(""; "", A259:B259)"),"73; Papalia et al., 2015")</f>
        <v>73; Papalia et al., 2015</v>
      </c>
    </row>
    <row r="260">
      <c r="A260" s="4">
        <v>73.0</v>
      </c>
      <c r="B260" s="4" t="s">
        <v>123</v>
      </c>
      <c r="C260" s="4" t="str">
        <f>IFERROR(__xludf.DUMMYFUNCTION("join(""; "", A260:B260)"),"73; Papalia et al., 2015")</f>
        <v>73; Papalia et al., 2015</v>
      </c>
    </row>
    <row r="261">
      <c r="A261" s="4">
        <v>73.0</v>
      </c>
      <c r="B261" s="4" t="s">
        <v>123</v>
      </c>
      <c r="C261" s="4" t="str">
        <f>IFERROR(__xludf.DUMMYFUNCTION("join(""; "", A261:B261)"),"73; Papalia et al., 2015")</f>
        <v>73; Papalia et al., 2015</v>
      </c>
    </row>
    <row r="262">
      <c r="A262" s="4">
        <v>76.0</v>
      </c>
      <c r="B262" s="4" t="s">
        <v>125</v>
      </c>
      <c r="C262" s="4" t="str">
        <f>IFERROR(__xludf.DUMMYFUNCTION("join(""; "", A262:B262)"),"76; Pinczewski et al., 2007")</f>
        <v>76; Pinczewski et al., 2007</v>
      </c>
    </row>
    <row r="263">
      <c r="A263" s="4">
        <v>76.0</v>
      </c>
      <c r="B263" s="4" t="s">
        <v>125</v>
      </c>
      <c r="C263" s="4" t="str">
        <f>IFERROR(__xludf.DUMMYFUNCTION("join(""; "", A263:B263)"),"76; Pinczewski et al., 2007")</f>
        <v>76; Pinczewski et al., 2007</v>
      </c>
    </row>
    <row r="264">
      <c r="A264" s="4">
        <v>76.0</v>
      </c>
      <c r="B264" s="4" t="s">
        <v>125</v>
      </c>
      <c r="C264" s="4" t="str">
        <f>IFERROR(__xludf.DUMMYFUNCTION("join(""; "", A264:B264)"),"76; Pinczewski et al., 2007")</f>
        <v>76; Pinczewski et al., 2007</v>
      </c>
    </row>
    <row r="265">
      <c r="A265" s="4">
        <v>76.0</v>
      </c>
      <c r="B265" s="4" t="s">
        <v>125</v>
      </c>
      <c r="C265" s="4" t="str">
        <f>IFERROR(__xludf.DUMMYFUNCTION("join(""; "", A265:B265)"),"76; Pinczewski et al., 2007")</f>
        <v>76; Pinczewski et al., 2007</v>
      </c>
    </row>
    <row r="266">
      <c r="A266" s="4">
        <v>76.0</v>
      </c>
      <c r="B266" s="4" t="s">
        <v>125</v>
      </c>
      <c r="C266" s="4" t="str">
        <f>IFERROR(__xludf.DUMMYFUNCTION("join(""; "", A266:B266)"),"76; Pinczewski et al., 2007")</f>
        <v>76; Pinczewski et al., 2007</v>
      </c>
    </row>
    <row r="267">
      <c r="A267" s="4">
        <v>76.0</v>
      </c>
      <c r="B267" s="4" t="s">
        <v>125</v>
      </c>
      <c r="C267" s="4" t="str">
        <f>IFERROR(__xludf.DUMMYFUNCTION("join(""; "", A267:B267)"),"76; Pinczewski et al., 2007")</f>
        <v>76; Pinczewski et al., 2007</v>
      </c>
    </row>
    <row r="268">
      <c r="A268" s="4">
        <v>76.0</v>
      </c>
      <c r="B268" s="4" t="s">
        <v>125</v>
      </c>
      <c r="C268" s="4" t="str">
        <f>IFERROR(__xludf.DUMMYFUNCTION("join(""; "", A268:B268)"),"76; Pinczewski et al., 2007")</f>
        <v>76; Pinczewski et al., 2007</v>
      </c>
    </row>
    <row r="269">
      <c r="A269" s="4">
        <v>76.0</v>
      </c>
      <c r="B269" s="4" t="s">
        <v>125</v>
      </c>
      <c r="C269" s="4" t="str">
        <f>IFERROR(__xludf.DUMMYFUNCTION("join(""; "", A269:B269)"),"76; Pinczewski et al., 2007")</f>
        <v>76; Pinczewski et al., 2007</v>
      </c>
    </row>
    <row r="270">
      <c r="A270" s="4">
        <v>77.0</v>
      </c>
      <c r="B270" s="4" t="s">
        <v>128</v>
      </c>
      <c r="C270" s="4" t="str">
        <f>IFERROR(__xludf.DUMMYFUNCTION("join(""; "", A270:B270)"),"77; Popovic et al., 2024")</f>
        <v>77; Popovic et al., 2024</v>
      </c>
    </row>
    <row r="271">
      <c r="A271" s="4">
        <v>77.0</v>
      </c>
      <c r="B271" s="4" t="s">
        <v>128</v>
      </c>
      <c r="C271" s="4" t="str">
        <f>IFERROR(__xludf.DUMMYFUNCTION("join(""; "", A271:B271)"),"77; Popovic et al., 2024")</f>
        <v>77; Popovic et al., 2024</v>
      </c>
    </row>
    <row r="272">
      <c r="A272" s="4">
        <v>77.0</v>
      </c>
      <c r="B272" s="4" t="s">
        <v>128</v>
      </c>
      <c r="C272" s="4" t="str">
        <f>IFERROR(__xludf.DUMMYFUNCTION("join(""; "", A272:B272)"),"77; Popovic et al., 2024")</f>
        <v>77; Popovic et al., 2024</v>
      </c>
    </row>
    <row r="273">
      <c r="A273" s="4">
        <v>77.0</v>
      </c>
      <c r="B273" s="4" t="s">
        <v>128</v>
      </c>
      <c r="C273" s="4" t="str">
        <f>IFERROR(__xludf.DUMMYFUNCTION("join(""; "", A273:B273)"),"77; Popovic et al., 2024")</f>
        <v>77; Popovic et al., 2024</v>
      </c>
    </row>
    <row r="274">
      <c r="A274" s="4">
        <v>77.0</v>
      </c>
      <c r="B274" s="4" t="s">
        <v>128</v>
      </c>
      <c r="C274" s="4" t="str">
        <f>IFERROR(__xludf.DUMMYFUNCTION("join(""; "", A274:B274)"),"77; Popovic et al., 2024")</f>
        <v>77; Popovic et al., 2024</v>
      </c>
    </row>
    <row r="275">
      <c r="A275" s="4">
        <v>77.0</v>
      </c>
      <c r="B275" s="4" t="s">
        <v>128</v>
      </c>
      <c r="C275" s="4" t="str">
        <f>IFERROR(__xludf.DUMMYFUNCTION("join(""; "", A275:B275)"),"77; Popovic et al., 2024")</f>
        <v>77; Popovic et al., 2024</v>
      </c>
    </row>
    <row r="276">
      <c r="A276" s="4">
        <v>77.0</v>
      </c>
      <c r="B276" s="4" t="s">
        <v>128</v>
      </c>
      <c r="C276" s="4" t="str">
        <f>IFERROR(__xludf.DUMMYFUNCTION("join(""; "", A276:B276)"),"77; Popovic et al., 2024")</f>
        <v>77; Popovic et al., 2024</v>
      </c>
    </row>
    <row r="277">
      <c r="A277" s="4">
        <v>77.0</v>
      </c>
      <c r="B277" s="4" t="s">
        <v>128</v>
      </c>
      <c r="C277" s="4" t="str">
        <f>IFERROR(__xludf.DUMMYFUNCTION("join(""; "", A277:B277)"),"77; Popovic et al., 2024")</f>
        <v>77; Popovic et al., 2024</v>
      </c>
    </row>
    <row r="278">
      <c r="A278" s="4">
        <v>77.0</v>
      </c>
      <c r="B278" s="4" t="s">
        <v>128</v>
      </c>
      <c r="C278" s="4" t="str">
        <f>IFERROR(__xludf.DUMMYFUNCTION("join(""; "", A278:B278)"),"77; Popovic et al., 2024")</f>
        <v>77; Popovic et al., 2024</v>
      </c>
    </row>
    <row r="279">
      <c r="A279" s="4">
        <v>77.0</v>
      </c>
      <c r="B279" s="4" t="s">
        <v>128</v>
      </c>
      <c r="C279" s="4" t="str">
        <f>IFERROR(__xludf.DUMMYFUNCTION("join(""; "", A279:B279)"),"77; Popovic et al., 2024")</f>
        <v>77; Popovic et al., 2024</v>
      </c>
    </row>
    <row r="280">
      <c r="A280" s="4">
        <v>77.0</v>
      </c>
      <c r="B280" s="4" t="s">
        <v>128</v>
      </c>
      <c r="C280" s="4" t="str">
        <f>IFERROR(__xludf.DUMMYFUNCTION("join(""; "", A280:B280)"),"77; Popovic et al., 2024")</f>
        <v>77; Popovic et al., 2024</v>
      </c>
    </row>
    <row r="281">
      <c r="A281" s="4">
        <v>77.0</v>
      </c>
      <c r="B281" s="4" t="s">
        <v>128</v>
      </c>
      <c r="C281" s="4" t="str">
        <f>IFERROR(__xludf.DUMMYFUNCTION("join(""; "", A281:B281)"),"77; Popovic et al., 2024")</f>
        <v>77; Popovic et al., 2024</v>
      </c>
    </row>
    <row r="282">
      <c r="A282" s="4">
        <v>82.0</v>
      </c>
      <c r="B282" s="4" t="s">
        <v>130</v>
      </c>
      <c r="C282" s="4" t="str">
        <f>IFERROR(__xludf.DUMMYFUNCTION("join(""; "", A282:B282)"),"82; Sajovic et al., 2018")</f>
        <v>82; Sajovic et al., 2018</v>
      </c>
    </row>
    <row r="283">
      <c r="A283" s="4">
        <v>82.0</v>
      </c>
      <c r="B283" s="4" t="s">
        <v>130</v>
      </c>
      <c r="C283" s="4" t="str">
        <f>IFERROR(__xludf.DUMMYFUNCTION("join(""; "", A283:B283)"),"82; Sajovic et al., 2018")</f>
        <v>82; Sajovic et al., 2018</v>
      </c>
    </row>
    <row r="284">
      <c r="A284" s="4">
        <v>82.0</v>
      </c>
      <c r="B284" s="4" t="s">
        <v>130</v>
      </c>
      <c r="C284" s="4" t="str">
        <f>IFERROR(__xludf.DUMMYFUNCTION("join(""; "", A284:B284)"),"82; Sajovic et al., 2018")</f>
        <v>82; Sajovic et al., 2018</v>
      </c>
    </row>
    <row r="285">
      <c r="A285" s="4">
        <v>82.0</v>
      </c>
      <c r="B285" s="4" t="s">
        <v>130</v>
      </c>
      <c r="C285" s="4" t="str">
        <f>IFERROR(__xludf.DUMMYFUNCTION("join(""; "", A285:B285)"),"82; Sajovic et al., 2018")</f>
        <v>82; Sajovic et al., 2018</v>
      </c>
    </row>
    <row r="286">
      <c r="A286" s="4">
        <v>84.0</v>
      </c>
      <c r="B286" s="4" t="s">
        <v>132</v>
      </c>
      <c r="C286" s="4" t="str">
        <f>IFERROR(__xludf.DUMMYFUNCTION("join(""; "", A286:B286)"),"84; Sinding et al., 2020")</f>
        <v>84; Sinding et al., 2020</v>
      </c>
    </row>
    <row r="287">
      <c r="A287" s="4">
        <v>84.0</v>
      </c>
      <c r="B287" s="4" t="s">
        <v>132</v>
      </c>
      <c r="C287" s="4" t="str">
        <f>IFERROR(__xludf.DUMMYFUNCTION("join(""; "", A287:B287)"),"84; Sinding et al., 2020")</f>
        <v>84; Sinding et al., 2020</v>
      </c>
    </row>
    <row r="288">
      <c r="A288" s="4">
        <v>85.0</v>
      </c>
      <c r="B288" s="4" t="s">
        <v>134</v>
      </c>
      <c r="C288" s="4" t="str">
        <f>IFERROR(__xludf.DUMMYFUNCTION("join(""; "", A288:B288)"),"85; Smith et al., 2020")</f>
        <v>85; Smith et al., 2020</v>
      </c>
    </row>
    <row r="289">
      <c r="A289" s="4">
        <v>85.0</v>
      </c>
      <c r="B289" s="4" t="s">
        <v>134</v>
      </c>
      <c r="C289" s="4" t="str">
        <f>IFERROR(__xludf.DUMMYFUNCTION("join(""; "", A289:B289)"),"85; Smith et al., 2020")</f>
        <v>85; Smith et al., 2020</v>
      </c>
    </row>
    <row r="290">
      <c r="A290" s="4">
        <v>85.0</v>
      </c>
      <c r="B290" s="4" t="s">
        <v>134</v>
      </c>
      <c r="C290" s="4" t="str">
        <f>IFERROR(__xludf.DUMMYFUNCTION("join(""; "", A290:B290)"),"85; Smith et al., 2020")</f>
        <v>85; Smith et al., 2020</v>
      </c>
    </row>
    <row r="291">
      <c r="A291" s="4">
        <v>85.0</v>
      </c>
      <c r="B291" s="4" t="s">
        <v>134</v>
      </c>
      <c r="C291" s="4" t="str">
        <f>IFERROR(__xludf.DUMMYFUNCTION("join(""; "", A291:B291)"),"85; Smith et al., 2020")</f>
        <v>85; Smith et al., 2020</v>
      </c>
    </row>
    <row r="292">
      <c r="A292" s="4">
        <v>85.0</v>
      </c>
      <c r="B292" s="4" t="s">
        <v>134</v>
      </c>
      <c r="C292" s="4" t="str">
        <f>IFERROR(__xludf.DUMMYFUNCTION("join(""; "", A292:B292)"),"85; Smith et al., 2020")</f>
        <v>85; Smith et al., 2020</v>
      </c>
    </row>
    <row r="293">
      <c r="A293" s="4">
        <v>85.0</v>
      </c>
      <c r="B293" s="4" t="s">
        <v>134</v>
      </c>
      <c r="C293" s="4" t="str">
        <f>IFERROR(__xludf.DUMMYFUNCTION("join(""; "", A293:B293)"),"85; Smith et al., 2020")</f>
        <v>85; Smith et al., 2020</v>
      </c>
    </row>
    <row r="294">
      <c r="A294" s="4">
        <v>87.0</v>
      </c>
      <c r="B294" s="4" t="s">
        <v>136</v>
      </c>
      <c r="C294" s="4" t="str">
        <f>IFERROR(__xludf.DUMMYFUNCTION("join(""; "", A294:B294)"),"87; Sonnery-cottet et al., 2026")</f>
        <v>87; Sonnery-cottet et al., 2026</v>
      </c>
    </row>
    <row r="295">
      <c r="A295" s="4">
        <v>87.0</v>
      </c>
      <c r="B295" s="4" t="s">
        <v>136</v>
      </c>
      <c r="C295" s="4" t="str">
        <f>IFERROR(__xludf.DUMMYFUNCTION("join(""; "", A295:B295)"),"87; Sonnery-cottet et al., 2026")</f>
        <v>87; Sonnery-cottet et al., 2026</v>
      </c>
    </row>
    <row r="296">
      <c r="A296" s="4">
        <v>87.0</v>
      </c>
      <c r="B296" s="4" t="s">
        <v>136</v>
      </c>
      <c r="C296" s="4" t="str">
        <f>IFERROR(__xludf.DUMMYFUNCTION("join(""; "", A296:B296)"),"87; Sonnery-cottet et al., 2026")</f>
        <v>87; Sonnery-cottet et al., 2026</v>
      </c>
    </row>
    <row r="297">
      <c r="A297" s="4">
        <v>87.0</v>
      </c>
      <c r="B297" s="4" t="s">
        <v>136</v>
      </c>
      <c r="C297" s="4" t="str">
        <f>IFERROR(__xludf.DUMMYFUNCTION("join(""; "", A297:B297)"),"87; Sonnery-cottet et al., 2026")</f>
        <v>87; Sonnery-cottet et al., 2026</v>
      </c>
    </row>
    <row r="298">
      <c r="A298" s="4">
        <v>87.0</v>
      </c>
      <c r="B298" s="4" t="s">
        <v>136</v>
      </c>
      <c r="C298" s="4" t="str">
        <f>IFERROR(__xludf.DUMMYFUNCTION("join(""; "", A298:B298)"),"87; Sonnery-cottet et al., 2026")</f>
        <v>87; Sonnery-cottet et al., 2026</v>
      </c>
    </row>
    <row r="299">
      <c r="A299" s="4">
        <v>87.0</v>
      </c>
      <c r="B299" s="4" t="s">
        <v>136</v>
      </c>
      <c r="C299" s="4" t="str">
        <f>IFERROR(__xludf.DUMMYFUNCTION("join(""; "", A299:B299)"),"87; Sonnery-cottet et al., 2026")</f>
        <v>87; Sonnery-cottet et al., 2026</v>
      </c>
    </row>
    <row r="300">
      <c r="A300" s="4">
        <v>87.0</v>
      </c>
      <c r="B300" s="4" t="s">
        <v>136</v>
      </c>
      <c r="C300" s="4" t="str">
        <f>IFERROR(__xludf.DUMMYFUNCTION("join(""; "", A300:B300)"),"87; Sonnery-cottet et al., 2026")</f>
        <v>87; Sonnery-cottet et al., 2026</v>
      </c>
    </row>
    <row r="301">
      <c r="A301" s="4">
        <v>87.0</v>
      </c>
      <c r="B301" s="4" t="s">
        <v>136</v>
      </c>
      <c r="C301" s="4" t="str">
        <f>IFERROR(__xludf.DUMMYFUNCTION("join(""; "", A301:B301)"),"87; Sonnery-cottet et al., 2026")</f>
        <v>87; Sonnery-cottet et al., 2026</v>
      </c>
    </row>
    <row r="302">
      <c r="A302" s="4">
        <v>87.0</v>
      </c>
      <c r="B302" s="4" t="s">
        <v>136</v>
      </c>
      <c r="C302" s="4" t="str">
        <f>IFERROR(__xludf.DUMMYFUNCTION("join(""; "", A302:B302)"),"87; Sonnery-cottet et al., 2026")</f>
        <v>87; Sonnery-cottet et al., 2026</v>
      </c>
    </row>
    <row r="303">
      <c r="A303" s="4">
        <v>87.0</v>
      </c>
      <c r="B303" s="4" t="s">
        <v>136</v>
      </c>
      <c r="C303" s="4" t="str">
        <f>IFERROR(__xludf.DUMMYFUNCTION("join(""; "", A303:B303)"),"87; Sonnery-cottet et al., 2026")</f>
        <v>87; Sonnery-cottet et al., 2026</v>
      </c>
    </row>
    <row r="304">
      <c r="A304" s="4">
        <v>89.0</v>
      </c>
      <c r="B304" s="4" t="s">
        <v>139</v>
      </c>
      <c r="C304" s="4" t="str">
        <f>IFERROR(__xludf.DUMMYFUNCTION("join(""; "", A304:B304)"),"89; Tang et al., 2023")</f>
        <v>89; Tang et al., 2023</v>
      </c>
    </row>
    <row r="305">
      <c r="A305" s="4">
        <v>89.0</v>
      </c>
      <c r="B305" s="4" t="s">
        <v>139</v>
      </c>
      <c r="C305" s="4" t="str">
        <f>IFERROR(__xludf.DUMMYFUNCTION("join(""; "", A305:B305)"),"89; Tang et al., 2023")</f>
        <v>89; Tang et al., 2023</v>
      </c>
    </row>
    <row r="306">
      <c r="A306" s="4">
        <v>89.0</v>
      </c>
      <c r="B306" s="4" t="s">
        <v>139</v>
      </c>
      <c r="C306" s="4" t="str">
        <f>IFERROR(__xludf.DUMMYFUNCTION("join(""; "", A306:B306)"),"89; Tang et al., 2023")</f>
        <v>89; Tang et al., 2023</v>
      </c>
    </row>
    <row r="307">
      <c r="A307" s="4">
        <v>89.0</v>
      </c>
      <c r="B307" s="4" t="s">
        <v>139</v>
      </c>
      <c r="C307" s="4" t="str">
        <f>IFERROR(__xludf.DUMMYFUNCTION("join(""; "", A307:B307)"),"89; Tang et al., 2023")</f>
        <v>89; Tang et al., 2023</v>
      </c>
    </row>
    <row r="308">
      <c r="A308" s="4">
        <v>90.0</v>
      </c>
      <c r="B308" s="4" t="s">
        <v>141</v>
      </c>
      <c r="C308" s="4" t="str">
        <f>IFERROR(__xludf.DUMMYFUNCTION("join(""; "", A308:B308)"),"90; Taylor et al., 2009")</f>
        <v>90; Taylor et al., 2009</v>
      </c>
    </row>
    <row r="309">
      <c r="A309" s="4">
        <v>90.0</v>
      </c>
      <c r="B309" s="4" t="s">
        <v>141</v>
      </c>
      <c r="C309" s="4" t="str">
        <f>IFERROR(__xludf.DUMMYFUNCTION("join(""; "", A309:B309)"),"90; Taylor et al., 2009")</f>
        <v>90; Taylor et al., 2009</v>
      </c>
    </row>
    <row r="310">
      <c r="A310" s="4">
        <v>90.0</v>
      </c>
      <c r="B310" s="4" t="s">
        <v>141</v>
      </c>
      <c r="C310" s="4" t="str">
        <f>IFERROR(__xludf.DUMMYFUNCTION("join(""; "", A310:B310)"),"90; Taylor et al., 2009")</f>
        <v>90; Taylor et al., 2009</v>
      </c>
    </row>
    <row r="311">
      <c r="A311" s="4">
        <v>90.0</v>
      </c>
      <c r="B311" s="4" t="s">
        <v>141</v>
      </c>
      <c r="C311" s="4" t="str">
        <f>IFERROR(__xludf.DUMMYFUNCTION("join(""; "", A311:B311)"),"90; Taylor et al., 2009")</f>
        <v>90; Taylor et al., 2009</v>
      </c>
    </row>
    <row r="312">
      <c r="A312" s="4">
        <v>90.0</v>
      </c>
      <c r="B312" s="4" t="s">
        <v>141</v>
      </c>
      <c r="C312" s="4" t="str">
        <f>IFERROR(__xludf.DUMMYFUNCTION("join(""; "", A312:B312)"),"90; Taylor et al., 2009")</f>
        <v>90; Taylor et al., 2009</v>
      </c>
    </row>
    <row r="313">
      <c r="A313" s="4">
        <v>90.0</v>
      </c>
      <c r="B313" s="4" t="s">
        <v>141</v>
      </c>
      <c r="C313" s="4" t="str">
        <f>IFERROR(__xludf.DUMMYFUNCTION("join(""; "", A313:B313)"),"90; Taylor et al., 2009")</f>
        <v>90; Taylor et al., 2009</v>
      </c>
    </row>
    <row r="314">
      <c r="A314" s="4">
        <v>93.0</v>
      </c>
      <c r="B314" s="4" t="s">
        <v>143</v>
      </c>
      <c r="C314" s="4" t="str">
        <f>IFERROR(__xludf.DUMMYFUNCTION("join(""; "", A314:B314)"),"93; Vilchez-cavazos et al., 2020")</f>
        <v>93; Vilchez-cavazos et al., 2020</v>
      </c>
    </row>
    <row r="315">
      <c r="A315" s="4">
        <v>93.0</v>
      </c>
      <c r="B315" s="4" t="s">
        <v>143</v>
      </c>
      <c r="C315" s="4" t="str">
        <f>IFERROR(__xludf.DUMMYFUNCTION("join(""; "", A315:B315)"),"93; Vilchez-cavazos et al., 2020")</f>
        <v>93; Vilchez-cavazos et al., 2020</v>
      </c>
    </row>
    <row r="316">
      <c r="A316" s="4">
        <v>93.0</v>
      </c>
      <c r="B316" s="4" t="s">
        <v>143</v>
      </c>
      <c r="C316" s="4" t="str">
        <f>IFERROR(__xludf.DUMMYFUNCTION("join(""; "", A316:B316)"),"93; Vilchez-cavazos et al., 2020")</f>
        <v>93; Vilchez-cavazos et al., 2020</v>
      </c>
    </row>
    <row r="317">
      <c r="A317" s="4">
        <v>93.0</v>
      </c>
      <c r="B317" s="4" t="s">
        <v>143</v>
      </c>
      <c r="C317" s="4" t="str">
        <f>IFERROR(__xludf.DUMMYFUNCTION("join(""; "", A317:B317)"),"93; Vilchez-cavazos et al., 2020")</f>
        <v>93; Vilchez-cavazos et al., 2020</v>
      </c>
    </row>
    <row r="318">
      <c r="A318" s="4">
        <v>95.0</v>
      </c>
      <c r="B318" s="4" t="s">
        <v>145</v>
      </c>
      <c r="C318" s="4" t="str">
        <f>IFERROR(__xludf.DUMMYFUNCTION("join(""; "", A318:B318)"),"95; Webster et al., 2001")</f>
        <v>95; Webster et al., 2001</v>
      </c>
    </row>
    <row r="319">
      <c r="A319" s="4">
        <v>95.0</v>
      </c>
      <c r="B319" s="4" t="s">
        <v>145</v>
      </c>
      <c r="C319" s="4" t="str">
        <f>IFERROR(__xludf.DUMMYFUNCTION("join(""; "", A319:B319)"),"95; Webster et al., 2001")</f>
        <v>95; Webster et al., 2001</v>
      </c>
    </row>
    <row r="320">
      <c r="A320" s="4">
        <v>96.0</v>
      </c>
      <c r="B320" s="4" t="s">
        <v>147</v>
      </c>
      <c r="C320" s="4" t="str">
        <f>IFERROR(__xludf.DUMMYFUNCTION("join(""; "", A320:B320)"),"96; Wipfler et al., 2011")</f>
        <v>96; Wipfler et al., 2011</v>
      </c>
    </row>
    <row r="321">
      <c r="A321" s="4">
        <v>96.0</v>
      </c>
      <c r="B321" s="4" t="s">
        <v>147</v>
      </c>
      <c r="C321" s="4" t="str">
        <f>IFERROR(__xludf.DUMMYFUNCTION("join(""; "", A321:B321)"),"96; Wipfler et al., 2011")</f>
        <v>96; Wipfler et al., 2011</v>
      </c>
    </row>
    <row r="322">
      <c r="A322" s="4">
        <v>96.0</v>
      </c>
      <c r="B322" s="4" t="s">
        <v>147</v>
      </c>
      <c r="C322" s="4" t="str">
        <f>IFERROR(__xludf.DUMMYFUNCTION("join(""; "", A322:B322)"),"96; Wipfler et al., 2011")</f>
        <v>96; Wipfler et al., 2011</v>
      </c>
    </row>
    <row r="323">
      <c r="A323" s="4">
        <v>96.0</v>
      </c>
      <c r="B323" s="4" t="s">
        <v>147</v>
      </c>
      <c r="C323" s="4" t="str">
        <f>IFERROR(__xludf.DUMMYFUNCTION("join(""; "", A323:B323)"),"96; Wipfler et al., 2011")</f>
        <v>96; Wipfler et al., 2011</v>
      </c>
    </row>
    <row r="324">
      <c r="A324" s="4">
        <v>96.0</v>
      </c>
      <c r="B324" s="4" t="s">
        <v>147</v>
      </c>
      <c r="C324" s="4" t="str">
        <f>IFERROR(__xludf.DUMMYFUNCTION("join(""; "", A324:B324)"),"96; Wipfler et al., 2011")</f>
        <v>96; Wipfler et al., 2011</v>
      </c>
    </row>
    <row r="325">
      <c r="A325" s="4">
        <v>96.0</v>
      </c>
      <c r="B325" s="4" t="s">
        <v>147</v>
      </c>
      <c r="C325" s="4" t="str">
        <f>IFERROR(__xludf.DUMMYFUNCTION("join(""; "", A325:B325)"),"96; Wipfler et al., 2011")</f>
        <v>96; Wipfler et al., 2011</v>
      </c>
    </row>
    <row r="326">
      <c r="A326" s="4">
        <v>96.0</v>
      </c>
      <c r="B326" s="4" t="s">
        <v>147</v>
      </c>
      <c r="C326" s="4" t="str">
        <f>IFERROR(__xludf.DUMMYFUNCTION("join(""; "", A326:B326)"),"96; Wipfler et al., 2011")</f>
        <v>96; Wipfler et al., 2011</v>
      </c>
    </row>
    <row r="327">
      <c r="A327" s="4">
        <v>96.0</v>
      </c>
      <c r="B327" s="4" t="s">
        <v>147</v>
      </c>
      <c r="C327" s="4" t="str">
        <f>IFERROR(__xludf.DUMMYFUNCTION("join(""; "", A327:B327)"),"96; Wipfler et al., 2011")</f>
        <v>96; Wipfler et al., 2011</v>
      </c>
    </row>
    <row r="328">
      <c r="A328" s="4">
        <v>96.0</v>
      </c>
      <c r="B328" s="4" t="s">
        <v>147</v>
      </c>
      <c r="C328" s="4" t="str">
        <f>IFERROR(__xludf.DUMMYFUNCTION("join(""; "", A328:B328)"),"96; Wipfler et al., 2011")</f>
        <v>96; Wipfler et al., 2011</v>
      </c>
    </row>
    <row r="329">
      <c r="A329" s="4">
        <v>96.0</v>
      </c>
      <c r="B329" s="4" t="s">
        <v>147</v>
      </c>
      <c r="C329" s="4" t="str">
        <f>IFERROR(__xludf.DUMMYFUNCTION("join(""; "", A329:B329)"),"96; Wipfler et al., 2011")</f>
        <v>96; Wipfler et al., 2011</v>
      </c>
    </row>
    <row r="330">
      <c r="A330" s="4">
        <v>97.0</v>
      </c>
      <c r="B330" s="4" t="s">
        <v>149</v>
      </c>
      <c r="C330" s="4" t="str">
        <f>IFERROR(__xludf.DUMMYFUNCTION("join(""; "", A330:B330)"),"97; Yadav et al., 2025")</f>
        <v>97; Yadav et al., 2025</v>
      </c>
    </row>
    <row r="331">
      <c r="A331" s="4">
        <v>97.0</v>
      </c>
      <c r="B331" s="4" t="s">
        <v>149</v>
      </c>
      <c r="C331" s="4" t="str">
        <f>IFERROR(__xludf.DUMMYFUNCTION("join(""; "", A331:B331)"),"97; Yadav et al., 2025")</f>
        <v>97; Yadav et al., 2025</v>
      </c>
    </row>
    <row r="332">
      <c r="A332" s="4">
        <v>97.0</v>
      </c>
      <c r="B332" s="4" t="s">
        <v>149</v>
      </c>
      <c r="C332" s="4" t="str">
        <f>IFERROR(__xludf.DUMMYFUNCTION("join(""; "", A332:B332)"),"97; Yadav et al., 2025")</f>
        <v>97; Yadav et al., 2025</v>
      </c>
    </row>
    <row r="333">
      <c r="A333" s="4">
        <v>97.0</v>
      </c>
      <c r="B333" s="4" t="s">
        <v>149</v>
      </c>
      <c r="C333" s="4" t="str">
        <f>IFERROR(__xludf.DUMMYFUNCTION("join(""; "", A333:B333)"),"97; Yadav et al., 2025")</f>
        <v>97; Yadav et al., 2025</v>
      </c>
    </row>
    <row r="334">
      <c r="A334" s="4">
        <v>97.0</v>
      </c>
      <c r="B334" s="4" t="s">
        <v>149</v>
      </c>
      <c r="C334" s="4" t="str">
        <f>IFERROR(__xludf.DUMMYFUNCTION("join(""; "", A334:B334)"),"97; Yadav et al., 2025")</f>
        <v>97; Yadav et al., 2025</v>
      </c>
    </row>
    <row r="335">
      <c r="A335" s="4">
        <v>97.0</v>
      </c>
      <c r="B335" s="4" t="s">
        <v>149</v>
      </c>
      <c r="C335" s="4" t="str">
        <f>IFERROR(__xludf.DUMMYFUNCTION("join(""; "", A335:B335)"),"97; Yadav et al., 2025")</f>
        <v>97; Yadav et al., 2025</v>
      </c>
    </row>
    <row r="336">
      <c r="A336" s="4">
        <v>97.0</v>
      </c>
      <c r="B336" s="4" t="s">
        <v>149</v>
      </c>
      <c r="C336" s="4" t="str">
        <f>IFERROR(__xludf.DUMMYFUNCTION("join(""; "", A336:B336)"),"97; Yadav et al., 2025")</f>
        <v>97; Yadav et al., 2025</v>
      </c>
    </row>
    <row r="337">
      <c r="A337" s="4">
        <v>97.0</v>
      </c>
      <c r="B337" s="4" t="s">
        <v>149</v>
      </c>
      <c r="C337" s="4" t="str">
        <f>IFERROR(__xludf.DUMMYFUNCTION("join(""; "", A337:B337)"),"97; Yadav et al., 2025")</f>
        <v>97; Yadav et al., 2025</v>
      </c>
    </row>
    <row r="338">
      <c r="A338" s="4">
        <v>98.0</v>
      </c>
      <c r="B338" s="4" t="s">
        <v>152</v>
      </c>
      <c r="C338" s="4" t="str">
        <f>IFERROR(__xludf.DUMMYFUNCTION("join(""; "", A338:B338)"),"98; Yoo et al., 2017")</f>
        <v>98; Yoo et al., 2017</v>
      </c>
    </row>
    <row r="339">
      <c r="A339" s="4">
        <v>98.0</v>
      </c>
      <c r="B339" s="4" t="s">
        <v>152</v>
      </c>
      <c r="C339" s="4" t="str">
        <f>IFERROR(__xludf.DUMMYFUNCTION("join(""; "", A339:B339)"),"98; Yoo et al., 2017")</f>
        <v>98; Yoo et al., 2017</v>
      </c>
    </row>
    <row r="340">
      <c r="A340" s="4">
        <v>98.0</v>
      </c>
      <c r="B340" s="4" t="s">
        <v>152</v>
      </c>
      <c r="C340" s="4" t="str">
        <f>IFERROR(__xludf.DUMMYFUNCTION("join(""; "", A340:B340)"),"98; Yoo et al., 2017")</f>
        <v>98; Yoo et al., 2017</v>
      </c>
    </row>
    <row r="341">
      <c r="A341" s="4">
        <v>98.0</v>
      </c>
      <c r="B341" s="4" t="s">
        <v>152</v>
      </c>
      <c r="C341" s="4" t="str">
        <f>IFERROR(__xludf.DUMMYFUNCTION("join(""; "", A341:B341)"),"98; Yoo et al., 2017")</f>
        <v>98; Yoo et al., 2017</v>
      </c>
    </row>
    <row r="342">
      <c r="A342" s="4">
        <v>98.0</v>
      </c>
      <c r="B342" s="4" t="s">
        <v>152</v>
      </c>
      <c r="C342" s="4" t="str">
        <f>IFERROR(__xludf.DUMMYFUNCTION("join(""; "", A342:B342)"),"98; Yoo et al., 2017")</f>
        <v>98; Yoo et al., 2017</v>
      </c>
    </row>
    <row r="343">
      <c r="A343" s="4">
        <v>98.0</v>
      </c>
      <c r="B343" s="4" t="s">
        <v>152</v>
      </c>
      <c r="C343" s="4" t="str">
        <f>IFERROR(__xludf.DUMMYFUNCTION("join(""; "", A343:B343)"),"98; Yoo et al., 2017")</f>
        <v>98; Yoo et al., 2017</v>
      </c>
    </row>
    <row r="344">
      <c r="A344" s="4">
        <v>98.0</v>
      </c>
      <c r="B344" s="4" t="s">
        <v>152</v>
      </c>
      <c r="C344" s="4" t="str">
        <f>IFERROR(__xludf.DUMMYFUNCTION("join(""; "", A344:B344)"),"98; Yoo et al., 2017")</f>
        <v>98; Yoo et al., 2017</v>
      </c>
    </row>
    <row r="345">
      <c r="A345" s="4">
        <v>98.0</v>
      </c>
      <c r="B345" s="4" t="s">
        <v>152</v>
      </c>
      <c r="C345" s="4" t="str">
        <f>IFERROR(__xludf.DUMMYFUNCTION("join(""; "", A345:B345)"),"98; Yoo et al., 2017")</f>
        <v>98; Yoo et al., 2017</v>
      </c>
    </row>
    <row r="346">
      <c r="A346" s="4">
        <v>100.0</v>
      </c>
      <c r="B346" s="4" t="s">
        <v>154</v>
      </c>
      <c r="C346" s="4" t="str">
        <f>IFERROR(__xludf.DUMMYFUNCTION("join(""; "", A346:B346)"),"100; Zaffagnini et al., 2011")</f>
        <v>100; Zaffagnini et al., 2011</v>
      </c>
    </row>
    <row r="347">
      <c r="A347" s="4">
        <v>100.0</v>
      </c>
      <c r="B347" s="4" t="s">
        <v>154</v>
      </c>
      <c r="C347" s="4" t="str">
        <f>IFERROR(__xludf.DUMMYFUNCTION("join(""; "", A347:B347)"),"100; Zaffagnini et al., 2011")</f>
        <v>100; Zaffagnini et al., 2011</v>
      </c>
    </row>
    <row r="348">
      <c r="A348" s="4">
        <v>100.0</v>
      </c>
      <c r="B348" s="4" t="s">
        <v>154</v>
      </c>
      <c r="C348" s="4" t="str">
        <f>IFERROR(__xludf.DUMMYFUNCTION("join(""; "", A348:B348)"),"100; Zaffagnini et al., 2011")</f>
        <v>100; Zaffagnini et al., 2011</v>
      </c>
    </row>
    <row r="349">
      <c r="A349" s="4">
        <v>100.0</v>
      </c>
      <c r="B349" s="4" t="s">
        <v>154</v>
      </c>
      <c r="C349" s="4" t="str">
        <f>IFERROR(__xludf.DUMMYFUNCTION("join(""; "", A349:B349)"),"100; Zaffagnini et al., 2011")</f>
        <v>100; Zaffagnini et al., 2011</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3.5"/>
    <col customWidth="1" min="2" max="2" width="21.0"/>
    <col customWidth="1" min="3" max="3" width="9.88"/>
    <col customWidth="1" min="4" max="4" width="19.75"/>
    <col customWidth="1" min="5" max="5" width="3.63"/>
    <col customWidth="1" min="6" max="6" width="5.5"/>
    <col customWidth="1" min="7" max="7" width="5.13"/>
    <col customWidth="1" min="8" max="8" width="4.0"/>
    <col customWidth="1" min="9" max="9" width="2.88"/>
    <col customWidth="1" min="10" max="10" width="7.0"/>
    <col customWidth="1" min="11" max="11" width="3.63"/>
    <col customWidth="1" min="12" max="12" width="4.38"/>
  </cols>
  <sheetData>
    <row r="1">
      <c r="A1" s="2" t="s">
        <v>0</v>
      </c>
      <c r="B1" s="5" t="s">
        <v>3</v>
      </c>
      <c r="C1" s="2" t="s">
        <v>4</v>
      </c>
      <c r="D1" s="5" t="s">
        <v>5</v>
      </c>
      <c r="E1" s="2" t="s">
        <v>9</v>
      </c>
      <c r="F1" s="11" t="s">
        <v>10</v>
      </c>
      <c r="G1" s="11" t="s">
        <v>18</v>
      </c>
      <c r="H1" s="2" t="s">
        <v>13</v>
      </c>
      <c r="I1" s="2" t="s">
        <v>14</v>
      </c>
      <c r="J1" s="2" t="s">
        <v>15</v>
      </c>
      <c r="K1" s="2" t="s">
        <v>19</v>
      </c>
      <c r="L1" s="2" t="s">
        <v>20</v>
      </c>
    </row>
    <row r="2">
      <c r="A2" s="15">
        <v>1.0</v>
      </c>
      <c r="B2" s="17" t="str">
        <f t="shared" ref="B2:B3" si="1">HYPERLINK("https://github.com/d-wkim/phd/blob/main/data/pdf/ageberg_2009.pdf","Ageberg et al., 2009")</f>
        <v>Ageberg et al., 2009</v>
      </c>
      <c r="C2" s="9" t="s">
        <v>42</v>
      </c>
      <c r="D2" s="19" t="s">
        <v>319</v>
      </c>
      <c r="E2" s="9">
        <v>16.0</v>
      </c>
      <c r="F2" s="13">
        <f t="shared" ref="F2:F3" si="2">iferror(MEDIAN_MEAN(E2,H2,J2,L2),"")</f>
        <v>4.166666667</v>
      </c>
      <c r="G2" s="13">
        <f t="shared" ref="G2:G7" si="3">iferror(RANGE_SD(E2,H2,L2),"")</f>
        <v>1.413</v>
      </c>
      <c r="H2" s="9">
        <v>2.0</v>
      </c>
      <c r="I2" s="15"/>
      <c r="J2" s="9">
        <v>4.0</v>
      </c>
      <c r="K2" s="15"/>
      <c r="L2" s="9">
        <v>7.0</v>
      </c>
    </row>
    <row r="3">
      <c r="A3" s="15">
        <v>1.0</v>
      </c>
      <c r="B3" s="17" t="str">
        <f t="shared" si="1"/>
        <v>Ageberg et al., 2009</v>
      </c>
      <c r="C3" s="9" t="s">
        <v>84</v>
      </c>
      <c r="D3" s="19" t="s">
        <v>319</v>
      </c>
      <c r="E3" s="9">
        <v>20.0</v>
      </c>
      <c r="F3" s="13">
        <f t="shared" si="2"/>
        <v>3.14861694</v>
      </c>
      <c r="G3" s="13">
        <f t="shared" si="3"/>
        <v>1.338</v>
      </c>
      <c r="H3" s="9">
        <v>1.0</v>
      </c>
      <c r="I3" s="15"/>
      <c r="J3" s="9">
        <v>3.0</v>
      </c>
      <c r="K3" s="15"/>
      <c r="L3" s="9">
        <v>6.0</v>
      </c>
    </row>
    <row r="4">
      <c r="A4" s="15">
        <v>2.0</v>
      </c>
      <c r="B4" s="17" t="str">
        <f t="shared" ref="B4:B5" si="4">HYPERLINK("https://github.com/d-wkim/phd/blob/main/data/pdf/aglietti_2004.pdf","Aglietti et al., 2004")</f>
        <v>Aglietti et al., 2004</v>
      </c>
      <c r="C4" s="9" t="s">
        <v>42</v>
      </c>
      <c r="D4" s="7" t="s">
        <v>317</v>
      </c>
      <c r="E4" s="9">
        <v>60.0</v>
      </c>
      <c r="F4" s="13">
        <v>2.2</v>
      </c>
      <c r="G4" s="13">
        <f t="shared" si="3"/>
        <v>1.081</v>
      </c>
      <c r="H4" s="9">
        <v>0.0</v>
      </c>
      <c r="I4" s="15"/>
      <c r="J4" s="15"/>
      <c r="K4" s="15"/>
      <c r="L4" s="9">
        <v>5.0</v>
      </c>
    </row>
    <row r="5">
      <c r="A5" s="15">
        <v>2.0</v>
      </c>
      <c r="B5" s="17" t="str">
        <f t="shared" si="4"/>
        <v>Aglietti et al., 2004</v>
      </c>
      <c r="C5" s="9" t="s">
        <v>84</v>
      </c>
      <c r="D5" s="7" t="s">
        <v>317</v>
      </c>
      <c r="E5" s="9">
        <v>60.0</v>
      </c>
      <c r="F5" s="13">
        <v>1.95</v>
      </c>
      <c r="G5" s="13">
        <f t="shared" si="3"/>
        <v>1.297</v>
      </c>
      <c r="H5" s="9">
        <v>-1.0</v>
      </c>
      <c r="I5" s="15"/>
      <c r="J5" s="15"/>
      <c r="K5" s="15"/>
      <c r="L5" s="9">
        <v>5.0</v>
      </c>
    </row>
    <row r="6">
      <c r="A6" s="15">
        <v>3.0</v>
      </c>
      <c r="B6" s="17" t="str">
        <f t="shared" ref="B6:B11" si="5">HYPERLINK("https://github.com/d-wkim/phd/blob/main/data/pdf/ahldén_2009.pdf","Ahldén et al., 2009")</f>
        <v>Ahldén et al., 2009</v>
      </c>
      <c r="C6" s="9" t="s">
        <v>42</v>
      </c>
      <c r="D6" s="19" t="s">
        <v>371</v>
      </c>
      <c r="E6" s="9">
        <v>25.0</v>
      </c>
      <c r="F6" s="13">
        <f t="shared" ref="F6:F7" si="6">iferror(MEDIAN_MEAN(E6,H6,J6,L6),"")</f>
        <v>80.69979059</v>
      </c>
      <c r="G6" s="13">
        <f t="shared" si="3"/>
        <v>21.637</v>
      </c>
      <c r="H6" s="9">
        <v>15.0</v>
      </c>
      <c r="I6" s="15"/>
      <c r="J6" s="9">
        <v>89.0</v>
      </c>
      <c r="K6" s="15"/>
      <c r="L6" s="9">
        <v>100.0</v>
      </c>
    </row>
    <row r="7">
      <c r="A7" s="15">
        <v>3.0</v>
      </c>
      <c r="B7" s="17" t="str">
        <f t="shared" si="5"/>
        <v>Ahldén et al., 2009</v>
      </c>
      <c r="C7" s="9" t="s">
        <v>42</v>
      </c>
      <c r="D7" s="7" t="s">
        <v>319</v>
      </c>
      <c r="E7" s="9">
        <v>25.0</v>
      </c>
      <c r="F7" s="13">
        <f t="shared" si="6"/>
        <v>4.868250644</v>
      </c>
      <c r="G7" s="13">
        <f t="shared" si="3"/>
        <v>2.291</v>
      </c>
      <c r="H7" s="9">
        <v>0.0</v>
      </c>
      <c r="I7" s="15"/>
      <c r="J7" s="9">
        <v>5.0</v>
      </c>
      <c r="K7" s="15"/>
      <c r="L7" s="9">
        <v>9.0</v>
      </c>
    </row>
    <row r="8">
      <c r="A8" s="15">
        <v>3.0</v>
      </c>
      <c r="B8" s="17" t="str">
        <f t="shared" si="5"/>
        <v>Ahldén et al., 2009</v>
      </c>
      <c r="C8" s="9" t="s">
        <v>42</v>
      </c>
      <c r="D8" s="7" t="s">
        <v>317</v>
      </c>
      <c r="E8" s="9">
        <v>25.0</v>
      </c>
      <c r="F8" s="13">
        <v>2.6</v>
      </c>
      <c r="G8" s="13">
        <v>3.3</v>
      </c>
      <c r="H8" s="15"/>
      <c r="I8" s="15"/>
      <c r="J8" s="15"/>
      <c r="K8" s="15"/>
      <c r="L8" s="15"/>
    </row>
    <row r="9">
      <c r="A9" s="15">
        <v>3.0</v>
      </c>
      <c r="B9" s="17" t="str">
        <f t="shared" si="5"/>
        <v>Ahldén et al., 2009</v>
      </c>
      <c r="C9" s="9" t="s">
        <v>84</v>
      </c>
      <c r="D9" s="19" t="s">
        <v>371</v>
      </c>
      <c r="E9" s="9">
        <v>22.0</v>
      </c>
      <c r="F9" s="13">
        <f t="shared" ref="F9:F10" si="7">iferror(MEDIAN_MEAN(E9,H9,J9,L9),"")</f>
        <v>79.16360913</v>
      </c>
      <c r="G9" s="13">
        <f t="shared" ref="G9:G10" si="8">iferror(RANGE_SD(E9,H9,L9),"")</f>
        <v>13.353</v>
      </c>
      <c r="H9" s="9">
        <v>49.0</v>
      </c>
      <c r="I9" s="15"/>
      <c r="J9" s="9">
        <v>81.0</v>
      </c>
      <c r="K9" s="15"/>
      <c r="L9" s="9">
        <v>100.0</v>
      </c>
    </row>
    <row r="10">
      <c r="A10" s="15">
        <v>3.0</v>
      </c>
      <c r="B10" s="17" t="str">
        <f t="shared" si="5"/>
        <v>Ahldén et al., 2009</v>
      </c>
      <c r="C10" s="9" t="s">
        <v>84</v>
      </c>
      <c r="D10" s="7" t="s">
        <v>319</v>
      </c>
      <c r="E10" s="9">
        <v>22.0</v>
      </c>
      <c r="F10" s="13">
        <f t="shared" si="7"/>
        <v>4.858739164</v>
      </c>
      <c r="G10" s="13">
        <f t="shared" si="8"/>
        <v>1.309</v>
      </c>
      <c r="H10" s="9">
        <v>2.0</v>
      </c>
      <c r="I10" s="15"/>
      <c r="J10" s="9">
        <v>5.0</v>
      </c>
      <c r="K10" s="15"/>
      <c r="L10" s="9">
        <v>7.0</v>
      </c>
    </row>
    <row r="11">
      <c r="A11" s="15">
        <v>3.0</v>
      </c>
      <c r="B11" s="17" t="str">
        <f t="shared" si="5"/>
        <v>Ahldén et al., 2009</v>
      </c>
      <c r="C11" s="9" t="s">
        <v>84</v>
      </c>
      <c r="D11" s="7" t="s">
        <v>317</v>
      </c>
      <c r="E11" s="9">
        <v>22.0</v>
      </c>
      <c r="F11" s="13">
        <v>1.4</v>
      </c>
      <c r="G11" s="13">
        <v>2.6</v>
      </c>
      <c r="H11" s="15"/>
      <c r="I11" s="15"/>
      <c r="J11" s="15"/>
      <c r="K11" s="15"/>
      <c r="L11" s="15"/>
    </row>
    <row r="12">
      <c r="A12" s="15">
        <v>5.0</v>
      </c>
      <c r="B12" s="17" t="str">
        <f t="shared" ref="B12:B13" si="9">HYPERLINK("https://github.com/d-wkim/phd/blob/main/data/pdf/anderson_2001.pdf","Anderson et al., 2001")</f>
        <v>Anderson et al., 2001</v>
      </c>
      <c r="C12" s="9" t="s">
        <v>42</v>
      </c>
      <c r="D12" s="7" t="s">
        <v>317</v>
      </c>
      <c r="E12" s="9">
        <v>35.0</v>
      </c>
      <c r="F12" s="13">
        <v>2.1</v>
      </c>
      <c r="G12" s="13">
        <v>2.0</v>
      </c>
      <c r="H12" s="15"/>
      <c r="I12" s="15"/>
      <c r="J12" s="15"/>
      <c r="K12" s="15"/>
      <c r="L12" s="15"/>
    </row>
    <row r="13">
      <c r="A13" s="15">
        <v>5.0</v>
      </c>
      <c r="B13" s="17" t="str">
        <f t="shared" si="9"/>
        <v>Anderson et al., 2001</v>
      </c>
      <c r="C13" s="9" t="s">
        <v>84</v>
      </c>
      <c r="D13" s="7" t="s">
        <v>317</v>
      </c>
      <c r="E13" s="9">
        <v>33.0</v>
      </c>
      <c r="F13" s="13">
        <v>3.1</v>
      </c>
      <c r="G13" s="13">
        <v>2.3</v>
      </c>
      <c r="H13" s="15"/>
      <c r="I13" s="15"/>
      <c r="J13" s="15"/>
      <c r="K13" s="15"/>
      <c r="L13" s="15"/>
    </row>
    <row r="14">
      <c r="A14" s="15">
        <v>7.0</v>
      </c>
      <c r="B14" s="17" t="str">
        <f t="shared" ref="B14:B15" si="10">HYPERLINK("https://github.com/d-wkim/phd/blob/main/data/pdf/aune_2001.pdf","Aune et al., 2001")</f>
        <v>Aune et al., 2001</v>
      </c>
      <c r="C14" s="9" t="s">
        <v>42</v>
      </c>
      <c r="D14" s="7" t="s">
        <v>317</v>
      </c>
      <c r="E14" s="9">
        <v>32.0</v>
      </c>
      <c r="F14" s="13">
        <v>3.3</v>
      </c>
      <c r="G14" s="13">
        <v>2.6</v>
      </c>
      <c r="H14" s="15"/>
      <c r="I14" s="15"/>
      <c r="J14" s="15"/>
      <c r="K14" s="15"/>
      <c r="L14" s="15"/>
    </row>
    <row r="15">
      <c r="A15" s="15">
        <v>7.0</v>
      </c>
      <c r="B15" s="17" t="str">
        <f t="shared" si="10"/>
        <v>Aune et al., 2001</v>
      </c>
      <c r="C15" s="9" t="s">
        <v>84</v>
      </c>
      <c r="D15" s="7" t="s">
        <v>317</v>
      </c>
      <c r="E15" s="9">
        <v>29.0</v>
      </c>
      <c r="F15" s="13">
        <v>2.9</v>
      </c>
      <c r="G15" s="13">
        <v>2.4</v>
      </c>
      <c r="H15" s="15"/>
      <c r="I15" s="15"/>
      <c r="J15" s="15"/>
      <c r="K15" s="15"/>
      <c r="L15" s="15"/>
    </row>
    <row r="16">
      <c r="A16" s="15">
        <v>9.0</v>
      </c>
      <c r="B16" s="17" t="str">
        <f t="shared" ref="B16:B19" si="11">HYPERLINK("https://github.com/d-wkim/phd/blob/main/data/pdf/barenius_2010.pdf","Barenius et al., 2010")</f>
        <v>Barenius et al., 2010</v>
      </c>
      <c r="C16" s="9" t="s">
        <v>42</v>
      </c>
      <c r="D16" s="7" t="s">
        <v>319</v>
      </c>
      <c r="E16" s="9">
        <v>78.0</v>
      </c>
      <c r="F16" s="13">
        <f t="shared" ref="F16:F19" si="12">iferror(MEDIAN_MEAN(E16,H16,J16,L16),"")</f>
        <v>5.801629764</v>
      </c>
      <c r="G16" s="13">
        <f t="shared" ref="G16:G19" si="13">iferror(RANGE_SD(E16,H16,L16),"")</f>
        <v>1.868</v>
      </c>
      <c r="H16" s="9">
        <v>0.0</v>
      </c>
      <c r="I16" s="15"/>
      <c r="J16" s="9">
        <v>6.0</v>
      </c>
      <c r="K16" s="15"/>
      <c r="L16" s="9">
        <v>9.0</v>
      </c>
    </row>
    <row r="17">
      <c r="A17" s="15">
        <v>9.0</v>
      </c>
      <c r="B17" s="17" t="str">
        <f t="shared" si="11"/>
        <v>Barenius et al., 2010</v>
      </c>
      <c r="C17" s="9" t="s">
        <v>42</v>
      </c>
      <c r="D17" s="7" t="s">
        <v>371</v>
      </c>
      <c r="E17" s="9">
        <v>78.0</v>
      </c>
      <c r="F17" s="13">
        <f t="shared" si="12"/>
        <v>85.8179274</v>
      </c>
      <c r="G17" s="13">
        <f t="shared" si="13"/>
        <v>11.828</v>
      </c>
      <c r="H17" s="9">
        <v>43.0</v>
      </c>
      <c r="I17" s="15"/>
      <c r="J17" s="9">
        <v>88.0</v>
      </c>
      <c r="K17" s="15"/>
      <c r="L17" s="9">
        <v>100.0</v>
      </c>
    </row>
    <row r="18">
      <c r="A18" s="15">
        <v>9.0</v>
      </c>
      <c r="B18" s="17" t="str">
        <f t="shared" si="11"/>
        <v>Barenius et al., 2010</v>
      </c>
      <c r="C18" s="9" t="s">
        <v>84</v>
      </c>
      <c r="D18" s="7" t="s">
        <v>319</v>
      </c>
      <c r="E18" s="9">
        <v>75.0</v>
      </c>
      <c r="F18" s="13">
        <f t="shared" si="12"/>
        <v>4.067829574</v>
      </c>
      <c r="G18" s="13">
        <f t="shared" si="13"/>
        <v>1.879</v>
      </c>
      <c r="H18" s="9">
        <v>0.0</v>
      </c>
      <c r="I18" s="15"/>
      <c r="J18" s="9">
        <v>4.0</v>
      </c>
      <c r="K18" s="15"/>
      <c r="L18" s="9">
        <v>9.0</v>
      </c>
    </row>
    <row r="19">
      <c r="A19" s="15">
        <v>9.0</v>
      </c>
      <c r="B19" s="17" t="str">
        <f t="shared" si="11"/>
        <v>Barenius et al., 2010</v>
      </c>
      <c r="C19" s="9" t="s">
        <v>84</v>
      </c>
      <c r="D19" s="7" t="s">
        <v>371</v>
      </c>
      <c r="E19" s="9">
        <v>75.0</v>
      </c>
      <c r="F19" s="13">
        <f t="shared" si="12"/>
        <v>86.4224762</v>
      </c>
      <c r="G19" s="13">
        <f t="shared" si="13"/>
        <v>12.525</v>
      </c>
      <c r="H19" s="9">
        <v>40.0</v>
      </c>
      <c r="I19" s="15"/>
      <c r="J19" s="9">
        <v>89.0</v>
      </c>
      <c r="K19" s="15"/>
      <c r="L19" s="9">
        <v>100.0</v>
      </c>
    </row>
    <row r="20">
      <c r="A20" s="15">
        <v>10.0</v>
      </c>
      <c r="B20" s="17" t="str">
        <f t="shared" ref="B20:B27" si="14">HYPERLINK("https://github.com/d-wkim/phd/blob/main/data/pdf/barié_2020.pdf","Barié et al., 2020")</f>
        <v>Barié et al., 2020</v>
      </c>
      <c r="C20" s="9" t="s">
        <v>42</v>
      </c>
      <c r="D20" s="19" t="s">
        <v>471</v>
      </c>
      <c r="E20" s="9">
        <v>43.0</v>
      </c>
      <c r="F20" s="13">
        <v>91.0</v>
      </c>
      <c r="G20" s="13">
        <v>7.3</v>
      </c>
      <c r="H20" s="15"/>
      <c r="I20" s="15"/>
      <c r="J20" s="15"/>
      <c r="K20" s="15"/>
      <c r="L20" s="15"/>
    </row>
    <row r="21">
      <c r="A21" s="15">
        <v>10.0</v>
      </c>
      <c r="B21" s="17" t="str">
        <f t="shared" si="14"/>
        <v>Barié et al., 2020</v>
      </c>
      <c r="C21" s="9" t="s">
        <v>42</v>
      </c>
      <c r="D21" s="19" t="s">
        <v>371</v>
      </c>
      <c r="E21" s="9">
        <v>43.0</v>
      </c>
      <c r="F21" s="13">
        <v>95.2</v>
      </c>
      <c r="G21" s="13">
        <v>6.6</v>
      </c>
      <c r="H21" s="15"/>
      <c r="I21" s="15"/>
      <c r="J21" s="15"/>
      <c r="K21" s="15"/>
      <c r="L21" s="15"/>
    </row>
    <row r="22">
      <c r="A22" s="15">
        <v>10.0</v>
      </c>
      <c r="B22" s="17" t="str">
        <f t="shared" si="14"/>
        <v>Barié et al., 2020</v>
      </c>
      <c r="C22" s="9" t="s">
        <v>42</v>
      </c>
      <c r="D22" s="19" t="s">
        <v>319</v>
      </c>
      <c r="E22" s="9">
        <v>43.0</v>
      </c>
      <c r="F22" s="13">
        <f>iferror(MEDIAN_MEAN(E22,H22,J22,L22),"")</f>
        <v>6.096191037</v>
      </c>
      <c r="G22" s="13">
        <f>iferror(RANGE_SD(E22,H22,L22),"")</f>
        <v>1.144</v>
      </c>
      <c r="H22" s="9">
        <v>4.0</v>
      </c>
      <c r="I22" s="15"/>
      <c r="J22" s="9">
        <v>6.0</v>
      </c>
      <c r="K22" s="15"/>
      <c r="L22" s="9">
        <v>9.0</v>
      </c>
    </row>
    <row r="23">
      <c r="A23" s="15">
        <v>10.0</v>
      </c>
      <c r="B23" s="17" t="str">
        <f t="shared" si="14"/>
        <v>Barié et al., 2020</v>
      </c>
      <c r="C23" s="9" t="s">
        <v>42</v>
      </c>
      <c r="D23" s="7" t="s">
        <v>317</v>
      </c>
      <c r="E23" s="9">
        <v>43.0</v>
      </c>
      <c r="F23" s="13">
        <v>1.05</v>
      </c>
      <c r="G23" s="13">
        <v>1.36</v>
      </c>
      <c r="H23" s="15"/>
      <c r="I23" s="15"/>
      <c r="J23" s="15"/>
      <c r="K23" s="15"/>
      <c r="L23" s="15"/>
    </row>
    <row r="24">
      <c r="A24" s="15">
        <v>10.0</v>
      </c>
      <c r="B24" s="17" t="str">
        <f t="shared" si="14"/>
        <v>Barié et al., 2020</v>
      </c>
      <c r="C24" s="9" t="s">
        <v>200</v>
      </c>
      <c r="D24" s="19" t="s">
        <v>471</v>
      </c>
      <c r="E24" s="9">
        <v>43.0</v>
      </c>
      <c r="F24" s="13">
        <v>92.0</v>
      </c>
      <c r="G24" s="13">
        <v>11.5</v>
      </c>
      <c r="H24" s="15"/>
      <c r="I24" s="15"/>
      <c r="J24" s="15"/>
      <c r="K24" s="15"/>
      <c r="L24" s="15"/>
    </row>
    <row r="25">
      <c r="A25" s="15">
        <v>10.0</v>
      </c>
      <c r="B25" s="17" t="str">
        <f t="shared" si="14"/>
        <v>Barié et al., 2020</v>
      </c>
      <c r="C25" s="9" t="s">
        <v>200</v>
      </c>
      <c r="D25" s="19" t="s">
        <v>371</v>
      </c>
      <c r="E25" s="9">
        <v>43.0</v>
      </c>
      <c r="F25" s="13">
        <v>95.6</v>
      </c>
      <c r="G25" s="13">
        <v>7.8</v>
      </c>
      <c r="H25" s="15"/>
      <c r="I25" s="15"/>
      <c r="J25" s="15"/>
      <c r="K25" s="15"/>
      <c r="L25" s="15"/>
    </row>
    <row r="26">
      <c r="A26" s="15">
        <v>10.0</v>
      </c>
      <c r="B26" s="17" t="str">
        <f t="shared" si="14"/>
        <v>Barié et al., 2020</v>
      </c>
      <c r="C26" s="9" t="s">
        <v>200</v>
      </c>
      <c r="D26" s="19" t="s">
        <v>319</v>
      </c>
      <c r="E26" s="9">
        <v>43.0</v>
      </c>
      <c r="F26" s="13">
        <f>iferror(MEDIAN_MEAN(E26,H26,J26,L26),"")</f>
        <v>6.096191037</v>
      </c>
      <c r="G26" s="13">
        <f>iferror(RANGE_SD(E26,H26,L26),"")</f>
        <v>1.144</v>
      </c>
      <c r="H26" s="9">
        <v>4.0</v>
      </c>
      <c r="I26" s="15"/>
      <c r="J26" s="9">
        <v>6.0</v>
      </c>
      <c r="K26" s="15"/>
      <c r="L26" s="9">
        <v>9.0</v>
      </c>
    </row>
    <row r="27">
      <c r="A27" s="15">
        <v>10.0</v>
      </c>
      <c r="B27" s="17" t="str">
        <f t="shared" si="14"/>
        <v>Barié et al., 2020</v>
      </c>
      <c r="C27" s="9" t="s">
        <v>200</v>
      </c>
      <c r="D27" s="7" t="s">
        <v>317</v>
      </c>
      <c r="E27" s="9">
        <v>43.0</v>
      </c>
      <c r="F27" s="13">
        <v>1.0</v>
      </c>
      <c r="G27" s="13">
        <v>1.095</v>
      </c>
      <c r="H27" s="15"/>
      <c r="I27" s="15"/>
      <c r="J27" s="15"/>
      <c r="K27" s="15"/>
      <c r="L27" s="15"/>
    </row>
    <row r="28">
      <c r="A28" s="15">
        <v>12.0</v>
      </c>
      <c r="B28" s="17" t="str">
        <f t="shared" ref="B28:B31" si="15">HYPERLINK("https://github.com/d-wkim/phd/blob/main/data/pdf/bi_2018.pdf","Bi et al., 2018")</f>
        <v>Bi et al., 2018</v>
      </c>
      <c r="C28" s="9" t="s">
        <v>84</v>
      </c>
      <c r="D28" s="19" t="s">
        <v>471</v>
      </c>
      <c r="E28" s="9">
        <v>62.0</v>
      </c>
      <c r="F28" s="13">
        <v>90.4</v>
      </c>
      <c r="G28" s="13">
        <v>7.1</v>
      </c>
      <c r="H28" s="15"/>
      <c r="I28" s="15"/>
      <c r="J28" s="15"/>
      <c r="K28" s="15"/>
      <c r="L28" s="15"/>
    </row>
    <row r="29">
      <c r="A29" s="15">
        <v>12.0</v>
      </c>
      <c r="B29" s="17" t="str">
        <f t="shared" si="15"/>
        <v>Bi et al., 2018</v>
      </c>
      <c r="C29" s="9" t="s">
        <v>84</v>
      </c>
      <c r="D29" s="7" t="s">
        <v>317</v>
      </c>
      <c r="E29" s="9">
        <v>62.0</v>
      </c>
      <c r="F29" s="13">
        <v>1.71</v>
      </c>
      <c r="G29" s="13">
        <v>0.57</v>
      </c>
      <c r="H29" s="15"/>
      <c r="I29" s="15"/>
      <c r="J29" s="15"/>
      <c r="K29" s="15"/>
      <c r="L29" s="15"/>
    </row>
    <row r="30">
      <c r="A30" s="15">
        <v>12.0</v>
      </c>
      <c r="B30" s="17" t="str">
        <f t="shared" si="15"/>
        <v>Bi et al., 2018</v>
      </c>
      <c r="C30" s="9" t="s">
        <v>186</v>
      </c>
      <c r="D30" s="19" t="s">
        <v>471</v>
      </c>
      <c r="E30" s="9">
        <v>62.0</v>
      </c>
      <c r="F30" s="13">
        <v>89.3</v>
      </c>
      <c r="G30" s="13">
        <v>8.4</v>
      </c>
      <c r="H30" s="15"/>
      <c r="I30" s="15"/>
      <c r="J30" s="15"/>
      <c r="K30" s="15"/>
      <c r="L30" s="15"/>
    </row>
    <row r="31">
      <c r="A31" s="15">
        <v>12.0</v>
      </c>
      <c r="B31" s="17" t="str">
        <f t="shared" si="15"/>
        <v>Bi et al., 2018</v>
      </c>
      <c r="C31" s="9" t="s">
        <v>186</v>
      </c>
      <c r="D31" s="7" t="s">
        <v>317</v>
      </c>
      <c r="E31" s="9">
        <v>62.0</v>
      </c>
      <c r="F31" s="13">
        <v>1.85</v>
      </c>
      <c r="G31" s="13">
        <v>0.77</v>
      </c>
      <c r="H31" s="15"/>
      <c r="I31" s="15"/>
      <c r="J31" s="15"/>
      <c r="K31" s="15"/>
      <c r="L31" s="15"/>
    </row>
    <row r="32">
      <c r="A32" s="15">
        <v>13.0</v>
      </c>
      <c r="B32" s="17" t="str">
        <f t="shared" ref="B32:B37" si="16">HYPERLINK("https://github.com/d-wkim/phd/blob/main/data/pdf/björnsson_2016.pdf","Björnsson et al., 2016")</f>
        <v>Björnsson et al., 2016</v>
      </c>
      <c r="C32" s="9" t="s">
        <v>42</v>
      </c>
      <c r="D32" s="19" t="s">
        <v>471</v>
      </c>
      <c r="E32" s="9">
        <v>61.0</v>
      </c>
      <c r="F32" s="13">
        <v>67.3</v>
      </c>
      <c r="G32" s="13">
        <v>20.8</v>
      </c>
      <c r="H32" s="88"/>
      <c r="I32" s="15"/>
      <c r="J32" s="15"/>
      <c r="K32" s="15"/>
      <c r="L32" s="15"/>
    </row>
    <row r="33">
      <c r="A33" s="15">
        <v>13.0</v>
      </c>
      <c r="B33" s="17" t="str">
        <f t="shared" si="16"/>
        <v>Björnsson et al., 2016</v>
      </c>
      <c r="C33" s="9" t="s">
        <v>42</v>
      </c>
      <c r="D33" s="19" t="s">
        <v>319</v>
      </c>
      <c r="E33" s="9">
        <v>61.0</v>
      </c>
      <c r="F33" s="13">
        <v>4.1</v>
      </c>
      <c r="G33" s="13">
        <v>1.7</v>
      </c>
      <c r="H33" s="88"/>
      <c r="I33" s="15"/>
      <c r="J33" s="15"/>
      <c r="K33" s="15"/>
      <c r="L33" s="15"/>
    </row>
    <row r="34">
      <c r="A34" s="15">
        <v>13.0</v>
      </c>
      <c r="B34" s="17" t="str">
        <f t="shared" si="16"/>
        <v>Björnsson et al., 2016</v>
      </c>
      <c r="C34" s="9" t="s">
        <v>42</v>
      </c>
      <c r="D34" s="19" t="s">
        <v>371</v>
      </c>
      <c r="E34" s="9">
        <v>61.0</v>
      </c>
      <c r="F34" s="13">
        <v>79.4</v>
      </c>
      <c r="G34" s="13">
        <v>16.9</v>
      </c>
      <c r="H34" s="88"/>
      <c r="I34" s="15"/>
      <c r="J34" s="15"/>
      <c r="K34" s="15"/>
      <c r="L34" s="15"/>
    </row>
    <row r="35">
      <c r="A35" s="15">
        <v>13.0</v>
      </c>
      <c r="B35" s="17" t="str">
        <f t="shared" si="16"/>
        <v>Björnsson et al., 2016</v>
      </c>
      <c r="C35" s="9" t="s">
        <v>84</v>
      </c>
      <c r="D35" s="19" t="s">
        <v>471</v>
      </c>
      <c r="E35" s="9">
        <v>86.0</v>
      </c>
      <c r="F35" s="13">
        <v>74.0</v>
      </c>
      <c r="G35" s="13">
        <v>18.8</v>
      </c>
      <c r="H35" s="88"/>
      <c r="I35" s="15"/>
      <c r="J35" s="15"/>
      <c r="K35" s="15"/>
      <c r="L35" s="15"/>
    </row>
    <row r="36">
      <c r="A36" s="15">
        <v>13.0</v>
      </c>
      <c r="B36" s="17" t="str">
        <f t="shared" si="16"/>
        <v>Björnsson et al., 2016</v>
      </c>
      <c r="C36" s="9" t="s">
        <v>84</v>
      </c>
      <c r="D36" s="19" t="s">
        <v>319</v>
      </c>
      <c r="E36" s="9">
        <v>86.0</v>
      </c>
      <c r="F36" s="13">
        <v>4.0</v>
      </c>
      <c r="G36" s="13">
        <v>1.7</v>
      </c>
      <c r="H36" s="88"/>
      <c r="I36" s="15"/>
      <c r="J36" s="15"/>
      <c r="K36" s="15"/>
      <c r="L36" s="15"/>
    </row>
    <row r="37">
      <c r="A37" s="15">
        <v>13.0</v>
      </c>
      <c r="B37" s="17" t="str">
        <f t="shared" si="16"/>
        <v>Björnsson et al., 2016</v>
      </c>
      <c r="C37" s="9" t="s">
        <v>84</v>
      </c>
      <c r="D37" s="19" t="s">
        <v>371</v>
      </c>
      <c r="E37" s="9">
        <v>86.0</v>
      </c>
      <c r="F37" s="13">
        <v>80.7</v>
      </c>
      <c r="G37" s="13">
        <v>15.3</v>
      </c>
      <c r="H37" s="88"/>
      <c r="I37" s="15"/>
      <c r="J37" s="15"/>
      <c r="K37" s="15"/>
      <c r="L37" s="15"/>
    </row>
    <row r="38">
      <c r="A38" s="15">
        <v>14.0</v>
      </c>
      <c r="B38" s="17" t="str">
        <f t="shared" ref="B38:B41" si="17">HYPERLINK("https://github.com/d-wkim/phd/blob/main/data/pdf/bottoni_2015.pdf","Bottoni et al., 2015")</f>
        <v>Bottoni et al., 2015</v>
      </c>
      <c r="C38" s="9" t="s">
        <v>84</v>
      </c>
      <c r="D38" s="19" t="s">
        <v>471</v>
      </c>
      <c r="E38" s="9">
        <v>44.0</v>
      </c>
      <c r="F38" s="13">
        <v>79.5</v>
      </c>
      <c r="G38" s="13">
        <v>24.7</v>
      </c>
      <c r="H38" s="88"/>
      <c r="I38" s="15"/>
      <c r="J38" s="15"/>
      <c r="K38" s="15"/>
      <c r="L38" s="15"/>
    </row>
    <row r="39">
      <c r="A39" s="15">
        <v>14.0</v>
      </c>
      <c r="B39" s="17" t="str">
        <f t="shared" si="17"/>
        <v>Bottoni et al., 2015</v>
      </c>
      <c r="C39" s="9" t="s">
        <v>84</v>
      </c>
      <c r="D39" s="19" t="s">
        <v>319</v>
      </c>
      <c r="E39" s="9">
        <v>44.0</v>
      </c>
      <c r="F39" s="13">
        <v>5.1</v>
      </c>
      <c r="G39" s="13">
        <v>2.2</v>
      </c>
      <c r="H39" s="88"/>
      <c r="I39" s="15"/>
      <c r="J39" s="15"/>
      <c r="K39" s="15"/>
      <c r="L39" s="15"/>
    </row>
    <row r="40">
      <c r="A40" s="15">
        <v>14.0</v>
      </c>
      <c r="B40" s="17" t="str">
        <f t="shared" si="17"/>
        <v>Bottoni et al., 2015</v>
      </c>
      <c r="C40" s="9" t="s">
        <v>205</v>
      </c>
      <c r="D40" s="19" t="s">
        <v>471</v>
      </c>
      <c r="E40" s="9">
        <v>36.0</v>
      </c>
      <c r="F40" s="13">
        <v>81.1</v>
      </c>
      <c r="G40" s="13">
        <v>23.1</v>
      </c>
      <c r="H40" s="88"/>
      <c r="I40" s="15"/>
      <c r="J40" s="15"/>
      <c r="K40" s="15"/>
      <c r="L40" s="15"/>
    </row>
    <row r="41">
      <c r="A41" s="15">
        <v>14.0</v>
      </c>
      <c r="B41" s="17" t="str">
        <f t="shared" si="17"/>
        <v>Bottoni et al., 2015</v>
      </c>
      <c r="C41" s="9" t="s">
        <v>205</v>
      </c>
      <c r="D41" s="19" t="s">
        <v>319</v>
      </c>
      <c r="E41" s="9">
        <v>36.0</v>
      </c>
      <c r="F41" s="13">
        <v>5.1</v>
      </c>
      <c r="G41" s="13">
        <v>2.0</v>
      </c>
      <c r="H41" s="88"/>
      <c r="I41" s="15"/>
      <c r="J41" s="15"/>
      <c r="K41" s="15"/>
      <c r="L41" s="15"/>
    </row>
    <row r="42">
      <c r="A42" s="15">
        <v>18.0</v>
      </c>
      <c r="B42" s="17" t="str">
        <f t="shared" ref="B42:B45" si="18">HYPERLINK("https://github.com/d-wkim/phd/blob/main/data/pdf/butt_2024.pdf","Butt et al., 2024")</f>
        <v>Butt et al., 2024</v>
      </c>
      <c r="C42" s="9" t="s">
        <v>84</v>
      </c>
      <c r="D42" s="19" t="s">
        <v>371</v>
      </c>
      <c r="E42" s="9">
        <v>30.0</v>
      </c>
      <c r="F42" s="13">
        <v>95.1</v>
      </c>
      <c r="G42" s="13">
        <v>5.2</v>
      </c>
      <c r="H42" s="15"/>
      <c r="I42" s="15"/>
      <c r="J42" s="15"/>
      <c r="K42" s="15"/>
      <c r="L42" s="15"/>
    </row>
    <row r="43">
      <c r="A43" s="15">
        <v>18.0</v>
      </c>
      <c r="B43" s="17" t="str">
        <f t="shared" si="18"/>
        <v>Butt et al., 2024</v>
      </c>
      <c r="C43" s="9" t="s">
        <v>84</v>
      </c>
      <c r="D43" s="19" t="s">
        <v>471</v>
      </c>
      <c r="E43" s="9">
        <v>30.0</v>
      </c>
      <c r="F43" s="13">
        <v>89.7</v>
      </c>
      <c r="G43" s="13">
        <v>5.7</v>
      </c>
      <c r="H43" s="15"/>
      <c r="I43" s="15"/>
      <c r="J43" s="15"/>
      <c r="K43" s="15"/>
      <c r="L43" s="15"/>
    </row>
    <row r="44">
      <c r="A44" s="15">
        <v>18.0</v>
      </c>
      <c r="B44" s="17" t="str">
        <f t="shared" si="18"/>
        <v>Butt et al., 2024</v>
      </c>
      <c r="C44" s="9" t="s">
        <v>186</v>
      </c>
      <c r="D44" s="19" t="s">
        <v>371</v>
      </c>
      <c r="E44" s="9">
        <v>30.0</v>
      </c>
      <c r="F44" s="13">
        <v>94.5</v>
      </c>
      <c r="G44" s="13">
        <v>6.4</v>
      </c>
      <c r="H44" s="15"/>
      <c r="I44" s="15"/>
      <c r="J44" s="15"/>
      <c r="K44" s="15"/>
      <c r="L44" s="15"/>
    </row>
    <row r="45">
      <c r="A45" s="15">
        <v>18.0</v>
      </c>
      <c r="B45" s="17" t="str">
        <f t="shared" si="18"/>
        <v>Butt et al., 2024</v>
      </c>
      <c r="C45" s="9" t="s">
        <v>186</v>
      </c>
      <c r="D45" s="19" t="s">
        <v>471</v>
      </c>
      <c r="E45" s="9">
        <v>30.0</v>
      </c>
      <c r="F45" s="13">
        <v>89.9</v>
      </c>
      <c r="G45" s="13">
        <v>9.8</v>
      </c>
      <c r="H45" s="15"/>
      <c r="I45" s="15"/>
      <c r="J45" s="15"/>
      <c r="K45" s="15"/>
      <c r="L45" s="15"/>
    </row>
    <row r="46">
      <c r="A46" s="15">
        <v>19.0</v>
      </c>
      <c r="B46" s="17" t="str">
        <f t="shared" ref="B46:B49" si="19">HYPERLINK("https://github.com/d-wkim/phd/blob/main/data/pdf/calvert_2025.pdf","Calvert et al., 2025")</f>
        <v>Calvert et al., 2025</v>
      </c>
      <c r="C46" s="9" t="s">
        <v>84</v>
      </c>
      <c r="D46" s="19" t="s">
        <v>471</v>
      </c>
      <c r="E46" s="9">
        <v>92.0</v>
      </c>
      <c r="F46" s="13">
        <v>92.0</v>
      </c>
      <c r="G46" s="13">
        <v>8.0</v>
      </c>
      <c r="H46" s="15"/>
      <c r="I46" s="15"/>
      <c r="J46" s="15"/>
      <c r="K46" s="15"/>
      <c r="L46" s="15"/>
    </row>
    <row r="47">
      <c r="A47" s="15">
        <v>19.0</v>
      </c>
      <c r="B47" s="17" t="str">
        <f t="shared" si="19"/>
        <v>Calvert et al., 2025</v>
      </c>
      <c r="C47" s="9" t="s">
        <v>84</v>
      </c>
      <c r="D47" s="7" t="s">
        <v>371</v>
      </c>
      <c r="E47" s="9">
        <v>92.0</v>
      </c>
      <c r="F47" s="13">
        <v>94.0</v>
      </c>
      <c r="G47" s="13">
        <v>7.0</v>
      </c>
      <c r="H47" s="15"/>
      <c r="I47" s="15"/>
      <c r="J47" s="15"/>
      <c r="K47" s="15"/>
      <c r="L47" s="15"/>
    </row>
    <row r="48">
      <c r="A48" s="15">
        <v>19.0</v>
      </c>
      <c r="B48" s="17" t="str">
        <f t="shared" si="19"/>
        <v>Calvert et al., 2025</v>
      </c>
      <c r="C48" s="9" t="s">
        <v>200</v>
      </c>
      <c r="D48" s="19" t="s">
        <v>471</v>
      </c>
      <c r="E48" s="9">
        <v>89.0</v>
      </c>
      <c r="F48" s="13">
        <v>89.0</v>
      </c>
      <c r="G48" s="13">
        <v>10.0</v>
      </c>
      <c r="H48" s="15"/>
      <c r="I48" s="15"/>
      <c r="J48" s="15"/>
      <c r="K48" s="15"/>
      <c r="L48" s="15"/>
    </row>
    <row r="49">
      <c r="A49" s="15">
        <v>19.0</v>
      </c>
      <c r="B49" s="17" t="str">
        <f t="shared" si="19"/>
        <v>Calvert et al., 2025</v>
      </c>
      <c r="C49" s="9" t="s">
        <v>200</v>
      </c>
      <c r="D49" s="7" t="s">
        <v>371</v>
      </c>
      <c r="E49" s="9">
        <v>89.0</v>
      </c>
      <c r="F49" s="13">
        <v>93.0</v>
      </c>
      <c r="G49" s="13">
        <v>8.0</v>
      </c>
      <c r="H49" s="15"/>
      <c r="I49" s="15"/>
      <c r="J49" s="15"/>
      <c r="K49" s="15"/>
      <c r="L49" s="15"/>
    </row>
    <row r="50">
      <c r="A50" s="15">
        <v>23.0</v>
      </c>
      <c r="B50" s="17" t="str">
        <f t="shared" ref="B50:B55" si="20">HYPERLINK("https://github.com/d-wkim/phd/blob/main/data/pdf/ejerhed_2003.pdf","Ejerhed et al., 2003")</f>
        <v>Ejerhed et al., 2003</v>
      </c>
      <c r="C50" s="9" t="s">
        <v>42</v>
      </c>
      <c r="D50" s="19" t="s">
        <v>319</v>
      </c>
      <c r="E50" s="9">
        <v>32.0</v>
      </c>
      <c r="F50" s="13">
        <f t="shared" ref="F50:F55" si="21">iferror(MEDIAN_MEAN(E50,H50,J50,L50),"")</f>
        <v>5.770830671</v>
      </c>
      <c r="G50" s="13">
        <f t="shared" ref="G50:G55" si="22">iferror(RANGE_SD(E50,H50,L50),"")</f>
        <v>1.935</v>
      </c>
      <c r="H50" s="9">
        <v>1.0</v>
      </c>
      <c r="I50" s="15"/>
      <c r="J50" s="9">
        <v>6.0</v>
      </c>
      <c r="K50" s="15"/>
      <c r="L50" s="9">
        <v>9.0</v>
      </c>
    </row>
    <row r="51">
      <c r="A51" s="15">
        <v>23.0</v>
      </c>
      <c r="B51" s="17" t="str">
        <f t="shared" si="20"/>
        <v>Ejerhed et al., 2003</v>
      </c>
      <c r="C51" s="9" t="s">
        <v>42</v>
      </c>
      <c r="D51" s="19" t="s">
        <v>371</v>
      </c>
      <c r="E51" s="9">
        <v>32.0</v>
      </c>
      <c r="F51" s="13">
        <f t="shared" si="21"/>
        <v>89.95827475</v>
      </c>
      <c r="G51" s="13">
        <f t="shared" si="22"/>
        <v>13.064</v>
      </c>
      <c r="H51" s="9">
        <v>46.0</v>
      </c>
      <c r="I51" s="15"/>
      <c r="J51" s="9">
        <v>95.0</v>
      </c>
      <c r="K51" s="15"/>
      <c r="L51" s="9">
        <v>100.0</v>
      </c>
    </row>
    <row r="52">
      <c r="A52" s="15">
        <v>23.0</v>
      </c>
      <c r="B52" s="17" t="str">
        <f t="shared" si="20"/>
        <v>Ejerhed et al., 2003</v>
      </c>
      <c r="C52" s="9" t="s">
        <v>42</v>
      </c>
      <c r="D52" s="7" t="s">
        <v>317</v>
      </c>
      <c r="E52" s="9">
        <v>32.0</v>
      </c>
      <c r="F52" s="13">
        <f t="shared" si="21"/>
        <v>2.286461662</v>
      </c>
      <c r="G52" s="13">
        <f t="shared" si="22"/>
        <v>3.992</v>
      </c>
      <c r="H52" s="9">
        <v>-5.0</v>
      </c>
      <c r="I52" s="15"/>
      <c r="J52" s="9">
        <v>2.0</v>
      </c>
      <c r="K52" s="15"/>
      <c r="L52" s="9">
        <v>11.5</v>
      </c>
    </row>
    <row r="53">
      <c r="A53" s="15">
        <v>23.0</v>
      </c>
      <c r="B53" s="17" t="str">
        <f t="shared" si="20"/>
        <v>Ejerhed et al., 2003</v>
      </c>
      <c r="C53" s="9" t="s">
        <v>84</v>
      </c>
      <c r="D53" s="19" t="s">
        <v>319</v>
      </c>
      <c r="E53" s="9">
        <v>34.0</v>
      </c>
      <c r="F53" s="13">
        <f t="shared" si="21"/>
        <v>6.389381827</v>
      </c>
      <c r="G53" s="13">
        <f t="shared" si="22"/>
        <v>1.434</v>
      </c>
      <c r="H53" s="9">
        <v>3.0</v>
      </c>
      <c r="I53" s="15"/>
      <c r="J53" s="9">
        <v>6.5</v>
      </c>
      <c r="K53" s="15"/>
      <c r="L53" s="9">
        <v>9.0</v>
      </c>
    </row>
    <row r="54">
      <c r="A54" s="15">
        <v>23.0</v>
      </c>
      <c r="B54" s="17" t="str">
        <f t="shared" si="20"/>
        <v>Ejerhed et al., 2003</v>
      </c>
      <c r="C54" s="9" t="s">
        <v>84</v>
      </c>
      <c r="D54" s="19" t="s">
        <v>371</v>
      </c>
      <c r="E54" s="9">
        <v>34.0</v>
      </c>
      <c r="F54" s="13">
        <f t="shared" si="21"/>
        <v>86.79207298</v>
      </c>
      <c r="G54" s="13">
        <f t="shared" si="22"/>
        <v>11.715</v>
      </c>
      <c r="H54" s="9">
        <v>51.0</v>
      </c>
      <c r="I54" s="15"/>
      <c r="J54" s="9">
        <v>90.0</v>
      </c>
      <c r="K54" s="15"/>
      <c r="L54" s="9">
        <v>100.0</v>
      </c>
    </row>
    <row r="55">
      <c r="A55" s="15">
        <v>23.0</v>
      </c>
      <c r="B55" s="17" t="str">
        <f t="shared" si="20"/>
        <v>Ejerhed et al., 2003</v>
      </c>
      <c r="C55" s="9" t="s">
        <v>84</v>
      </c>
      <c r="D55" s="7" t="s">
        <v>317</v>
      </c>
      <c r="E55" s="9">
        <v>34.0</v>
      </c>
      <c r="F55" s="13">
        <f t="shared" si="21"/>
        <v>2.471236346</v>
      </c>
      <c r="G55" s="13">
        <f t="shared" si="22"/>
        <v>3.467</v>
      </c>
      <c r="H55" s="9">
        <v>-4.0</v>
      </c>
      <c r="I55" s="15"/>
      <c r="J55" s="9">
        <v>2.25</v>
      </c>
      <c r="K55" s="15"/>
      <c r="L55" s="9">
        <v>10.5</v>
      </c>
    </row>
    <row r="56">
      <c r="A56" s="15">
        <v>25.0</v>
      </c>
      <c r="B56" s="17" t="str">
        <f t="shared" ref="B56:B57" si="23">HYPERLINK("https://github.com/d-wkim/phd/blob/main/data/pdf/eriksson_2006.pdf","Eriksson et al., 2001")</f>
        <v>Eriksson et al., 2001</v>
      </c>
      <c r="C56" s="9" t="s">
        <v>42</v>
      </c>
      <c r="D56" s="7" t="s">
        <v>317</v>
      </c>
      <c r="E56" s="9">
        <v>42.0</v>
      </c>
      <c r="F56" s="13">
        <v>0.95</v>
      </c>
      <c r="G56" s="13">
        <v>0.91</v>
      </c>
      <c r="H56" s="15"/>
      <c r="I56" s="15"/>
      <c r="J56" s="15"/>
      <c r="K56" s="15"/>
      <c r="L56" s="15"/>
    </row>
    <row r="57">
      <c r="A57" s="15">
        <v>25.0</v>
      </c>
      <c r="B57" s="17" t="str">
        <f t="shared" si="23"/>
        <v>Eriksson et al., 2001</v>
      </c>
      <c r="C57" s="9" t="s">
        <v>84</v>
      </c>
      <c r="D57" s="7" t="s">
        <v>317</v>
      </c>
      <c r="E57" s="9">
        <v>47.0</v>
      </c>
      <c r="F57" s="13">
        <v>1.1</v>
      </c>
      <c r="G57" s="13">
        <v>0.95</v>
      </c>
      <c r="H57" s="15"/>
      <c r="I57" s="15"/>
      <c r="J57" s="15"/>
      <c r="K57" s="15"/>
      <c r="L57" s="15"/>
    </row>
    <row r="58">
      <c r="A58" s="15">
        <v>26.0</v>
      </c>
      <c r="B58" s="17" t="str">
        <f t="shared" ref="B58:B59" si="24">HYPERLINK("https://github.com/d-wkim/phd/blob/main/data/pdf/feller_webster_2003.pdf","Feller &amp; Webster, 2003")</f>
        <v>Feller &amp; Webster, 2003</v>
      </c>
      <c r="C58" s="9" t="s">
        <v>42</v>
      </c>
      <c r="D58" s="7" t="s">
        <v>317</v>
      </c>
      <c r="E58" s="9">
        <v>27.0</v>
      </c>
      <c r="F58" s="13">
        <v>0.5</v>
      </c>
      <c r="G58" s="13">
        <v>1.0</v>
      </c>
      <c r="H58" s="15"/>
      <c r="I58" s="15"/>
      <c r="J58" s="15"/>
      <c r="K58" s="15"/>
      <c r="L58" s="15"/>
    </row>
    <row r="59">
      <c r="A59" s="15">
        <v>26.0</v>
      </c>
      <c r="B59" s="17" t="str">
        <f t="shared" si="24"/>
        <v>Feller &amp; Webster, 2003</v>
      </c>
      <c r="C59" s="9" t="s">
        <v>84</v>
      </c>
      <c r="D59" s="7" t="s">
        <v>317</v>
      </c>
      <c r="E59" s="9">
        <v>21.0</v>
      </c>
      <c r="F59" s="13">
        <v>1.1</v>
      </c>
      <c r="G59" s="13">
        <v>1.2</v>
      </c>
      <c r="H59" s="15"/>
      <c r="I59" s="15"/>
      <c r="J59" s="15"/>
      <c r="K59" s="15"/>
      <c r="L59" s="15"/>
    </row>
    <row r="60">
      <c r="A60" s="15">
        <v>30.0</v>
      </c>
      <c r="B60" s="17" t="str">
        <f t="shared" ref="B60:B61" si="25">HYPERLINK("https://github.com/d-wkim/phd/blob/main/data/pdf/gifstad_2013.pdf","Gifstad et al., 2013")</f>
        <v>Gifstad et al., 2013</v>
      </c>
      <c r="C60" s="9" t="s">
        <v>42</v>
      </c>
      <c r="D60" s="7" t="s">
        <v>317</v>
      </c>
      <c r="E60" s="9">
        <v>41.0</v>
      </c>
      <c r="F60" s="13">
        <v>1.4</v>
      </c>
      <c r="G60" s="13">
        <v>1.8</v>
      </c>
      <c r="H60" s="15"/>
      <c r="I60" s="15"/>
      <c r="J60" s="15"/>
      <c r="K60" s="15"/>
      <c r="L60" s="15"/>
    </row>
    <row r="61">
      <c r="A61" s="15">
        <v>30.0</v>
      </c>
      <c r="B61" s="17" t="str">
        <f t="shared" si="25"/>
        <v>Gifstad et al., 2013</v>
      </c>
      <c r="C61" s="9" t="s">
        <v>84</v>
      </c>
      <c r="D61" s="7" t="s">
        <v>317</v>
      </c>
      <c r="E61" s="9">
        <v>36.0</v>
      </c>
      <c r="F61" s="13">
        <v>1.4</v>
      </c>
      <c r="G61" s="13">
        <v>1.4</v>
      </c>
      <c r="H61" s="15"/>
      <c r="I61" s="15"/>
      <c r="J61" s="15"/>
      <c r="K61" s="15"/>
      <c r="L61" s="15"/>
    </row>
    <row r="62">
      <c r="A62" s="15">
        <v>32.0</v>
      </c>
      <c r="B62" s="17" t="str">
        <f t="shared" ref="B62:B65" si="26">HYPERLINK("https://github.com/d-wkim/phd/blob/main/data/pdf/guglielmetti_2021.pdf","Guglielmetti et al., 2021")</f>
        <v>Guglielmetti et al., 2021</v>
      </c>
      <c r="C62" s="9" t="s">
        <v>42</v>
      </c>
      <c r="D62" s="19" t="s">
        <v>471</v>
      </c>
      <c r="E62" s="9">
        <v>31.0</v>
      </c>
      <c r="F62" s="13">
        <v>88.75</v>
      </c>
      <c r="G62" s="13">
        <v>9.27</v>
      </c>
      <c r="H62" s="15"/>
      <c r="I62" s="15"/>
      <c r="J62" s="15"/>
      <c r="K62" s="15"/>
      <c r="L62" s="15"/>
    </row>
    <row r="63">
      <c r="A63" s="15">
        <v>32.0</v>
      </c>
      <c r="B63" s="17" t="str">
        <f t="shared" si="26"/>
        <v>Guglielmetti et al., 2021</v>
      </c>
      <c r="C63" s="9" t="s">
        <v>42</v>
      </c>
      <c r="D63" s="19" t="s">
        <v>371</v>
      </c>
      <c r="E63" s="9">
        <v>31.0</v>
      </c>
      <c r="F63" s="13">
        <v>89.87</v>
      </c>
      <c r="G63" s="13">
        <v>9.17</v>
      </c>
      <c r="H63" s="15"/>
      <c r="I63" s="15"/>
      <c r="J63" s="15"/>
      <c r="K63" s="15"/>
      <c r="L63" s="15"/>
    </row>
    <row r="64">
      <c r="A64" s="15">
        <v>32.0</v>
      </c>
      <c r="B64" s="17" t="str">
        <f t="shared" si="26"/>
        <v>Guglielmetti et al., 2021</v>
      </c>
      <c r="C64" s="9" t="s">
        <v>84</v>
      </c>
      <c r="D64" s="19" t="s">
        <v>471</v>
      </c>
      <c r="E64" s="9">
        <v>31.0</v>
      </c>
      <c r="F64" s="13">
        <v>91.0</v>
      </c>
      <c r="G64" s="13">
        <v>9.07</v>
      </c>
      <c r="H64" s="15"/>
      <c r="I64" s="15"/>
      <c r="J64" s="15"/>
      <c r="K64" s="15"/>
      <c r="L64" s="15"/>
    </row>
    <row r="65">
      <c r="A65" s="15">
        <v>32.0</v>
      </c>
      <c r="B65" s="17" t="str">
        <f t="shared" si="26"/>
        <v>Guglielmetti et al., 2021</v>
      </c>
      <c r="C65" s="9" t="s">
        <v>84</v>
      </c>
      <c r="D65" s="19" t="s">
        <v>371</v>
      </c>
      <c r="E65" s="9">
        <v>31.0</v>
      </c>
      <c r="F65" s="13">
        <v>91.26</v>
      </c>
      <c r="G65" s="13">
        <v>9.36</v>
      </c>
      <c r="H65" s="15"/>
      <c r="I65" s="15"/>
      <c r="J65" s="15"/>
      <c r="K65" s="15"/>
      <c r="L65" s="15"/>
    </row>
    <row r="66">
      <c r="A66" s="15">
        <v>33.0</v>
      </c>
      <c r="B66" s="17" t="str">
        <f t="shared" ref="B66:B71" si="27">HYPERLINK("https://github.com/d-wkim/phd/blob/main/data/pdf/harilainen_2006.pdf","Harilainen et al., 2006")</f>
        <v>Harilainen et al., 2006</v>
      </c>
      <c r="C66" s="9" t="s">
        <v>42</v>
      </c>
      <c r="D66" s="19" t="s">
        <v>319</v>
      </c>
      <c r="E66" s="9">
        <v>37.0</v>
      </c>
      <c r="F66" s="13">
        <f t="shared" ref="F66:F67" si="28">iferror(MEDIAN_MEAN(E66,H66,J66,L66),"")</f>
        <v>5.894748329</v>
      </c>
      <c r="G66" s="13">
        <f t="shared" ref="G66:G67" si="29">iferror(RANGE_SD(E66,H66,L66),"")</f>
        <v>2.117</v>
      </c>
      <c r="H66" s="9">
        <v>1.0</v>
      </c>
      <c r="I66" s="15"/>
      <c r="J66" s="9">
        <v>6.0</v>
      </c>
      <c r="K66" s="15"/>
      <c r="L66" s="9">
        <v>10.0</v>
      </c>
    </row>
    <row r="67">
      <c r="A67" s="9">
        <v>33.0</v>
      </c>
      <c r="B67" s="17" t="str">
        <f t="shared" si="27"/>
        <v>Harilainen et al., 2006</v>
      </c>
      <c r="C67" s="9" t="s">
        <v>42</v>
      </c>
      <c r="D67" s="7" t="s">
        <v>371</v>
      </c>
      <c r="E67" s="9">
        <v>37.0</v>
      </c>
      <c r="F67" s="13">
        <f t="shared" si="28"/>
        <v>89.10590643</v>
      </c>
      <c r="G67" s="13">
        <f t="shared" si="29"/>
        <v>15.527</v>
      </c>
      <c r="H67" s="9">
        <v>34.0</v>
      </c>
      <c r="I67" s="15"/>
      <c r="J67" s="9">
        <v>95.0</v>
      </c>
      <c r="K67" s="15"/>
      <c r="L67" s="9">
        <v>100.0</v>
      </c>
    </row>
    <row r="68">
      <c r="A68" s="15">
        <v>33.0</v>
      </c>
      <c r="B68" s="17" t="str">
        <f t="shared" si="27"/>
        <v>Harilainen et al., 2006</v>
      </c>
      <c r="C68" s="9" t="s">
        <v>42</v>
      </c>
      <c r="D68" s="7" t="s">
        <v>317</v>
      </c>
      <c r="E68" s="9">
        <v>37.0</v>
      </c>
      <c r="F68" s="13">
        <v>1.5</v>
      </c>
      <c r="G68" s="13">
        <v>3.0</v>
      </c>
      <c r="H68" s="15"/>
      <c r="I68" s="15"/>
      <c r="J68" s="15"/>
      <c r="K68" s="15"/>
      <c r="L68" s="15"/>
    </row>
    <row r="69">
      <c r="A69" s="9">
        <v>33.0</v>
      </c>
      <c r="B69" s="17" t="str">
        <f t="shared" si="27"/>
        <v>Harilainen et al., 2006</v>
      </c>
      <c r="C69" s="9" t="s">
        <v>84</v>
      </c>
      <c r="D69" s="7" t="s">
        <v>371</v>
      </c>
      <c r="E69" s="9">
        <v>37.0</v>
      </c>
      <c r="F69" s="13">
        <v>95.0</v>
      </c>
      <c r="G69" s="13">
        <f t="shared" ref="G69:G70" si="30">iferror(RANGE_SD(E69,H69,L69),"")</f>
        <v>15.527</v>
      </c>
      <c r="H69" s="9">
        <v>34.0</v>
      </c>
      <c r="I69" s="15"/>
      <c r="J69" s="9">
        <v>95.0</v>
      </c>
      <c r="K69" s="15"/>
      <c r="L69" s="9">
        <v>100.0</v>
      </c>
    </row>
    <row r="70">
      <c r="A70" s="15">
        <v>33.0</v>
      </c>
      <c r="B70" s="17" t="str">
        <f t="shared" si="27"/>
        <v>Harilainen et al., 2006</v>
      </c>
      <c r="C70" s="9" t="s">
        <v>84</v>
      </c>
      <c r="D70" s="19" t="s">
        <v>319</v>
      </c>
      <c r="E70" s="9">
        <v>37.0</v>
      </c>
      <c r="F70" s="13">
        <f>iferror(MEDIAN_MEAN(E70,H70,J70,L70),"")</f>
        <v>6</v>
      </c>
      <c r="G70" s="13">
        <f t="shared" si="30"/>
        <v>1.412</v>
      </c>
      <c r="H70" s="9">
        <v>3.0</v>
      </c>
      <c r="I70" s="15"/>
      <c r="J70" s="9">
        <v>6.0</v>
      </c>
      <c r="K70" s="15"/>
      <c r="L70" s="9">
        <v>9.0</v>
      </c>
    </row>
    <row r="71">
      <c r="A71" s="15">
        <v>33.0</v>
      </c>
      <c r="B71" s="17" t="str">
        <f t="shared" si="27"/>
        <v>Harilainen et al., 2006</v>
      </c>
      <c r="C71" s="9" t="s">
        <v>84</v>
      </c>
      <c r="D71" s="7" t="s">
        <v>317</v>
      </c>
      <c r="E71" s="9">
        <v>37.0</v>
      </c>
      <c r="F71" s="13">
        <v>1.2</v>
      </c>
      <c r="G71" s="13">
        <v>3.9</v>
      </c>
      <c r="H71" s="15"/>
      <c r="I71" s="15"/>
      <c r="J71" s="15"/>
      <c r="K71" s="15"/>
      <c r="L71" s="15"/>
    </row>
    <row r="72">
      <c r="A72" s="15">
        <v>34.0</v>
      </c>
      <c r="B72" s="17" t="str">
        <f t="shared" ref="B72:B73" si="31">HYPERLINK("https://github.com/d-wkim/phd/blob/main/data/pdf/heijne_werner_2010.pdf","Heijne &amp; Werner, 2010")</f>
        <v>Heijne &amp; Werner, 2010</v>
      </c>
      <c r="C72" s="9" t="s">
        <v>42</v>
      </c>
      <c r="D72" s="19" t="s">
        <v>319</v>
      </c>
      <c r="E72" s="9">
        <v>30.0</v>
      </c>
      <c r="F72" s="13">
        <f t="shared" ref="F72:F73" si="32">iferror(MEDIAN_MEAN(E72,H72,J72,L72),"")</f>
        <v>6.64325233</v>
      </c>
      <c r="G72" s="13">
        <f t="shared" ref="G72:G73" si="33">iferror(RANGE_SD(E72,H72,L72),"")</f>
        <v>2.206</v>
      </c>
      <c r="H72" s="9">
        <v>1.0</v>
      </c>
      <c r="I72" s="15"/>
      <c r="J72" s="9">
        <v>7.0</v>
      </c>
      <c r="K72" s="15"/>
      <c r="L72" s="9">
        <v>10.0</v>
      </c>
    </row>
    <row r="73">
      <c r="A73" s="15">
        <v>34.0</v>
      </c>
      <c r="B73" s="17" t="str">
        <f t="shared" si="31"/>
        <v>Heijne &amp; Werner, 2010</v>
      </c>
      <c r="C73" s="9" t="s">
        <v>84</v>
      </c>
      <c r="D73" s="19" t="s">
        <v>319</v>
      </c>
      <c r="E73" s="9">
        <v>29.0</v>
      </c>
      <c r="F73" s="13">
        <f t="shared" si="32"/>
        <v>5</v>
      </c>
      <c r="G73" s="13">
        <f t="shared" si="33"/>
        <v>1.481</v>
      </c>
      <c r="H73" s="9">
        <v>2.0</v>
      </c>
      <c r="I73" s="15"/>
      <c r="J73" s="9">
        <v>5.0</v>
      </c>
      <c r="K73" s="15"/>
      <c r="L73" s="9">
        <v>8.0</v>
      </c>
    </row>
    <row r="74">
      <c r="A74" s="15">
        <v>35.0</v>
      </c>
      <c r="B74" s="17" t="str">
        <f t="shared" ref="B74:B77" si="34">HYPERLINK("https://github.com/d-wkim/phd/blob/main/data/pdf/holm_2010.pdf","Holm et al., 2010")</f>
        <v>Holm et al., 2010</v>
      </c>
      <c r="C74" s="9" t="s">
        <v>42</v>
      </c>
      <c r="D74" s="7" t="s">
        <v>317</v>
      </c>
      <c r="E74" s="9">
        <v>28.0</v>
      </c>
      <c r="F74" s="13">
        <v>3.0</v>
      </c>
      <c r="G74" s="13">
        <v>3.2</v>
      </c>
      <c r="H74" s="15"/>
      <c r="I74" s="15"/>
      <c r="J74" s="15"/>
      <c r="K74" s="15"/>
      <c r="L74" s="15"/>
    </row>
    <row r="75">
      <c r="A75" s="15">
        <v>35.0</v>
      </c>
      <c r="B75" s="17" t="str">
        <f t="shared" si="34"/>
        <v>Holm et al., 2010</v>
      </c>
      <c r="C75" s="9" t="s">
        <v>42</v>
      </c>
      <c r="D75" s="7" t="s">
        <v>371</v>
      </c>
      <c r="E75" s="9">
        <v>28.0</v>
      </c>
      <c r="F75" s="13">
        <v>84.2</v>
      </c>
      <c r="G75" s="13">
        <v>15.4</v>
      </c>
      <c r="H75" s="15"/>
      <c r="I75" s="15"/>
      <c r="J75" s="15"/>
      <c r="K75" s="15"/>
      <c r="L75" s="15"/>
    </row>
    <row r="76">
      <c r="A76" s="15">
        <v>35.0</v>
      </c>
      <c r="B76" s="17" t="str">
        <f t="shared" si="34"/>
        <v>Holm et al., 2010</v>
      </c>
      <c r="C76" s="9" t="s">
        <v>84</v>
      </c>
      <c r="D76" s="7" t="s">
        <v>317</v>
      </c>
      <c r="E76" s="9">
        <v>29.0</v>
      </c>
      <c r="F76" s="13">
        <v>2.0</v>
      </c>
      <c r="G76" s="13">
        <v>3.5</v>
      </c>
      <c r="H76" s="15"/>
      <c r="I76" s="15"/>
      <c r="J76" s="15"/>
      <c r="K76" s="15"/>
      <c r="L76" s="15"/>
    </row>
    <row r="77">
      <c r="A77" s="15">
        <v>35.0</v>
      </c>
      <c r="B77" s="17" t="str">
        <f t="shared" si="34"/>
        <v>Holm et al., 2010</v>
      </c>
      <c r="C77" s="9" t="s">
        <v>84</v>
      </c>
      <c r="D77" s="7" t="s">
        <v>371</v>
      </c>
      <c r="E77" s="9">
        <v>29.0</v>
      </c>
      <c r="F77" s="13">
        <v>86.1</v>
      </c>
      <c r="G77" s="13">
        <v>15.1</v>
      </c>
      <c r="H77" s="15"/>
      <c r="I77" s="15"/>
      <c r="J77" s="15"/>
      <c r="K77" s="15"/>
      <c r="L77" s="15"/>
    </row>
    <row r="78">
      <c r="A78" s="15">
        <v>36.0</v>
      </c>
      <c r="B78" s="17" t="str">
        <f t="shared" ref="B78:B83" si="35">HYPERLINK("https://github.com/d-wkim/phd/blob/main/data/pdf/horstmann_2022.pdf","Horstmann et al., 2022")</f>
        <v>Horstmann et al., 2022</v>
      </c>
      <c r="C78" s="9" t="s">
        <v>84</v>
      </c>
      <c r="D78" s="19" t="s">
        <v>471</v>
      </c>
      <c r="E78" s="106">
        <v>26.0</v>
      </c>
      <c r="F78" s="13">
        <v>83.7</v>
      </c>
      <c r="G78" s="13">
        <v>12.7</v>
      </c>
      <c r="H78" s="15"/>
      <c r="I78" s="15"/>
      <c r="J78" s="15"/>
      <c r="K78" s="15"/>
      <c r="L78" s="15"/>
    </row>
    <row r="79">
      <c r="A79" s="15">
        <v>36.0</v>
      </c>
      <c r="B79" s="17" t="str">
        <f t="shared" si="35"/>
        <v>Horstmann et al., 2022</v>
      </c>
      <c r="C79" s="9" t="s">
        <v>84</v>
      </c>
      <c r="D79" s="19" t="s">
        <v>371</v>
      </c>
      <c r="E79" s="9">
        <v>26.0</v>
      </c>
      <c r="F79" s="13">
        <v>83.5</v>
      </c>
      <c r="G79" s="13">
        <v>17.4</v>
      </c>
      <c r="H79" s="15"/>
      <c r="I79" s="15"/>
      <c r="J79" s="15"/>
      <c r="K79" s="15"/>
      <c r="L79" s="15"/>
    </row>
    <row r="80">
      <c r="A80" s="15">
        <v>36.0</v>
      </c>
      <c r="B80" s="17" t="str">
        <f t="shared" si="35"/>
        <v>Horstmann et al., 2022</v>
      </c>
      <c r="C80" s="9" t="s">
        <v>84</v>
      </c>
      <c r="D80" s="7" t="s">
        <v>317</v>
      </c>
      <c r="E80" s="9">
        <v>26.0</v>
      </c>
      <c r="F80" s="13">
        <v>0.2</v>
      </c>
      <c r="G80" s="13">
        <v>2.2</v>
      </c>
      <c r="H80" s="15"/>
      <c r="I80" s="15"/>
      <c r="J80" s="15"/>
      <c r="K80" s="15"/>
      <c r="L80" s="15"/>
    </row>
    <row r="81">
      <c r="A81" s="15">
        <v>36.0</v>
      </c>
      <c r="B81" s="17" t="str">
        <f t="shared" si="35"/>
        <v>Horstmann et al., 2022</v>
      </c>
      <c r="C81" s="9" t="s">
        <v>200</v>
      </c>
      <c r="D81" s="19" t="s">
        <v>471</v>
      </c>
      <c r="E81" s="9">
        <v>23.0</v>
      </c>
      <c r="F81" s="13">
        <v>89.3</v>
      </c>
      <c r="G81" s="13">
        <v>12.2</v>
      </c>
      <c r="H81" s="15"/>
      <c r="I81" s="15"/>
      <c r="J81" s="15"/>
      <c r="K81" s="15"/>
      <c r="L81" s="15"/>
    </row>
    <row r="82">
      <c r="A82" s="15">
        <v>36.0</v>
      </c>
      <c r="B82" s="17" t="str">
        <f t="shared" si="35"/>
        <v>Horstmann et al., 2022</v>
      </c>
      <c r="C82" s="9" t="s">
        <v>200</v>
      </c>
      <c r="D82" s="19" t="s">
        <v>371</v>
      </c>
      <c r="E82" s="9">
        <v>23.0</v>
      </c>
      <c r="F82" s="13">
        <v>90.4</v>
      </c>
      <c r="G82" s="13">
        <v>11.9</v>
      </c>
      <c r="H82" s="15"/>
      <c r="I82" s="15"/>
      <c r="J82" s="15"/>
      <c r="K82" s="15"/>
      <c r="L82" s="15"/>
    </row>
    <row r="83">
      <c r="A83" s="15">
        <v>36.0</v>
      </c>
      <c r="B83" s="17" t="str">
        <f t="shared" si="35"/>
        <v>Horstmann et al., 2022</v>
      </c>
      <c r="C83" s="9" t="s">
        <v>200</v>
      </c>
      <c r="D83" s="7" t="s">
        <v>317</v>
      </c>
      <c r="E83" s="9">
        <v>23.0</v>
      </c>
      <c r="F83" s="13">
        <v>0.7</v>
      </c>
      <c r="G83" s="13">
        <v>1.1</v>
      </c>
      <c r="H83" s="15"/>
      <c r="I83" s="15"/>
      <c r="J83" s="15"/>
      <c r="K83" s="15"/>
      <c r="L83" s="15"/>
    </row>
    <row r="84">
      <c r="A84" s="15">
        <v>37.0</v>
      </c>
      <c r="B84" s="17" t="str">
        <f t="shared" ref="B84:B85" si="36">HYPERLINK("https://github.com/d-wkim/phd/blob/main/data/pdf/ibrahim_2005.pdf","Ibrahim et al., 2005")</f>
        <v>Ibrahim et al., 2005</v>
      </c>
      <c r="C84" s="9" t="s">
        <v>42</v>
      </c>
      <c r="D84" s="19" t="s">
        <v>371</v>
      </c>
      <c r="E84" s="9">
        <v>40.0</v>
      </c>
      <c r="F84" s="13">
        <v>91.6</v>
      </c>
      <c r="G84" s="13">
        <f t="shared" ref="G84:G85" si="37">iferror(RANGE_SD(E84,H84,L84),"")</f>
        <v>3.942</v>
      </c>
      <c r="H84" s="9">
        <v>79.0</v>
      </c>
      <c r="I84" s="15"/>
      <c r="J84" s="15"/>
      <c r="K84" s="15"/>
      <c r="L84" s="9">
        <v>96.0</v>
      </c>
    </row>
    <row r="85">
      <c r="A85" s="15">
        <v>37.0</v>
      </c>
      <c r="B85" s="17" t="str">
        <f t="shared" si="36"/>
        <v>Ibrahim et al., 2005</v>
      </c>
      <c r="C85" s="9" t="s">
        <v>84</v>
      </c>
      <c r="D85" s="19" t="s">
        <v>371</v>
      </c>
      <c r="E85" s="9">
        <v>46.0</v>
      </c>
      <c r="F85" s="13">
        <v>92.7</v>
      </c>
      <c r="G85" s="13">
        <f t="shared" si="37"/>
        <v>3.618</v>
      </c>
      <c r="H85" s="9">
        <v>81.0</v>
      </c>
      <c r="I85" s="15"/>
      <c r="J85" s="15"/>
      <c r="K85" s="15"/>
      <c r="L85" s="9">
        <v>97.0</v>
      </c>
    </row>
    <row r="86">
      <c r="A86" s="15">
        <v>38.0</v>
      </c>
      <c r="B86" s="17" t="str">
        <f t="shared" ref="B86:B89" si="38">HYPERLINK("https://github.com/d-wkim/phd/blob/main/data/pdf/iliopoulos_2017.pdf","Iliopoulos et al., 2017")</f>
        <v>Iliopoulos et al., 2017</v>
      </c>
      <c r="C86" s="9" t="s">
        <v>42</v>
      </c>
      <c r="D86" s="19" t="s">
        <v>471</v>
      </c>
      <c r="E86" s="106">
        <v>45.0</v>
      </c>
      <c r="F86" s="13">
        <v>83.2</v>
      </c>
      <c r="G86" s="13">
        <v>2.8</v>
      </c>
      <c r="H86" s="15"/>
      <c r="I86" s="15"/>
      <c r="J86" s="15"/>
      <c r="K86" s="15"/>
      <c r="L86" s="15"/>
    </row>
    <row r="87">
      <c r="A87" s="15">
        <v>38.0</v>
      </c>
      <c r="B87" s="17" t="str">
        <f t="shared" si="38"/>
        <v>Iliopoulos et al., 2017</v>
      </c>
      <c r="C87" s="9" t="s">
        <v>42</v>
      </c>
      <c r="D87" s="19" t="s">
        <v>371</v>
      </c>
      <c r="E87" s="9">
        <v>45.0</v>
      </c>
      <c r="F87" s="13">
        <v>95.8</v>
      </c>
      <c r="G87" s="13">
        <v>2.4</v>
      </c>
      <c r="H87" s="15"/>
      <c r="I87" s="15"/>
      <c r="J87" s="15"/>
      <c r="K87" s="15"/>
      <c r="L87" s="15"/>
    </row>
    <row r="88">
      <c r="A88" s="15">
        <v>38.0</v>
      </c>
      <c r="B88" s="17" t="str">
        <f t="shared" si="38"/>
        <v>Iliopoulos et al., 2017</v>
      </c>
      <c r="C88" s="9" t="s">
        <v>84</v>
      </c>
      <c r="D88" s="19" t="s">
        <v>471</v>
      </c>
      <c r="E88" s="9">
        <v>45.0</v>
      </c>
      <c r="F88" s="13">
        <v>82.78</v>
      </c>
      <c r="G88" s="13">
        <v>2.8</v>
      </c>
      <c r="H88" s="15"/>
      <c r="I88" s="15"/>
      <c r="J88" s="15"/>
      <c r="K88" s="15"/>
      <c r="L88" s="15"/>
    </row>
    <row r="89">
      <c r="A89" s="15">
        <v>38.0</v>
      </c>
      <c r="B89" s="17" t="str">
        <f t="shared" si="38"/>
        <v>Iliopoulos et al., 2017</v>
      </c>
      <c r="C89" s="9" t="s">
        <v>84</v>
      </c>
      <c r="D89" s="19" t="s">
        <v>371</v>
      </c>
      <c r="E89" s="9">
        <v>45.0</v>
      </c>
      <c r="F89" s="13">
        <v>94.0</v>
      </c>
      <c r="G89" s="13">
        <v>3.6</v>
      </c>
      <c r="H89" s="15"/>
      <c r="I89" s="15"/>
      <c r="J89" s="15"/>
      <c r="K89" s="15"/>
      <c r="L89" s="15"/>
    </row>
    <row r="90">
      <c r="A90" s="15">
        <v>41.0</v>
      </c>
      <c r="B90" s="17" t="str">
        <f t="shared" ref="B90:B93" si="39">HYPERLINK("https://github.com/d-wkim/phd/blob/main/data/pdf/jansson_2003.pdf","Jansson et al., 2003")</f>
        <v>Jansson et al., 2003</v>
      </c>
      <c r="C90" s="9" t="s">
        <v>42</v>
      </c>
      <c r="D90" s="7" t="s">
        <v>317</v>
      </c>
      <c r="E90" s="9">
        <v>43.0</v>
      </c>
      <c r="F90" s="13">
        <v>1.7</v>
      </c>
      <c r="G90" s="13">
        <f t="shared" ref="G90:G93" si="40">iferror(RANGE_SD(E90,H90,L90),"")</f>
        <v>2.632</v>
      </c>
      <c r="H90" s="9">
        <v>-3.7</v>
      </c>
      <c r="I90" s="15"/>
      <c r="J90" s="15"/>
      <c r="K90" s="15"/>
      <c r="L90" s="9">
        <v>7.8</v>
      </c>
    </row>
    <row r="91">
      <c r="A91" s="15">
        <v>41.0</v>
      </c>
      <c r="B91" s="17" t="str">
        <f t="shared" si="39"/>
        <v>Jansson et al., 2003</v>
      </c>
      <c r="C91" s="9" t="s">
        <v>42</v>
      </c>
      <c r="D91" s="19" t="s">
        <v>319</v>
      </c>
      <c r="E91" s="9">
        <v>43.0</v>
      </c>
      <c r="F91" s="13">
        <f>iferror(MEDIAN_MEAN(E91,H91,J91,L91),"")</f>
        <v>5.984570756</v>
      </c>
      <c r="G91" s="13">
        <f t="shared" si="40"/>
        <v>1.602</v>
      </c>
      <c r="H91" s="9">
        <v>2.0</v>
      </c>
      <c r="I91" s="15"/>
      <c r="J91" s="9">
        <v>6.1</v>
      </c>
      <c r="K91" s="15"/>
      <c r="L91" s="9">
        <v>9.0</v>
      </c>
    </row>
    <row r="92">
      <c r="A92" s="15">
        <v>41.0</v>
      </c>
      <c r="B92" s="17" t="str">
        <f t="shared" si="39"/>
        <v>Jansson et al., 2003</v>
      </c>
      <c r="C92" s="9" t="s">
        <v>84</v>
      </c>
      <c r="D92" s="7" t="s">
        <v>317</v>
      </c>
      <c r="E92" s="9">
        <v>46.0</v>
      </c>
      <c r="F92" s="13">
        <v>1.2</v>
      </c>
      <c r="G92" s="13">
        <f t="shared" si="40"/>
        <v>2.646</v>
      </c>
      <c r="H92" s="9">
        <v>-4.3</v>
      </c>
      <c r="I92" s="15"/>
      <c r="J92" s="15"/>
      <c r="K92" s="15"/>
      <c r="L92" s="9">
        <v>7.4</v>
      </c>
    </row>
    <row r="93">
      <c r="A93" s="15">
        <v>41.0</v>
      </c>
      <c r="B93" s="17" t="str">
        <f t="shared" si="39"/>
        <v>Jansson et al., 2003</v>
      </c>
      <c r="C93" s="9" t="s">
        <v>84</v>
      </c>
      <c r="D93" s="19" t="s">
        <v>319</v>
      </c>
      <c r="E93" s="9">
        <v>46.0</v>
      </c>
      <c r="F93" s="13">
        <f>iferror(MEDIAN_MEAN(E93,H93,J93,L93),"")</f>
        <v>5.815354721</v>
      </c>
      <c r="G93" s="13">
        <f t="shared" si="40"/>
        <v>2.261</v>
      </c>
      <c r="H93" s="9">
        <v>0.0</v>
      </c>
      <c r="I93" s="15"/>
      <c r="J93" s="9">
        <v>6.0</v>
      </c>
      <c r="K93" s="15"/>
      <c r="L93" s="9">
        <v>10.0</v>
      </c>
    </row>
    <row r="94">
      <c r="A94" s="15">
        <v>43.0</v>
      </c>
      <c r="B94" s="17" t="str">
        <f t="shared" ref="B94:B97" si="41">HYPERLINK("https://github.com/d-wkim/phd/blob/main/data/pdf/kautzner_2015.pdf","Kautzner et al., 2015")</f>
        <v>Kautzner et al., 2015</v>
      </c>
      <c r="C94" s="9" t="s">
        <v>42</v>
      </c>
      <c r="D94" s="19" t="s">
        <v>371</v>
      </c>
      <c r="E94" s="9">
        <v>74.0</v>
      </c>
      <c r="F94" s="13">
        <v>88.0</v>
      </c>
      <c r="G94" s="13">
        <v>7.5</v>
      </c>
      <c r="H94" s="15"/>
      <c r="I94" s="15"/>
      <c r="J94" s="15"/>
      <c r="K94" s="15"/>
      <c r="L94" s="15"/>
    </row>
    <row r="95">
      <c r="A95" s="15">
        <v>43.0</v>
      </c>
      <c r="B95" s="17" t="str">
        <f t="shared" si="41"/>
        <v>Kautzner et al., 2015</v>
      </c>
      <c r="C95" s="9" t="s">
        <v>42</v>
      </c>
      <c r="D95" s="7" t="s">
        <v>317</v>
      </c>
      <c r="E95" s="9">
        <v>74.0</v>
      </c>
      <c r="F95" s="13">
        <v>0.6</v>
      </c>
      <c r="G95" s="13">
        <f>iferror(RANGE_SD(E95,H95,L95),"")</f>
        <v>0.209</v>
      </c>
      <c r="H95" s="9">
        <v>0.0</v>
      </c>
      <c r="I95" s="15"/>
      <c r="J95" s="15"/>
      <c r="K95" s="15"/>
      <c r="L95" s="9">
        <v>1.0</v>
      </c>
    </row>
    <row r="96">
      <c r="A96" s="15">
        <v>43.0</v>
      </c>
      <c r="B96" s="17" t="str">
        <f t="shared" si="41"/>
        <v>Kautzner et al., 2015</v>
      </c>
      <c r="C96" s="9" t="s">
        <v>84</v>
      </c>
      <c r="D96" s="19" t="s">
        <v>371</v>
      </c>
      <c r="E96" s="9">
        <v>73.0</v>
      </c>
      <c r="F96" s="13">
        <v>90.0</v>
      </c>
      <c r="G96" s="13">
        <v>7.6</v>
      </c>
      <c r="H96" s="15"/>
      <c r="I96" s="15"/>
      <c r="J96" s="15"/>
      <c r="K96" s="15"/>
      <c r="L96" s="15"/>
    </row>
    <row r="97">
      <c r="A97" s="15">
        <v>43.0</v>
      </c>
      <c r="B97" s="17" t="str">
        <f t="shared" si="41"/>
        <v>Kautzner et al., 2015</v>
      </c>
      <c r="C97" s="9" t="s">
        <v>84</v>
      </c>
      <c r="D97" s="7" t="s">
        <v>317</v>
      </c>
      <c r="E97" s="9">
        <v>73.0</v>
      </c>
      <c r="F97" s="13">
        <v>0.5</v>
      </c>
      <c r="G97" s="13">
        <f>iferror(RANGE_SD(E97,H97,L97),"")</f>
        <v>0.419</v>
      </c>
      <c r="H97" s="9">
        <v>0.0</v>
      </c>
      <c r="I97" s="15"/>
      <c r="J97" s="15"/>
      <c r="K97" s="15"/>
      <c r="L97" s="9">
        <v>2.0</v>
      </c>
    </row>
    <row r="98">
      <c r="A98" s="15">
        <v>44.0</v>
      </c>
      <c r="B98" s="17" t="str">
        <f t="shared" ref="B98:B101" si="42">HYPERLINK("https://github.com/d-wkim/phd/blob/main/data/pdf/komzak_2022.pdf","Komzak et al., 2022")</f>
        <v>Komzak et al., 2022</v>
      </c>
      <c r="C98" s="9" t="s">
        <v>42</v>
      </c>
      <c r="D98" s="19" t="s">
        <v>471</v>
      </c>
      <c r="E98" s="9">
        <v>36.0</v>
      </c>
      <c r="F98" s="13">
        <v>74.2</v>
      </c>
      <c r="G98" s="13">
        <v>10.2</v>
      </c>
      <c r="H98" s="15"/>
      <c r="I98" s="15"/>
      <c r="J98" s="15"/>
      <c r="K98" s="15"/>
      <c r="L98" s="15"/>
    </row>
    <row r="99">
      <c r="A99" s="15">
        <v>44.0</v>
      </c>
      <c r="B99" s="17" t="str">
        <f t="shared" si="42"/>
        <v>Komzak et al., 2022</v>
      </c>
      <c r="C99" s="9" t="s">
        <v>42</v>
      </c>
      <c r="D99" s="19" t="s">
        <v>371</v>
      </c>
      <c r="E99" s="9">
        <v>36.0</v>
      </c>
      <c r="F99" s="13">
        <v>93.4</v>
      </c>
      <c r="G99" s="13">
        <v>9.6</v>
      </c>
      <c r="H99" s="15"/>
      <c r="I99" s="15"/>
      <c r="J99" s="15"/>
      <c r="K99" s="15"/>
      <c r="L99" s="15"/>
    </row>
    <row r="100">
      <c r="A100" s="15">
        <v>44.0</v>
      </c>
      <c r="B100" s="17" t="str">
        <f t="shared" si="42"/>
        <v>Komzak et al., 2022</v>
      </c>
      <c r="C100" s="9" t="s">
        <v>200</v>
      </c>
      <c r="D100" s="19" t="s">
        <v>471</v>
      </c>
      <c r="E100" s="9">
        <v>36.0</v>
      </c>
      <c r="F100" s="13">
        <v>78.3</v>
      </c>
      <c r="G100" s="13">
        <v>10.5</v>
      </c>
      <c r="H100" s="15"/>
      <c r="I100" s="15"/>
      <c r="J100" s="15"/>
      <c r="K100" s="15"/>
      <c r="L100" s="15"/>
    </row>
    <row r="101">
      <c r="A101" s="15">
        <v>44.0</v>
      </c>
      <c r="B101" s="17" t="str">
        <f t="shared" si="42"/>
        <v>Komzak et al., 2022</v>
      </c>
      <c r="C101" s="9" t="s">
        <v>200</v>
      </c>
      <c r="D101" s="19" t="s">
        <v>371</v>
      </c>
      <c r="E101" s="9">
        <v>36.0</v>
      </c>
      <c r="F101" s="13">
        <v>90.1</v>
      </c>
      <c r="G101" s="13">
        <v>6.7</v>
      </c>
      <c r="H101" s="15"/>
      <c r="I101" s="15"/>
      <c r="J101" s="15"/>
      <c r="K101" s="15"/>
      <c r="L101" s="15"/>
    </row>
    <row r="102">
      <c r="A102" s="15">
        <v>45.0</v>
      </c>
      <c r="B102" s="17" t="str">
        <f t="shared" ref="B102:B107" si="43">HYPERLINK("https://github.com/d-wkim/phd/blob/main/data/pdf/konrads_2016.pdf","Konrads et al., 2016")</f>
        <v>Konrads et al., 2016</v>
      </c>
      <c r="C102" s="9" t="s">
        <v>42</v>
      </c>
      <c r="D102" s="7" t="s">
        <v>317</v>
      </c>
      <c r="E102" s="9">
        <v>24.0</v>
      </c>
      <c r="F102" s="13">
        <v>1.8</v>
      </c>
      <c r="G102" s="13">
        <f t="shared" ref="G102:G112" si="44">iferror(RANGE_SD(E102,H102,L102),"")</f>
        <v>0.514</v>
      </c>
      <c r="H102" s="9">
        <v>1.0</v>
      </c>
      <c r="I102" s="15"/>
      <c r="J102" s="15"/>
      <c r="K102" s="15"/>
      <c r="L102" s="9">
        <v>3.0</v>
      </c>
    </row>
    <row r="103">
      <c r="A103" s="15">
        <v>45.0</v>
      </c>
      <c r="B103" s="17" t="str">
        <f t="shared" si="43"/>
        <v>Konrads et al., 2016</v>
      </c>
      <c r="C103" s="9" t="s">
        <v>42</v>
      </c>
      <c r="D103" s="19" t="s">
        <v>319</v>
      </c>
      <c r="E103" s="9">
        <v>24.0</v>
      </c>
      <c r="F103" s="13">
        <v>5.9</v>
      </c>
      <c r="G103" s="13">
        <f t="shared" si="44"/>
        <v>1.284</v>
      </c>
      <c r="H103" s="9">
        <v>4.0</v>
      </c>
      <c r="I103" s="15"/>
      <c r="J103" s="15"/>
      <c r="K103" s="15"/>
      <c r="L103" s="9">
        <v>9.0</v>
      </c>
    </row>
    <row r="104">
      <c r="A104" s="15">
        <v>45.0</v>
      </c>
      <c r="B104" s="17" t="str">
        <f t="shared" si="43"/>
        <v>Konrads et al., 2016</v>
      </c>
      <c r="C104" s="9" t="s">
        <v>42</v>
      </c>
      <c r="D104" s="19" t="s">
        <v>371</v>
      </c>
      <c r="E104" s="9">
        <v>24.0</v>
      </c>
      <c r="F104" s="13">
        <v>92.0</v>
      </c>
      <c r="G104" s="13">
        <f t="shared" si="44"/>
        <v>8.989</v>
      </c>
      <c r="H104" s="9">
        <v>63.0</v>
      </c>
      <c r="I104" s="15"/>
      <c r="J104" s="15"/>
      <c r="K104" s="15"/>
      <c r="L104" s="9">
        <v>98.0</v>
      </c>
    </row>
    <row r="105">
      <c r="A105" s="15">
        <v>45.0</v>
      </c>
      <c r="B105" s="17" t="str">
        <f t="shared" si="43"/>
        <v>Konrads et al., 2016</v>
      </c>
      <c r="C105" s="9" t="s">
        <v>84</v>
      </c>
      <c r="D105" s="7" t="s">
        <v>317</v>
      </c>
      <c r="E105" s="9">
        <v>23.0</v>
      </c>
      <c r="F105" s="13">
        <v>2.2</v>
      </c>
      <c r="G105" s="13">
        <f t="shared" si="44"/>
        <v>0.778</v>
      </c>
      <c r="H105" s="9">
        <v>1.0</v>
      </c>
      <c r="I105" s="15"/>
      <c r="J105" s="15"/>
      <c r="K105" s="15"/>
      <c r="L105" s="9">
        <v>4.0</v>
      </c>
    </row>
    <row r="106">
      <c r="A106" s="15">
        <v>45.0</v>
      </c>
      <c r="B106" s="17" t="str">
        <f t="shared" si="43"/>
        <v>Konrads et al., 2016</v>
      </c>
      <c r="C106" s="9" t="s">
        <v>84</v>
      </c>
      <c r="D106" s="19" t="s">
        <v>319</v>
      </c>
      <c r="E106" s="9">
        <v>23.0</v>
      </c>
      <c r="F106" s="13">
        <v>5.1</v>
      </c>
      <c r="G106" s="13">
        <f t="shared" si="44"/>
        <v>1.037</v>
      </c>
      <c r="H106" s="9">
        <v>3.0</v>
      </c>
      <c r="I106" s="15"/>
      <c r="J106" s="15"/>
      <c r="K106" s="15"/>
      <c r="L106" s="9">
        <v>7.0</v>
      </c>
    </row>
    <row r="107">
      <c r="A107" s="15">
        <v>45.0</v>
      </c>
      <c r="B107" s="17" t="str">
        <f t="shared" si="43"/>
        <v>Konrads et al., 2016</v>
      </c>
      <c r="C107" s="9" t="s">
        <v>84</v>
      </c>
      <c r="D107" s="19" t="s">
        <v>371</v>
      </c>
      <c r="E107" s="9">
        <v>23.0</v>
      </c>
      <c r="F107" s="13">
        <v>91.8</v>
      </c>
      <c r="G107" s="13">
        <f t="shared" si="44"/>
        <v>9.333</v>
      </c>
      <c r="H107" s="9">
        <v>62.0</v>
      </c>
      <c r="I107" s="15"/>
      <c r="J107" s="15"/>
      <c r="K107" s="15"/>
      <c r="L107" s="9">
        <v>98.0</v>
      </c>
    </row>
    <row r="108">
      <c r="A108" s="15">
        <v>46.0</v>
      </c>
      <c r="B108" s="17" t="str">
        <f t="shared" ref="B108:B109" si="45">HYPERLINK("https://github.com/d-wkim/phd/blob/main/data/pdf/laoruengthana_2009.pdf","Laoruengthana et al., 2009")</f>
        <v>Laoruengthana et al., 2009</v>
      </c>
      <c r="C108" s="9" t="s">
        <v>42</v>
      </c>
      <c r="D108" s="7" t="s">
        <v>317</v>
      </c>
      <c r="E108" s="9">
        <v>15.0</v>
      </c>
      <c r="F108" s="13">
        <v>1.22</v>
      </c>
      <c r="G108" s="13">
        <f t="shared" si="44"/>
        <v>0.69</v>
      </c>
      <c r="H108" s="9">
        <v>0.3</v>
      </c>
      <c r="I108" s="15"/>
      <c r="J108" s="15"/>
      <c r="K108" s="15"/>
      <c r="L108" s="9">
        <v>2.7</v>
      </c>
    </row>
    <row r="109">
      <c r="A109" s="15">
        <v>46.0</v>
      </c>
      <c r="B109" s="17" t="str">
        <f t="shared" si="45"/>
        <v>Laoruengthana et al., 2009</v>
      </c>
      <c r="C109" s="9" t="s">
        <v>84</v>
      </c>
      <c r="D109" s="7" t="s">
        <v>317</v>
      </c>
      <c r="E109" s="9">
        <v>13.0</v>
      </c>
      <c r="F109" s="13">
        <v>0.96</v>
      </c>
      <c r="G109" s="13">
        <f t="shared" si="44"/>
        <v>0.418</v>
      </c>
      <c r="H109" s="9">
        <v>0.2</v>
      </c>
      <c r="I109" s="15"/>
      <c r="J109" s="15"/>
      <c r="K109" s="15"/>
      <c r="L109" s="9">
        <v>1.6</v>
      </c>
    </row>
    <row r="110">
      <c r="A110" s="15">
        <v>49.0</v>
      </c>
      <c r="B110" s="17" t="str">
        <f t="shared" ref="B110:B115" si="46">HYPERLINK("https://github.com/d-wkim/phd/blob/main/data/pdf/laxdal_2005.pdf","Laxdal et al., 2005")</f>
        <v>Laxdal et al., 2005</v>
      </c>
      <c r="C110" s="9" t="s">
        <v>42</v>
      </c>
      <c r="D110" s="19" t="s">
        <v>319</v>
      </c>
      <c r="E110" s="9">
        <v>40.0</v>
      </c>
      <c r="F110" s="13">
        <v>6.0</v>
      </c>
      <c r="G110" s="13">
        <f t="shared" si="44"/>
        <v>1.855</v>
      </c>
      <c r="H110" s="9">
        <v>2.0</v>
      </c>
      <c r="I110" s="15"/>
      <c r="J110" s="15"/>
      <c r="K110" s="15"/>
      <c r="L110" s="9">
        <v>10.0</v>
      </c>
    </row>
    <row r="111">
      <c r="A111" s="15">
        <v>49.0</v>
      </c>
      <c r="B111" s="17" t="str">
        <f t="shared" si="46"/>
        <v>Laxdal et al., 2005</v>
      </c>
      <c r="C111" s="9" t="s">
        <v>42</v>
      </c>
      <c r="D111" s="19" t="s">
        <v>371</v>
      </c>
      <c r="E111" s="9">
        <v>40.0</v>
      </c>
      <c r="F111" s="13">
        <v>94.0</v>
      </c>
      <c r="G111" s="13">
        <f t="shared" si="44"/>
        <v>18.086</v>
      </c>
      <c r="H111" s="9">
        <v>22.0</v>
      </c>
      <c r="I111" s="15"/>
      <c r="J111" s="15"/>
      <c r="K111" s="15"/>
      <c r="L111" s="9">
        <v>100.0</v>
      </c>
    </row>
    <row r="112">
      <c r="A112" s="15">
        <v>49.0</v>
      </c>
      <c r="B112" s="17" t="str">
        <f t="shared" si="46"/>
        <v>Laxdal et al., 2005</v>
      </c>
      <c r="C112" s="9" t="s">
        <v>42</v>
      </c>
      <c r="D112" s="7" t="s">
        <v>317</v>
      </c>
      <c r="E112" s="9">
        <v>40.0</v>
      </c>
      <c r="F112" s="13">
        <v>1.0</v>
      </c>
      <c r="G112" s="13">
        <f t="shared" si="44"/>
        <v>3.014</v>
      </c>
      <c r="H112" s="9">
        <v>-5.0</v>
      </c>
      <c r="I112" s="15"/>
      <c r="J112" s="15"/>
      <c r="K112" s="15"/>
      <c r="L112" s="9">
        <v>8.0</v>
      </c>
    </row>
    <row r="113">
      <c r="A113" s="9">
        <v>49.0</v>
      </c>
      <c r="B113" s="17" t="str">
        <f t="shared" si="46"/>
        <v>Laxdal et al., 2005</v>
      </c>
      <c r="C113" s="9" t="s">
        <v>84</v>
      </c>
      <c r="D113" s="19" t="s">
        <v>319</v>
      </c>
      <c r="E113" s="9">
        <v>78.0</v>
      </c>
      <c r="F113" s="13">
        <v>4.0</v>
      </c>
      <c r="G113" s="13">
        <v>1.6419284401871532</v>
      </c>
      <c r="H113" s="9"/>
      <c r="I113" s="15"/>
      <c r="J113" s="15"/>
      <c r="K113" s="15"/>
      <c r="L113" s="9"/>
    </row>
    <row r="114">
      <c r="A114" s="9">
        <v>49.0</v>
      </c>
      <c r="B114" s="17" t="str">
        <f t="shared" si="46"/>
        <v>Laxdal et al., 2005</v>
      </c>
      <c r="C114" s="9" t="s">
        <v>84</v>
      </c>
      <c r="D114" s="19" t="s">
        <v>371</v>
      </c>
      <c r="E114" s="9">
        <v>78.0</v>
      </c>
      <c r="F114" s="13">
        <v>92.0</v>
      </c>
      <c r="G114" s="13">
        <v>13.397563064473081</v>
      </c>
      <c r="H114" s="9"/>
      <c r="I114" s="15"/>
      <c r="J114" s="15"/>
      <c r="K114" s="15"/>
      <c r="L114" s="9"/>
    </row>
    <row r="115">
      <c r="A115" s="9">
        <v>49.0</v>
      </c>
      <c r="B115" s="17" t="str">
        <f t="shared" si="46"/>
        <v>Laxdal et al., 2005</v>
      </c>
      <c r="C115" s="9" t="s">
        <v>84</v>
      </c>
      <c r="D115" s="7" t="s">
        <v>317</v>
      </c>
      <c r="E115" s="9">
        <v>78.0</v>
      </c>
      <c r="F115" s="13">
        <v>1.5</v>
      </c>
      <c r="G115" s="13">
        <v>3.117862011891075</v>
      </c>
      <c r="H115" s="9"/>
      <c r="I115" s="15"/>
      <c r="J115" s="15"/>
      <c r="K115" s="15"/>
      <c r="L115" s="9"/>
    </row>
    <row r="116">
      <c r="A116" s="15">
        <v>51.0</v>
      </c>
      <c r="B116" s="17" t="str">
        <f t="shared" ref="B116:B123" si="47">HYPERLINK("https://github.com/d-wkim/phd/blob/main/data/pdf/li_2015.pdf","Li et al., 2015")</f>
        <v>Li et al., 2015</v>
      </c>
      <c r="C116" s="9" t="s">
        <v>84</v>
      </c>
      <c r="D116" s="7" t="s">
        <v>317</v>
      </c>
      <c r="E116" s="9">
        <v>32.0</v>
      </c>
      <c r="F116" s="13">
        <v>2.1</v>
      </c>
      <c r="G116" s="13">
        <v>1.6</v>
      </c>
      <c r="H116" s="15"/>
      <c r="I116" s="15"/>
      <c r="J116" s="15"/>
      <c r="K116" s="15"/>
      <c r="L116" s="15"/>
    </row>
    <row r="117">
      <c r="A117" s="15">
        <v>51.0</v>
      </c>
      <c r="B117" s="17" t="str">
        <f t="shared" si="47"/>
        <v>Li et al., 2015</v>
      </c>
      <c r="C117" s="9" t="s">
        <v>84</v>
      </c>
      <c r="D117" s="19" t="s">
        <v>471</v>
      </c>
      <c r="E117" s="9">
        <v>32.0</v>
      </c>
      <c r="F117" s="13">
        <v>87.5</v>
      </c>
      <c r="G117" s="13">
        <v>3.2</v>
      </c>
      <c r="H117" s="15"/>
      <c r="I117" s="15"/>
      <c r="J117" s="15"/>
      <c r="K117" s="15"/>
      <c r="L117" s="15"/>
    </row>
    <row r="118">
      <c r="A118" s="15">
        <v>51.0</v>
      </c>
      <c r="B118" s="17" t="str">
        <f t="shared" si="47"/>
        <v>Li et al., 2015</v>
      </c>
      <c r="C118" s="9" t="s">
        <v>84</v>
      </c>
      <c r="D118" s="19" t="s">
        <v>319</v>
      </c>
      <c r="E118" s="9">
        <v>32.0</v>
      </c>
      <c r="F118" s="13">
        <v>7.3</v>
      </c>
      <c r="G118" s="13">
        <v>1.3</v>
      </c>
      <c r="H118" s="15"/>
      <c r="I118" s="15"/>
      <c r="J118" s="15"/>
      <c r="K118" s="15"/>
      <c r="L118" s="15"/>
    </row>
    <row r="119">
      <c r="A119" s="15">
        <v>51.0</v>
      </c>
      <c r="B119" s="17" t="str">
        <f t="shared" si="47"/>
        <v>Li et al., 2015</v>
      </c>
      <c r="C119" s="9" t="s">
        <v>84</v>
      </c>
      <c r="D119" s="19" t="s">
        <v>371</v>
      </c>
      <c r="E119" s="9">
        <v>32.0</v>
      </c>
      <c r="F119" s="13">
        <v>91.3</v>
      </c>
      <c r="G119" s="13">
        <v>11.5</v>
      </c>
      <c r="H119" s="15"/>
      <c r="I119" s="15"/>
      <c r="J119" s="15"/>
      <c r="K119" s="15"/>
      <c r="L119" s="15"/>
    </row>
    <row r="120">
      <c r="A120" s="15">
        <v>51.0</v>
      </c>
      <c r="B120" s="17" t="str">
        <f t="shared" si="47"/>
        <v>Li et al., 2015</v>
      </c>
      <c r="C120" s="9" t="s">
        <v>205</v>
      </c>
      <c r="D120" s="7" t="s">
        <v>317</v>
      </c>
      <c r="E120" s="9">
        <v>32.0</v>
      </c>
      <c r="F120" s="13">
        <v>3.5</v>
      </c>
      <c r="G120" s="13">
        <v>1.2</v>
      </c>
      <c r="H120" s="15"/>
      <c r="I120" s="15"/>
      <c r="J120" s="15"/>
      <c r="K120" s="15"/>
      <c r="L120" s="15"/>
    </row>
    <row r="121">
      <c r="A121" s="15">
        <v>51.0</v>
      </c>
      <c r="B121" s="17" t="str">
        <f t="shared" si="47"/>
        <v>Li et al., 2015</v>
      </c>
      <c r="C121" s="9" t="s">
        <v>205</v>
      </c>
      <c r="D121" s="19" t="s">
        <v>471</v>
      </c>
      <c r="E121" s="9">
        <v>32.0</v>
      </c>
      <c r="F121" s="13">
        <v>83.8</v>
      </c>
      <c r="G121" s="13">
        <v>6.9</v>
      </c>
      <c r="H121" s="15"/>
      <c r="I121" s="15"/>
      <c r="J121" s="15"/>
      <c r="K121" s="15"/>
      <c r="L121" s="15"/>
    </row>
    <row r="122">
      <c r="A122" s="15">
        <v>51.0</v>
      </c>
      <c r="B122" s="17" t="str">
        <f t="shared" si="47"/>
        <v>Li et al., 2015</v>
      </c>
      <c r="C122" s="9" t="s">
        <v>205</v>
      </c>
      <c r="D122" s="19" t="s">
        <v>319</v>
      </c>
      <c r="E122" s="9">
        <v>32.0</v>
      </c>
      <c r="F122" s="13">
        <v>7.0</v>
      </c>
      <c r="G122" s="13">
        <v>2.1</v>
      </c>
      <c r="H122" s="15"/>
      <c r="I122" s="15"/>
      <c r="J122" s="15"/>
      <c r="K122" s="15"/>
      <c r="L122" s="15"/>
    </row>
    <row r="123">
      <c r="A123" s="15">
        <v>51.0</v>
      </c>
      <c r="B123" s="17" t="str">
        <f t="shared" si="47"/>
        <v>Li et al., 2015</v>
      </c>
      <c r="C123" s="9" t="s">
        <v>205</v>
      </c>
      <c r="D123" s="19" t="s">
        <v>371</v>
      </c>
      <c r="E123" s="9">
        <v>32.0</v>
      </c>
      <c r="F123" s="13">
        <v>88.7</v>
      </c>
      <c r="G123" s="13">
        <v>8.6</v>
      </c>
      <c r="H123" s="15"/>
      <c r="I123" s="15"/>
      <c r="J123" s="15"/>
      <c r="K123" s="15"/>
      <c r="L123" s="15"/>
    </row>
    <row r="124">
      <c r="A124" s="15">
        <v>52.0</v>
      </c>
      <c r="B124" s="17" t="str">
        <f t="shared" ref="B124:B129" si="48">HYPERLINK("https://github.com/d-wkim/phd/blob/main/data/pdf/lidén_2007.pdf","Lidén et al., 2007")</f>
        <v>Lidén et al., 2007</v>
      </c>
      <c r="C124" s="9" t="s">
        <v>42</v>
      </c>
      <c r="D124" s="19" t="s">
        <v>319</v>
      </c>
      <c r="E124" s="9">
        <v>30.0</v>
      </c>
      <c r="F124" s="13">
        <v>5.0</v>
      </c>
      <c r="G124" s="13">
        <f t="shared" ref="G124:G129" si="49">iferror(RANGE_SD(E124,H124,L124),"")</f>
        <v>1.715</v>
      </c>
      <c r="H124" s="9">
        <v>0.0</v>
      </c>
      <c r="I124" s="15"/>
      <c r="J124" s="15"/>
      <c r="K124" s="15"/>
      <c r="L124" s="9">
        <v>7.0</v>
      </c>
    </row>
    <row r="125">
      <c r="A125" s="15">
        <v>52.0</v>
      </c>
      <c r="B125" s="17" t="str">
        <f t="shared" si="48"/>
        <v>Lidén et al., 2007</v>
      </c>
      <c r="C125" s="9" t="s">
        <v>42</v>
      </c>
      <c r="D125" s="19" t="s">
        <v>371</v>
      </c>
      <c r="E125" s="9">
        <v>30.0</v>
      </c>
      <c r="F125" s="13">
        <v>81.0</v>
      </c>
      <c r="G125" s="13">
        <f t="shared" si="49"/>
        <v>18.38</v>
      </c>
      <c r="H125" s="9">
        <v>25.0</v>
      </c>
      <c r="I125" s="15"/>
      <c r="J125" s="15"/>
      <c r="K125" s="15"/>
      <c r="L125" s="9">
        <v>100.0</v>
      </c>
    </row>
    <row r="126">
      <c r="A126" s="15">
        <v>52.0</v>
      </c>
      <c r="B126" s="17" t="str">
        <f t="shared" si="48"/>
        <v>Lidén et al., 2007</v>
      </c>
      <c r="C126" s="9" t="s">
        <v>42</v>
      </c>
      <c r="D126" s="7" t="s">
        <v>317</v>
      </c>
      <c r="E126" s="9">
        <v>30.0</v>
      </c>
      <c r="F126" s="13">
        <v>2.3</v>
      </c>
      <c r="G126" s="13">
        <f t="shared" si="49"/>
        <v>3.063</v>
      </c>
      <c r="H126" s="9">
        <v>-3.5</v>
      </c>
      <c r="I126" s="15"/>
      <c r="J126" s="15"/>
      <c r="K126" s="15"/>
      <c r="L126" s="9">
        <v>9.0</v>
      </c>
    </row>
    <row r="127">
      <c r="A127" s="15">
        <v>52.0</v>
      </c>
      <c r="B127" s="17" t="str">
        <f t="shared" si="48"/>
        <v>Lidén et al., 2007</v>
      </c>
      <c r="C127" s="9" t="s">
        <v>84</v>
      </c>
      <c r="D127" s="19" t="s">
        <v>319</v>
      </c>
      <c r="E127" s="9">
        <v>32.0</v>
      </c>
      <c r="F127" s="13">
        <v>6.0</v>
      </c>
      <c r="G127" s="13">
        <f t="shared" si="49"/>
        <v>1.693</v>
      </c>
      <c r="H127" s="9">
        <v>2.0</v>
      </c>
      <c r="I127" s="15"/>
      <c r="J127" s="15"/>
      <c r="K127" s="15"/>
      <c r="L127" s="9">
        <v>9.0</v>
      </c>
    </row>
    <row r="128">
      <c r="A128" s="15">
        <v>52.0</v>
      </c>
      <c r="B128" s="17" t="str">
        <f t="shared" si="48"/>
        <v>Lidén et al., 2007</v>
      </c>
      <c r="C128" s="9" t="s">
        <v>84</v>
      </c>
      <c r="D128" s="19" t="s">
        <v>371</v>
      </c>
      <c r="E128" s="9">
        <v>32.0</v>
      </c>
      <c r="F128" s="13">
        <v>90.0</v>
      </c>
      <c r="G128" s="13">
        <f t="shared" si="49"/>
        <v>12.096</v>
      </c>
      <c r="H128" s="9">
        <v>50.0</v>
      </c>
      <c r="I128" s="15"/>
      <c r="J128" s="15"/>
      <c r="K128" s="15"/>
      <c r="L128" s="9">
        <v>100.0</v>
      </c>
    </row>
    <row r="129">
      <c r="A129" s="15">
        <v>52.0</v>
      </c>
      <c r="B129" s="17" t="str">
        <f t="shared" si="48"/>
        <v>Lidén et al., 2007</v>
      </c>
      <c r="C129" s="9" t="s">
        <v>84</v>
      </c>
      <c r="D129" s="7" t="s">
        <v>317</v>
      </c>
      <c r="E129" s="9">
        <v>32.0</v>
      </c>
      <c r="F129" s="13">
        <v>2.7</v>
      </c>
      <c r="G129" s="13">
        <f t="shared" si="49"/>
        <v>3.387</v>
      </c>
      <c r="H129" s="9">
        <v>-4.5</v>
      </c>
      <c r="I129" s="15"/>
      <c r="J129" s="15"/>
      <c r="K129" s="15"/>
      <c r="L129" s="9">
        <v>9.5</v>
      </c>
    </row>
    <row r="130">
      <c r="A130" s="15">
        <v>53.0</v>
      </c>
      <c r="B130" s="17" t="str">
        <f t="shared" ref="B130:B135" si="50">HYPERLINK("https://github.com/d-wkim/phd/blob/main/data/pdf/lind_2020.pdf","Lind et al., 2020")</f>
        <v>Lind et al., 2020</v>
      </c>
      <c r="C130" s="9" t="s">
        <v>84</v>
      </c>
      <c r="D130" s="19" t="s">
        <v>471</v>
      </c>
      <c r="E130" s="9">
        <v>49.0</v>
      </c>
      <c r="F130" s="13">
        <v>78.0</v>
      </c>
      <c r="G130" s="13">
        <v>18.0</v>
      </c>
      <c r="H130" s="15"/>
      <c r="I130" s="15"/>
      <c r="J130" s="15"/>
      <c r="K130" s="15"/>
      <c r="L130" s="15"/>
    </row>
    <row r="131">
      <c r="A131" s="15">
        <v>53.0</v>
      </c>
      <c r="B131" s="17" t="str">
        <f t="shared" si="50"/>
        <v>Lind et al., 2020</v>
      </c>
      <c r="C131" s="9" t="s">
        <v>84</v>
      </c>
      <c r="D131" s="19" t="s">
        <v>319</v>
      </c>
      <c r="E131" s="9">
        <v>49.0</v>
      </c>
      <c r="F131" s="13">
        <v>5.9</v>
      </c>
      <c r="G131" s="13">
        <v>1.3</v>
      </c>
      <c r="H131" s="15"/>
      <c r="I131" s="15"/>
      <c r="J131" s="15"/>
      <c r="K131" s="15"/>
      <c r="L131" s="15"/>
    </row>
    <row r="132">
      <c r="A132" s="15">
        <v>53.0</v>
      </c>
      <c r="B132" s="17" t="str">
        <f t="shared" si="50"/>
        <v>Lind et al., 2020</v>
      </c>
      <c r="C132" s="9" t="s">
        <v>84</v>
      </c>
      <c r="D132" s="7" t="s">
        <v>317</v>
      </c>
      <c r="E132" s="9">
        <v>49.0</v>
      </c>
      <c r="F132" s="13">
        <v>1.9</v>
      </c>
      <c r="G132" s="13">
        <v>1.7</v>
      </c>
      <c r="H132" s="15"/>
      <c r="I132" s="15"/>
      <c r="J132" s="15"/>
      <c r="K132" s="15"/>
      <c r="L132" s="15"/>
    </row>
    <row r="133">
      <c r="A133" s="15">
        <v>53.0</v>
      </c>
      <c r="B133" s="17" t="str">
        <f t="shared" si="50"/>
        <v>Lind et al., 2020</v>
      </c>
      <c r="C133" s="9" t="s">
        <v>200</v>
      </c>
      <c r="D133" s="19" t="s">
        <v>471</v>
      </c>
      <c r="E133" s="9">
        <v>47.0</v>
      </c>
      <c r="F133" s="13">
        <v>82.0</v>
      </c>
      <c r="G133" s="13">
        <v>14.0</v>
      </c>
      <c r="H133" s="15"/>
      <c r="I133" s="15"/>
      <c r="J133" s="15"/>
      <c r="K133" s="15"/>
      <c r="L133" s="15"/>
    </row>
    <row r="134">
      <c r="A134" s="15">
        <v>53.0</v>
      </c>
      <c r="B134" s="17" t="str">
        <f t="shared" si="50"/>
        <v>Lind et al., 2020</v>
      </c>
      <c r="C134" s="9" t="s">
        <v>200</v>
      </c>
      <c r="D134" s="19" t="s">
        <v>319</v>
      </c>
      <c r="E134" s="9">
        <v>47.0</v>
      </c>
      <c r="F134" s="13">
        <v>6.0</v>
      </c>
      <c r="G134" s="13">
        <v>1.5</v>
      </c>
      <c r="H134" s="15"/>
      <c r="I134" s="15"/>
      <c r="J134" s="15"/>
      <c r="K134" s="15"/>
      <c r="L134" s="15"/>
    </row>
    <row r="135">
      <c r="A135" s="15">
        <v>53.0</v>
      </c>
      <c r="B135" s="17" t="str">
        <f t="shared" si="50"/>
        <v>Lind et al., 2020</v>
      </c>
      <c r="C135" s="9" t="s">
        <v>200</v>
      </c>
      <c r="D135" s="7" t="s">
        <v>317</v>
      </c>
      <c r="E135" s="9">
        <v>47.0</v>
      </c>
      <c r="F135" s="13">
        <v>1.8</v>
      </c>
      <c r="G135" s="13">
        <v>1.0</v>
      </c>
      <c r="H135" s="15"/>
      <c r="I135" s="15"/>
      <c r="J135" s="15"/>
      <c r="K135" s="15"/>
      <c r="L135" s="15"/>
    </row>
    <row r="136">
      <c r="A136" s="15">
        <v>54.0</v>
      </c>
      <c r="B136" s="17" t="str">
        <f t="shared" ref="B136:B143" si="51">HYPERLINK("https://github.com/d-wkim/phd/blob/main/data/pdf/lucidi_2025.pdf","Lucidi et al., 2025")</f>
        <v>Lucidi et al., 2025</v>
      </c>
      <c r="C136" s="9" t="s">
        <v>42</v>
      </c>
      <c r="D136" s="19" t="s">
        <v>471</v>
      </c>
      <c r="E136" s="9">
        <v>19.0</v>
      </c>
      <c r="F136" s="13">
        <v>78.4</v>
      </c>
      <c r="G136" s="13">
        <v>13.7</v>
      </c>
      <c r="H136" s="15"/>
      <c r="I136" s="15"/>
      <c r="J136" s="15"/>
      <c r="K136" s="15"/>
      <c r="L136" s="15"/>
    </row>
    <row r="137">
      <c r="A137" s="15">
        <v>54.0</v>
      </c>
      <c r="B137" s="17" t="str">
        <f t="shared" si="51"/>
        <v>Lucidi et al., 2025</v>
      </c>
      <c r="C137" s="9" t="s">
        <v>42</v>
      </c>
      <c r="D137" s="19" t="s">
        <v>319</v>
      </c>
      <c r="E137" s="9">
        <v>19.0</v>
      </c>
      <c r="F137" s="13">
        <v>3.0</v>
      </c>
      <c r="G137" s="13">
        <f>iferror(RANGE_SD(E137,H137,L137),"")</f>
        <v>1.084</v>
      </c>
      <c r="H137" s="9">
        <v>1.0</v>
      </c>
      <c r="I137" s="15"/>
      <c r="J137" s="15"/>
      <c r="K137" s="15"/>
      <c r="L137" s="9">
        <v>5.0</v>
      </c>
    </row>
    <row r="138">
      <c r="A138" s="15">
        <v>54.0</v>
      </c>
      <c r="B138" s="17" t="str">
        <f t="shared" si="51"/>
        <v>Lucidi et al., 2025</v>
      </c>
      <c r="C138" s="9" t="s">
        <v>42</v>
      </c>
      <c r="D138" s="19" t="s">
        <v>371</v>
      </c>
      <c r="E138" s="9">
        <v>19.0</v>
      </c>
      <c r="F138" s="13">
        <v>84.8</v>
      </c>
      <c r="G138" s="13">
        <v>10.3</v>
      </c>
      <c r="H138" s="15"/>
      <c r="I138" s="15"/>
      <c r="J138" s="15"/>
      <c r="K138" s="15"/>
      <c r="L138" s="15"/>
    </row>
    <row r="139">
      <c r="A139" s="15">
        <v>54.0</v>
      </c>
      <c r="B139" s="17" t="str">
        <f t="shared" si="51"/>
        <v>Lucidi et al., 2025</v>
      </c>
      <c r="C139" s="9" t="s">
        <v>42</v>
      </c>
      <c r="D139" s="7" t="s">
        <v>317</v>
      </c>
      <c r="E139" s="9">
        <v>19.0</v>
      </c>
      <c r="F139" s="13">
        <v>-0.1</v>
      </c>
      <c r="G139" s="13">
        <v>1.6</v>
      </c>
      <c r="H139" s="15"/>
      <c r="I139" s="15"/>
      <c r="J139" s="15"/>
      <c r="K139" s="15"/>
      <c r="L139" s="15"/>
    </row>
    <row r="140">
      <c r="A140" s="15">
        <v>54.0</v>
      </c>
      <c r="B140" s="17" t="str">
        <f t="shared" si="51"/>
        <v>Lucidi et al., 2025</v>
      </c>
      <c r="C140" s="9" t="s">
        <v>84</v>
      </c>
      <c r="D140" s="19" t="s">
        <v>471</v>
      </c>
      <c r="E140" s="9">
        <v>20.0</v>
      </c>
      <c r="F140" s="13">
        <v>81.6</v>
      </c>
      <c r="G140" s="13">
        <v>11.9</v>
      </c>
      <c r="H140" s="15"/>
      <c r="I140" s="15"/>
      <c r="J140" s="15"/>
      <c r="K140" s="15"/>
      <c r="L140" s="15"/>
    </row>
    <row r="141">
      <c r="A141" s="15">
        <v>54.0</v>
      </c>
      <c r="B141" s="17" t="str">
        <f t="shared" si="51"/>
        <v>Lucidi et al., 2025</v>
      </c>
      <c r="C141" s="9" t="s">
        <v>84</v>
      </c>
      <c r="D141" s="19" t="s">
        <v>319</v>
      </c>
      <c r="E141" s="9">
        <v>20.0</v>
      </c>
      <c r="F141" s="13">
        <v>4.0</v>
      </c>
      <c r="G141" s="13">
        <f>iferror(RANGE_SD(E141,H141,L141),"")</f>
        <v>0.803</v>
      </c>
      <c r="H141" s="9">
        <v>3.0</v>
      </c>
      <c r="I141" s="15"/>
      <c r="J141" s="15"/>
      <c r="K141" s="15"/>
      <c r="L141" s="9">
        <v>6.0</v>
      </c>
    </row>
    <row r="142">
      <c r="A142" s="15">
        <v>54.0</v>
      </c>
      <c r="B142" s="17" t="str">
        <f t="shared" si="51"/>
        <v>Lucidi et al., 2025</v>
      </c>
      <c r="C142" s="9" t="s">
        <v>84</v>
      </c>
      <c r="D142" s="19" t="s">
        <v>371</v>
      </c>
      <c r="E142" s="9">
        <v>20.0</v>
      </c>
      <c r="F142" s="13">
        <v>88.6</v>
      </c>
      <c r="G142" s="13">
        <v>8.3</v>
      </c>
      <c r="H142" s="15"/>
      <c r="I142" s="15"/>
      <c r="J142" s="15"/>
      <c r="K142" s="15"/>
      <c r="L142" s="15"/>
    </row>
    <row r="143">
      <c r="A143" s="15">
        <v>54.0</v>
      </c>
      <c r="B143" s="17" t="str">
        <f t="shared" si="51"/>
        <v>Lucidi et al., 2025</v>
      </c>
      <c r="C143" s="9" t="s">
        <v>84</v>
      </c>
      <c r="D143" s="7" t="s">
        <v>317</v>
      </c>
      <c r="E143" s="9">
        <v>20.0</v>
      </c>
      <c r="F143" s="13">
        <v>1.5</v>
      </c>
      <c r="G143" s="13">
        <v>1.2</v>
      </c>
      <c r="H143" s="15"/>
      <c r="I143" s="15"/>
      <c r="J143" s="15"/>
      <c r="K143" s="15"/>
      <c r="L143" s="15"/>
    </row>
    <row r="144">
      <c r="A144" s="15">
        <v>55.0</v>
      </c>
      <c r="B144" s="17" t="str">
        <f t="shared" ref="B144:B149" si="52">HYPERLINK("https://github.com/d-wkim/phd/blob/main/data/pdf/lui_2012.pdf","Lui et al., 2012")</f>
        <v>Lui et al., 2012</v>
      </c>
      <c r="C144" s="9" t="s">
        <v>42</v>
      </c>
      <c r="D144" s="19" t="s">
        <v>471</v>
      </c>
      <c r="E144" s="9">
        <v>14.0</v>
      </c>
      <c r="F144" s="13">
        <v>71.9</v>
      </c>
      <c r="G144" s="13">
        <v>15.2</v>
      </c>
      <c r="H144" s="15"/>
      <c r="I144" s="15"/>
      <c r="J144" s="15"/>
      <c r="K144" s="15"/>
      <c r="L144" s="15"/>
    </row>
    <row r="145">
      <c r="A145" s="15">
        <v>55.0</v>
      </c>
      <c r="B145" s="17" t="str">
        <f t="shared" si="52"/>
        <v>Lui et al., 2012</v>
      </c>
      <c r="C145" s="9" t="s">
        <v>42</v>
      </c>
      <c r="D145" s="19" t="s">
        <v>371</v>
      </c>
      <c r="E145" s="9">
        <v>14.0</v>
      </c>
      <c r="F145" s="13">
        <v>84.0</v>
      </c>
      <c r="G145" s="13">
        <f>iferror(RANGE_SD(E145,H145,L145),"")</f>
        <v>13.47</v>
      </c>
      <c r="H145" s="9">
        <v>54.0</v>
      </c>
      <c r="I145" s="15"/>
      <c r="J145" s="15"/>
      <c r="K145" s="15"/>
      <c r="L145" s="9">
        <v>100.0</v>
      </c>
    </row>
    <row r="146">
      <c r="A146" s="15">
        <v>55.0</v>
      </c>
      <c r="B146" s="17" t="str">
        <f t="shared" si="52"/>
        <v>Lui et al., 2012</v>
      </c>
      <c r="C146" s="9" t="s">
        <v>42</v>
      </c>
      <c r="D146" s="7" t="s">
        <v>317</v>
      </c>
      <c r="E146" s="9">
        <v>14.0</v>
      </c>
      <c r="F146" s="13">
        <v>3.7</v>
      </c>
      <c r="G146" s="13">
        <v>1.4</v>
      </c>
      <c r="H146" s="15"/>
      <c r="I146" s="15"/>
      <c r="J146" s="15"/>
      <c r="K146" s="15"/>
      <c r="L146" s="15"/>
    </row>
    <row r="147">
      <c r="A147" s="15">
        <v>55.0</v>
      </c>
      <c r="B147" s="17" t="str">
        <f t="shared" si="52"/>
        <v>Lui et al., 2012</v>
      </c>
      <c r="C147" s="9" t="s">
        <v>84</v>
      </c>
      <c r="D147" s="19" t="s">
        <v>471</v>
      </c>
      <c r="E147" s="9">
        <v>17.0</v>
      </c>
      <c r="F147" s="13">
        <v>73.1</v>
      </c>
      <c r="G147" s="13">
        <v>12.3</v>
      </c>
      <c r="H147" s="15"/>
      <c r="I147" s="15"/>
      <c r="J147" s="15"/>
      <c r="K147" s="15"/>
      <c r="L147" s="15"/>
    </row>
    <row r="148">
      <c r="A148" s="15">
        <v>55.0</v>
      </c>
      <c r="B148" s="17" t="str">
        <f t="shared" si="52"/>
        <v>Lui et al., 2012</v>
      </c>
      <c r="C148" s="9" t="s">
        <v>84</v>
      </c>
      <c r="D148" s="19" t="s">
        <v>371</v>
      </c>
      <c r="E148" s="9">
        <v>17.0</v>
      </c>
      <c r="F148" s="13">
        <v>80.0</v>
      </c>
      <c r="G148" s="13">
        <f>iferror(RANGE_SD(E148,H148,L148),"")</f>
        <v>15.589</v>
      </c>
      <c r="H148" s="9">
        <v>43.0</v>
      </c>
      <c r="I148" s="15"/>
      <c r="J148" s="15"/>
      <c r="K148" s="15"/>
      <c r="L148" s="9">
        <v>99.0</v>
      </c>
    </row>
    <row r="149">
      <c r="A149" s="15">
        <v>55.0</v>
      </c>
      <c r="B149" s="17" t="str">
        <f t="shared" si="52"/>
        <v>Lui et al., 2012</v>
      </c>
      <c r="C149" s="9" t="s">
        <v>84</v>
      </c>
      <c r="D149" s="7" t="s">
        <v>317</v>
      </c>
      <c r="E149" s="9">
        <v>17.0</v>
      </c>
      <c r="F149" s="13">
        <v>3.1</v>
      </c>
      <c r="G149" s="13">
        <v>1.6</v>
      </c>
      <c r="H149" s="15"/>
      <c r="I149" s="15"/>
      <c r="J149" s="15"/>
      <c r="K149" s="15"/>
      <c r="L149" s="15"/>
    </row>
    <row r="150">
      <c r="A150" s="15">
        <v>56.0</v>
      </c>
      <c r="B150" s="17" t="str">
        <f t="shared" ref="B150:B153" si="53">HYPERLINK("https://github.com/d-wkim/phd/blob/main/data/pdf/lund_2014.pdf","Lund et al., 2014")</f>
        <v>Lund et al., 2014</v>
      </c>
      <c r="C150" s="9" t="s">
        <v>42</v>
      </c>
      <c r="D150" s="7" t="s">
        <v>317</v>
      </c>
      <c r="E150" s="9">
        <v>18.0</v>
      </c>
      <c r="F150" s="13">
        <v>1.1</v>
      </c>
      <c r="G150" s="13">
        <v>1.4</v>
      </c>
      <c r="H150" s="15"/>
      <c r="I150" s="15"/>
      <c r="J150" s="15"/>
      <c r="K150" s="15"/>
      <c r="L150" s="15"/>
    </row>
    <row r="151">
      <c r="A151" s="15">
        <v>56.0</v>
      </c>
      <c r="B151" s="17" t="str">
        <f t="shared" si="53"/>
        <v>Lund et al., 2014</v>
      </c>
      <c r="C151" s="9" t="s">
        <v>42</v>
      </c>
      <c r="D151" s="19" t="s">
        <v>471</v>
      </c>
      <c r="E151" s="9">
        <v>18.0</v>
      </c>
      <c r="F151" s="13">
        <v>75.0</v>
      </c>
      <c r="G151" s="13">
        <v>13.0</v>
      </c>
      <c r="H151" s="15"/>
      <c r="I151" s="15"/>
      <c r="J151" s="15"/>
      <c r="K151" s="15"/>
      <c r="L151" s="15"/>
    </row>
    <row r="152">
      <c r="A152" s="15">
        <v>56.0</v>
      </c>
      <c r="B152" s="17" t="str">
        <f t="shared" si="53"/>
        <v>Lund et al., 2014</v>
      </c>
      <c r="C152" s="9" t="s">
        <v>200</v>
      </c>
      <c r="D152" s="7" t="s">
        <v>317</v>
      </c>
      <c r="E152" s="9">
        <v>21.0</v>
      </c>
      <c r="F152" s="13">
        <v>0.8</v>
      </c>
      <c r="G152" s="13">
        <v>1.7</v>
      </c>
      <c r="H152" s="15"/>
      <c r="I152" s="15"/>
      <c r="J152" s="15"/>
      <c r="K152" s="15"/>
      <c r="L152" s="15"/>
    </row>
    <row r="153">
      <c r="A153" s="15">
        <v>56.0</v>
      </c>
      <c r="B153" s="17" t="str">
        <f t="shared" si="53"/>
        <v>Lund et al., 2014</v>
      </c>
      <c r="C153" s="9" t="s">
        <v>200</v>
      </c>
      <c r="D153" s="19" t="s">
        <v>471</v>
      </c>
      <c r="E153" s="9">
        <v>21.0</v>
      </c>
      <c r="F153" s="13">
        <v>76.0</v>
      </c>
      <c r="G153" s="13">
        <v>16.0</v>
      </c>
      <c r="H153" s="15"/>
      <c r="I153" s="15"/>
      <c r="J153" s="15"/>
      <c r="K153" s="15"/>
      <c r="L153" s="15"/>
    </row>
    <row r="154">
      <c r="A154" s="15">
        <v>58.0</v>
      </c>
      <c r="B154" s="17" t="str">
        <f t="shared" ref="B154:B161" si="54">HYPERLINK("https://github.com/d-wkim/phd/blob/main/data/pdf/malik_2026.pdf","Malik et al., 2026")</f>
        <v>Malik et al., 2026</v>
      </c>
      <c r="C154" s="9" t="s">
        <v>84</v>
      </c>
      <c r="D154" s="7" t="s">
        <v>471</v>
      </c>
      <c r="E154" s="9">
        <v>25.0</v>
      </c>
      <c r="F154" s="13">
        <v>78.9</v>
      </c>
      <c r="G154" s="13">
        <v>7.4</v>
      </c>
      <c r="H154" s="15"/>
      <c r="I154" s="15"/>
      <c r="J154" s="15"/>
      <c r="K154" s="15"/>
      <c r="L154" s="15"/>
    </row>
    <row r="155">
      <c r="A155" s="15">
        <v>58.0</v>
      </c>
      <c r="B155" s="17" t="str">
        <f t="shared" si="54"/>
        <v>Malik et al., 2026</v>
      </c>
      <c r="C155" s="9" t="s">
        <v>84</v>
      </c>
      <c r="D155" s="19" t="s">
        <v>371</v>
      </c>
      <c r="E155" s="9">
        <v>25.0</v>
      </c>
      <c r="F155" s="13">
        <v>85.1</v>
      </c>
      <c r="G155" s="13">
        <v>6.4</v>
      </c>
      <c r="H155" s="15"/>
      <c r="I155" s="15"/>
      <c r="J155" s="15"/>
      <c r="K155" s="15"/>
      <c r="L155" s="15"/>
    </row>
    <row r="156">
      <c r="A156" s="15">
        <v>58.0</v>
      </c>
      <c r="B156" s="17" t="str">
        <f t="shared" si="54"/>
        <v>Malik et al., 2026</v>
      </c>
      <c r="C156" s="9" t="s">
        <v>84</v>
      </c>
      <c r="D156" s="19" t="s">
        <v>319</v>
      </c>
      <c r="E156" s="9">
        <v>25.0</v>
      </c>
      <c r="F156" s="13">
        <v>5.1</v>
      </c>
      <c r="G156" s="13">
        <v>1.0</v>
      </c>
      <c r="H156" s="15"/>
      <c r="I156" s="15"/>
      <c r="J156" s="15"/>
      <c r="K156" s="15"/>
      <c r="L156" s="15"/>
    </row>
    <row r="157">
      <c r="A157" s="15">
        <v>58.0</v>
      </c>
      <c r="B157" s="17" t="str">
        <f t="shared" si="54"/>
        <v>Malik et al., 2026</v>
      </c>
      <c r="C157" s="9" t="s">
        <v>84</v>
      </c>
      <c r="D157" s="7" t="s">
        <v>317</v>
      </c>
      <c r="E157" s="9">
        <v>25.0</v>
      </c>
      <c r="F157" s="13">
        <v>2.1</v>
      </c>
      <c r="G157" s="13">
        <v>1.0</v>
      </c>
      <c r="H157" s="15"/>
      <c r="I157" s="15"/>
      <c r="J157" s="15"/>
      <c r="K157" s="15"/>
      <c r="L157" s="15"/>
    </row>
    <row r="158">
      <c r="A158" s="15">
        <v>58.0</v>
      </c>
      <c r="B158" s="17" t="str">
        <f t="shared" si="54"/>
        <v>Malik et al., 2026</v>
      </c>
      <c r="C158" s="9" t="s">
        <v>186</v>
      </c>
      <c r="D158" s="7" t="s">
        <v>471</v>
      </c>
      <c r="E158" s="9">
        <v>25.0</v>
      </c>
      <c r="F158" s="13">
        <v>82.6</v>
      </c>
      <c r="G158" s="13">
        <v>6.3</v>
      </c>
      <c r="H158" s="15"/>
      <c r="I158" s="15"/>
      <c r="J158" s="15"/>
      <c r="K158" s="15"/>
      <c r="L158" s="15"/>
    </row>
    <row r="159">
      <c r="A159" s="15">
        <v>58.0</v>
      </c>
      <c r="B159" s="17" t="str">
        <f t="shared" si="54"/>
        <v>Malik et al., 2026</v>
      </c>
      <c r="C159" s="9" t="s">
        <v>186</v>
      </c>
      <c r="D159" s="19" t="s">
        <v>371</v>
      </c>
      <c r="E159" s="9">
        <v>25.0</v>
      </c>
      <c r="F159" s="13">
        <v>89.4</v>
      </c>
      <c r="G159" s="13">
        <v>5.8</v>
      </c>
      <c r="H159" s="15"/>
      <c r="I159" s="15"/>
      <c r="J159" s="15"/>
      <c r="K159" s="15"/>
      <c r="L159" s="15"/>
    </row>
    <row r="160">
      <c r="A160" s="15">
        <v>58.0</v>
      </c>
      <c r="B160" s="17" t="str">
        <f t="shared" si="54"/>
        <v>Malik et al., 2026</v>
      </c>
      <c r="C160" s="9" t="s">
        <v>186</v>
      </c>
      <c r="D160" s="19" t="s">
        <v>319</v>
      </c>
      <c r="E160" s="9">
        <v>25.0</v>
      </c>
      <c r="F160" s="13">
        <v>5.6</v>
      </c>
      <c r="G160" s="13">
        <v>0.9</v>
      </c>
      <c r="H160" s="15"/>
      <c r="I160" s="15"/>
      <c r="J160" s="15"/>
      <c r="K160" s="15"/>
      <c r="L160" s="15"/>
    </row>
    <row r="161">
      <c r="A161" s="15">
        <v>58.0</v>
      </c>
      <c r="B161" s="17" t="str">
        <f t="shared" si="54"/>
        <v>Malik et al., 2026</v>
      </c>
      <c r="C161" s="9" t="s">
        <v>186</v>
      </c>
      <c r="D161" s="7" t="s">
        <v>317</v>
      </c>
      <c r="E161" s="9">
        <v>25.0</v>
      </c>
      <c r="F161" s="13">
        <v>1.8</v>
      </c>
      <c r="G161" s="13">
        <v>0.9</v>
      </c>
      <c r="H161" s="15"/>
      <c r="I161" s="15"/>
      <c r="J161" s="15"/>
      <c r="K161" s="15"/>
      <c r="L161" s="15"/>
    </row>
    <row r="162">
      <c r="A162" s="15">
        <v>62.0</v>
      </c>
      <c r="B162" s="17" t="str">
        <f t="shared" ref="B162:B165" si="55">HYPERLINK("https://github.com/d-wkim/phd/blob/main/data/pdf/matsumoto_2006.pdf","Matsumoto et al., 2006")</f>
        <v>Matsumoto et al., 2006</v>
      </c>
      <c r="C162" s="9" t="s">
        <v>42</v>
      </c>
      <c r="D162" s="19" t="s">
        <v>471</v>
      </c>
      <c r="E162" s="9">
        <v>37.0</v>
      </c>
      <c r="F162" s="13">
        <v>84.3</v>
      </c>
      <c r="G162" s="13">
        <v>11.0</v>
      </c>
      <c r="H162" s="15"/>
      <c r="I162" s="15"/>
      <c r="J162" s="15"/>
      <c r="K162" s="15"/>
      <c r="L162" s="15"/>
    </row>
    <row r="163">
      <c r="A163" s="15">
        <v>62.0</v>
      </c>
      <c r="B163" s="17" t="str">
        <f t="shared" si="55"/>
        <v>Matsumoto et al., 2006</v>
      </c>
      <c r="C163" s="9" t="s">
        <v>42</v>
      </c>
      <c r="D163" s="7" t="s">
        <v>317</v>
      </c>
      <c r="E163" s="9">
        <v>37.0</v>
      </c>
      <c r="F163" s="13">
        <v>1.2</v>
      </c>
      <c r="G163" s="13">
        <v>2.1</v>
      </c>
      <c r="H163" s="15"/>
      <c r="I163" s="15"/>
      <c r="J163" s="15"/>
      <c r="K163" s="15"/>
      <c r="L163" s="15"/>
    </row>
    <row r="164">
      <c r="A164" s="15">
        <v>62.0</v>
      </c>
      <c r="B164" s="17" t="str">
        <f t="shared" si="55"/>
        <v>Matsumoto et al., 2006</v>
      </c>
      <c r="C164" s="9" t="s">
        <v>84</v>
      </c>
      <c r="D164" s="19" t="s">
        <v>471</v>
      </c>
      <c r="E164" s="9">
        <v>35.0</v>
      </c>
      <c r="F164" s="13">
        <v>86.8</v>
      </c>
      <c r="G164" s="13">
        <v>8.3</v>
      </c>
      <c r="H164" s="15"/>
      <c r="I164" s="15"/>
      <c r="J164" s="15"/>
      <c r="K164" s="15"/>
      <c r="L164" s="15"/>
    </row>
    <row r="165">
      <c r="A165" s="15">
        <v>62.0</v>
      </c>
      <c r="B165" s="17" t="str">
        <f t="shared" si="55"/>
        <v>Matsumoto et al., 2006</v>
      </c>
      <c r="C165" s="9" t="s">
        <v>84</v>
      </c>
      <c r="D165" s="7" t="s">
        <v>317</v>
      </c>
      <c r="E165" s="9">
        <v>35.0</v>
      </c>
      <c r="F165" s="13">
        <v>1.7</v>
      </c>
      <c r="G165" s="13">
        <v>1.4</v>
      </c>
      <c r="H165" s="15"/>
      <c r="I165" s="15"/>
      <c r="J165" s="15"/>
      <c r="K165" s="15"/>
      <c r="L165" s="15"/>
    </row>
    <row r="166">
      <c r="A166" s="15">
        <v>68.0</v>
      </c>
      <c r="B166" s="17" t="str">
        <f t="shared" ref="B166:B169" si="56">HYPERLINK("https://github.com/d-wkim/phd/blob/main/data/pdf/moraiti_2010.pdf","Moraiti et al., 2010")</f>
        <v>Moraiti et al., 2010</v>
      </c>
      <c r="C166" s="9" t="s">
        <v>42</v>
      </c>
      <c r="D166" s="19" t="s">
        <v>471</v>
      </c>
      <c r="E166" s="9">
        <v>6.0</v>
      </c>
      <c r="F166" s="13">
        <v>92.0</v>
      </c>
      <c r="G166" s="13">
        <v>7.0</v>
      </c>
      <c r="H166" s="15"/>
      <c r="I166" s="15"/>
      <c r="J166" s="15"/>
      <c r="K166" s="15"/>
      <c r="L166" s="15"/>
    </row>
    <row r="167">
      <c r="A167" s="15">
        <v>68.0</v>
      </c>
      <c r="B167" s="17" t="str">
        <f t="shared" si="56"/>
        <v>Moraiti et al., 2010</v>
      </c>
      <c r="C167" s="9" t="s">
        <v>42</v>
      </c>
      <c r="D167" s="19" t="s">
        <v>371</v>
      </c>
      <c r="E167" s="9">
        <v>6.0</v>
      </c>
      <c r="F167" s="13">
        <v>96.0</v>
      </c>
      <c r="G167" s="13">
        <v>3.0</v>
      </c>
      <c r="H167" s="15"/>
      <c r="I167" s="15"/>
      <c r="J167" s="15"/>
      <c r="K167" s="15"/>
      <c r="L167" s="15"/>
    </row>
    <row r="168">
      <c r="A168" s="15">
        <v>68.0</v>
      </c>
      <c r="B168" s="17" t="str">
        <f t="shared" si="56"/>
        <v>Moraiti et al., 2010</v>
      </c>
      <c r="C168" s="9" t="s">
        <v>84</v>
      </c>
      <c r="D168" s="19" t="s">
        <v>471</v>
      </c>
      <c r="E168" s="9">
        <v>6.0</v>
      </c>
      <c r="F168" s="13">
        <v>90.0</v>
      </c>
      <c r="G168" s="13">
        <v>10.0</v>
      </c>
      <c r="H168" s="15"/>
      <c r="I168" s="15"/>
      <c r="J168" s="15"/>
      <c r="K168" s="15"/>
      <c r="L168" s="15"/>
    </row>
    <row r="169">
      <c r="A169" s="15">
        <v>68.0</v>
      </c>
      <c r="B169" s="17" t="str">
        <f t="shared" si="56"/>
        <v>Moraiti et al., 2010</v>
      </c>
      <c r="C169" s="9" t="s">
        <v>84</v>
      </c>
      <c r="D169" s="19" t="s">
        <v>371</v>
      </c>
      <c r="E169" s="9">
        <v>6.0</v>
      </c>
      <c r="F169" s="13">
        <v>95.0</v>
      </c>
      <c r="G169" s="13">
        <v>5.0</v>
      </c>
      <c r="H169" s="15"/>
      <c r="I169" s="15"/>
      <c r="J169" s="15"/>
      <c r="K169" s="15"/>
      <c r="L169" s="15"/>
    </row>
    <row r="170">
      <c r="A170" s="15">
        <v>70.0</v>
      </c>
      <c r="B170" s="17" t="str">
        <f t="shared" ref="B170:B173" si="57">HYPERLINK("https://github.com/d-wkim/phd/blob/main/data/pdf/noh_2011.pdf","Noh et al., 2011")</f>
        <v>Noh et al., 2011</v>
      </c>
      <c r="C170" s="9" t="s">
        <v>84</v>
      </c>
      <c r="D170" s="19" t="s">
        <v>319</v>
      </c>
      <c r="E170" s="9">
        <v>33.0</v>
      </c>
      <c r="F170" s="13">
        <v>6.0</v>
      </c>
      <c r="G170" s="13">
        <f t="shared" ref="G170:G173" si="58">iferror(RANGE_SD(E170,H170,L170),"")</f>
        <v>0.962</v>
      </c>
      <c r="H170" s="9">
        <v>5.0</v>
      </c>
      <c r="I170" s="15"/>
      <c r="J170" s="15"/>
      <c r="K170" s="15"/>
      <c r="L170" s="9">
        <v>9.0</v>
      </c>
    </row>
    <row r="171">
      <c r="A171" s="15">
        <v>70.0</v>
      </c>
      <c r="B171" s="17" t="str">
        <f t="shared" si="57"/>
        <v>Noh et al., 2011</v>
      </c>
      <c r="C171" s="9" t="s">
        <v>84</v>
      </c>
      <c r="D171" s="19" t="s">
        <v>371</v>
      </c>
      <c r="E171" s="9">
        <v>33.0</v>
      </c>
      <c r="F171" s="13">
        <v>98.0</v>
      </c>
      <c r="G171" s="13">
        <f t="shared" si="58"/>
        <v>3.607</v>
      </c>
      <c r="H171" s="9">
        <v>85.0</v>
      </c>
      <c r="I171" s="15"/>
      <c r="J171" s="15"/>
      <c r="K171" s="15"/>
      <c r="L171" s="9">
        <v>100.0</v>
      </c>
    </row>
    <row r="172">
      <c r="A172" s="15">
        <v>70.0</v>
      </c>
      <c r="B172" s="17" t="str">
        <f t="shared" si="57"/>
        <v>Noh et al., 2011</v>
      </c>
      <c r="C172" s="9" t="s">
        <v>246</v>
      </c>
      <c r="D172" s="19" t="s">
        <v>319</v>
      </c>
      <c r="E172" s="9">
        <v>32.0</v>
      </c>
      <c r="F172" s="13">
        <v>6.0</v>
      </c>
      <c r="G172" s="13">
        <f t="shared" si="58"/>
        <v>1.21</v>
      </c>
      <c r="H172" s="9">
        <v>4.0</v>
      </c>
      <c r="I172" s="15"/>
      <c r="J172" s="15"/>
      <c r="K172" s="15"/>
      <c r="L172" s="9">
        <v>9.0</v>
      </c>
    </row>
    <row r="173">
      <c r="A173" s="15">
        <v>70.0</v>
      </c>
      <c r="B173" s="17" t="str">
        <f t="shared" si="57"/>
        <v>Noh et al., 2011</v>
      </c>
      <c r="C173" s="9" t="s">
        <v>246</v>
      </c>
      <c r="D173" s="19" t="s">
        <v>371</v>
      </c>
      <c r="E173" s="9">
        <v>32.0</v>
      </c>
      <c r="F173" s="13">
        <v>99.0</v>
      </c>
      <c r="G173" s="13">
        <f t="shared" si="58"/>
        <v>3.629</v>
      </c>
      <c r="H173" s="9">
        <v>85.0</v>
      </c>
      <c r="I173" s="15"/>
      <c r="J173" s="15"/>
      <c r="K173" s="15"/>
      <c r="L173" s="9">
        <v>100.0</v>
      </c>
    </row>
    <row r="174">
      <c r="A174" s="15">
        <v>73.0</v>
      </c>
      <c r="B174" s="17" t="str">
        <f t="shared" ref="B174:B177" si="59">HYPERLINK("https://github.com/d-wkim/phd/blob/main/data/pdf/papalia_2015.pdf","Papalia et al., 2015")</f>
        <v>Papalia et al., 2015</v>
      </c>
      <c r="C174" s="9" t="s">
        <v>42</v>
      </c>
      <c r="D174" s="19" t="s">
        <v>471</v>
      </c>
      <c r="E174" s="9">
        <v>20.0</v>
      </c>
      <c r="F174" s="13">
        <v>86.9</v>
      </c>
      <c r="G174" s="13">
        <v>11.7</v>
      </c>
      <c r="H174" s="15"/>
      <c r="I174" s="15"/>
      <c r="J174" s="15"/>
      <c r="K174" s="15"/>
      <c r="L174" s="15"/>
    </row>
    <row r="175">
      <c r="A175" s="15">
        <v>73.0</v>
      </c>
      <c r="B175" s="17" t="str">
        <f t="shared" si="59"/>
        <v>Papalia et al., 2015</v>
      </c>
      <c r="C175" s="9" t="s">
        <v>42</v>
      </c>
      <c r="D175" s="19" t="s">
        <v>371</v>
      </c>
      <c r="E175" s="9">
        <v>20.0</v>
      </c>
      <c r="F175" s="13">
        <v>87.4</v>
      </c>
      <c r="G175" s="13">
        <v>13.8</v>
      </c>
      <c r="H175" s="9"/>
      <c r="I175" s="15"/>
      <c r="J175" s="15"/>
      <c r="K175" s="15"/>
      <c r="L175" s="9"/>
    </row>
    <row r="176">
      <c r="A176" s="15">
        <v>73.0</v>
      </c>
      <c r="B176" s="17" t="str">
        <f t="shared" si="59"/>
        <v>Papalia et al., 2015</v>
      </c>
      <c r="C176" s="9" t="s">
        <v>84</v>
      </c>
      <c r="D176" s="19" t="s">
        <v>471</v>
      </c>
      <c r="E176" s="9">
        <v>20.0</v>
      </c>
      <c r="F176" s="13">
        <v>90.97</v>
      </c>
      <c r="G176" s="13">
        <v>5.1</v>
      </c>
      <c r="H176" s="15"/>
      <c r="I176" s="15"/>
      <c r="J176" s="15"/>
      <c r="K176" s="15"/>
      <c r="L176" s="15"/>
    </row>
    <row r="177">
      <c r="A177" s="15">
        <v>73.0</v>
      </c>
      <c r="B177" s="17" t="str">
        <f t="shared" si="59"/>
        <v>Papalia et al., 2015</v>
      </c>
      <c r="C177" s="9" t="s">
        <v>84</v>
      </c>
      <c r="D177" s="19" t="s">
        <v>371</v>
      </c>
      <c r="E177" s="9">
        <v>20.0</v>
      </c>
      <c r="F177" s="13">
        <v>93.17</v>
      </c>
      <c r="G177" s="13">
        <v>10.3</v>
      </c>
      <c r="H177" s="9"/>
      <c r="I177" s="15"/>
      <c r="J177" s="15"/>
      <c r="K177" s="15"/>
      <c r="L177" s="9"/>
    </row>
    <row r="178">
      <c r="A178" s="15">
        <v>76.0</v>
      </c>
      <c r="B178" s="17" t="str">
        <f t="shared" ref="B178:B179" si="60">HYPERLINK("https://github.com/d-wkim/phd/blob/main/data/pdf/pinczewski_2007.pdf","Pinczewski et al., 2007")</f>
        <v>Pinczewski et al., 2007</v>
      </c>
      <c r="C178" s="9" t="s">
        <v>42</v>
      </c>
      <c r="D178" s="7" t="s">
        <v>317</v>
      </c>
      <c r="E178" s="9">
        <v>54.0</v>
      </c>
      <c r="F178" s="13">
        <v>1.2</v>
      </c>
      <c r="G178" s="13">
        <v>1.687</v>
      </c>
      <c r="H178" s="15"/>
      <c r="I178" s="15"/>
      <c r="J178" s="15"/>
      <c r="K178" s="15"/>
      <c r="L178" s="15"/>
    </row>
    <row r="179">
      <c r="A179" s="15">
        <v>76.0</v>
      </c>
      <c r="B179" s="17" t="str">
        <f t="shared" si="60"/>
        <v>Pinczewski et al., 2007</v>
      </c>
      <c r="C179" s="9" t="s">
        <v>84</v>
      </c>
      <c r="D179" s="7" t="s">
        <v>317</v>
      </c>
      <c r="E179" s="9">
        <v>58.0</v>
      </c>
      <c r="F179" s="13">
        <v>1.6</v>
      </c>
      <c r="G179" s="13">
        <v>1.554</v>
      </c>
      <c r="H179" s="15"/>
      <c r="I179" s="15"/>
      <c r="J179" s="15"/>
      <c r="K179" s="15"/>
      <c r="L179" s="15"/>
    </row>
    <row r="180">
      <c r="A180" s="15">
        <v>77.0</v>
      </c>
      <c r="B180" s="17" t="str">
        <f t="shared" ref="B180:B185" si="61">HYPERLINK("https://github.com/d-wkim/phd/blob/main/data/pdf/popovic_2024.pdf","Popovic et al., 2024")</f>
        <v>Popovic et al., 2024</v>
      </c>
      <c r="C180" s="9" t="s">
        <v>42</v>
      </c>
      <c r="D180" s="19" t="s">
        <v>371</v>
      </c>
      <c r="E180" s="9">
        <v>38.0</v>
      </c>
      <c r="F180" s="13">
        <v>82.0</v>
      </c>
      <c r="G180" s="13">
        <f t="shared" ref="G180:G181" si="62">iferror(RANGE_SD(E180,H180,L180),"")</f>
        <v>15.449</v>
      </c>
      <c r="H180" s="9">
        <v>34.0</v>
      </c>
      <c r="I180" s="15"/>
      <c r="J180" s="15"/>
      <c r="K180" s="15"/>
      <c r="L180" s="9">
        <v>100.0</v>
      </c>
    </row>
    <row r="181">
      <c r="A181" s="15">
        <v>77.0</v>
      </c>
      <c r="B181" s="17" t="str">
        <f t="shared" si="61"/>
        <v>Popovic et al., 2024</v>
      </c>
      <c r="C181" s="9" t="s">
        <v>42</v>
      </c>
      <c r="D181" s="19" t="s">
        <v>319</v>
      </c>
      <c r="E181" s="9">
        <v>38.0</v>
      </c>
      <c r="F181" s="13">
        <v>4.0</v>
      </c>
      <c r="G181" s="13">
        <f t="shared" si="62"/>
        <v>1.639</v>
      </c>
      <c r="H181" s="9">
        <v>0.0</v>
      </c>
      <c r="I181" s="15"/>
      <c r="J181" s="15"/>
      <c r="K181" s="15"/>
      <c r="L181" s="9">
        <v>7.0</v>
      </c>
    </row>
    <row r="182">
      <c r="A182" s="15">
        <v>77.0</v>
      </c>
      <c r="B182" s="17" t="str">
        <f t="shared" si="61"/>
        <v>Popovic et al., 2024</v>
      </c>
      <c r="C182" s="9" t="s">
        <v>42</v>
      </c>
      <c r="D182" s="7" t="s">
        <v>317</v>
      </c>
      <c r="E182" s="9">
        <v>38.0</v>
      </c>
      <c r="F182" s="13">
        <v>1.3</v>
      </c>
      <c r="G182" s="13">
        <v>2.2</v>
      </c>
      <c r="H182" s="9">
        <v>-3.0</v>
      </c>
      <c r="I182" s="15"/>
      <c r="J182" s="15"/>
      <c r="K182" s="15"/>
      <c r="L182" s="9">
        <v>5.0</v>
      </c>
    </row>
    <row r="183">
      <c r="A183" s="15">
        <v>77.0</v>
      </c>
      <c r="B183" s="17" t="str">
        <f t="shared" si="61"/>
        <v>Popovic et al., 2024</v>
      </c>
      <c r="C183" s="9" t="s">
        <v>84</v>
      </c>
      <c r="D183" s="19" t="s">
        <v>371</v>
      </c>
      <c r="E183" s="9">
        <v>33.0</v>
      </c>
      <c r="F183" s="13">
        <v>85.0</v>
      </c>
      <c r="G183" s="13">
        <f t="shared" ref="G183:G184" si="63">iferror(RANGE_SD(E183,H183,L183),"")</f>
        <v>14.669</v>
      </c>
      <c r="H183" s="9">
        <v>39.0</v>
      </c>
      <c r="I183" s="15"/>
      <c r="J183" s="15"/>
      <c r="K183" s="15"/>
      <c r="L183" s="9">
        <v>100.0</v>
      </c>
    </row>
    <row r="184">
      <c r="A184" s="15">
        <v>77.0</v>
      </c>
      <c r="B184" s="17" t="str">
        <f t="shared" si="61"/>
        <v>Popovic et al., 2024</v>
      </c>
      <c r="C184" s="9" t="s">
        <v>84</v>
      </c>
      <c r="D184" s="19" t="s">
        <v>319</v>
      </c>
      <c r="E184" s="9">
        <v>33.0</v>
      </c>
      <c r="F184" s="13">
        <v>5.0</v>
      </c>
      <c r="G184" s="13">
        <f t="shared" si="63"/>
        <v>2.164</v>
      </c>
      <c r="H184" s="9">
        <v>0.0</v>
      </c>
      <c r="I184" s="15"/>
      <c r="J184" s="15"/>
      <c r="K184" s="15"/>
      <c r="L184" s="9">
        <v>9.0</v>
      </c>
    </row>
    <row r="185">
      <c r="A185" s="15">
        <v>77.0</v>
      </c>
      <c r="B185" s="17" t="str">
        <f t="shared" si="61"/>
        <v>Popovic et al., 2024</v>
      </c>
      <c r="C185" s="9" t="s">
        <v>84</v>
      </c>
      <c r="D185" s="7" t="s">
        <v>317</v>
      </c>
      <c r="E185" s="9">
        <v>33.0</v>
      </c>
      <c r="F185" s="13">
        <v>1.5</v>
      </c>
      <c r="G185" s="13">
        <v>3.3</v>
      </c>
      <c r="H185" s="9">
        <v>-3.0</v>
      </c>
      <c r="I185" s="15"/>
      <c r="J185" s="15"/>
      <c r="K185" s="15"/>
      <c r="L185" s="9">
        <v>12.0</v>
      </c>
    </row>
    <row r="186">
      <c r="A186" s="15">
        <v>84.0</v>
      </c>
      <c r="B186" s="17" t="str">
        <f t="shared" ref="B186:B187" si="64">HYPERLINK("https://github.com/d-wkim/phd/blob/main/data/pdf/sinding_2020.pdf","Sinding et al., 2020")</f>
        <v>Sinding et al., 2020</v>
      </c>
      <c r="C186" s="9" t="s">
        <v>84</v>
      </c>
      <c r="D186" s="19" t="s">
        <v>471</v>
      </c>
      <c r="E186" s="9">
        <v>43.0</v>
      </c>
      <c r="F186" s="13">
        <v>76.0</v>
      </c>
      <c r="G186" s="13">
        <v>15.0</v>
      </c>
      <c r="H186" s="15"/>
      <c r="I186" s="15"/>
      <c r="J186" s="15"/>
      <c r="K186" s="15"/>
      <c r="L186" s="15"/>
    </row>
    <row r="187">
      <c r="A187" s="15">
        <v>84.0</v>
      </c>
      <c r="B187" s="17" t="str">
        <f t="shared" si="64"/>
        <v>Sinding et al., 2020</v>
      </c>
      <c r="C187" s="9" t="s">
        <v>200</v>
      </c>
      <c r="D187" s="19" t="s">
        <v>471</v>
      </c>
      <c r="E187" s="9">
        <v>42.0</v>
      </c>
      <c r="F187" s="13">
        <v>76.0</v>
      </c>
      <c r="G187" s="13">
        <v>17.0</v>
      </c>
      <c r="H187" s="15"/>
      <c r="I187" s="15"/>
      <c r="J187" s="15"/>
      <c r="K187" s="15"/>
      <c r="L187" s="15"/>
    </row>
    <row r="188">
      <c r="A188" s="15">
        <v>85.0</v>
      </c>
      <c r="B188" s="17" t="str">
        <f t="shared" ref="B188:B191" si="65">HYPERLINK("https://github.com/d-wkim/phd/blob/main/data/pdf/smith_2020.pdf","Smith et al., 2020")</f>
        <v>Smith et al., 2020</v>
      </c>
      <c r="C188" s="9" t="s">
        <v>42</v>
      </c>
      <c r="D188" s="19" t="s">
        <v>471</v>
      </c>
      <c r="E188" s="9">
        <v>32.0</v>
      </c>
      <c r="F188" s="13">
        <v>89.4</v>
      </c>
      <c r="G188" s="13">
        <v>9.2</v>
      </c>
      <c r="H188" s="15"/>
      <c r="I188" s="15"/>
      <c r="J188" s="15"/>
      <c r="K188" s="15"/>
      <c r="L188" s="15"/>
    </row>
    <row r="189">
      <c r="A189" s="15">
        <v>85.0</v>
      </c>
      <c r="B189" s="17" t="str">
        <f t="shared" si="65"/>
        <v>Smith et al., 2020</v>
      </c>
      <c r="C189" s="9" t="s">
        <v>42</v>
      </c>
      <c r="D189" s="7" t="s">
        <v>317</v>
      </c>
      <c r="E189" s="9">
        <v>32.0</v>
      </c>
      <c r="F189" s="13">
        <v>0.0</v>
      </c>
      <c r="G189" s="13">
        <v>0.8</v>
      </c>
      <c r="H189" s="15"/>
      <c r="I189" s="15"/>
      <c r="J189" s="15"/>
      <c r="K189" s="15"/>
      <c r="L189" s="15"/>
    </row>
    <row r="190">
      <c r="A190" s="15">
        <v>85.0</v>
      </c>
      <c r="B190" s="17" t="str">
        <f t="shared" si="65"/>
        <v>Smith et al., 2020</v>
      </c>
      <c r="C190" s="9" t="s">
        <v>84</v>
      </c>
      <c r="D190" s="19" t="s">
        <v>471</v>
      </c>
      <c r="E190" s="9">
        <v>32.0</v>
      </c>
      <c r="F190" s="13">
        <v>94.8</v>
      </c>
      <c r="G190" s="13">
        <v>6.4</v>
      </c>
      <c r="H190" s="15"/>
      <c r="I190" s="15"/>
      <c r="J190" s="15"/>
      <c r="K190" s="15"/>
      <c r="L190" s="15"/>
    </row>
    <row r="191">
      <c r="A191" s="15">
        <v>85.0</v>
      </c>
      <c r="B191" s="17" t="str">
        <f t="shared" si="65"/>
        <v>Smith et al., 2020</v>
      </c>
      <c r="C191" s="9" t="s">
        <v>84</v>
      </c>
      <c r="D191" s="7" t="s">
        <v>317</v>
      </c>
      <c r="E191" s="9">
        <v>32.0</v>
      </c>
      <c r="F191" s="13">
        <v>0.3</v>
      </c>
      <c r="G191" s="13">
        <v>0.7</v>
      </c>
      <c r="H191" s="15"/>
      <c r="I191" s="15"/>
      <c r="J191" s="15"/>
      <c r="K191" s="15"/>
      <c r="L191" s="15"/>
    </row>
    <row r="192">
      <c r="A192" s="15">
        <v>87.0</v>
      </c>
      <c r="B192" s="17" t="str">
        <f t="shared" ref="B192:B199" si="66">HYPERLINK("https://github.com/d-wkim/phd/blob/main/data/pdf/sonnery-cottet_2026.pdf","Sonnery-cottet et al., 2026")</f>
        <v>Sonnery-cottet et al., 2026</v>
      </c>
      <c r="C192" s="9" t="s">
        <v>42</v>
      </c>
      <c r="D192" s="19" t="s">
        <v>471</v>
      </c>
      <c r="E192" s="9">
        <v>296.0</v>
      </c>
      <c r="F192" s="13">
        <v>89.4</v>
      </c>
      <c r="G192" s="13">
        <v>10.9</v>
      </c>
      <c r="H192" s="15"/>
      <c r="I192" s="15"/>
      <c r="J192" s="15"/>
      <c r="K192" s="15"/>
      <c r="L192" s="15"/>
    </row>
    <row r="193">
      <c r="A193" s="15">
        <v>87.0</v>
      </c>
      <c r="B193" s="17" t="str">
        <f t="shared" si="66"/>
        <v>Sonnery-cottet et al., 2026</v>
      </c>
      <c r="C193" s="9" t="s">
        <v>42</v>
      </c>
      <c r="D193" s="7" t="s">
        <v>371</v>
      </c>
      <c r="E193" s="9">
        <v>296.0</v>
      </c>
      <c r="F193" s="13">
        <v>89.0</v>
      </c>
      <c r="G193" s="13">
        <v>12.4</v>
      </c>
      <c r="H193" s="15"/>
      <c r="I193" s="15"/>
      <c r="J193" s="15"/>
      <c r="K193" s="15"/>
      <c r="L193" s="15"/>
    </row>
    <row r="194">
      <c r="A194" s="15">
        <v>87.0</v>
      </c>
      <c r="B194" s="17" t="str">
        <f t="shared" si="66"/>
        <v>Sonnery-cottet et al., 2026</v>
      </c>
      <c r="C194" s="9" t="s">
        <v>42</v>
      </c>
      <c r="D194" s="7" t="s">
        <v>319</v>
      </c>
      <c r="E194" s="9">
        <v>296.0</v>
      </c>
      <c r="F194" s="13">
        <v>6.6</v>
      </c>
      <c r="G194" s="13">
        <v>1.6</v>
      </c>
      <c r="H194" s="15"/>
      <c r="I194" s="15"/>
      <c r="J194" s="15"/>
      <c r="K194" s="15"/>
      <c r="L194" s="15"/>
    </row>
    <row r="195">
      <c r="A195" s="15">
        <v>87.0</v>
      </c>
      <c r="B195" s="17" t="str">
        <f t="shared" si="66"/>
        <v>Sonnery-cottet et al., 2026</v>
      </c>
      <c r="C195" s="9" t="s">
        <v>42</v>
      </c>
      <c r="D195" s="7" t="s">
        <v>317</v>
      </c>
      <c r="E195" s="9">
        <v>296.0</v>
      </c>
      <c r="F195" s="13">
        <v>1.2</v>
      </c>
      <c r="G195" s="13">
        <v>1.4</v>
      </c>
      <c r="H195" s="15"/>
      <c r="I195" s="15"/>
      <c r="J195" s="15"/>
      <c r="K195" s="15"/>
      <c r="L195" s="15"/>
    </row>
    <row r="196">
      <c r="A196" s="15">
        <v>87.0</v>
      </c>
      <c r="B196" s="17" t="str">
        <f t="shared" si="66"/>
        <v>Sonnery-cottet et al., 2026</v>
      </c>
      <c r="C196" s="9" t="s">
        <v>84</v>
      </c>
      <c r="D196" s="19" t="s">
        <v>471</v>
      </c>
      <c r="E196" s="9">
        <v>297.0</v>
      </c>
      <c r="F196" s="13">
        <v>91.0</v>
      </c>
      <c r="G196" s="13">
        <v>10.3</v>
      </c>
      <c r="H196" s="15"/>
      <c r="I196" s="15"/>
      <c r="J196" s="15"/>
      <c r="K196" s="15"/>
      <c r="L196" s="15"/>
    </row>
    <row r="197">
      <c r="A197" s="15">
        <v>87.0</v>
      </c>
      <c r="B197" s="17" t="str">
        <f t="shared" si="66"/>
        <v>Sonnery-cottet et al., 2026</v>
      </c>
      <c r="C197" s="9" t="s">
        <v>84</v>
      </c>
      <c r="D197" s="7" t="s">
        <v>371</v>
      </c>
      <c r="E197" s="9">
        <v>297.0</v>
      </c>
      <c r="F197" s="13">
        <v>91.1</v>
      </c>
      <c r="G197" s="13">
        <v>11.9</v>
      </c>
      <c r="H197" s="15"/>
      <c r="I197" s="15"/>
      <c r="J197" s="15"/>
      <c r="K197" s="15"/>
      <c r="L197" s="15"/>
    </row>
    <row r="198">
      <c r="A198" s="15">
        <v>87.0</v>
      </c>
      <c r="B198" s="17" t="str">
        <f t="shared" si="66"/>
        <v>Sonnery-cottet et al., 2026</v>
      </c>
      <c r="C198" s="9" t="s">
        <v>84</v>
      </c>
      <c r="D198" s="7" t="s">
        <v>319</v>
      </c>
      <c r="E198" s="9">
        <v>297.0</v>
      </c>
      <c r="F198" s="13">
        <v>6.7</v>
      </c>
      <c r="G198" s="13">
        <v>1.7</v>
      </c>
      <c r="H198" s="15"/>
      <c r="I198" s="15"/>
      <c r="J198" s="15"/>
      <c r="K198" s="15"/>
      <c r="L198" s="15"/>
    </row>
    <row r="199">
      <c r="A199" s="15">
        <v>87.0</v>
      </c>
      <c r="B199" s="17" t="str">
        <f t="shared" si="66"/>
        <v>Sonnery-cottet et al., 2026</v>
      </c>
      <c r="C199" s="9" t="s">
        <v>84</v>
      </c>
      <c r="D199" s="7" t="s">
        <v>317</v>
      </c>
      <c r="E199" s="9">
        <v>297.0</v>
      </c>
      <c r="F199" s="13">
        <v>0.9</v>
      </c>
      <c r="G199" s="13">
        <v>1.0</v>
      </c>
      <c r="H199" s="15"/>
      <c r="I199" s="15"/>
      <c r="J199" s="15"/>
      <c r="K199" s="15"/>
      <c r="L199" s="15"/>
    </row>
    <row r="200">
      <c r="A200" s="15">
        <v>89.0</v>
      </c>
      <c r="B200" s="17" t="str">
        <f t="shared" ref="B200:B203" si="67">HYPERLINK("https://github.com/d-wkim/phd/blob/main/data/pdf/tang_2023.pdf","Tang et al., 2023")</f>
        <v>Tang et al., 2023</v>
      </c>
      <c r="C200" s="9" t="s">
        <v>84</v>
      </c>
      <c r="D200" s="19" t="s">
        <v>471</v>
      </c>
      <c r="E200" s="9">
        <v>16.0</v>
      </c>
      <c r="F200" s="13">
        <v>90.13</v>
      </c>
      <c r="G200" s="13">
        <v>6.99</v>
      </c>
      <c r="H200" s="15"/>
      <c r="I200" s="15"/>
      <c r="J200" s="9">
        <v>92.5</v>
      </c>
      <c r="K200" s="15"/>
      <c r="L200" s="15"/>
    </row>
    <row r="201">
      <c r="A201" s="15">
        <v>89.0</v>
      </c>
      <c r="B201" s="17" t="str">
        <f t="shared" si="67"/>
        <v>Tang et al., 2023</v>
      </c>
      <c r="C201" s="9" t="s">
        <v>84</v>
      </c>
      <c r="D201" s="7" t="s">
        <v>371</v>
      </c>
      <c r="E201" s="9">
        <v>16.0</v>
      </c>
      <c r="F201" s="13">
        <v>90.06</v>
      </c>
      <c r="G201" s="13">
        <v>7.33</v>
      </c>
      <c r="H201" s="15"/>
      <c r="I201" s="15"/>
      <c r="J201" s="15"/>
      <c r="K201" s="15"/>
      <c r="L201" s="15"/>
    </row>
    <row r="202">
      <c r="A202" s="15">
        <v>89.0</v>
      </c>
      <c r="B202" s="17" t="str">
        <f t="shared" si="67"/>
        <v>Tang et al., 2023</v>
      </c>
      <c r="C202" s="9" t="s">
        <v>200</v>
      </c>
      <c r="D202" s="19" t="s">
        <v>471</v>
      </c>
      <c r="E202" s="9">
        <v>17.0</v>
      </c>
      <c r="F202" s="13">
        <v>87.12</v>
      </c>
      <c r="G202" s="13">
        <v>6.61</v>
      </c>
      <c r="H202" s="15"/>
      <c r="I202" s="15"/>
      <c r="J202" s="9">
        <v>90.0</v>
      </c>
      <c r="K202" s="15"/>
      <c r="L202" s="15"/>
    </row>
    <row r="203">
      <c r="A203" s="15">
        <v>89.0</v>
      </c>
      <c r="B203" s="17" t="str">
        <f t="shared" si="67"/>
        <v>Tang et al., 2023</v>
      </c>
      <c r="C203" s="9" t="s">
        <v>200</v>
      </c>
      <c r="D203" s="7" t="s">
        <v>371</v>
      </c>
      <c r="E203" s="9">
        <v>17.0</v>
      </c>
      <c r="F203" s="13">
        <v>90.0</v>
      </c>
      <c r="G203" s="13">
        <v>4.26</v>
      </c>
      <c r="H203" s="15"/>
      <c r="I203" s="15"/>
      <c r="J203" s="15"/>
      <c r="K203" s="15"/>
      <c r="L203" s="15"/>
    </row>
    <row r="204">
      <c r="A204" s="15">
        <v>90.0</v>
      </c>
      <c r="B204" s="17" t="str">
        <f t="shared" ref="B204:B207" si="68">HYPERLINK("https://github.com/d-wkim/phd/blob/main/data/pdf/taylor_2009.pdf","Taylor et al., 2009")</f>
        <v>Taylor et al., 2009</v>
      </c>
      <c r="C204" s="9" t="s">
        <v>42</v>
      </c>
      <c r="D204" s="19" t="s">
        <v>319</v>
      </c>
      <c r="E204" s="9">
        <v>20.0</v>
      </c>
      <c r="F204" s="13">
        <v>6.8</v>
      </c>
      <c r="G204" s="13">
        <v>3.27</v>
      </c>
      <c r="H204" s="15"/>
      <c r="I204" s="15"/>
      <c r="J204" s="15"/>
      <c r="K204" s="15"/>
      <c r="L204" s="15"/>
    </row>
    <row r="205">
      <c r="A205" s="15">
        <v>90.0</v>
      </c>
      <c r="B205" s="17" t="str">
        <f t="shared" si="68"/>
        <v>Taylor et al., 2009</v>
      </c>
      <c r="C205" s="9" t="s">
        <v>42</v>
      </c>
      <c r="D205" s="19" t="s">
        <v>371</v>
      </c>
      <c r="E205" s="9">
        <v>21.0</v>
      </c>
      <c r="F205" s="13">
        <v>90.3</v>
      </c>
      <c r="G205" s="13">
        <v>12.19</v>
      </c>
      <c r="H205" s="15"/>
      <c r="I205" s="15"/>
      <c r="J205" s="15"/>
      <c r="K205" s="15"/>
      <c r="L205" s="15"/>
    </row>
    <row r="206">
      <c r="A206" s="15">
        <v>90.0</v>
      </c>
      <c r="B206" s="17" t="str">
        <f t="shared" si="68"/>
        <v>Taylor et al., 2009</v>
      </c>
      <c r="C206" s="9" t="s">
        <v>84</v>
      </c>
      <c r="D206" s="19" t="s">
        <v>319</v>
      </c>
      <c r="E206" s="9">
        <v>24.0</v>
      </c>
      <c r="F206" s="13">
        <v>5.3</v>
      </c>
      <c r="G206" s="13">
        <v>3.58</v>
      </c>
      <c r="H206" s="15"/>
      <c r="I206" s="15"/>
      <c r="J206" s="15"/>
      <c r="K206" s="15"/>
      <c r="L206" s="15"/>
    </row>
    <row r="207">
      <c r="A207" s="15">
        <v>90.0</v>
      </c>
      <c r="B207" s="17" t="str">
        <f t="shared" si="68"/>
        <v>Taylor et al., 2009</v>
      </c>
      <c r="C207" s="9" t="s">
        <v>84</v>
      </c>
      <c r="D207" s="19" t="s">
        <v>371</v>
      </c>
      <c r="E207" s="9">
        <v>23.0</v>
      </c>
      <c r="F207" s="13">
        <v>90.4</v>
      </c>
      <c r="G207" s="13">
        <v>12.75</v>
      </c>
      <c r="H207" s="15"/>
      <c r="I207" s="15"/>
      <c r="J207" s="15"/>
      <c r="K207" s="15"/>
      <c r="L207" s="15"/>
    </row>
    <row r="208">
      <c r="A208" s="15">
        <v>93.0</v>
      </c>
      <c r="B208" s="17" t="str">
        <f t="shared" ref="B208:B211" si="69">HYPERLINK("https://github.com/d-wkim/phd/blob/main/data/pdf/vilchez-cavazos_2020.pdf","Vilchez-cavazos et al., 2020")</f>
        <v>Vilchez-cavazos et al., 2020</v>
      </c>
      <c r="C208" s="9" t="s">
        <v>42</v>
      </c>
      <c r="D208" s="19" t="s">
        <v>471</v>
      </c>
      <c r="E208" s="9">
        <v>14.0</v>
      </c>
      <c r="F208" s="13">
        <v>90.0</v>
      </c>
      <c r="G208" s="13">
        <f t="shared" ref="G208:G211" si="70">iferror(RANGE_SD(E208,I208,K208),"")</f>
        <v>1.757</v>
      </c>
      <c r="H208" s="15"/>
      <c r="I208" s="9">
        <v>87.0</v>
      </c>
      <c r="J208" s="13">
        <v>90.0</v>
      </c>
      <c r="K208" s="9">
        <v>93.0</v>
      </c>
      <c r="L208" s="15"/>
    </row>
    <row r="209">
      <c r="A209" s="15">
        <v>93.0</v>
      </c>
      <c r="B209" s="17" t="str">
        <f t="shared" si="69"/>
        <v>Vilchez-cavazos et al., 2020</v>
      </c>
      <c r="C209" s="9" t="s">
        <v>42</v>
      </c>
      <c r="D209" s="7" t="s">
        <v>371</v>
      </c>
      <c r="E209" s="9">
        <v>14.0</v>
      </c>
      <c r="F209" s="13">
        <v>96.0</v>
      </c>
      <c r="G209" s="13">
        <f t="shared" si="70"/>
        <v>2.928</v>
      </c>
      <c r="H209" s="15"/>
      <c r="I209" s="9">
        <v>90.0</v>
      </c>
      <c r="J209" s="13">
        <v>98.0</v>
      </c>
      <c r="K209" s="9">
        <v>100.0</v>
      </c>
      <c r="L209" s="15"/>
    </row>
    <row r="210">
      <c r="A210" s="15">
        <v>93.0</v>
      </c>
      <c r="B210" s="17" t="str">
        <f t="shared" si="69"/>
        <v>Vilchez-cavazos et al., 2020</v>
      </c>
      <c r="C210" s="9" t="s">
        <v>200</v>
      </c>
      <c r="D210" s="19" t="s">
        <v>471</v>
      </c>
      <c r="E210" s="9">
        <v>14.0</v>
      </c>
      <c r="F210" s="13">
        <v>88.17</v>
      </c>
      <c r="G210" s="13">
        <f t="shared" si="70"/>
        <v>2.489</v>
      </c>
      <c r="H210" s="15"/>
      <c r="I210" s="9">
        <v>83.0</v>
      </c>
      <c r="J210" s="13">
        <v>90.0</v>
      </c>
      <c r="K210" s="9">
        <v>91.5</v>
      </c>
      <c r="L210" s="15"/>
    </row>
    <row r="211">
      <c r="A211" s="15">
        <v>93.0</v>
      </c>
      <c r="B211" s="17" t="str">
        <f t="shared" si="69"/>
        <v>Vilchez-cavazos et al., 2020</v>
      </c>
      <c r="C211" s="9" t="s">
        <v>200</v>
      </c>
      <c r="D211" s="7" t="s">
        <v>371</v>
      </c>
      <c r="E211" s="9">
        <v>14.0</v>
      </c>
      <c r="F211" s="13">
        <v>95.33</v>
      </c>
      <c r="G211" s="13">
        <f t="shared" si="70"/>
        <v>2.635</v>
      </c>
      <c r="H211" s="15"/>
      <c r="I211" s="9">
        <v>91.0</v>
      </c>
      <c r="J211" s="13">
        <v>95.0</v>
      </c>
      <c r="K211" s="9">
        <v>100.0</v>
      </c>
      <c r="L211" s="15"/>
    </row>
    <row r="212">
      <c r="A212" s="15">
        <v>95.0</v>
      </c>
      <c r="B212" s="17" t="str">
        <f t="shared" ref="B212:B213" si="71">HYPERLINK("https://github.com/d-wkim/phd/blob/main/data/pdf/webster_2001.pdf","Webster et al., 2001")</f>
        <v>Webster et al., 2001</v>
      </c>
      <c r="C212" s="9" t="s">
        <v>42</v>
      </c>
      <c r="D212" s="7" t="s">
        <v>317</v>
      </c>
      <c r="E212" s="9">
        <v>23.0</v>
      </c>
      <c r="F212" s="13">
        <v>1.1</v>
      </c>
      <c r="G212" s="13">
        <f t="shared" ref="G212:G213" si="72">iferror(RANGE_SD(E212,H212,L212),"")</f>
        <v>0.648</v>
      </c>
      <c r="H212" s="9">
        <v>1.0</v>
      </c>
      <c r="I212" s="15"/>
      <c r="J212" s="15"/>
      <c r="K212" s="15"/>
      <c r="L212" s="9">
        <v>3.5</v>
      </c>
    </row>
    <row r="213">
      <c r="A213" s="15">
        <v>95.0</v>
      </c>
      <c r="B213" s="17" t="str">
        <f t="shared" si="71"/>
        <v>Webster et al., 2001</v>
      </c>
      <c r="C213" s="9" t="s">
        <v>84</v>
      </c>
      <c r="D213" s="7" t="s">
        <v>317</v>
      </c>
      <c r="E213" s="9">
        <v>31.0</v>
      </c>
      <c r="F213" s="13">
        <v>1.7</v>
      </c>
      <c r="G213" s="13">
        <f t="shared" si="72"/>
        <v>0.974</v>
      </c>
      <c r="H213" s="9">
        <v>0.0</v>
      </c>
      <c r="I213" s="15"/>
      <c r="J213" s="15"/>
      <c r="K213" s="15"/>
      <c r="L213" s="9">
        <v>4.0</v>
      </c>
    </row>
    <row r="214">
      <c r="A214" s="15">
        <v>96.0</v>
      </c>
      <c r="B214" s="17" t="str">
        <f t="shared" ref="B214:B221" si="73">HYPERLINK("https://github.com/d-wkim/phd/blob/main/data/pdf/wipfler_2011.pdf","Wipfler et al., 2011")</f>
        <v>Wipfler et al., 2011</v>
      </c>
      <c r="C214" s="9" t="s">
        <v>42</v>
      </c>
      <c r="D214" s="19" t="s">
        <v>471</v>
      </c>
      <c r="E214" s="9">
        <v>29.0</v>
      </c>
      <c r="F214" s="13">
        <v>86.72</v>
      </c>
      <c r="G214" s="13">
        <v>2.271</v>
      </c>
      <c r="H214" s="15"/>
      <c r="I214" s="15"/>
      <c r="J214" s="15"/>
      <c r="K214" s="15"/>
      <c r="L214" s="15"/>
    </row>
    <row r="215">
      <c r="A215" s="15">
        <v>96.0</v>
      </c>
      <c r="B215" s="17" t="str">
        <f t="shared" si="73"/>
        <v>Wipfler et al., 2011</v>
      </c>
      <c r="C215" s="9" t="s">
        <v>42</v>
      </c>
      <c r="D215" s="7" t="s">
        <v>371</v>
      </c>
      <c r="E215" s="9">
        <v>29.0</v>
      </c>
      <c r="F215" s="13">
        <v>87.28</v>
      </c>
      <c r="G215" s="13">
        <v>1.761</v>
      </c>
      <c r="H215" s="15"/>
      <c r="I215" s="15"/>
      <c r="J215" s="15"/>
      <c r="K215" s="15"/>
      <c r="L215" s="15"/>
    </row>
    <row r="216">
      <c r="A216" s="15">
        <v>96.0</v>
      </c>
      <c r="B216" s="17" t="str">
        <f t="shared" si="73"/>
        <v>Wipfler et al., 2011</v>
      </c>
      <c r="C216" s="9" t="s">
        <v>42</v>
      </c>
      <c r="D216" s="7" t="s">
        <v>319</v>
      </c>
      <c r="E216" s="9">
        <v>29.0</v>
      </c>
      <c r="F216" s="13">
        <v>6.2</v>
      </c>
      <c r="G216" s="13">
        <v>0.346</v>
      </c>
      <c r="H216" s="15"/>
      <c r="I216" s="15"/>
      <c r="J216" s="15"/>
      <c r="K216" s="15"/>
      <c r="L216" s="15"/>
    </row>
    <row r="217">
      <c r="A217" s="15">
        <v>96.0</v>
      </c>
      <c r="B217" s="17" t="str">
        <f t="shared" si="73"/>
        <v>Wipfler et al., 2011</v>
      </c>
      <c r="C217" s="9" t="s">
        <v>42</v>
      </c>
      <c r="D217" s="7" t="s">
        <v>317</v>
      </c>
      <c r="E217" s="9">
        <v>29.0</v>
      </c>
      <c r="F217" s="13">
        <v>0.9</v>
      </c>
      <c r="G217" s="13">
        <v>0.271</v>
      </c>
      <c r="H217" s="15"/>
      <c r="I217" s="15"/>
      <c r="J217" s="15"/>
      <c r="K217" s="15"/>
      <c r="L217" s="15"/>
    </row>
    <row r="218">
      <c r="A218" s="15">
        <v>96.0</v>
      </c>
      <c r="B218" s="17" t="str">
        <f t="shared" si="73"/>
        <v>Wipfler et al., 2011</v>
      </c>
      <c r="C218" s="9" t="s">
        <v>84</v>
      </c>
      <c r="D218" s="19" t="s">
        <v>471</v>
      </c>
      <c r="E218" s="9">
        <v>25.0</v>
      </c>
      <c r="F218" s="13">
        <v>92.95</v>
      </c>
      <c r="G218" s="13">
        <v>1.992</v>
      </c>
      <c r="H218" s="15"/>
      <c r="I218" s="15"/>
      <c r="J218" s="15"/>
      <c r="K218" s="15"/>
      <c r="L218" s="15"/>
    </row>
    <row r="219">
      <c r="A219" s="15">
        <v>96.0</v>
      </c>
      <c r="B219" s="17" t="str">
        <f t="shared" si="73"/>
        <v>Wipfler et al., 2011</v>
      </c>
      <c r="C219" s="9" t="s">
        <v>84</v>
      </c>
      <c r="D219" s="7" t="s">
        <v>371</v>
      </c>
      <c r="E219" s="9">
        <v>25.0</v>
      </c>
      <c r="F219" s="13">
        <v>91.82</v>
      </c>
      <c r="G219" s="13">
        <v>1.713</v>
      </c>
      <c r="H219" s="15"/>
      <c r="I219" s="15"/>
      <c r="J219" s="15"/>
      <c r="K219" s="15"/>
      <c r="L219" s="15"/>
    </row>
    <row r="220">
      <c r="A220" s="15">
        <v>96.0</v>
      </c>
      <c r="B220" s="17" t="str">
        <f t="shared" si="73"/>
        <v>Wipfler et al., 2011</v>
      </c>
      <c r="C220" s="9" t="s">
        <v>84</v>
      </c>
      <c r="D220" s="7" t="s">
        <v>319</v>
      </c>
      <c r="E220" s="9">
        <v>25.0</v>
      </c>
      <c r="F220" s="13">
        <v>6.14</v>
      </c>
      <c r="G220" s="13">
        <v>0.368</v>
      </c>
      <c r="H220" s="15"/>
      <c r="I220" s="15"/>
      <c r="J220" s="15"/>
      <c r="K220" s="15"/>
      <c r="L220" s="15"/>
    </row>
    <row r="221">
      <c r="A221" s="15">
        <v>96.0</v>
      </c>
      <c r="B221" s="17" t="str">
        <f t="shared" si="73"/>
        <v>Wipfler et al., 2011</v>
      </c>
      <c r="C221" s="9" t="s">
        <v>84</v>
      </c>
      <c r="D221" s="7" t="s">
        <v>317</v>
      </c>
      <c r="E221" s="9">
        <v>25.0</v>
      </c>
      <c r="F221" s="13">
        <v>0.64</v>
      </c>
      <c r="G221" s="13">
        <v>0.356</v>
      </c>
      <c r="H221" s="15"/>
      <c r="I221" s="15"/>
      <c r="J221" s="15"/>
      <c r="K221" s="15"/>
      <c r="L221" s="15"/>
    </row>
    <row r="222">
      <c r="A222" s="15">
        <v>97.0</v>
      </c>
      <c r="B222" s="17" t="str">
        <f t="shared" ref="B222:B225" si="74">HYPERLINK("https://github.com/d-wkim/phd/blob/main/data/pdf/yadav_2025.pdf","Yadav et al., 2025")</f>
        <v>Yadav et al., 2025</v>
      </c>
      <c r="C222" s="9" t="s">
        <v>84</v>
      </c>
      <c r="D222" s="19" t="s">
        <v>371</v>
      </c>
      <c r="E222" s="9">
        <v>36.0</v>
      </c>
      <c r="F222" s="13">
        <v>92.4</v>
      </c>
      <c r="G222" s="13">
        <v>3.36</v>
      </c>
      <c r="H222" s="15"/>
      <c r="I222" s="15"/>
      <c r="J222" s="15"/>
      <c r="K222" s="15"/>
      <c r="L222" s="15"/>
    </row>
    <row r="223">
      <c r="A223" s="15">
        <v>97.0</v>
      </c>
      <c r="B223" s="17" t="str">
        <f t="shared" si="74"/>
        <v>Yadav et al., 2025</v>
      </c>
      <c r="C223" s="9" t="s">
        <v>84</v>
      </c>
      <c r="D223" s="7" t="s">
        <v>317</v>
      </c>
      <c r="E223" s="9">
        <v>36.0</v>
      </c>
      <c r="F223" s="13">
        <v>3.77</v>
      </c>
      <c r="G223" s="13">
        <v>2.01</v>
      </c>
      <c r="H223" s="15"/>
      <c r="I223" s="15"/>
      <c r="J223" s="15"/>
      <c r="K223" s="15"/>
      <c r="L223" s="15"/>
    </row>
    <row r="224">
      <c r="A224" s="15">
        <v>97.0</v>
      </c>
      <c r="B224" s="17" t="str">
        <f t="shared" si="74"/>
        <v>Yadav et al., 2025</v>
      </c>
      <c r="C224" s="9" t="s">
        <v>200</v>
      </c>
      <c r="D224" s="19" t="s">
        <v>371</v>
      </c>
      <c r="E224" s="9">
        <v>33.0</v>
      </c>
      <c r="F224" s="13">
        <v>88.2</v>
      </c>
      <c r="G224" s="13">
        <v>4.32</v>
      </c>
      <c r="H224" s="15"/>
      <c r="I224" s="15"/>
      <c r="J224" s="15"/>
      <c r="K224" s="15"/>
      <c r="L224" s="15"/>
    </row>
    <row r="225">
      <c r="A225" s="15">
        <v>97.0</v>
      </c>
      <c r="B225" s="17" t="str">
        <f t="shared" si="74"/>
        <v>Yadav et al., 2025</v>
      </c>
      <c r="C225" s="9" t="s">
        <v>200</v>
      </c>
      <c r="D225" s="7" t="s">
        <v>317</v>
      </c>
      <c r="E225" s="9">
        <v>33.0</v>
      </c>
      <c r="F225" s="13">
        <v>2.73</v>
      </c>
      <c r="G225" s="13">
        <v>1.64</v>
      </c>
      <c r="H225" s="15"/>
      <c r="I225" s="15"/>
      <c r="J225" s="15"/>
      <c r="K225" s="15"/>
      <c r="L225" s="15"/>
    </row>
    <row r="226">
      <c r="A226" s="15">
        <v>98.0</v>
      </c>
      <c r="B226" s="17" t="str">
        <f t="shared" ref="B226:B229" si="75">HYPERLINK("https://github.com/d-wkim/phd/blob/main/data/pdf/yoo_2017.pdf","Yoo et al., 2017")</f>
        <v>Yoo et al., 2017</v>
      </c>
      <c r="C226" s="9" t="s">
        <v>84</v>
      </c>
      <c r="D226" s="19" t="s">
        <v>319</v>
      </c>
      <c r="E226" s="9">
        <v>68.0</v>
      </c>
      <c r="F226" s="13">
        <v>5.0</v>
      </c>
      <c r="G226" s="13">
        <f t="shared" ref="G226:G229" si="76">iferror(RANGE_SD(E226,H226,L226),"")</f>
        <v>1.484</v>
      </c>
      <c r="H226" s="9">
        <v>2.0</v>
      </c>
      <c r="I226" s="15"/>
      <c r="J226" s="15"/>
      <c r="K226" s="15"/>
      <c r="L226" s="9">
        <v>9.0</v>
      </c>
    </row>
    <row r="227">
      <c r="A227" s="15">
        <v>98.0</v>
      </c>
      <c r="B227" s="17" t="str">
        <f t="shared" si="75"/>
        <v>Yoo et al., 2017</v>
      </c>
      <c r="C227" s="9" t="s">
        <v>84</v>
      </c>
      <c r="D227" s="19" t="s">
        <v>371</v>
      </c>
      <c r="E227" s="9">
        <v>68.0</v>
      </c>
      <c r="F227" s="13">
        <v>96.0</v>
      </c>
      <c r="G227" s="13">
        <f t="shared" si="76"/>
        <v>6.994</v>
      </c>
      <c r="H227" s="9">
        <v>67.0</v>
      </c>
      <c r="I227" s="15"/>
      <c r="J227" s="15"/>
      <c r="K227" s="15"/>
      <c r="L227" s="9">
        <v>100.0</v>
      </c>
    </row>
    <row r="228">
      <c r="A228" s="15">
        <v>98.0</v>
      </c>
      <c r="B228" s="17" t="str">
        <f t="shared" si="75"/>
        <v>Yoo et al., 2017</v>
      </c>
      <c r="C228" s="9" t="s">
        <v>205</v>
      </c>
      <c r="D228" s="19" t="s">
        <v>319</v>
      </c>
      <c r="E228" s="9">
        <v>64.0</v>
      </c>
      <c r="F228" s="13">
        <v>5.0</v>
      </c>
      <c r="G228" s="13">
        <f t="shared" si="76"/>
        <v>1.07</v>
      </c>
      <c r="H228" s="9">
        <v>3.0</v>
      </c>
      <c r="I228" s="15"/>
      <c r="J228" s="15"/>
      <c r="K228" s="15"/>
      <c r="L228" s="9">
        <v>8.0</v>
      </c>
    </row>
    <row r="229">
      <c r="A229" s="15">
        <v>98.0</v>
      </c>
      <c r="B229" s="17" t="str">
        <f t="shared" si="75"/>
        <v>Yoo et al., 2017</v>
      </c>
      <c r="C229" s="9" t="s">
        <v>205</v>
      </c>
      <c r="D229" s="19" t="s">
        <v>371</v>
      </c>
      <c r="E229" s="9">
        <v>64.0</v>
      </c>
      <c r="F229" s="13">
        <v>93.0</v>
      </c>
      <c r="G229" s="13">
        <f t="shared" si="76"/>
        <v>5.777</v>
      </c>
      <c r="H229" s="9">
        <v>73.0</v>
      </c>
      <c r="I229" s="15"/>
      <c r="J229" s="15"/>
      <c r="K229" s="15"/>
      <c r="L229" s="9">
        <v>100.0</v>
      </c>
    </row>
    <row r="230">
      <c r="A230" s="15">
        <v>100.0</v>
      </c>
      <c r="B230" s="17" t="str">
        <f t="shared" ref="B230:B233" si="77">HYPERLINK("https://github.com/d-wkim/phd/blob/main/data/pdf/zaffagnini_2011.pdf","Zaffagnini et al., 2011")</f>
        <v>Zaffagnini et al., 2011</v>
      </c>
      <c r="C230" s="9" t="s">
        <v>42</v>
      </c>
      <c r="D230" s="19" t="s">
        <v>471</v>
      </c>
      <c r="E230" s="9">
        <v>40.0</v>
      </c>
      <c r="F230" s="13">
        <v>82.0</v>
      </c>
      <c r="G230" s="13">
        <v>20.0</v>
      </c>
      <c r="H230" s="15"/>
      <c r="I230" s="15"/>
      <c r="J230" s="15"/>
      <c r="K230" s="15"/>
      <c r="L230" s="15"/>
    </row>
    <row r="231">
      <c r="A231" s="15">
        <v>100.0</v>
      </c>
      <c r="B231" s="17" t="str">
        <f t="shared" si="77"/>
        <v>Zaffagnini et al., 2011</v>
      </c>
      <c r="C231" s="9" t="s">
        <v>42</v>
      </c>
      <c r="D231" s="7" t="s">
        <v>317</v>
      </c>
      <c r="E231" s="9">
        <v>40.0</v>
      </c>
      <c r="F231" s="13">
        <v>0.4</v>
      </c>
      <c r="G231" s="13">
        <v>0.6</v>
      </c>
      <c r="H231" s="15"/>
      <c r="I231" s="15"/>
      <c r="J231" s="15"/>
      <c r="K231" s="15"/>
      <c r="L231" s="15"/>
    </row>
    <row r="232">
      <c r="A232" s="15">
        <v>100.0</v>
      </c>
      <c r="B232" s="17" t="str">
        <f t="shared" si="77"/>
        <v>Zaffagnini et al., 2011</v>
      </c>
      <c r="C232" s="9" t="s">
        <v>84</v>
      </c>
      <c r="D232" s="19" t="s">
        <v>471</v>
      </c>
      <c r="E232" s="9">
        <v>39.0</v>
      </c>
      <c r="F232" s="13">
        <v>88.0</v>
      </c>
      <c r="G232" s="13">
        <v>9.0</v>
      </c>
      <c r="H232" s="15"/>
      <c r="I232" s="15"/>
      <c r="J232" s="15"/>
      <c r="K232" s="15"/>
      <c r="L232" s="15"/>
    </row>
    <row r="233">
      <c r="A233" s="15">
        <v>100.0</v>
      </c>
      <c r="B233" s="17" t="str">
        <f t="shared" si="77"/>
        <v>Zaffagnini et al., 2011</v>
      </c>
      <c r="C233" s="9" t="s">
        <v>84</v>
      </c>
      <c r="D233" s="7" t="s">
        <v>317</v>
      </c>
      <c r="E233" s="9">
        <v>39.0</v>
      </c>
      <c r="F233" s="13">
        <v>1.1</v>
      </c>
      <c r="G233" s="13">
        <v>1.9</v>
      </c>
      <c r="H233" s="15"/>
      <c r="I233" s="15"/>
      <c r="J233" s="15"/>
      <c r="K233" s="15"/>
      <c r="L233" s="15"/>
    </row>
  </sheetData>
  <conditionalFormatting sqref="H230:L233">
    <cfRule type="expression" dxfId="0" priority="1">
      <formula>#REF!="Excluded"</formula>
    </cfRule>
  </conditionalFormatting>
  <conditionalFormatting sqref="H228:L229">
    <cfRule type="expression" dxfId="0" priority="2">
      <formula>#REF!="Excluded"</formula>
    </cfRule>
  </conditionalFormatting>
  <conditionalFormatting sqref="H226:L227">
    <cfRule type="expression" dxfId="0" priority="3">
      <formula>#REF!="Excluded"</formula>
    </cfRule>
  </conditionalFormatting>
  <conditionalFormatting sqref="H224:L225">
    <cfRule type="expression" dxfId="0" priority="4">
      <formula>#REF!="Excluded"</formula>
    </cfRule>
  </conditionalFormatting>
  <conditionalFormatting sqref="H222:L223">
    <cfRule type="expression" dxfId="0" priority="5">
      <formula>#REF!="Excluded"</formula>
    </cfRule>
  </conditionalFormatting>
  <conditionalFormatting sqref="H218:L221">
    <cfRule type="expression" dxfId="0" priority="6">
      <formula>#REF!="Excluded"</formula>
    </cfRule>
  </conditionalFormatting>
  <conditionalFormatting sqref="H213:L217">
    <cfRule type="expression" dxfId="0" priority="7">
      <formula>#REF!="Excluded"</formula>
    </cfRule>
  </conditionalFormatting>
  <conditionalFormatting sqref="H212:L212">
    <cfRule type="expression" dxfId="0" priority="8">
      <formula>#REF!="Excluded"</formula>
    </cfRule>
  </conditionalFormatting>
  <conditionalFormatting sqref="H210:L211">
    <cfRule type="expression" dxfId="0" priority="9">
      <formula>#REF!="Excluded"</formula>
    </cfRule>
  </conditionalFormatting>
  <conditionalFormatting sqref="H208:L209">
    <cfRule type="expression" dxfId="0" priority="10">
      <formula>#REF!="Excluded"</formula>
    </cfRule>
  </conditionalFormatting>
  <conditionalFormatting sqref="H206:L207">
    <cfRule type="expression" dxfId="0" priority="11">
      <formula>#REF!="Excluded"</formula>
    </cfRule>
  </conditionalFormatting>
  <conditionalFormatting sqref="H204:L205">
    <cfRule type="expression" dxfId="0" priority="12">
      <formula>#REF!="Excluded"</formula>
    </cfRule>
  </conditionalFormatting>
  <conditionalFormatting sqref="H202:L203">
    <cfRule type="expression" dxfId="0" priority="13">
      <formula>#REF!="Excluded"</formula>
    </cfRule>
  </conditionalFormatting>
  <conditionalFormatting sqref="H200:L201">
    <cfRule type="expression" dxfId="0" priority="14">
      <formula>#REF!="Excluded"</formula>
    </cfRule>
  </conditionalFormatting>
  <conditionalFormatting sqref="H196:L199">
    <cfRule type="expression" dxfId="0" priority="15">
      <formula>#REF!="Excluded"</formula>
    </cfRule>
  </conditionalFormatting>
  <conditionalFormatting sqref="H192:L195">
    <cfRule type="expression" dxfId="0" priority="16">
      <formula>#REF!="Excluded"</formula>
    </cfRule>
  </conditionalFormatting>
  <conditionalFormatting sqref="H190:L191">
    <cfRule type="expression" dxfId="0" priority="17">
      <formula>#REF!="Excluded"</formula>
    </cfRule>
  </conditionalFormatting>
  <conditionalFormatting sqref="H186:L189">
    <cfRule type="expression" dxfId="0" priority="18">
      <formula>#REF!="Excluded"</formula>
    </cfRule>
  </conditionalFormatting>
  <conditionalFormatting sqref="H183:L185">
    <cfRule type="expression" dxfId="0" priority="19">
      <formula>#REF!="Excluded"</formula>
    </cfRule>
  </conditionalFormatting>
  <conditionalFormatting sqref="H180:L182">
    <cfRule type="expression" dxfId="0" priority="20">
      <formula>#REF!="Excluded"</formula>
    </cfRule>
  </conditionalFormatting>
  <conditionalFormatting sqref="H179:L179">
    <cfRule type="expression" dxfId="0" priority="21">
      <formula>#REF!="Excluded"</formula>
    </cfRule>
  </conditionalFormatting>
  <conditionalFormatting sqref="H178:L178">
    <cfRule type="expression" dxfId="0" priority="22">
      <formula>#REF!="Excluded"</formula>
    </cfRule>
  </conditionalFormatting>
  <conditionalFormatting sqref="H174:L177">
    <cfRule type="expression" dxfId="0" priority="23">
      <formula>#REF!="Excluded"</formula>
    </cfRule>
  </conditionalFormatting>
  <conditionalFormatting sqref="H172:L173">
    <cfRule type="expression" dxfId="0" priority="24">
      <formula>#REF!="Excluded"</formula>
    </cfRule>
  </conditionalFormatting>
  <conditionalFormatting sqref="H170:L171">
    <cfRule type="expression" dxfId="0" priority="25">
      <formula>#REF!="Excluded"</formula>
    </cfRule>
  </conditionalFormatting>
  <conditionalFormatting sqref="H169:L169">
    <cfRule type="expression" dxfId="0" priority="26">
      <formula>#REF!="Excluded"</formula>
    </cfRule>
  </conditionalFormatting>
  <conditionalFormatting sqref="H168:L168">
    <cfRule type="expression" dxfId="0" priority="27">
      <formula>#REF!="Excluded"</formula>
    </cfRule>
  </conditionalFormatting>
  <conditionalFormatting sqref="H167:L167">
    <cfRule type="expression" dxfId="0" priority="28">
      <formula>#REF!="Excluded"</formula>
    </cfRule>
  </conditionalFormatting>
  <conditionalFormatting sqref="H166:L166">
    <cfRule type="expression" dxfId="0" priority="29">
      <formula>#REF!="Excluded"</formula>
    </cfRule>
  </conditionalFormatting>
  <conditionalFormatting sqref="H161:L165">
    <cfRule type="expression" dxfId="0" priority="30">
      <formula>#REF!="Excluded"</formula>
    </cfRule>
  </conditionalFormatting>
  <conditionalFormatting sqref="H157:L160">
    <cfRule type="expression" dxfId="0" priority="31">
      <formula>#REF!="Excluded"</formula>
    </cfRule>
  </conditionalFormatting>
  <conditionalFormatting sqref="H154:L156">
    <cfRule type="expression" dxfId="0" priority="32">
      <formula>#REF!="Excluded"</formula>
    </cfRule>
  </conditionalFormatting>
  <conditionalFormatting sqref="H153:L153">
    <cfRule type="expression" dxfId="0" priority="33">
      <formula>#REF!="Excluded"</formula>
    </cfRule>
  </conditionalFormatting>
  <conditionalFormatting sqref="H151:L152">
    <cfRule type="expression" dxfId="0" priority="34">
      <formula>#REF!="Excluded"</formula>
    </cfRule>
  </conditionalFormatting>
  <conditionalFormatting sqref="H150:L150">
    <cfRule type="expression" dxfId="0" priority="35">
      <formula>#REF!="Excluded"</formula>
    </cfRule>
  </conditionalFormatting>
  <conditionalFormatting sqref="H147:L149">
    <cfRule type="expression" dxfId="0" priority="36">
      <formula>#REF!="Excluded"</formula>
    </cfRule>
  </conditionalFormatting>
  <conditionalFormatting sqref="H144:L146">
    <cfRule type="expression" dxfId="0" priority="37">
      <formula>#REF!="Excluded"</formula>
    </cfRule>
  </conditionalFormatting>
  <conditionalFormatting sqref="H140:L143">
    <cfRule type="expression" dxfId="0" priority="38">
      <formula>#REF!="Excluded"</formula>
    </cfRule>
  </conditionalFormatting>
  <conditionalFormatting sqref="H136:L139">
    <cfRule type="expression" dxfId="0" priority="39">
      <formula>#REF!="Excluded"</formula>
    </cfRule>
  </conditionalFormatting>
  <conditionalFormatting sqref="H133:L135">
    <cfRule type="expression" dxfId="0" priority="40">
      <formula>#REF!="Excluded"</formula>
    </cfRule>
  </conditionalFormatting>
  <conditionalFormatting sqref="H130:L132">
    <cfRule type="expression" dxfId="0" priority="41">
      <formula>#REF!="Excluded"</formula>
    </cfRule>
  </conditionalFormatting>
  <conditionalFormatting sqref="H127:L129">
    <cfRule type="expression" dxfId="0" priority="42">
      <formula>#REF!="Excluded"</formula>
    </cfRule>
  </conditionalFormatting>
  <conditionalFormatting sqref="H124:L126">
    <cfRule type="expression" dxfId="0" priority="43">
      <formula>#REF!="Excluded"</formula>
    </cfRule>
  </conditionalFormatting>
  <conditionalFormatting sqref="H121:L123">
    <cfRule type="expression" dxfId="0" priority="44">
      <formula>#REF!="Excluded"</formula>
    </cfRule>
  </conditionalFormatting>
  <conditionalFormatting sqref="H117:L120">
    <cfRule type="expression" dxfId="0" priority="45">
      <formula>#REF!="Excluded"</formula>
    </cfRule>
  </conditionalFormatting>
  <conditionalFormatting sqref="H116:L116">
    <cfRule type="expression" dxfId="0" priority="46">
      <formula>#REF!="Excluded"</formula>
    </cfRule>
  </conditionalFormatting>
  <conditionalFormatting sqref="H113:L115">
    <cfRule type="expression" dxfId="0" priority="47">
      <formula>#REF!="Excluded"</formula>
    </cfRule>
  </conditionalFormatting>
  <conditionalFormatting sqref="H110:L112">
    <cfRule type="expression" dxfId="0" priority="48">
      <formula>#REF!="Excluded"</formula>
    </cfRule>
  </conditionalFormatting>
  <conditionalFormatting sqref="H109:L109">
    <cfRule type="expression" dxfId="0" priority="49">
      <formula>#REF!="Excluded"</formula>
    </cfRule>
  </conditionalFormatting>
  <conditionalFormatting sqref="H106:L108">
    <cfRule type="expression" dxfId="0" priority="50">
      <formula>#REF!="Excluded"</formula>
    </cfRule>
  </conditionalFormatting>
  <conditionalFormatting sqref="H103:L105">
    <cfRule type="expression" dxfId="0" priority="51">
      <formula>#REF!="Excluded"</formula>
    </cfRule>
  </conditionalFormatting>
  <conditionalFormatting sqref="H98:L102">
    <cfRule type="expression" dxfId="0" priority="52">
      <formula>#REF!="Excluded"</formula>
    </cfRule>
  </conditionalFormatting>
  <conditionalFormatting sqref="H96:L97">
    <cfRule type="expression" dxfId="0" priority="53">
      <formula>#REF!="Excluded"</formula>
    </cfRule>
  </conditionalFormatting>
  <conditionalFormatting sqref="H93:L95">
    <cfRule type="expression" dxfId="0" priority="54">
      <formula>#REF!="Excluded"</formula>
    </cfRule>
  </conditionalFormatting>
  <conditionalFormatting sqref="H92:L92">
    <cfRule type="expression" dxfId="0" priority="55">
      <formula>#REF!="Excluded"</formula>
    </cfRule>
  </conditionalFormatting>
  <conditionalFormatting sqref="H91:L91">
    <cfRule type="expression" dxfId="0" priority="56">
      <formula>#REF!="Excluded"</formula>
    </cfRule>
  </conditionalFormatting>
  <conditionalFormatting sqref="H90:L90">
    <cfRule type="expression" dxfId="0" priority="57">
      <formula>#REF!="Excluded"</formula>
    </cfRule>
  </conditionalFormatting>
  <conditionalFormatting sqref="H88:L89">
    <cfRule type="expression" dxfId="0" priority="58">
      <formula>#REF!="Excluded"</formula>
    </cfRule>
  </conditionalFormatting>
  <conditionalFormatting sqref="H86:L87">
    <cfRule type="expression" dxfId="0" priority="59">
      <formula>#REF!="Excluded"</formula>
    </cfRule>
  </conditionalFormatting>
  <conditionalFormatting sqref="H85:L85">
    <cfRule type="expression" dxfId="0" priority="60">
      <formula>#REF!="Excluded"</formula>
    </cfRule>
  </conditionalFormatting>
  <conditionalFormatting sqref="H84:L84">
    <cfRule type="expression" dxfId="0" priority="61">
      <formula>#REF!="Excluded"</formula>
    </cfRule>
  </conditionalFormatting>
  <conditionalFormatting sqref="H81:L83">
    <cfRule type="expression" dxfId="0" priority="62">
      <formula>#REF!="Excluded"</formula>
    </cfRule>
  </conditionalFormatting>
  <conditionalFormatting sqref="H74:L80">
    <cfRule type="expression" dxfId="0" priority="63">
      <formula>#REF!="Excluded"</formula>
    </cfRule>
  </conditionalFormatting>
  <conditionalFormatting sqref="H73:L73">
    <cfRule type="expression" dxfId="0" priority="64">
      <formula>#REF!="Excluded"</formula>
    </cfRule>
  </conditionalFormatting>
  <conditionalFormatting sqref="H72:L72">
    <cfRule type="expression" dxfId="0" priority="65">
      <formula>#REF!="Excluded"</formula>
    </cfRule>
  </conditionalFormatting>
  <conditionalFormatting sqref="H69:L71">
    <cfRule type="expression" dxfId="0" priority="66">
      <formula>#REF!="Excluded"</formula>
    </cfRule>
  </conditionalFormatting>
  <conditionalFormatting sqref="H66:L68">
    <cfRule type="expression" dxfId="0" priority="67">
      <formula>#REF!="Excluded"</formula>
    </cfRule>
  </conditionalFormatting>
  <conditionalFormatting sqref="H64:L65">
    <cfRule type="expression" dxfId="0" priority="68">
      <formula>#REF!="Excluded"</formula>
    </cfRule>
  </conditionalFormatting>
  <conditionalFormatting sqref="H62:L63">
    <cfRule type="expression" dxfId="0" priority="69">
      <formula>#REF!="Excluded"</formula>
    </cfRule>
  </conditionalFormatting>
  <conditionalFormatting sqref="H61:L61">
    <cfRule type="expression" dxfId="0" priority="70">
      <formula>#REF!="Excluded"</formula>
    </cfRule>
  </conditionalFormatting>
  <conditionalFormatting sqref="H60:L60">
    <cfRule type="expression" dxfId="0" priority="71">
      <formula>#REF!="Excluded"</formula>
    </cfRule>
  </conditionalFormatting>
  <conditionalFormatting sqref="H59:L59">
    <cfRule type="expression" dxfId="0" priority="72">
      <formula>#REF!="Excluded"</formula>
    </cfRule>
  </conditionalFormatting>
  <conditionalFormatting sqref="H58:L58">
    <cfRule type="expression" dxfId="0" priority="73">
      <formula>#REF!="Excluded"</formula>
    </cfRule>
  </conditionalFormatting>
  <conditionalFormatting sqref="H57:L57">
    <cfRule type="expression" dxfId="0" priority="74">
      <formula>#REF!="Excluded"</formula>
    </cfRule>
  </conditionalFormatting>
  <conditionalFormatting sqref="H56:L56">
    <cfRule type="expression" dxfId="0" priority="75">
      <formula>#REF!="Excluded"</formula>
    </cfRule>
  </conditionalFormatting>
  <conditionalFormatting sqref="H53:L55">
    <cfRule type="expression" dxfId="0" priority="76">
      <formula>#REF!="Excluded"</formula>
    </cfRule>
  </conditionalFormatting>
  <conditionalFormatting sqref="H50:L52">
    <cfRule type="expression" dxfId="0" priority="77">
      <formula>#REF!="Excluded"</formula>
    </cfRule>
  </conditionalFormatting>
  <conditionalFormatting sqref="H46:L49">
    <cfRule type="expression" dxfId="0" priority="78">
      <formula>#REF!="Excluded"</formula>
    </cfRule>
  </conditionalFormatting>
  <conditionalFormatting sqref="H44:L45">
    <cfRule type="expression" dxfId="0" priority="79">
      <formula>#REF!="Excluded"</formula>
    </cfRule>
  </conditionalFormatting>
  <conditionalFormatting sqref="H42:L43">
    <cfRule type="expression" dxfId="0" priority="80">
      <formula>#REF!="Excluded"</formula>
    </cfRule>
  </conditionalFormatting>
  <conditionalFormatting sqref="H35:L41">
    <cfRule type="expression" dxfId="0" priority="81">
      <formula>#REF!="Excluded"</formula>
    </cfRule>
  </conditionalFormatting>
  <conditionalFormatting sqref="H32:L34">
    <cfRule type="expression" dxfId="0" priority="82">
      <formula>#REF!="Excluded"</formula>
    </cfRule>
  </conditionalFormatting>
  <conditionalFormatting sqref="H30:L31">
    <cfRule type="expression" dxfId="0" priority="83">
      <formula>#REF!="Excluded"</formula>
    </cfRule>
  </conditionalFormatting>
  <conditionalFormatting sqref="H28:L29">
    <cfRule type="expression" dxfId="0" priority="84">
      <formula>#REF!="Excluded"</formula>
    </cfRule>
  </conditionalFormatting>
  <conditionalFormatting sqref="H20:L27">
    <cfRule type="expression" dxfId="0" priority="85">
      <formula>#REF!="Excluded"</formula>
    </cfRule>
  </conditionalFormatting>
  <conditionalFormatting sqref="H18:L19">
    <cfRule type="expression" dxfId="0" priority="86">
      <formula>#REF!="Excluded"</formula>
    </cfRule>
  </conditionalFormatting>
  <conditionalFormatting sqref="H14:L17">
    <cfRule type="expression" dxfId="0" priority="87">
      <formula>#REF!="Excluded"</formula>
    </cfRule>
  </conditionalFormatting>
  <conditionalFormatting sqref="H13:L13">
    <cfRule type="expression" dxfId="0" priority="88">
      <formula>#REF!="Excluded"</formula>
    </cfRule>
  </conditionalFormatting>
  <conditionalFormatting sqref="H12:L12">
    <cfRule type="expression" dxfId="0" priority="89">
      <formula>#REF!="Excluded"</formula>
    </cfRule>
  </conditionalFormatting>
  <conditionalFormatting sqref="H9:L11">
    <cfRule type="expression" dxfId="0" priority="90">
      <formula>#REF!="Excluded"</formula>
    </cfRule>
  </conditionalFormatting>
  <conditionalFormatting sqref="H6:L8">
    <cfRule type="expression" dxfId="0" priority="91">
      <formula>#REF!="Excluded"</formula>
    </cfRule>
  </conditionalFormatting>
  <conditionalFormatting sqref="H5:L5">
    <cfRule type="expression" dxfId="0" priority="92">
      <formula>#REF!="Excluded"</formula>
    </cfRule>
  </conditionalFormatting>
  <conditionalFormatting sqref="H4:L4">
    <cfRule type="expression" dxfId="0" priority="93">
      <formula>#REF!="Excluded"</formula>
    </cfRule>
  </conditionalFormatting>
  <conditionalFormatting sqref="H2:L3">
    <cfRule type="expression" dxfId="0" priority="94">
      <formula>#REF!="Excluded"</formula>
    </cfRule>
  </conditionalFormatting>
  <conditionalFormatting sqref="A230:G233">
    <cfRule type="expression" dxfId="0" priority="95">
      <formula>#REF!="Excluded"</formula>
    </cfRule>
  </conditionalFormatting>
  <conditionalFormatting sqref="C230:C233">
    <cfRule type="cellIs" dxfId="1" priority="96" operator="equal">
      <formula>"patellar"</formula>
    </cfRule>
  </conditionalFormatting>
  <conditionalFormatting sqref="C230:C233">
    <cfRule type="cellIs" dxfId="2" priority="97" operator="equal">
      <formula>"hamstring"</formula>
    </cfRule>
  </conditionalFormatting>
  <conditionalFormatting sqref="C230:C233">
    <cfRule type="cellIs" dxfId="3" priority="98" operator="equal">
      <formula>"quadriceps"</formula>
    </cfRule>
  </conditionalFormatting>
  <conditionalFormatting sqref="C230:C233">
    <cfRule type="cellIs" dxfId="4" priority="99" operator="equal">
      <formula>"tibialis"</formula>
    </cfRule>
  </conditionalFormatting>
  <conditionalFormatting sqref="A228:G229">
    <cfRule type="expression" dxfId="0" priority="100">
      <formula>#REF!="Excluded"</formula>
    </cfRule>
  </conditionalFormatting>
  <conditionalFormatting sqref="C228:C229">
    <cfRule type="cellIs" dxfId="1" priority="101" operator="equal">
      <formula>"patellar"</formula>
    </cfRule>
  </conditionalFormatting>
  <conditionalFormatting sqref="C228:C229">
    <cfRule type="cellIs" dxfId="2" priority="102" operator="equal">
      <formula>"hamstring"</formula>
    </cfRule>
  </conditionalFormatting>
  <conditionalFormatting sqref="C228:C229">
    <cfRule type="cellIs" dxfId="3" priority="103" operator="equal">
      <formula>"quadriceps"</formula>
    </cfRule>
  </conditionalFormatting>
  <conditionalFormatting sqref="C228:C229">
    <cfRule type="cellIs" dxfId="4" priority="104" operator="equal">
      <formula>"tibialis"</formula>
    </cfRule>
  </conditionalFormatting>
  <conditionalFormatting sqref="A226:G227">
    <cfRule type="expression" dxfId="0" priority="105">
      <formula>#REF!="Excluded"</formula>
    </cfRule>
  </conditionalFormatting>
  <conditionalFormatting sqref="C226:C227">
    <cfRule type="cellIs" dxfId="1" priority="106" operator="equal">
      <formula>"patellar"</formula>
    </cfRule>
  </conditionalFormatting>
  <conditionalFormatting sqref="C226:C227">
    <cfRule type="cellIs" dxfId="2" priority="107" operator="equal">
      <formula>"hamstring"</formula>
    </cfRule>
  </conditionalFormatting>
  <conditionalFormatting sqref="C226:C227">
    <cfRule type="cellIs" dxfId="3" priority="108" operator="equal">
      <formula>"quadriceps"</formula>
    </cfRule>
  </conditionalFormatting>
  <conditionalFormatting sqref="C226:C227">
    <cfRule type="cellIs" dxfId="4" priority="109" operator="equal">
      <formula>"tibialis"</formula>
    </cfRule>
  </conditionalFormatting>
  <conditionalFormatting sqref="A224:G225">
    <cfRule type="expression" dxfId="0" priority="110">
      <formula>#REF!="Excluded"</formula>
    </cfRule>
  </conditionalFormatting>
  <conditionalFormatting sqref="C224:C225">
    <cfRule type="cellIs" dxfId="1" priority="111" operator="equal">
      <formula>"patellar"</formula>
    </cfRule>
  </conditionalFormatting>
  <conditionalFormatting sqref="C224:C225">
    <cfRule type="cellIs" dxfId="2" priority="112" operator="equal">
      <formula>"hamstring"</formula>
    </cfRule>
  </conditionalFormatting>
  <conditionalFormatting sqref="C224:C225">
    <cfRule type="cellIs" dxfId="3" priority="113" operator="equal">
      <formula>"quadriceps"</formula>
    </cfRule>
  </conditionalFormatting>
  <conditionalFormatting sqref="C224:C225">
    <cfRule type="cellIs" dxfId="4" priority="114" operator="equal">
      <formula>"tibialis"</formula>
    </cfRule>
  </conditionalFormatting>
  <conditionalFormatting sqref="A222:G223">
    <cfRule type="expression" dxfId="0" priority="115">
      <formula>#REF!="Excluded"</formula>
    </cfRule>
  </conditionalFormatting>
  <conditionalFormatting sqref="C222:C223">
    <cfRule type="cellIs" dxfId="1" priority="116" operator="equal">
      <formula>"patellar"</formula>
    </cfRule>
  </conditionalFormatting>
  <conditionalFormatting sqref="C222:C223">
    <cfRule type="cellIs" dxfId="2" priority="117" operator="equal">
      <formula>"hamstring"</formula>
    </cfRule>
  </conditionalFormatting>
  <conditionalFormatting sqref="C222:C223">
    <cfRule type="cellIs" dxfId="3" priority="118" operator="equal">
      <formula>"quadriceps"</formula>
    </cfRule>
  </conditionalFormatting>
  <conditionalFormatting sqref="C222:C223">
    <cfRule type="cellIs" dxfId="4" priority="119" operator="equal">
      <formula>"tibialis"</formula>
    </cfRule>
  </conditionalFormatting>
  <conditionalFormatting sqref="A218:G221">
    <cfRule type="expression" dxfId="0" priority="120">
      <formula>#REF!="Excluded"</formula>
    </cfRule>
  </conditionalFormatting>
  <conditionalFormatting sqref="C218:C221">
    <cfRule type="cellIs" dxfId="1" priority="121" operator="equal">
      <formula>"patellar"</formula>
    </cfRule>
  </conditionalFormatting>
  <conditionalFormatting sqref="C218:C221">
    <cfRule type="cellIs" dxfId="2" priority="122" operator="equal">
      <formula>"hamstring"</formula>
    </cfRule>
  </conditionalFormatting>
  <conditionalFormatting sqref="C218:C221">
    <cfRule type="cellIs" dxfId="3" priority="123" operator="equal">
      <formula>"quadriceps"</formula>
    </cfRule>
  </conditionalFormatting>
  <conditionalFormatting sqref="C218:C221">
    <cfRule type="cellIs" dxfId="4" priority="124" operator="equal">
      <formula>"tibialis"</formula>
    </cfRule>
  </conditionalFormatting>
  <conditionalFormatting sqref="A213:G217">
    <cfRule type="expression" dxfId="0" priority="125">
      <formula>#REF!="Excluded"</formula>
    </cfRule>
  </conditionalFormatting>
  <conditionalFormatting sqref="C213:C217">
    <cfRule type="cellIs" dxfId="1" priority="126" operator="equal">
      <formula>"patellar"</formula>
    </cfRule>
  </conditionalFormatting>
  <conditionalFormatting sqref="C213:C217">
    <cfRule type="cellIs" dxfId="2" priority="127" operator="equal">
      <formula>"hamstring"</formula>
    </cfRule>
  </conditionalFormatting>
  <conditionalFormatting sqref="C213:C217">
    <cfRule type="cellIs" dxfId="3" priority="128" operator="equal">
      <formula>"quadriceps"</formula>
    </cfRule>
  </conditionalFormatting>
  <conditionalFormatting sqref="C213:C217">
    <cfRule type="cellIs" dxfId="4" priority="129" operator="equal">
      <formula>"tibialis"</formula>
    </cfRule>
  </conditionalFormatting>
  <conditionalFormatting sqref="A212:G212">
    <cfRule type="expression" dxfId="0" priority="130">
      <formula>#REF!="Excluded"</formula>
    </cfRule>
  </conditionalFormatting>
  <conditionalFormatting sqref="C212">
    <cfRule type="cellIs" dxfId="1" priority="131" operator="equal">
      <formula>"patellar"</formula>
    </cfRule>
  </conditionalFormatting>
  <conditionalFormatting sqref="C212">
    <cfRule type="cellIs" dxfId="2" priority="132" operator="equal">
      <formula>"hamstring"</formula>
    </cfRule>
  </conditionalFormatting>
  <conditionalFormatting sqref="C212">
    <cfRule type="cellIs" dxfId="3" priority="133" operator="equal">
      <formula>"quadriceps"</formula>
    </cfRule>
  </conditionalFormatting>
  <conditionalFormatting sqref="C212">
    <cfRule type="cellIs" dxfId="4" priority="134" operator="equal">
      <formula>"tibialis"</formula>
    </cfRule>
  </conditionalFormatting>
  <conditionalFormatting sqref="A210:G211">
    <cfRule type="expression" dxfId="0" priority="135">
      <formula>#REF!="Excluded"</formula>
    </cfRule>
  </conditionalFormatting>
  <conditionalFormatting sqref="C210:C211">
    <cfRule type="cellIs" dxfId="1" priority="136" operator="equal">
      <formula>"patellar"</formula>
    </cfRule>
  </conditionalFormatting>
  <conditionalFormatting sqref="C210:C211">
    <cfRule type="cellIs" dxfId="2" priority="137" operator="equal">
      <formula>"hamstring"</formula>
    </cfRule>
  </conditionalFormatting>
  <conditionalFormatting sqref="C210:C211">
    <cfRule type="cellIs" dxfId="3" priority="138" operator="equal">
      <formula>"quadriceps"</formula>
    </cfRule>
  </conditionalFormatting>
  <conditionalFormatting sqref="C210:C211">
    <cfRule type="cellIs" dxfId="4" priority="139" operator="equal">
      <formula>"tibialis"</formula>
    </cfRule>
  </conditionalFormatting>
  <conditionalFormatting sqref="A208:G209">
    <cfRule type="expression" dxfId="0" priority="140">
      <formula>#REF!="Excluded"</formula>
    </cfRule>
  </conditionalFormatting>
  <conditionalFormatting sqref="C208:C209">
    <cfRule type="cellIs" dxfId="1" priority="141" operator="equal">
      <formula>"patellar"</formula>
    </cfRule>
  </conditionalFormatting>
  <conditionalFormatting sqref="C208:C209">
    <cfRule type="cellIs" dxfId="2" priority="142" operator="equal">
      <formula>"hamstring"</formula>
    </cfRule>
  </conditionalFormatting>
  <conditionalFormatting sqref="C208:C209">
    <cfRule type="cellIs" dxfId="3" priority="143" operator="equal">
      <formula>"quadriceps"</formula>
    </cfRule>
  </conditionalFormatting>
  <conditionalFormatting sqref="C208:C209">
    <cfRule type="cellIs" dxfId="4" priority="144" operator="equal">
      <formula>"tibialis"</formula>
    </cfRule>
  </conditionalFormatting>
  <conditionalFormatting sqref="A206:G207">
    <cfRule type="expression" dxfId="0" priority="145">
      <formula>#REF!="Excluded"</formula>
    </cfRule>
  </conditionalFormatting>
  <conditionalFormatting sqref="C206:C207">
    <cfRule type="cellIs" dxfId="1" priority="146" operator="equal">
      <formula>"patellar"</formula>
    </cfRule>
  </conditionalFormatting>
  <conditionalFormatting sqref="C206:C207">
    <cfRule type="cellIs" dxfId="2" priority="147" operator="equal">
      <formula>"hamstring"</formula>
    </cfRule>
  </conditionalFormatting>
  <conditionalFormatting sqref="C206:C207">
    <cfRule type="cellIs" dxfId="3" priority="148" operator="equal">
      <formula>"quadriceps"</formula>
    </cfRule>
  </conditionalFormatting>
  <conditionalFormatting sqref="C206:C207">
    <cfRule type="cellIs" dxfId="4" priority="149" operator="equal">
      <formula>"tibialis"</formula>
    </cfRule>
  </conditionalFormatting>
  <conditionalFormatting sqref="A204:G205">
    <cfRule type="expression" dxfId="0" priority="150">
      <formula>#REF!="Excluded"</formula>
    </cfRule>
  </conditionalFormatting>
  <conditionalFormatting sqref="C204:C205">
    <cfRule type="cellIs" dxfId="1" priority="151" operator="equal">
      <formula>"patellar"</formula>
    </cfRule>
  </conditionalFormatting>
  <conditionalFormatting sqref="C204:C205">
    <cfRule type="cellIs" dxfId="2" priority="152" operator="equal">
      <formula>"hamstring"</formula>
    </cfRule>
  </conditionalFormatting>
  <conditionalFormatting sqref="C204:C205">
    <cfRule type="cellIs" dxfId="3" priority="153" operator="equal">
      <formula>"quadriceps"</formula>
    </cfRule>
  </conditionalFormatting>
  <conditionalFormatting sqref="C204:C205">
    <cfRule type="cellIs" dxfId="4" priority="154" operator="equal">
      <formula>"tibialis"</formula>
    </cfRule>
  </conditionalFormatting>
  <conditionalFormatting sqref="A202:G203">
    <cfRule type="expression" dxfId="0" priority="155">
      <formula>#REF!="Excluded"</formula>
    </cfRule>
  </conditionalFormatting>
  <conditionalFormatting sqref="C202:C203">
    <cfRule type="cellIs" dxfId="1" priority="156" operator="equal">
      <formula>"patellar"</formula>
    </cfRule>
  </conditionalFormatting>
  <conditionalFormatting sqref="C202:C203">
    <cfRule type="cellIs" dxfId="2" priority="157" operator="equal">
      <formula>"hamstring"</formula>
    </cfRule>
  </conditionalFormatting>
  <conditionalFormatting sqref="C202:C203">
    <cfRule type="cellIs" dxfId="3" priority="158" operator="equal">
      <formula>"quadriceps"</formula>
    </cfRule>
  </conditionalFormatting>
  <conditionalFormatting sqref="C202:C203">
    <cfRule type="cellIs" dxfId="4" priority="159" operator="equal">
      <formula>"tibialis"</formula>
    </cfRule>
  </conditionalFormatting>
  <conditionalFormatting sqref="A200:G201">
    <cfRule type="expression" dxfId="0" priority="160">
      <formula>#REF!="Excluded"</formula>
    </cfRule>
  </conditionalFormatting>
  <conditionalFormatting sqref="C200:C201">
    <cfRule type="cellIs" dxfId="1" priority="161" operator="equal">
      <formula>"patellar"</formula>
    </cfRule>
  </conditionalFormatting>
  <conditionalFormatting sqref="C200:C201">
    <cfRule type="cellIs" dxfId="2" priority="162" operator="equal">
      <formula>"hamstring"</formula>
    </cfRule>
  </conditionalFormatting>
  <conditionalFormatting sqref="C200:C201">
    <cfRule type="cellIs" dxfId="3" priority="163" operator="equal">
      <formula>"quadriceps"</formula>
    </cfRule>
  </conditionalFormatting>
  <conditionalFormatting sqref="C200:C201">
    <cfRule type="cellIs" dxfId="4" priority="164" operator="equal">
      <formula>"tibialis"</formula>
    </cfRule>
  </conditionalFormatting>
  <conditionalFormatting sqref="A196:G199">
    <cfRule type="expression" dxfId="0" priority="165">
      <formula>#REF!="Excluded"</formula>
    </cfRule>
  </conditionalFormatting>
  <conditionalFormatting sqref="C196:C199">
    <cfRule type="cellIs" dxfId="1" priority="166" operator="equal">
      <formula>"patellar"</formula>
    </cfRule>
  </conditionalFormatting>
  <conditionalFormatting sqref="C196:C199">
    <cfRule type="cellIs" dxfId="2" priority="167" operator="equal">
      <formula>"hamstring"</formula>
    </cfRule>
  </conditionalFormatting>
  <conditionalFormatting sqref="C196:C199">
    <cfRule type="cellIs" dxfId="3" priority="168" operator="equal">
      <formula>"quadriceps"</formula>
    </cfRule>
  </conditionalFormatting>
  <conditionalFormatting sqref="C196:C199">
    <cfRule type="cellIs" dxfId="4" priority="169" operator="equal">
      <formula>"tibialis"</formula>
    </cfRule>
  </conditionalFormatting>
  <conditionalFormatting sqref="A192:G195">
    <cfRule type="expression" dxfId="0" priority="170">
      <formula>#REF!="Excluded"</formula>
    </cfRule>
  </conditionalFormatting>
  <conditionalFormatting sqref="C192:C195">
    <cfRule type="cellIs" dxfId="1" priority="171" operator="equal">
      <formula>"patellar"</formula>
    </cfRule>
  </conditionalFormatting>
  <conditionalFormatting sqref="C192:C195">
    <cfRule type="cellIs" dxfId="2" priority="172" operator="equal">
      <formula>"hamstring"</formula>
    </cfRule>
  </conditionalFormatting>
  <conditionalFormatting sqref="C192:C195">
    <cfRule type="cellIs" dxfId="3" priority="173" operator="equal">
      <formula>"quadriceps"</formula>
    </cfRule>
  </conditionalFormatting>
  <conditionalFormatting sqref="C192:C195">
    <cfRule type="cellIs" dxfId="4" priority="174" operator="equal">
      <formula>"tibialis"</formula>
    </cfRule>
  </conditionalFormatting>
  <conditionalFormatting sqref="A190:G191">
    <cfRule type="expression" dxfId="0" priority="175">
      <formula>#REF!="Excluded"</formula>
    </cfRule>
  </conditionalFormatting>
  <conditionalFormatting sqref="C190:C191">
    <cfRule type="cellIs" dxfId="1" priority="176" operator="equal">
      <formula>"patellar"</formula>
    </cfRule>
  </conditionalFormatting>
  <conditionalFormatting sqref="C190:C191">
    <cfRule type="cellIs" dxfId="2" priority="177" operator="equal">
      <formula>"hamstring"</formula>
    </cfRule>
  </conditionalFormatting>
  <conditionalFormatting sqref="C190:C191">
    <cfRule type="cellIs" dxfId="3" priority="178" operator="equal">
      <formula>"quadriceps"</formula>
    </cfRule>
  </conditionalFormatting>
  <conditionalFormatting sqref="C190:C191">
    <cfRule type="cellIs" dxfId="4" priority="179" operator="equal">
      <formula>"tibialis"</formula>
    </cfRule>
  </conditionalFormatting>
  <conditionalFormatting sqref="A186:G189">
    <cfRule type="expression" dxfId="0" priority="180">
      <formula>#REF!="Excluded"</formula>
    </cfRule>
  </conditionalFormatting>
  <conditionalFormatting sqref="C186:C189">
    <cfRule type="cellIs" dxfId="1" priority="181" operator="equal">
      <formula>"patellar"</formula>
    </cfRule>
  </conditionalFormatting>
  <conditionalFormatting sqref="C186:C189">
    <cfRule type="cellIs" dxfId="2" priority="182" operator="equal">
      <formula>"hamstring"</formula>
    </cfRule>
  </conditionalFormatting>
  <conditionalFormatting sqref="C186:C189">
    <cfRule type="cellIs" dxfId="3" priority="183" operator="equal">
      <formula>"quadriceps"</formula>
    </cfRule>
  </conditionalFormatting>
  <conditionalFormatting sqref="C186:C189">
    <cfRule type="cellIs" dxfId="4" priority="184" operator="equal">
      <formula>"tibialis"</formula>
    </cfRule>
  </conditionalFormatting>
  <conditionalFormatting sqref="A183:G185">
    <cfRule type="expression" dxfId="0" priority="185">
      <formula>#REF!="Excluded"</formula>
    </cfRule>
  </conditionalFormatting>
  <conditionalFormatting sqref="C183:C185">
    <cfRule type="cellIs" dxfId="1" priority="186" operator="equal">
      <formula>"patellar"</formula>
    </cfRule>
  </conditionalFormatting>
  <conditionalFormatting sqref="C183:C185">
    <cfRule type="cellIs" dxfId="2" priority="187" operator="equal">
      <formula>"hamstring"</formula>
    </cfRule>
  </conditionalFormatting>
  <conditionalFormatting sqref="C183:C185">
    <cfRule type="cellIs" dxfId="3" priority="188" operator="equal">
      <formula>"quadriceps"</formula>
    </cfRule>
  </conditionalFormatting>
  <conditionalFormatting sqref="C183:C185">
    <cfRule type="cellIs" dxfId="4" priority="189" operator="equal">
      <formula>"tibialis"</formula>
    </cfRule>
  </conditionalFormatting>
  <conditionalFormatting sqref="A180:G182">
    <cfRule type="expression" dxfId="0" priority="190">
      <formula>#REF!="Excluded"</formula>
    </cfRule>
  </conditionalFormatting>
  <conditionalFormatting sqref="C180:C182">
    <cfRule type="cellIs" dxfId="1" priority="191" operator="equal">
      <formula>"patellar"</formula>
    </cfRule>
  </conditionalFormatting>
  <conditionalFormatting sqref="C180:C182">
    <cfRule type="cellIs" dxfId="2" priority="192" operator="equal">
      <formula>"hamstring"</formula>
    </cfRule>
  </conditionalFormatting>
  <conditionalFormatting sqref="C180:C182">
    <cfRule type="cellIs" dxfId="3" priority="193" operator="equal">
      <formula>"quadriceps"</formula>
    </cfRule>
  </conditionalFormatting>
  <conditionalFormatting sqref="C180:C182">
    <cfRule type="cellIs" dxfId="4" priority="194" operator="equal">
      <formula>"tibialis"</formula>
    </cfRule>
  </conditionalFormatting>
  <conditionalFormatting sqref="A179:G179">
    <cfRule type="expression" dxfId="0" priority="195">
      <formula>#REF!="Excluded"</formula>
    </cfRule>
  </conditionalFormatting>
  <conditionalFormatting sqref="C179">
    <cfRule type="cellIs" dxfId="1" priority="196" operator="equal">
      <formula>"patellar"</formula>
    </cfRule>
  </conditionalFormatting>
  <conditionalFormatting sqref="C179">
    <cfRule type="cellIs" dxfId="2" priority="197" operator="equal">
      <formula>"hamstring"</formula>
    </cfRule>
  </conditionalFormatting>
  <conditionalFormatting sqref="C179">
    <cfRule type="cellIs" dxfId="3" priority="198" operator="equal">
      <formula>"quadriceps"</formula>
    </cfRule>
  </conditionalFormatting>
  <conditionalFormatting sqref="C179">
    <cfRule type="cellIs" dxfId="4" priority="199" operator="equal">
      <formula>"tibialis"</formula>
    </cfRule>
  </conditionalFormatting>
  <conditionalFormatting sqref="A178:G178">
    <cfRule type="expression" dxfId="0" priority="200">
      <formula>#REF!="Excluded"</formula>
    </cfRule>
  </conditionalFormatting>
  <conditionalFormatting sqref="C178">
    <cfRule type="cellIs" dxfId="1" priority="201" operator="equal">
      <formula>"patellar"</formula>
    </cfRule>
  </conditionalFormatting>
  <conditionalFormatting sqref="C178">
    <cfRule type="cellIs" dxfId="2" priority="202" operator="equal">
      <formula>"hamstring"</formula>
    </cfRule>
  </conditionalFormatting>
  <conditionalFormatting sqref="C178">
    <cfRule type="cellIs" dxfId="3" priority="203" operator="equal">
      <formula>"quadriceps"</formula>
    </cfRule>
  </conditionalFormatting>
  <conditionalFormatting sqref="C178">
    <cfRule type="cellIs" dxfId="4" priority="204" operator="equal">
      <formula>"tibialis"</formula>
    </cfRule>
  </conditionalFormatting>
  <conditionalFormatting sqref="A174:G177">
    <cfRule type="expression" dxfId="0" priority="205">
      <formula>#REF!="Excluded"</formula>
    </cfRule>
  </conditionalFormatting>
  <conditionalFormatting sqref="C174:C177">
    <cfRule type="cellIs" dxfId="1" priority="206" operator="equal">
      <formula>"patellar"</formula>
    </cfRule>
  </conditionalFormatting>
  <conditionalFormatting sqref="C174:C177">
    <cfRule type="cellIs" dxfId="2" priority="207" operator="equal">
      <formula>"hamstring"</formula>
    </cfRule>
  </conditionalFormatting>
  <conditionalFormatting sqref="C174:C177">
    <cfRule type="cellIs" dxfId="3" priority="208" operator="equal">
      <formula>"quadriceps"</formula>
    </cfRule>
  </conditionalFormatting>
  <conditionalFormatting sqref="C174:C177">
    <cfRule type="cellIs" dxfId="4" priority="209" operator="equal">
      <formula>"tibialis"</formula>
    </cfRule>
  </conditionalFormatting>
  <conditionalFormatting sqref="A172:G173">
    <cfRule type="expression" dxfId="0" priority="210">
      <formula>#REF!="Excluded"</formula>
    </cfRule>
  </conditionalFormatting>
  <conditionalFormatting sqref="C172:C173">
    <cfRule type="cellIs" dxfId="1" priority="211" operator="equal">
      <formula>"patellar"</formula>
    </cfRule>
  </conditionalFormatting>
  <conditionalFormatting sqref="C172:C173">
    <cfRule type="cellIs" dxfId="2" priority="212" operator="equal">
      <formula>"hamstring"</formula>
    </cfRule>
  </conditionalFormatting>
  <conditionalFormatting sqref="C172:C173">
    <cfRule type="cellIs" dxfId="3" priority="213" operator="equal">
      <formula>"quadriceps"</formula>
    </cfRule>
  </conditionalFormatting>
  <conditionalFormatting sqref="C172:C173">
    <cfRule type="cellIs" dxfId="4" priority="214" operator="equal">
      <formula>"tibialis"</formula>
    </cfRule>
  </conditionalFormatting>
  <conditionalFormatting sqref="A170:G171">
    <cfRule type="expression" dxfId="0" priority="215">
      <formula>#REF!="Excluded"</formula>
    </cfRule>
  </conditionalFormatting>
  <conditionalFormatting sqref="C170:C171">
    <cfRule type="cellIs" dxfId="1" priority="216" operator="equal">
      <formula>"patellar"</formula>
    </cfRule>
  </conditionalFormatting>
  <conditionalFormatting sqref="C170:C171">
    <cfRule type="cellIs" dxfId="2" priority="217" operator="equal">
      <formula>"hamstring"</formula>
    </cfRule>
  </conditionalFormatting>
  <conditionalFormatting sqref="C170:C171">
    <cfRule type="cellIs" dxfId="3" priority="218" operator="equal">
      <formula>"quadriceps"</formula>
    </cfRule>
  </conditionalFormatting>
  <conditionalFormatting sqref="C170:C171">
    <cfRule type="cellIs" dxfId="4" priority="219" operator="equal">
      <formula>"tibialis"</formula>
    </cfRule>
  </conditionalFormatting>
  <conditionalFormatting sqref="A169:G169">
    <cfRule type="expression" dxfId="0" priority="220">
      <formula>#REF!="Excluded"</formula>
    </cfRule>
  </conditionalFormatting>
  <conditionalFormatting sqref="C169">
    <cfRule type="cellIs" dxfId="1" priority="221" operator="equal">
      <formula>"patellar"</formula>
    </cfRule>
  </conditionalFormatting>
  <conditionalFormatting sqref="C169">
    <cfRule type="cellIs" dxfId="2" priority="222" operator="equal">
      <formula>"hamstring"</formula>
    </cfRule>
  </conditionalFormatting>
  <conditionalFormatting sqref="C169">
    <cfRule type="cellIs" dxfId="3" priority="223" operator="equal">
      <formula>"quadriceps"</formula>
    </cfRule>
  </conditionalFormatting>
  <conditionalFormatting sqref="C169">
    <cfRule type="cellIs" dxfId="4" priority="224" operator="equal">
      <formula>"tibialis"</formula>
    </cfRule>
  </conditionalFormatting>
  <conditionalFormatting sqref="A168:G168">
    <cfRule type="expression" dxfId="0" priority="225">
      <formula>#REF!="Excluded"</formula>
    </cfRule>
  </conditionalFormatting>
  <conditionalFormatting sqref="C168">
    <cfRule type="cellIs" dxfId="1" priority="226" operator="equal">
      <formula>"patellar"</formula>
    </cfRule>
  </conditionalFormatting>
  <conditionalFormatting sqref="C168">
    <cfRule type="cellIs" dxfId="2" priority="227" operator="equal">
      <formula>"hamstring"</formula>
    </cfRule>
  </conditionalFormatting>
  <conditionalFormatting sqref="C168">
    <cfRule type="cellIs" dxfId="3" priority="228" operator="equal">
      <formula>"quadriceps"</formula>
    </cfRule>
  </conditionalFormatting>
  <conditionalFormatting sqref="C168">
    <cfRule type="cellIs" dxfId="4" priority="229" operator="equal">
      <formula>"tibialis"</formula>
    </cfRule>
  </conditionalFormatting>
  <conditionalFormatting sqref="A167:G167">
    <cfRule type="expression" dxfId="0" priority="230">
      <formula>#REF!="Excluded"</formula>
    </cfRule>
  </conditionalFormatting>
  <conditionalFormatting sqref="C167">
    <cfRule type="cellIs" dxfId="1" priority="231" operator="equal">
      <formula>"patellar"</formula>
    </cfRule>
  </conditionalFormatting>
  <conditionalFormatting sqref="C167">
    <cfRule type="cellIs" dxfId="2" priority="232" operator="equal">
      <formula>"hamstring"</formula>
    </cfRule>
  </conditionalFormatting>
  <conditionalFormatting sqref="C167">
    <cfRule type="cellIs" dxfId="3" priority="233" operator="equal">
      <formula>"quadriceps"</formula>
    </cfRule>
  </conditionalFormatting>
  <conditionalFormatting sqref="C167">
    <cfRule type="cellIs" dxfId="4" priority="234" operator="equal">
      <formula>"tibialis"</formula>
    </cfRule>
  </conditionalFormatting>
  <conditionalFormatting sqref="A166:G166">
    <cfRule type="expression" dxfId="0" priority="235">
      <formula>#REF!="Excluded"</formula>
    </cfRule>
  </conditionalFormatting>
  <conditionalFormatting sqref="C166">
    <cfRule type="cellIs" dxfId="1" priority="236" operator="equal">
      <formula>"patellar"</formula>
    </cfRule>
  </conditionalFormatting>
  <conditionalFormatting sqref="C166">
    <cfRule type="cellIs" dxfId="2" priority="237" operator="equal">
      <formula>"hamstring"</formula>
    </cfRule>
  </conditionalFormatting>
  <conditionalFormatting sqref="C166">
    <cfRule type="cellIs" dxfId="3" priority="238" operator="equal">
      <formula>"quadriceps"</formula>
    </cfRule>
  </conditionalFormatting>
  <conditionalFormatting sqref="C166">
    <cfRule type="cellIs" dxfId="4" priority="239" operator="equal">
      <formula>"tibialis"</formula>
    </cfRule>
  </conditionalFormatting>
  <conditionalFormatting sqref="A161:G165">
    <cfRule type="expression" dxfId="0" priority="240">
      <formula>#REF!="Excluded"</formula>
    </cfRule>
  </conditionalFormatting>
  <conditionalFormatting sqref="C161:C165">
    <cfRule type="cellIs" dxfId="1" priority="241" operator="equal">
      <formula>"patellar"</formula>
    </cfRule>
  </conditionalFormatting>
  <conditionalFormatting sqref="C161:C165">
    <cfRule type="cellIs" dxfId="2" priority="242" operator="equal">
      <formula>"hamstring"</formula>
    </cfRule>
  </conditionalFormatting>
  <conditionalFormatting sqref="C161:C165">
    <cfRule type="cellIs" dxfId="3" priority="243" operator="equal">
      <formula>"quadriceps"</formula>
    </cfRule>
  </conditionalFormatting>
  <conditionalFormatting sqref="C161:C165">
    <cfRule type="cellIs" dxfId="4" priority="244" operator="equal">
      <formula>"tibialis"</formula>
    </cfRule>
  </conditionalFormatting>
  <conditionalFormatting sqref="A157:G160">
    <cfRule type="expression" dxfId="0" priority="245">
      <formula>#REF!="Excluded"</formula>
    </cfRule>
  </conditionalFormatting>
  <conditionalFormatting sqref="C157:C160">
    <cfRule type="cellIs" dxfId="1" priority="246" operator="equal">
      <formula>"patellar"</formula>
    </cfRule>
  </conditionalFormatting>
  <conditionalFormatting sqref="C157:C160">
    <cfRule type="cellIs" dxfId="2" priority="247" operator="equal">
      <formula>"hamstring"</formula>
    </cfRule>
  </conditionalFormatting>
  <conditionalFormatting sqref="C157:C160">
    <cfRule type="cellIs" dxfId="3" priority="248" operator="equal">
      <formula>"quadriceps"</formula>
    </cfRule>
  </conditionalFormatting>
  <conditionalFormatting sqref="C157:C160">
    <cfRule type="cellIs" dxfId="4" priority="249" operator="equal">
      <formula>"tibialis"</formula>
    </cfRule>
  </conditionalFormatting>
  <conditionalFormatting sqref="A154:G156">
    <cfRule type="expression" dxfId="0" priority="250">
      <formula>#REF!="Excluded"</formula>
    </cfRule>
  </conditionalFormatting>
  <conditionalFormatting sqref="C154:C156">
    <cfRule type="cellIs" dxfId="1" priority="251" operator="equal">
      <formula>"patellar"</formula>
    </cfRule>
  </conditionalFormatting>
  <conditionalFormatting sqref="C154:C156">
    <cfRule type="cellIs" dxfId="2" priority="252" operator="equal">
      <formula>"hamstring"</formula>
    </cfRule>
  </conditionalFormatting>
  <conditionalFormatting sqref="C154:C156">
    <cfRule type="cellIs" dxfId="3" priority="253" operator="equal">
      <formula>"quadriceps"</formula>
    </cfRule>
  </conditionalFormatting>
  <conditionalFormatting sqref="C154:C156">
    <cfRule type="cellIs" dxfId="4" priority="254" operator="equal">
      <formula>"tibialis"</formula>
    </cfRule>
  </conditionalFormatting>
  <conditionalFormatting sqref="A153:G153">
    <cfRule type="expression" dxfId="0" priority="255">
      <formula>#REF!="Excluded"</formula>
    </cfRule>
  </conditionalFormatting>
  <conditionalFormatting sqref="C153">
    <cfRule type="cellIs" dxfId="1" priority="256" operator="equal">
      <formula>"patellar"</formula>
    </cfRule>
  </conditionalFormatting>
  <conditionalFormatting sqref="C153">
    <cfRule type="cellIs" dxfId="2" priority="257" operator="equal">
      <formula>"hamstring"</formula>
    </cfRule>
  </conditionalFormatting>
  <conditionalFormatting sqref="C153">
    <cfRule type="cellIs" dxfId="3" priority="258" operator="equal">
      <formula>"quadriceps"</formula>
    </cfRule>
  </conditionalFormatting>
  <conditionalFormatting sqref="C153">
    <cfRule type="cellIs" dxfId="4" priority="259" operator="equal">
      <formula>"tibialis"</formula>
    </cfRule>
  </conditionalFormatting>
  <conditionalFormatting sqref="A151:G152">
    <cfRule type="expression" dxfId="0" priority="260">
      <formula>#REF!="Excluded"</formula>
    </cfRule>
  </conditionalFormatting>
  <conditionalFormatting sqref="C151:C152">
    <cfRule type="cellIs" dxfId="1" priority="261" operator="equal">
      <formula>"patellar"</formula>
    </cfRule>
  </conditionalFormatting>
  <conditionalFormatting sqref="C151:C152">
    <cfRule type="cellIs" dxfId="2" priority="262" operator="equal">
      <formula>"hamstring"</formula>
    </cfRule>
  </conditionalFormatting>
  <conditionalFormatting sqref="C151:C152">
    <cfRule type="cellIs" dxfId="3" priority="263" operator="equal">
      <formula>"quadriceps"</formula>
    </cfRule>
  </conditionalFormatting>
  <conditionalFormatting sqref="C151:C152">
    <cfRule type="cellIs" dxfId="4" priority="264" operator="equal">
      <formula>"tibialis"</formula>
    </cfRule>
  </conditionalFormatting>
  <conditionalFormatting sqref="A150:G150">
    <cfRule type="expression" dxfId="0" priority="265">
      <formula>#REF!="Excluded"</formula>
    </cfRule>
  </conditionalFormatting>
  <conditionalFormatting sqref="C150">
    <cfRule type="cellIs" dxfId="1" priority="266" operator="equal">
      <formula>"patellar"</formula>
    </cfRule>
  </conditionalFormatting>
  <conditionalFormatting sqref="C150">
    <cfRule type="cellIs" dxfId="2" priority="267" operator="equal">
      <formula>"hamstring"</formula>
    </cfRule>
  </conditionalFormatting>
  <conditionalFormatting sqref="C150">
    <cfRule type="cellIs" dxfId="3" priority="268" operator="equal">
      <formula>"quadriceps"</formula>
    </cfRule>
  </conditionalFormatting>
  <conditionalFormatting sqref="C150">
    <cfRule type="cellIs" dxfId="4" priority="269" operator="equal">
      <formula>"tibialis"</formula>
    </cfRule>
  </conditionalFormatting>
  <conditionalFormatting sqref="A147:G149">
    <cfRule type="expression" dxfId="0" priority="270">
      <formula>#REF!="Excluded"</formula>
    </cfRule>
  </conditionalFormatting>
  <conditionalFormatting sqref="C147:C149">
    <cfRule type="cellIs" dxfId="1" priority="271" operator="equal">
      <formula>"patellar"</formula>
    </cfRule>
  </conditionalFormatting>
  <conditionalFormatting sqref="C147:C149">
    <cfRule type="cellIs" dxfId="2" priority="272" operator="equal">
      <formula>"hamstring"</formula>
    </cfRule>
  </conditionalFormatting>
  <conditionalFormatting sqref="C147:C149">
    <cfRule type="cellIs" dxfId="3" priority="273" operator="equal">
      <formula>"quadriceps"</formula>
    </cfRule>
  </conditionalFormatting>
  <conditionalFormatting sqref="C147:C149">
    <cfRule type="cellIs" dxfId="4" priority="274" operator="equal">
      <formula>"tibialis"</formula>
    </cfRule>
  </conditionalFormatting>
  <conditionalFormatting sqref="A144:G146">
    <cfRule type="expression" dxfId="0" priority="275">
      <formula>#REF!="Excluded"</formula>
    </cfRule>
  </conditionalFormatting>
  <conditionalFormatting sqref="C144:C146">
    <cfRule type="cellIs" dxfId="1" priority="276" operator="equal">
      <formula>"patellar"</formula>
    </cfRule>
  </conditionalFormatting>
  <conditionalFormatting sqref="C144:C146">
    <cfRule type="cellIs" dxfId="2" priority="277" operator="equal">
      <formula>"hamstring"</formula>
    </cfRule>
  </conditionalFormatting>
  <conditionalFormatting sqref="C144:C146">
    <cfRule type="cellIs" dxfId="3" priority="278" operator="equal">
      <formula>"quadriceps"</formula>
    </cfRule>
  </conditionalFormatting>
  <conditionalFormatting sqref="C144:C146">
    <cfRule type="cellIs" dxfId="4" priority="279" operator="equal">
      <formula>"tibialis"</formula>
    </cfRule>
  </conditionalFormatting>
  <conditionalFormatting sqref="A140:G143">
    <cfRule type="expression" dxfId="0" priority="280">
      <formula>#REF!="Excluded"</formula>
    </cfRule>
  </conditionalFormatting>
  <conditionalFormatting sqref="C140:C143">
    <cfRule type="cellIs" dxfId="1" priority="281" operator="equal">
      <formula>"patellar"</formula>
    </cfRule>
  </conditionalFormatting>
  <conditionalFormatting sqref="C140:C143">
    <cfRule type="cellIs" dxfId="2" priority="282" operator="equal">
      <formula>"hamstring"</formula>
    </cfRule>
  </conditionalFormatting>
  <conditionalFormatting sqref="C140:C143">
    <cfRule type="cellIs" dxfId="3" priority="283" operator="equal">
      <formula>"quadriceps"</formula>
    </cfRule>
  </conditionalFormatting>
  <conditionalFormatting sqref="C140:C143">
    <cfRule type="cellIs" dxfId="4" priority="284" operator="equal">
      <formula>"tibialis"</formula>
    </cfRule>
  </conditionalFormatting>
  <conditionalFormatting sqref="A136:G139">
    <cfRule type="expression" dxfId="0" priority="285">
      <formula>#REF!="Excluded"</formula>
    </cfRule>
  </conditionalFormatting>
  <conditionalFormatting sqref="C136:C139">
    <cfRule type="cellIs" dxfId="1" priority="286" operator="equal">
      <formula>"patellar"</formula>
    </cfRule>
  </conditionalFormatting>
  <conditionalFormatting sqref="C136:C139">
    <cfRule type="cellIs" dxfId="2" priority="287" operator="equal">
      <formula>"hamstring"</formula>
    </cfRule>
  </conditionalFormatting>
  <conditionalFormatting sqref="C136:C139">
    <cfRule type="cellIs" dxfId="3" priority="288" operator="equal">
      <formula>"quadriceps"</formula>
    </cfRule>
  </conditionalFormatting>
  <conditionalFormatting sqref="C136:C139">
    <cfRule type="cellIs" dxfId="4" priority="289" operator="equal">
      <formula>"tibialis"</formula>
    </cfRule>
  </conditionalFormatting>
  <conditionalFormatting sqref="A133:G135">
    <cfRule type="expression" dxfId="0" priority="290">
      <formula>#REF!="Excluded"</formula>
    </cfRule>
  </conditionalFormatting>
  <conditionalFormatting sqref="C133:C135">
    <cfRule type="cellIs" dxfId="1" priority="291" operator="equal">
      <formula>"patellar"</formula>
    </cfRule>
  </conditionalFormatting>
  <conditionalFormatting sqref="C133:C135">
    <cfRule type="cellIs" dxfId="2" priority="292" operator="equal">
      <formula>"hamstring"</formula>
    </cfRule>
  </conditionalFormatting>
  <conditionalFormatting sqref="C133:C135">
    <cfRule type="cellIs" dxfId="3" priority="293" operator="equal">
      <formula>"quadriceps"</formula>
    </cfRule>
  </conditionalFormatting>
  <conditionalFormatting sqref="C133:C135">
    <cfRule type="cellIs" dxfId="4" priority="294" operator="equal">
      <formula>"tibialis"</formula>
    </cfRule>
  </conditionalFormatting>
  <conditionalFormatting sqref="A130:G132">
    <cfRule type="expression" dxfId="0" priority="295">
      <formula>#REF!="Excluded"</formula>
    </cfRule>
  </conditionalFormatting>
  <conditionalFormatting sqref="C130:C132">
    <cfRule type="cellIs" dxfId="1" priority="296" operator="equal">
      <formula>"patellar"</formula>
    </cfRule>
  </conditionalFormatting>
  <conditionalFormatting sqref="C130:C132">
    <cfRule type="cellIs" dxfId="2" priority="297" operator="equal">
      <formula>"hamstring"</formula>
    </cfRule>
  </conditionalFormatting>
  <conditionalFormatting sqref="C130:C132">
    <cfRule type="cellIs" dxfId="3" priority="298" operator="equal">
      <formula>"quadriceps"</formula>
    </cfRule>
  </conditionalFormatting>
  <conditionalFormatting sqref="C130:C132">
    <cfRule type="cellIs" dxfId="4" priority="299" operator="equal">
      <formula>"tibialis"</formula>
    </cfRule>
  </conditionalFormatting>
  <conditionalFormatting sqref="A127:G129">
    <cfRule type="expression" dxfId="0" priority="300">
      <formula>#REF!="Excluded"</formula>
    </cfRule>
  </conditionalFormatting>
  <conditionalFormatting sqref="C127:C129">
    <cfRule type="cellIs" dxfId="1" priority="301" operator="equal">
      <formula>"patellar"</formula>
    </cfRule>
  </conditionalFormatting>
  <conditionalFormatting sqref="C127:C129">
    <cfRule type="cellIs" dxfId="2" priority="302" operator="equal">
      <formula>"hamstring"</formula>
    </cfRule>
  </conditionalFormatting>
  <conditionalFormatting sqref="C127:C129">
    <cfRule type="cellIs" dxfId="3" priority="303" operator="equal">
      <formula>"quadriceps"</formula>
    </cfRule>
  </conditionalFormatting>
  <conditionalFormatting sqref="C127:C129">
    <cfRule type="cellIs" dxfId="4" priority="304" operator="equal">
      <formula>"tibialis"</formula>
    </cfRule>
  </conditionalFormatting>
  <conditionalFormatting sqref="A124:G126">
    <cfRule type="expression" dxfId="0" priority="305">
      <formula>#REF!="Excluded"</formula>
    </cfRule>
  </conditionalFormatting>
  <conditionalFormatting sqref="C124:C126">
    <cfRule type="cellIs" dxfId="1" priority="306" operator="equal">
      <formula>"patellar"</formula>
    </cfRule>
  </conditionalFormatting>
  <conditionalFormatting sqref="C124:C126">
    <cfRule type="cellIs" dxfId="2" priority="307" operator="equal">
      <formula>"hamstring"</formula>
    </cfRule>
  </conditionalFormatting>
  <conditionalFormatting sqref="C124:C126">
    <cfRule type="cellIs" dxfId="3" priority="308" operator="equal">
      <formula>"quadriceps"</formula>
    </cfRule>
  </conditionalFormatting>
  <conditionalFormatting sqref="C124:C126">
    <cfRule type="cellIs" dxfId="4" priority="309" operator="equal">
      <formula>"tibialis"</formula>
    </cfRule>
  </conditionalFormatting>
  <conditionalFormatting sqref="A121:G123">
    <cfRule type="expression" dxfId="0" priority="310">
      <formula>#REF!="Excluded"</formula>
    </cfRule>
  </conditionalFormatting>
  <conditionalFormatting sqref="C121:C123">
    <cfRule type="cellIs" dxfId="1" priority="311" operator="equal">
      <formula>"patellar"</formula>
    </cfRule>
  </conditionalFormatting>
  <conditionalFormatting sqref="C121:C123">
    <cfRule type="cellIs" dxfId="2" priority="312" operator="equal">
      <formula>"hamstring"</formula>
    </cfRule>
  </conditionalFormatting>
  <conditionalFormatting sqref="C121:C123">
    <cfRule type="cellIs" dxfId="3" priority="313" operator="equal">
      <formula>"quadriceps"</formula>
    </cfRule>
  </conditionalFormatting>
  <conditionalFormatting sqref="C121:C123">
    <cfRule type="cellIs" dxfId="4" priority="314" operator="equal">
      <formula>"tibialis"</formula>
    </cfRule>
  </conditionalFormatting>
  <conditionalFormatting sqref="A117:G120">
    <cfRule type="expression" dxfId="0" priority="315">
      <formula>#REF!="Excluded"</formula>
    </cfRule>
  </conditionalFormatting>
  <conditionalFormatting sqref="C117:C120">
    <cfRule type="cellIs" dxfId="1" priority="316" operator="equal">
      <formula>"patellar"</formula>
    </cfRule>
  </conditionalFormatting>
  <conditionalFormatting sqref="C117:C120">
    <cfRule type="cellIs" dxfId="2" priority="317" operator="equal">
      <formula>"hamstring"</formula>
    </cfRule>
  </conditionalFormatting>
  <conditionalFormatting sqref="C117:C120">
    <cfRule type="cellIs" dxfId="3" priority="318" operator="equal">
      <formula>"quadriceps"</formula>
    </cfRule>
  </conditionalFormatting>
  <conditionalFormatting sqref="C117:C120">
    <cfRule type="cellIs" dxfId="4" priority="319" operator="equal">
      <formula>"tibialis"</formula>
    </cfRule>
  </conditionalFormatting>
  <conditionalFormatting sqref="A116:G116">
    <cfRule type="expression" dxfId="0" priority="320">
      <formula>#REF!="Excluded"</formula>
    </cfRule>
  </conditionalFormatting>
  <conditionalFormatting sqref="C116">
    <cfRule type="cellIs" dxfId="1" priority="321" operator="equal">
      <formula>"patellar"</formula>
    </cfRule>
  </conditionalFormatting>
  <conditionalFormatting sqref="C116">
    <cfRule type="cellIs" dxfId="2" priority="322" operator="equal">
      <formula>"hamstring"</formula>
    </cfRule>
  </conditionalFormatting>
  <conditionalFormatting sqref="C116">
    <cfRule type="cellIs" dxfId="3" priority="323" operator="equal">
      <formula>"quadriceps"</formula>
    </cfRule>
  </conditionalFormatting>
  <conditionalFormatting sqref="C116">
    <cfRule type="cellIs" dxfId="4" priority="324" operator="equal">
      <formula>"tibialis"</formula>
    </cfRule>
  </conditionalFormatting>
  <conditionalFormatting sqref="A113:G115">
    <cfRule type="expression" dxfId="0" priority="325">
      <formula>#REF!="Excluded"</formula>
    </cfRule>
  </conditionalFormatting>
  <conditionalFormatting sqref="C113:C115">
    <cfRule type="cellIs" dxfId="1" priority="326" operator="equal">
      <formula>"patellar"</formula>
    </cfRule>
  </conditionalFormatting>
  <conditionalFormatting sqref="C113:C115">
    <cfRule type="cellIs" dxfId="2" priority="327" operator="equal">
      <formula>"hamstring"</formula>
    </cfRule>
  </conditionalFormatting>
  <conditionalFormatting sqref="C113:C115">
    <cfRule type="cellIs" dxfId="3" priority="328" operator="equal">
      <formula>"quadriceps"</formula>
    </cfRule>
  </conditionalFormatting>
  <conditionalFormatting sqref="C113:C115">
    <cfRule type="cellIs" dxfId="4" priority="329" operator="equal">
      <formula>"tibialis"</formula>
    </cfRule>
  </conditionalFormatting>
  <conditionalFormatting sqref="A110:G112">
    <cfRule type="expression" dxfId="0" priority="330">
      <formula>#REF!="Excluded"</formula>
    </cfRule>
  </conditionalFormatting>
  <conditionalFormatting sqref="C110:C112">
    <cfRule type="cellIs" dxfId="1" priority="331" operator="equal">
      <formula>"patellar"</formula>
    </cfRule>
  </conditionalFormatting>
  <conditionalFormatting sqref="C110:C112">
    <cfRule type="cellIs" dxfId="2" priority="332" operator="equal">
      <formula>"hamstring"</formula>
    </cfRule>
  </conditionalFormatting>
  <conditionalFormatting sqref="C110:C112">
    <cfRule type="cellIs" dxfId="3" priority="333" operator="equal">
      <formula>"quadriceps"</formula>
    </cfRule>
  </conditionalFormatting>
  <conditionalFormatting sqref="C110:C112">
    <cfRule type="cellIs" dxfId="4" priority="334" operator="equal">
      <formula>"tibialis"</formula>
    </cfRule>
  </conditionalFormatting>
  <conditionalFormatting sqref="A109:G109">
    <cfRule type="expression" dxfId="0" priority="335">
      <formula>#REF!="Excluded"</formula>
    </cfRule>
  </conditionalFormatting>
  <conditionalFormatting sqref="C109">
    <cfRule type="cellIs" dxfId="1" priority="336" operator="equal">
      <formula>"patellar"</formula>
    </cfRule>
  </conditionalFormatting>
  <conditionalFormatting sqref="C109">
    <cfRule type="cellIs" dxfId="2" priority="337" operator="equal">
      <formula>"hamstring"</formula>
    </cfRule>
  </conditionalFormatting>
  <conditionalFormatting sqref="C109">
    <cfRule type="cellIs" dxfId="3" priority="338" operator="equal">
      <formula>"quadriceps"</formula>
    </cfRule>
  </conditionalFormatting>
  <conditionalFormatting sqref="C109">
    <cfRule type="cellIs" dxfId="4" priority="339" operator="equal">
      <formula>"tibialis"</formula>
    </cfRule>
  </conditionalFormatting>
  <conditionalFormatting sqref="A106:G108">
    <cfRule type="expression" dxfId="0" priority="340">
      <formula>#REF!="Excluded"</formula>
    </cfRule>
  </conditionalFormatting>
  <conditionalFormatting sqref="C106:C108">
    <cfRule type="cellIs" dxfId="1" priority="341" operator="equal">
      <formula>"patellar"</formula>
    </cfRule>
  </conditionalFormatting>
  <conditionalFormatting sqref="C106:C108">
    <cfRule type="cellIs" dxfId="2" priority="342" operator="equal">
      <formula>"hamstring"</formula>
    </cfRule>
  </conditionalFormatting>
  <conditionalFormatting sqref="C106:C108">
    <cfRule type="cellIs" dxfId="3" priority="343" operator="equal">
      <formula>"quadriceps"</formula>
    </cfRule>
  </conditionalFormatting>
  <conditionalFormatting sqref="C106:C108">
    <cfRule type="cellIs" dxfId="4" priority="344" operator="equal">
      <formula>"tibialis"</formula>
    </cfRule>
  </conditionalFormatting>
  <conditionalFormatting sqref="A103:G105">
    <cfRule type="expression" dxfId="0" priority="345">
      <formula>#REF!="Excluded"</formula>
    </cfRule>
  </conditionalFormatting>
  <conditionalFormatting sqref="C103:C105">
    <cfRule type="cellIs" dxfId="1" priority="346" operator="equal">
      <formula>"patellar"</formula>
    </cfRule>
  </conditionalFormatting>
  <conditionalFormatting sqref="C103:C105">
    <cfRule type="cellIs" dxfId="2" priority="347" operator="equal">
      <formula>"hamstring"</formula>
    </cfRule>
  </conditionalFormatting>
  <conditionalFormatting sqref="C103:C105">
    <cfRule type="cellIs" dxfId="3" priority="348" operator="equal">
      <formula>"quadriceps"</formula>
    </cfRule>
  </conditionalFormatting>
  <conditionalFormatting sqref="C103:C105">
    <cfRule type="cellIs" dxfId="4" priority="349" operator="equal">
      <formula>"tibialis"</formula>
    </cfRule>
  </conditionalFormatting>
  <conditionalFormatting sqref="A98:G102">
    <cfRule type="expression" dxfId="0" priority="350">
      <formula>#REF!="Excluded"</formula>
    </cfRule>
  </conditionalFormatting>
  <conditionalFormatting sqref="C98:C102">
    <cfRule type="cellIs" dxfId="1" priority="351" operator="equal">
      <formula>"patellar"</formula>
    </cfRule>
  </conditionalFormatting>
  <conditionalFormatting sqref="C98:C102">
    <cfRule type="cellIs" dxfId="2" priority="352" operator="equal">
      <formula>"hamstring"</formula>
    </cfRule>
  </conditionalFormatting>
  <conditionalFormatting sqref="C98:C102">
    <cfRule type="cellIs" dxfId="3" priority="353" operator="equal">
      <formula>"quadriceps"</formula>
    </cfRule>
  </conditionalFormatting>
  <conditionalFormatting sqref="C98:C102">
    <cfRule type="cellIs" dxfId="4" priority="354" operator="equal">
      <formula>"tibialis"</formula>
    </cfRule>
  </conditionalFormatting>
  <conditionalFormatting sqref="A96:G97">
    <cfRule type="expression" dxfId="0" priority="355">
      <formula>#REF!="Excluded"</formula>
    </cfRule>
  </conditionalFormatting>
  <conditionalFormatting sqref="C96:C97">
    <cfRule type="cellIs" dxfId="1" priority="356" operator="equal">
      <formula>"patellar"</formula>
    </cfRule>
  </conditionalFormatting>
  <conditionalFormatting sqref="C96:C97">
    <cfRule type="cellIs" dxfId="2" priority="357" operator="equal">
      <formula>"hamstring"</formula>
    </cfRule>
  </conditionalFormatting>
  <conditionalFormatting sqref="C96:C97">
    <cfRule type="cellIs" dxfId="3" priority="358" operator="equal">
      <formula>"quadriceps"</formula>
    </cfRule>
  </conditionalFormatting>
  <conditionalFormatting sqref="C96:C97">
    <cfRule type="cellIs" dxfId="4" priority="359" operator="equal">
      <formula>"tibialis"</formula>
    </cfRule>
  </conditionalFormatting>
  <conditionalFormatting sqref="A93:G95">
    <cfRule type="expression" dxfId="0" priority="360">
      <formula>#REF!="Excluded"</formula>
    </cfRule>
  </conditionalFormatting>
  <conditionalFormatting sqref="C93:C95">
    <cfRule type="cellIs" dxfId="1" priority="361" operator="equal">
      <formula>"patellar"</formula>
    </cfRule>
  </conditionalFormatting>
  <conditionalFormatting sqref="C93:C95">
    <cfRule type="cellIs" dxfId="2" priority="362" operator="equal">
      <formula>"hamstring"</formula>
    </cfRule>
  </conditionalFormatting>
  <conditionalFormatting sqref="C93:C95">
    <cfRule type="cellIs" dxfId="3" priority="363" operator="equal">
      <formula>"quadriceps"</formula>
    </cfRule>
  </conditionalFormatting>
  <conditionalFormatting sqref="C93:C95">
    <cfRule type="cellIs" dxfId="4" priority="364" operator="equal">
      <formula>"tibialis"</formula>
    </cfRule>
  </conditionalFormatting>
  <conditionalFormatting sqref="A92:G92">
    <cfRule type="expression" dxfId="0" priority="365">
      <formula>#REF!="Excluded"</formula>
    </cfRule>
  </conditionalFormatting>
  <conditionalFormatting sqref="C92">
    <cfRule type="cellIs" dxfId="1" priority="366" operator="equal">
      <formula>"patellar"</formula>
    </cfRule>
  </conditionalFormatting>
  <conditionalFormatting sqref="C92">
    <cfRule type="cellIs" dxfId="2" priority="367" operator="equal">
      <formula>"hamstring"</formula>
    </cfRule>
  </conditionalFormatting>
  <conditionalFormatting sqref="C92">
    <cfRule type="cellIs" dxfId="3" priority="368" operator="equal">
      <formula>"quadriceps"</formula>
    </cfRule>
  </conditionalFormatting>
  <conditionalFormatting sqref="C92">
    <cfRule type="cellIs" dxfId="4" priority="369" operator="equal">
      <formula>"tibialis"</formula>
    </cfRule>
  </conditionalFormatting>
  <conditionalFormatting sqref="A91:G91">
    <cfRule type="expression" dxfId="0" priority="370">
      <formula>#REF!="Excluded"</formula>
    </cfRule>
  </conditionalFormatting>
  <conditionalFormatting sqref="C91">
    <cfRule type="cellIs" dxfId="1" priority="371" operator="equal">
      <formula>"patellar"</formula>
    </cfRule>
  </conditionalFormatting>
  <conditionalFormatting sqref="C91">
    <cfRule type="cellIs" dxfId="2" priority="372" operator="equal">
      <formula>"hamstring"</formula>
    </cfRule>
  </conditionalFormatting>
  <conditionalFormatting sqref="C91">
    <cfRule type="cellIs" dxfId="3" priority="373" operator="equal">
      <formula>"quadriceps"</formula>
    </cfRule>
  </conditionalFormatting>
  <conditionalFormatting sqref="C91">
    <cfRule type="cellIs" dxfId="4" priority="374" operator="equal">
      <formula>"tibialis"</formula>
    </cfRule>
  </conditionalFormatting>
  <conditionalFormatting sqref="A90:G90">
    <cfRule type="expression" dxfId="0" priority="375">
      <formula>#REF!="Excluded"</formula>
    </cfRule>
  </conditionalFormatting>
  <conditionalFormatting sqref="C90">
    <cfRule type="cellIs" dxfId="1" priority="376" operator="equal">
      <formula>"patellar"</formula>
    </cfRule>
  </conditionalFormatting>
  <conditionalFormatting sqref="C90">
    <cfRule type="cellIs" dxfId="2" priority="377" operator="equal">
      <formula>"hamstring"</formula>
    </cfRule>
  </conditionalFormatting>
  <conditionalFormatting sqref="C90">
    <cfRule type="cellIs" dxfId="3" priority="378" operator="equal">
      <formula>"quadriceps"</formula>
    </cfRule>
  </conditionalFormatting>
  <conditionalFormatting sqref="C90">
    <cfRule type="cellIs" dxfId="4" priority="379" operator="equal">
      <formula>"tibialis"</formula>
    </cfRule>
  </conditionalFormatting>
  <conditionalFormatting sqref="A88:G89">
    <cfRule type="expression" dxfId="0" priority="380">
      <formula>#REF!="Excluded"</formula>
    </cfRule>
  </conditionalFormatting>
  <conditionalFormatting sqref="C88:C89">
    <cfRule type="cellIs" dxfId="1" priority="381" operator="equal">
      <formula>"patellar"</formula>
    </cfRule>
  </conditionalFormatting>
  <conditionalFormatting sqref="C88:C89">
    <cfRule type="cellIs" dxfId="2" priority="382" operator="equal">
      <formula>"hamstring"</formula>
    </cfRule>
  </conditionalFormatting>
  <conditionalFormatting sqref="C88:C89">
    <cfRule type="cellIs" dxfId="3" priority="383" operator="equal">
      <formula>"quadriceps"</formula>
    </cfRule>
  </conditionalFormatting>
  <conditionalFormatting sqref="C88:C89">
    <cfRule type="cellIs" dxfId="4" priority="384" operator="equal">
      <formula>"tibialis"</formula>
    </cfRule>
  </conditionalFormatting>
  <conditionalFormatting sqref="A86:G87">
    <cfRule type="expression" dxfId="0" priority="385">
      <formula>#REF!="Excluded"</formula>
    </cfRule>
  </conditionalFormatting>
  <conditionalFormatting sqref="C86:C87">
    <cfRule type="cellIs" dxfId="1" priority="386" operator="equal">
      <formula>"patellar"</formula>
    </cfRule>
  </conditionalFormatting>
  <conditionalFormatting sqref="C86:C87">
    <cfRule type="cellIs" dxfId="2" priority="387" operator="equal">
      <formula>"hamstring"</formula>
    </cfRule>
  </conditionalFormatting>
  <conditionalFormatting sqref="C86:C87">
    <cfRule type="cellIs" dxfId="3" priority="388" operator="equal">
      <formula>"quadriceps"</formula>
    </cfRule>
  </conditionalFormatting>
  <conditionalFormatting sqref="C86:C87">
    <cfRule type="cellIs" dxfId="4" priority="389" operator="equal">
      <formula>"tibialis"</formula>
    </cfRule>
  </conditionalFormatting>
  <conditionalFormatting sqref="A85:G85">
    <cfRule type="expression" dxfId="0" priority="390">
      <formula>#REF!="Excluded"</formula>
    </cfRule>
  </conditionalFormatting>
  <conditionalFormatting sqref="C85">
    <cfRule type="cellIs" dxfId="1" priority="391" operator="equal">
      <formula>"patellar"</formula>
    </cfRule>
  </conditionalFormatting>
  <conditionalFormatting sqref="C85">
    <cfRule type="cellIs" dxfId="2" priority="392" operator="equal">
      <formula>"hamstring"</formula>
    </cfRule>
  </conditionalFormatting>
  <conditionalFormatting sqref="C85">
    <cfRule type="cellIs" dxfId="3" priority="393" operator="equal">
      <formula>"quadriceps"</formula>
    </cfRule>
  </conditionalFormatting>
  <conditionalFormatting sqref="C85">
    <cfRule type="cellIs" dxfId="4" priority="394" operator="equal">
      <formula>"tibialis"</formula>
    </cfRule>
  </conditionalFormatting>
  <conditionalFormatting sqref="A84:G84">
    <cfRule type="expression" dxfId="0" priority="395">
      <formula>#REF!="Excluded"</formula>
    </cfRule>
  </conditionalFormatting>
  <conditionalFormatting sqref="C84">
    <cfRule type="cellIs" dxfId="1" priority="396" operator="equal">
      <formula>"patellar"</formula>
    </cfRule>
  </conditionalFormatting>
  <conditionalFormatting sqref="C84">
    <cfRule type="cellIs" dxfId="2" priority="397" operator="equal">
      <formula>"hamstring"</formula>
    </cfRule>
  </conditionalFormatting>
  <conditionalFormatting sqref="C84">
    <cfRule type="cellIs" dxfId="3" priority="398" operator="equal">
      <formula>"quadriceps"</formula>
    </cfRule>
  </conditionalFormatting>
  <conditionalFormatting sqref="C84">
    <cfRule type="cellIs" dxfId="4" priority="399" operator="equal">
      <formula>"tibialis"</formula>
    </cfRule>
  </conditionalFormatting>
  <conditionalFormatting sqref="A81:G83">
    <cfRule type="expression" dxfId="0" priority="400">
      <formula>#REF!="Excluded"</formula>
    </cfRule>
  </conditionalFormatting>
  <conditionalFormatting sqref="C81:C83">
    <cfRule type="cellIs" dxfId="1" priority="401" operator="equal">
      <formula>"patellar"</formula>
    </cfRule>
  </conditionalFormatting>
  <conditionalFormatting sqref="C81:C83">
    <cfRule type="cellIs" dxfId="2" priority="402" operator="equal">
      <formula>"hamstring"</formula>
    </cfRule>
  </conditionalFormatting>
  <conditionalFormatting sqref="C81:C83">
    <cfRule type="cellIs" dxfId="3" priority="403" operator="equal">
      <formula>"quadriceps"</formula>
    </cfRule>
  </conditionalFormatting>
  <conditionalFormatting sqref="C81:C83">
    <cfRule type="cellIs" dxfId="4" priority="404" operator="equal">
      <formula>"tibialis"</formula>
    </cfRule>
  </conditionalFormatting>
  <conditionalFormatting sqref="A74:G80">
    <cfRule type="expression" dxfId="0" priority="405">
      <formula>#REF!="Excluded"</formula>
    </cfRule>
  </conditionalFormatting>
  <conditionalFormatting sqref="C74:C80">
    <cfRule type="cellIs" dxfId="1" priority="406" operator="equal">
      <formula>"patellar"</formula>
    </cfRule>
  </conditionalFormatting>
  <conditionalFormatting sqref="C74:C80">
    <cfRule type="cellIs" dxfId="2" priority="407" operator="equal">
      <formula>"hamstring"</formula>
    </cfRule>
  </conditionalFormatting>
  <conditionalFormatting sqref="C74:C80">
    <cfRule type="cellIs" dxfId="3" priority="408" operator="equal">
      <formula>"quadriceps"</formula>
    </cfRule>
  </conditionalFormatting>
  <conditionalFormatting sqref="C74:C80">
    <cfRule type="cellIs" dxfId="4" priority="409" operator="equal">
      <formula>"tibialis"</formula>
    </cfRule>
  </conditionalFormatting>
  <conditionalFormatting sqref="A73:G73">
    <cfRule type="expression" dxfId="0" priority="410">
      <formula>#REF!="Excluded"</formula>
    </cfRule>
  </conditionalFormatting>
  <conditionalFormatting sqref="C73">
    <cfRule type="cellIs" dxfId="1" priority="411" operator="equal">
      <formula>"patellar"</formula>
    </cfRule>
  </conditionalFormatting>
  <conditionalFormatting sqref="C73">
    <cfRule type="cellIs" dxfId="2" priority="412" operator="equal">
      <formula>"hamstring"</formula>
    </cfRule>
  </conditionalFormatting>
  <conditionalFormatting sqref="C73">
    <cfRule type="cellIs" dxfId="3" priority="413" operator="equal">
      <formula>"quadriceps"</formula>
    </cfRule>
  </conditionalFormatting>
  <conditionalFormatting sqref="C73">
    <cfRule type="cellIs" dxfId="4" priority="414" operator="equal">
      <formula>"tibialis"</formula>
    </cfRule>
  </conditionalFormatting>
  <conditionalFormatting sqref="A72:G72">
    <cfRule type="expression" dxfId="0" priority="415">
      <formula>#REF!="Excluded"</formula>
    </cfRule>
  </conditionalFormatting>
  <conditionalFormatting sqref="C72">
    <cfRule type="cellIs" dxfId="1" priority="416" operator="equal">
      <formula>"patellar"</formula>
    </cfRule>
  </conditionalFormatting>
  <conditionalFormatting sqref="C72">
    <cfRule type="cellIs" dxfId="2" priority="417" operator="equal">
      <formula>"hamstring"</formula>
    </cfRule>
  </conditionalFormatting>
  <conditionalFormatting sqref="C72">
    <cfRule type="cellIs" dxfId="3" priority="418" operator="equal">
      <formula>"quadriceps"</formula>
    </cfRule>
  </conditionalFormatting>
  <conditionalFormatting sqref="C72">
    <cfRule type="cellIs" dxfId="4" priority="419" operator="equal">
      <formula>"tibialis"</formula>
    </cfRule>
  </conditionalFormatting>
  <conditionalFormatting sqref="A69:G71">
    <cfRule type="expression" dxfId="0" priority="420">
      <formula>#REF!="Excluded"</formula>
    </cfRule>
  </conditionalFormatting>
  <conditionalFormatting sqref="C69:C71">
    <cfRule type="cellIs" dxfId="1" priority="421" operator="equal">
      <formula>"patellar"</formula>
    </cfRule>
  </conditionalFormatting>
  <conditionalFormatting sqref="C69:C71">
    <cfRule type="cellIs" dxfId="2" priority="422" operator="equal">
      <formula>"hamstring"</formula>
    </cfRule>
  </conditionalFormatting>
  <conditionalFormatting sqref="C69:C71">
    <cfRule type="cellIs" dxfId="3" priority="423" operator="equal">
      <formula>"quadriceps"</formula>
    </cfRule>
  </conditionalFormatting>
  <conditionalFormatting sqref="C69:C71">
    <cfRule type="cellIs" dxfId="4" priority="424" operator="equal">
      <formula>"tibialis"</formula>
    </cfRule>
  </conditionalFormatting>
  <conditionalFormatting sqref="A66:G68">
    <cfRule type="expression" dxfId="0" priority="425">
      <formula>#REF!="Excluded"</formula>
    </cfRule>
  </conditionalFormatting>
  <conditionalFormatting sqref="C66:C68">
    <cfRule type="cellIs" dxfId="1" priority="426" operator="equal">
      <formula>"patellar"</formula>
    </cfRule>
  </conditionalFormatting>
  <conditionalFormatting sqref="C66:C68">
    <cfRule type="cellIs" dxfId="2" priority="427" operator="equal">
      <formula>"hamstring"</formula>
    </cfRule>
  </conditionalFormatting>
  <conditionalFormatting sqref="C66:C68">
    <cfRule type="cellIs" dxfId="3" priority="428" operator="equal">
      <formula>"quadriceps"</formula>
    </cfRule>
  </conditionalFormatting>
  <conditionalFormatting sqref="C66:C68">
    <cfRule type="cellIs" dxfId="4" priority="429" operator="equal">
      <formula>"tibialis"</formula>
    </cfRule>
  </conditionalFormatting>
  <conditionalFormatting sqref="A64:G65">
    <cfRule type="expression" dxfId="0" priority="430">
      <formula>#REF!="Excluded"</formula>
    </cfRule>
  </conditionalFormatting>
  <conditionalFormatting sqref="C64:C65">
    <cfRule type="cellIs" dxfId="1" priority="431" operator="equal">
      <formula>"patellar"</formula>
    </cfRule>
  </conditionalFormatting>
  <conditionalFormatting sqref="C64:C65">
    <cfRule type="cellIs" dxfId="2" priority="432" operator="equal">
      <formula>"hamstring"</formula>
    </cfRule>
  </conditionalFormatting>
  <conditionalFormatting sqref="C64:C65">
    <cfRule type="cellIs" dxfId="3" priority="433" operator="equal">
      <formula>"quadriceps"</formula>
    </cfRule>
  </conditionalFormatting>
  <conditionalFormatting sqref="C64:C65">
    <cfRule type="cellIs" dxfId="4" priority="434" operator="equal">
      <formula>"tibialis"</formula>
    </cfRule>
  </conditionalFormatting>
  <conditionalFormatting sqref="A62:G63">
    <cfRule type="expression" dxfId="0" priority="435">
      <formula>#REF!="Excluded"</formula>
    </cfRule>
  </conditionalFormatting>
  <conditionalFormatting sqref="C62:C63">
    <cfRule type="cellIs" dxfId="1" priority="436" operator="equal">
      <formula>"patellar"</formula>
    </cfRule>
  </conditionalFormatting>
  <conditionalFormatting sqref="C62:C63">
    <cfRule type="cellIs" dxfId="2" priority="437" operator="equal">
      <formula>"hamstring"</formula>
    </cfRule>
  </conditionalFormatting>
  <conditionalFormatting sqref="C62:C63">
    <cfRule type="cellIs" dxfId="3" priority="438" operator="equal">
      <formula>"quadriceps"</formula>
    </cfRule>
  </conditionalFormatting>
  <conditionalFormatting sqref="C62:C63">
    <cfRule type="cellIs" dxfId="4" priority="439" operator="equal">
      <formula>"tibialis"</formula>
    </cfRule>
  </conditionalFormatting>
  <conditionalFormatting sqref="A61:G61">
    <cfRule type="expression" dxfId="0" priority="440">
      <formula>#REF!="Excluded"</formula>
    </cfRule>
  </conditionalFormatting>
  <conditionalFormatting sqref="C61">
    <cfRule type="cellIs" dxfId="1" priority="441" operator="equal">
      <formula>"patellar"</formula>
    </cfRule>
  </conditionalFormatting>
  <conditionalFormatting sqref="C61">
    <cfRule type="cellIs" dxfId="2" priority="442" operator="equal">
      <formula>"hamstring"</formula>
    </cfRule>
  </conditionalFormatting>
  <conditionalFormatting sqref="C61">
    <cfRule type="cellIs" dxfId="3" priority="443" operator="equal">
      <formula>"quadriceps"</formula>
    </cfRule>
  </conditionalFormatting>
  <conditionalFormatting sqref="C61">
    <cfRule type="cellIs" dxfId="4" priority="444" operator="equal">
      <formula>"tibialis"</formula>
    </cfRule>
  </conditionalFormatting>
  <conditionalFormatting sqref="A60:G60">
    <cfRule type="expression" dxfId="0" priority="445">
      <formula>#REF!="Excluded"</formula>
    </cfRule>
  </conditionalFormatting>
  <conditionalFormatting sqref="C60">
    <cfRule type="cellIs" dxfId="1" priority="446" operator="equal">
      <formula>"patellar"</formula>
    </cfRule>
  </conditionalFormatting>
  <conditionalFormatting sqref="C60">
    <cfRule type="cellIs" dxfId="2" priority="447" operator="equal">
      <formula>"hamstring"</formula>
    </cfRule>
  </conditionalFormatting>
  <conditionalFormatting sqref="C60">
    <cfRule type="cellIs" dxfId="3" priority="448" operator="equal">
      <formula>"quadriceps"</formula>
    </cfRule>
  </conditionalFormatting>
  <conditionalFormatting sqref="C60">
    <cfRule type="cellIs" dxfId="4" priority="449" operator="equal">
      <formula>"tibialis"</formula>
    </cfRule>
  </conditionalFormatting>
  <conditionalFormatting sqref="A59:G59">
    <cfRule type="expression" dxfId="0" priority="450">
      <formula>#REF!="Excluded"</formula>
    </cfRule>
  </conditionalFormatting>
  <conditionalFormatting sqref="C59">
    <cfRule type="cellIs" dxfId="1" priority="451" operator="equal">
      <formula>"patellar"</formula>
    </cfRule>
  </conditionalFormatting>
  <conditionalFormatting sqref="C59">
    <cfRule type="cellIs" dxfId="2" priority="452" operator="equal">
      <formula>"hamstring"</formula>
    </cfRule>
  </conditionalFormatting>
  <conditionalFormatting sqref="C59">
    <cfRule type="cellIs" dxfId="3" priority="453" operator="equal">
      <formula>"quadriceps"</formula>
    </cfRule>
  </conditionalFormatting>
  <conditionalFormatting sqref="C59">
    <cfRule type="cellIs" dxfId="4" priority="454" operator="equal">
      <formula>"tibialis"</formula>
    </cfRule>
  </conditionalFormatting>
  <conditionalFormatting sqref="A58:G58">
    <cfRule type="expression" dxfId="0" priority="455">
      <formula>#REF!="Excluded"</formula>
    </cfRule>
  </conditionalFormatting>
  <conditionalFormatting sqref="C58">
    <cfRule type="cellIs" dxfId="1" priority="456" operator="equal">
      <formula>"patellar"</formula>
    </cfRule>
  </conditionalFormatting>
  <conditionalFormatting sqref="C58">
    <cfRule type="cellIs" dxfId="2" priority="457" operator="equal">
      <formula>"hamstring"</formula>
    </cfRule>
  </conditionalFormatting>
  <conditionalFormatting sqref="C58">
    <cfRule type="cellIs" dxfId="3" priority="458" operator="equal">
      <formula>"quadriceps"</formula>
    </cfRule>
  </conditionalFormatting>
  <conditionalFormatting sqref="C58">
    <cfRule type="cellIs" dxfId="4" priority="459" operator="equal">
      <formula>"tibialis"</formula>
    </cfRule>
  </conditionalFormatting>
  <conditionalFormatting sqref="A57:G57">
    <cfRule type="expression" dxfId="0" priority="460">
      <formula>#REF!="Excluded"</formula>
    </cfRule>
  </conditionalFormatting>
  <conditionalFormatting sqref="C57">
    <cfRule type="cellIs" dxfId="1" priority="461" operator="equal">
      <formula>"patellar"</formula>
    </cfRule>
  </conditionalFormatting>
  <conditionalFormatting sqref="C57">
    <cfRule type="cellIs" dxfId="2" priority="462" operator="equal">
      <formula>"hamstring"</formula>
    </cfRule>
  </conditionalFormatting>
  <conditionalFormatting sqref="C57">
    <cfRule type="cellIs" dxfId="3" priority="463" operator="equal">
      <formula>"quadriceps"</formula>
    </cfRule>
  </conditionalFormatting>
  <conditionalFormatting sqref="C57">
    <cfRule type="cellIs" dxfId="4" priority="464" operator="equal">
      <formula>"tibialis"</formula>
    </cfRule>
  </conditionalFormatting>
  <conditionalFormatting sqref="A56:G56">
    <cfRule type="expression" dxfId="0" priority="465">
      <formula>#REF!="Excluded"</formula>
    </cfRule>
  </conditionalFormatting>
  <conditionalFormatting sqref="C56">
    <cfRule type="cellIs" dxfId="1" priority="466" operator="equal">
      <formula>"patellar"</formula>
    </cfRule>
  </conditionalFormatting>
  <conditionalFormatting sqref="C56">
    <cfRule type="cellIs" dxfId="2" priority="467" operator="equal">
      <formula>"hamstring"</formula>
    </cfRule>
  </conditionalFormatting>
  <conditionalFormatting sqref="C56">
    <cfRule type="cellIs" dxfId="3" priority="468" operator="equal">
      <formula>"quadriceps"</formula>
    </cfRule>
  </conditionalFormatting>
  <conditionalFormatting sqref="C56">
    <cfRule type="cellIs" dxfId="4" priority="469" operator="equal">
      <formula>"tibialis"</formula>
    </cfRule>
  </conditionalFormatting>
  <conditionalFormatting sqref="A53:G55">
    <cfRule type="expression" dxfId="0" priority="470">
      <formula>#REF!="Excluded"</formula>
    </cfRule>
  </conditionalFormatting>
  <conditionalFormatting sqref="C53:C55">
    <cfRule type="cellIs" dxfId="1" priority="471" operator="equal">
      <formula>"patellar"</formula>
    </cfRule>
  </conditionalFormatting>
  <conditionalFormatting sqref="C53:C55">
    <cfRule type="cellIs" dxfId="2" priority="472" operator="equal">
      <formula>"hamstring"</formula>
    </cfRule>
  </conditionalFormatting>
  <conditionalFormatting sqref="C53:C55">
    <cfRule type="cellIs" dxfId="3" priority="473" operator="equal">
      <formula>"quadriceps"</formula>
    </cfRule>
  </conditionalFormatting>
  <conditionalFormatting sqref="C53:C55">
    <cfRule type="cellIs" dxfId="4" priority="474" operator="equal">
      <formula>"tibialis"</formula>
    </cfRule>
  </conditionalFormatting>
  <conditionalFormatting sqref="A50:G52">
    <cfRule type="expression" dxfId="0" priority="475">
      <formula>#REF!="Excluded"</formula>
    </cfRule>
  </conditionalFormatting>
  <conditionalFormatting sqref="C50:C52">
    <cfRule type="cellIs" dxfId="1" priority="476" operator="equal">
      <formula>"patellar"</formula>
    </cfRule>
  </conditionalFormatting>
  <conditionalFormatting sqref="C50:C52">
    <cfRule type="cellIs" dxfId="2" priority="477" operator="equal">
      <formula>"hamstring"</formula>
    </cfRule>
  </conditionalFormatting>
  <conditionalFormatting sqref="C50:C52">
    <cfRule type="cellIs" dxfId="3" priority="478" operator="equal">
      <formula>"quadriceps"</formula>
    </cfRule>
  </conditionalFormatting>
  <conditionalFormatting sqref="C50:C52">
    <cfRule type="cellIs" dxfId="4" priority="479" operator="equal">
      <formula>"tibialis"</formula>
    </cfRule>
  </conditionalFormatting>
  <conditionalFormatting sqref="A46:G49">
    <cfRule type="expression" dxfId="0" priority="480">
      <formula>#REF!="Excluded"</formula>
    </cfRule>
  </conditionalFormatting>
  <conditionalFormatting sqref="C46:C49">
    <cfRule type="cellIs" dxfId="1" priority="481" operator="equal">
      <formula>"patellar"</formula>
    </cfRule>
  </conditionalFormatting>
  <conditionalFormatting sqref="C46:C49">
    <cfRule type="cellIs" dxfId="2" priority="482" operator="equal">
      <formula>"hamstring"</formula>
    </cfRule>
  </conditionalFormatting>
  <conditionalFormatting sqref="C46:C49">
    <cfRule type="cellIs" dxfId="3" priority="483" operator="equal">
      <formula>"quadriceps"</formula>
    </cfRule>
  </conditionalFormatting>
  <conditionalFormatting sqref="C46:C49">
    <cfRule type="cellIs" dxfId="4" priority="484" operator="equal">
      <formula>"tibialis"</formula>
    </cfRule>
  </conditionalFormatting>
  <conditionalFormatting sqref="A44:G45">
    <cfRule type="expression" dxfId="0" priority="485">
      <formula>#REF!="Excluded"</formula>
    </cfRule>
  </conditionalFormatting>
  <conditionalFormatting sqref="C44:C45">
    <cfRule type="cellIs" dxfId="1" priority="486" operator="equal">
      <formula>"patellar"</formula>
    </cfRule>
  </conditionalFormatting>
  <conditionalFormatting sqref="C44:C45">
    <cfRule type="cellIs" dxfId="2" priority="487" operator="equal">
      <formula>"hamstring"</formula>
    </cfRule>
  </conditionalFormatting>
  <conditionalFormatting sqref="C44:C45">
    <cfRule type="cellIs" dxfId="3" priority="488" operator="equal">
      <formula>"quadriceps"</formula>
    </cfRule>
  </conditionalFormatting>
  <conditionalFormatting sqref="C44:C45">
    <cfRule type="cellIs" dxfId="4" priority="489" operator="equal">
      <formula>"tibialis"</formula>
    </cfRule>
  </conditionalFormatting>
  <conditionalFormatting sqref="A42:G43">
    <cfRule type="expression" dxfId="0" priority="490">
      <formula>#REF!="Excluded"</formula>
    </cfRule>
  </conditionalFormatting>
  <conditionalFormatting sqref="C42:C43">
    <cfRule type="cellIs" dxfId="1" priority="491" operator="equal">
      <formula>"patellar"</formula>
    </cfRule>
  </conditionalFormatting>
  <conditionalFormatting sqref="C42:C43">
    <cfRule type="cellIs" dxfId="2" priority="492" operator="equal">
      <formula>"hamstring"</formula>
    </cfRule>
  </conditionalFormatting>
  <conditionalFormatting sqref="C42:C43">
    <cfRule type="cellIs" dxfId="3" priority="493" operator="equal">
      <formula>"quadriceps"</formula>
    </cfRule>
  </conditionalFormatting>
  <conditionalFormatting sqref="C42:C43">
    <cfRule type="cellIs" dxfId="4" priority="494" operator="equal">
      <formula>"tibialis"</formula>
    </cfRule>
  </conditionalFormatting>
  <conditionalFormatting sqref="A35:G41">
    <cfRule type="expression" dxfId="0" priority="495">
      <formula>#REF!="Excluded"</formula>
    </cfRule>
  </conditionalFormatting>
  <conditionalFormatting sqref="C35:C41">
    <cfRule type="cellIs" dxfId="1" priority="496" operator="equal">
      <formula>"patellar"</formula>
    </cfRule>
  </conditionalFormatting>
  <conditionalFormatting sqref="C35:C41">
    <cfRule type="cellIs" dxfId="2" priority="497" operator="equal">
      <formula>"hamstring"</formula>
    </cfRule>
  </conditionalFormatting>
  <conditionalFormatting sqref="C35:C41">
    <cfRule type="cellIs" dxfId="3" priority="498" operator="equal">
      <formula>"quadriceps"</formula>
    </cfRule>
  </conditionalFormatting>
  <conditionalFormatting sqref="C35:C41">
    <cfRule type="cellIs" dxfId="4" priority="499" operator="equal">
      <formula>"tibialis"</formula>
    </cfRule>
  </conditionalFormatting>
  <conditionalFormatting sqref="A32:G34">
    <cfRule type="expression" dxfId="0" priority="500">
      <formula>#REF!="Excluded"</formula>
    </cfRule>
  </conditionalFormatting>
  <conditionalFormatting sqref="C32:C34">
    <cfRule type="cellIs" dxfId="1" priority="501" operator="equal">
      <formula>"patellar"</formula>
    </cfRule>
  </conditionalFormatting>
  <conditionalFormatting sqref="C32:C34">
    <cfRule type="cellIs" dxfId="2" priority="502" operator="equal">
      <formula>"hamstring"</formula>
    </cfRule>
  </conditionalFormatting>
  <conditionalFormatting sqref="C32:C34">
    <cfRule type="cellIs" dxfId="3" priority="503" operator="equal">
      <formula>"quadriceps"</formula>
    </cfRule>
  </conditionalFormatting>
  <conditionalFormatting sqref="C32:C34">
    <cfRule type="cellIs" dxfId="4" priority="504" operator="equal">
      <formula>"tibialis"</formula>
    </cfRule>
  </conditionalFormatting>
  <conditionalFormatting sqref="A30:G31">
    <cfRule type="expression" dxfId="0" priority="505">
      <formula>#REF!="Excluded"</formula>
    </cfRule>
  </conditionalFormatting>
  <conditionalFormatting sqref="C30:C31">
    <cfRule type="cellIs" dxfId="1" priority="506" operator="equal">
      <formula>"patellar"</formula>
    </cfRule>
  </conditionalFormatting>
  <conditionalFormatting sqref="C30:C31">
    <cfRule type="cellIs" dxfId="2" priority="507" operator="equal">
      <formula>"hamstring"</formula>
    </cfRule>
  </conditionalFormatting>
  <conditionalFormatting sqref="C30:C31">
    <cfRule type="cellIs" dxfId="3" priority="508" operator="equal">
      <formula>"quadriceps"</formula>
    </cfRule>
  </conditionalFormatting>
  <conditionalFormatting sqref="C30:C31">
    <cfRule type="cellIs" dxfId="4" priority="509" operator="equal">
      <formula>"tibialis"</formula>
    </cfRule>
  </conditionalFormatting>
  <conditionalFormatting sqref="A28:G29">
    <cfRule type="expression" dxfId="0" priority="510">
      <formula>#REF!="Excluded"</formula>
    </cfRule>
  </conditionalFormatting>
  <conditionalFormatting sqref="C28:C29">
    <cfRule type="cellIs" dxfId="1" priority="511" operator="equal">
      <formula>"patellar"</formula>
    </cfRule>
  </conditionalFormatting>
  <conditionalFormatting sqref="C28:C29">
    <cfRule type="cellIs" dxfId="2" priority="512" operator="equal">
      <formula>"hamstring"</formula>
    </cfRule>
  </conditionalFormatting>
  <conditionalFormatting sqref="C28:C29">
    <cfRule type="cellIs" dxfId="3" priority="513" operator="equal">
      <formula>"quadriceps"</formula>
    </cfRule>
  </conditionalFormatting>
  <conditionalFormatting sqref="C28:C29">
    <cfRule type="cellIs" dxfId="4" priority="514" operator="equal">
      <formula>"tibialis"</formula>
    </cfRule>
  </conditionalFormatting>
  <conditionalFormatting sqref="A20:G27">
    <cfRule type="expression" dxfId="0" priority="515">
      <formula>#REF!="Excluded"</formula>
    </cfRule>
  </conditionalFormatting>
  <conditionalFormatting sqref="C20:C27">
    <cfRule type="cellIs" dxfId="1" priority="516" operator="equal">
      <formula>"patellar"</formula>
    </cfRule>
  </conditionalFormatting>
  <conditionalFormatting sqref="C20:C27">
    <cfRule type="cellIs" dxfId="2" priority="517" operator="equal">
      <formula>"hamstring"</formula>
    </cfRule>
  </conditionalFormatting>
  <conditionalFormatting sqref="C20:C27">
    <cfRule type="cellIs" dxfId="3" priority="518" operator="equal">
      <formula>"quadriceps"</formula>
    </cfRule>
  </conditionalFormatting>
  <conditionalFormatting sqref="C20:C27">
    <cfRule type="cellIs" dxfId="4" priority="519" operator="equal">
      <formula>"tibialis"</formula>
    </cfRule>
  </conditionalFormatting>
  <conditionalFormatting sqref="A18:G19">
    <cfRule type="expression" dxfId="0" priority="520">
      <formula>#REF!="Excluded"</formula>
    </cfRule>
  </conditionalFormatting>
  <conditionalFormatting sqref="C18:C19">
    <cfRule type="cellIs" dxfId="1" priority="521" operator="equal">
      <formula>"patellar"</formula>
    </cfRule>
  </conditionalFormatting>
  <conditionalFormatting sqref="C18:C19">
    <cfRule type="cellIs" dxfId="2" priority="522" operator="equal">
      <formula>"hamstring"</formula>
    </cfRule>
  </conditionalFormatting>
  <conditionalFormatting sqref="C18:C19">
    <cfRule type="cellIs" dxfId="3" priority="523" operator="equal">
      <formula>"quadriceps"</formula>
    </cfRule>
  </conditionalFormatting>
  <conditionalFormatting sqref="C18:C19">
    <cfRule type="cellIs" dxfId="4" priority="524" operator="equal">
      <formula>"tibialis"</formula>
    </cfRule>
  </conditionalFormatting>
  <conditionalFormatting sqref="A14:G17">
    <cfRule type="expression" dxfId="0" priority="525">
      <formula>#REF!="Excluded"</formula>
    </cfRule>
  </conditionalFormatting>
  <conditionalFormatting sqref="C14:C17">
    <cfRule type="cellIs" dxfId="1" priority="526" operator="equal">
      <formula>"patellar"</formula>
    </cfRule>
  </conditionalFormatting>
  <conditionalFormatting sqref="C14:C17">
    <cfRule type="cellIs" dxfId="2" priority="527" operator="equal">
      <formula>"hamstring"</formula>
    </cfRule>
  </conditionalFormatting>
  <conditionalFormatting sqref="C14:C17">
    <cfRule type="cellIs" dxfId="3" priority="528" operator="equal">
      <formula>"quadriceps"</formula>
    </cfRule>
  </conditionalFormatting>
  <conditionalFormatting sqref="C14:C17">
    <cfRule type="cellIs" dxfId="4" priority="529" operator="equal">
      <formula>"tibialis"</formula>
    </cfRule>
  </conditionalFormatting>
  <conditionalFormatting sqref="A13:G13">
    <cfRule type="expression" dxfId="0" priority="530">
      <formula>#REF!="Excluded"</formula>
    </cfRule>
  </conditionalFormatting>
  <conditionalFormatting sqref="C13">
    <cfRule type="cellIs" dxfId="1" priority="531" operator="equal">
      <formula>"patellar"</formula>
    </cfRule>
  </conditionalFormatting>
  <conditionalFormatting sqref="C13">
    <cfRule type="cellIs" dxfId="2" priority="532" operator="equal">
      <formula>"hamstring"</formula>
    </cfRule>
  </conditionalFormatting>
  <conditionalFormatting sqref="C13">
    <cfRule type="cellIs" dxfId="3" priority="533" operator="equal">
      <formula>"quadriceps"</formula>
    </cfRule>
  </conditionalFormatting>
  <conditionalFormatting sqref="C13">
    <cfRule type="cellIs" dxfId="4" priority="534" operator="equal">
      <formula>"tibialis"</formula>
    </cfRule>
  </conditionalFormatting>
  <conditionalFormatting sqref="A12:G12">
    <cfRule type="expression" dxfId="0" priority="535">
      <formula>#REF!="Excluded"</formula>
    </cfRule>
  </conditionalFormatting>
  <conditionalFormatting sqref="C12">
    <cfRule type="cellIs" dxfId="1" priority="536" operator="equal">
      <formula>"patellar"</formula>
    </cfRule>
  </conditionalFormatting>
  <conditionalFormatting sqref="C12">
    <cfRule type="cellIs" dxfId="2" priority="537" operator="equal">
      <formula>"hamstring"</formula>
    </cfRule>
  </conditionalFormatting>
  <conditionalFormatting sqref="C12">
    <cfRule type="cellIs" dxfId="3" priority="538" operator="equal">
      <formula>"quadriceps"</formula>
    </cfRule>
  </conditionalFormatting>
  <conditionalFormatting sqref="C12">
    <cfRule type="cellIs" dxfId="4" priority="539" operator="equal">
      <formula>"tibialis"</formula>
    </cfRule>
  </conditionalFormatting>
  <conditionalFormatting sqref="A9:G11">
    <cfRule type="expression" dxfId="0" priority="540">
      <formula>#REF!="Excluded"</formula>
    </cfRule>
  </conditionalFormatting>
  <conditionalFormatting sqref="C9:C11">
    <cfRule type="cellIs" dxfId="1" priority="541" operator="equal">
      <formula>"patellar"</formula>
    </cfRule>
  </conditionalFormatting>
  <conditionalFormatting sqref="C9:C11">
    <cfRule type="cellIs" dxfId="2" priority="542" operator="equal">
      <formula>"hamstring"</formula>
    </cfRule>
  </conditionalFormatting>
  <conditionalFormatting sqref="C9:C11">
    <cfRule type="cellIs" dxfId="3" priority="543" operator="equal">
      <formula>"quadriceps"</formula>
    </cfRule>
  </conditionalFormatting>
  <conditionalFormatting sqref="C9:C11">
    <cfRule type="cellIs" dxfId="4" priority="544" operator="equal">
      <formula>"tibialis"</formula>
    </cfRule>
  </conditionalFormatting>
  <conditionalFormatting sqref="A6:G8">
    <cfRule type="expression" dxfId="0" priority="545">
      <formula>#REF!="Excluded"</formula>
    </cfRule>
  </conditionalFormatting>
  <conditionalFormatting sqref="C6:C8">
    <cfRule type="cellIs" dxfId="1" priority="546" operator="equal">
      <formula>"patellar"</formula>
    </cfRule>
  </conditionalFormatting>
  <conditionalFormatting sqref="C6:C8">
    <cfRule type="cellIs" dxfId="2" priority="547" operator="equal">
      <formula>"hamstring"</formula>
    </cfRule>
  </conditionalFormatting>
  <conditionalFormatting sqref="C6:C8">
    <cfRule type="cellIs" dxfId="3" priority="548" operator="equal">
      <formula>"quadriceps"</formula>
    </cfRule>
  </conditionalFormatting>
  <conditionalFormatting sqref="C6:C8">
    <cfRule type="cellIs" dxfId="4" priority="549" operator="equal">
      <formula>"tibialis"</formula>
    </cfRule>
  </conditionalFormatting>
  <conditionalFormatting sqref="A5:G5">
    <cfRule type="expression" dxfId="0" priority="550">
      <formula>#REF!="Excluded"</formula>
    </cfRule>
  </conditionalFormatting>
  <conditionalFormatting sqref="C5">
    <cfRule type="cellIs" dxfId="1" priority="551" operator="equal">
      <formula>"patellar"</formula>
    </cfRule>
  </conditionalFormatting>
  <conditionalFormatting sqref="C5">
    <cfRule type="cellIs" dxfId="2" priority="552" operator="equal">
      <formula>"hamstring"</formula>
    </cfRule>
  </conditionalFormatting>
  <conditionalFormatting sqref="C5">
    <cfRule type="cellIs" dxfId="3" priority="553" operator="equal">
      <formula>"quadriceps"</formula>
    </cfRule>
  </conditionalFormatting>
  <conditionalFormatting sqref="C5">
    <cfRule type="cellIs" dxfId="4" priority="554" operator="equal">
      <formula>"tibialis"</formula>
    </cfRule>
  </conditionalFormatting>
  <conditionalFormatting sqref="A4:G4">
    <cfRule type="expression" dxfId="0" priority="555">
      <formula>#REF!="Excluded"</formula>
    </cfRule>
  </conditionalFormatting>
  <conditionalFormatting sqref="C4">
    <cfRule type="cellIs" dxfId="1" priority="556" operator="equal">
      <formula>"patellar"</formula>
    </cfRule>
  </conditionalFormatting>
  <conditionalFormatting sqref="C4">
    <cfRule type="cellIs" dxfId="2" priority="557" operator="equal">
      <formula>"hamstring"</formula>
    </cfRule>
  </conditionalFormatting>
  <conditionalFormatting sqref="C4">
    <cfRule type="cellIs" dxfId="3" priority="558" operator="equal">
      <formula>"quadriceps"</formula>
    </cfRule>
  </conditionalFormatting>
  <conditionalFormatting sqref="C4">
    <cfRule type="cellIs" dxfId="4" priority="559" operator="equal">
      <formula>"tibialis"</formula>
    </cfRule>
  </conditionalFormatting>
  <conditionalFormatting sqref="A2:G3">
    <cfRule type="expression" dxfId="0" priority="560">
      <formula>#REF!="Excluded"</formula>
    </cfRule>
  </conditionalFormatting>
  <conditionalFormatting sqref="C2:C3">
    <cfRule type="cellIs" dxfId="1" priority="561" operator="equal">
      <formula>"patellar"</formula>
    </cfRule>
  </conditionalFormatting>
  <conditionalFormatting sqref="C2:C3">
    <cfRule type="cellIs" dxfId="2" priority="562" operator="equal">
      <formula>"hamstring"</formula>
    </cfRule>
  </conditionalFormatting>
  <conditionalFormatting sqref="C2:C3">
    <cfRule type="cellIs" dxfId="3" priority="563" operator="equal">
      <formula>"quadriceps"</formula>
    </cfRule>
  </conditionalFormatting>
  <conditionalFormatting sqref="C1:C3">
    <cfRule type="cellIs" dxfId="4" priority="564" operator="equal">
      <formula>"tibialis"</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3.75"/>
    <col customWidth="1" min="2" max="2" width="21.75"/>
  </cols>
  <sheetData>
    <row r="2">
      <c r="A2" s="4" t="str">
        <f t="array" ref="A2:A67">unique(outcomes!A4:A489)</f>
        <v>#REF!</v>
      </c>
      <c r="B2" s="10" t="str">
        <f t="array" ref="B2:B67">unique(outcomes!B4:B493)</f>
        <v>Bi et al., 2018</v>
      </c>
    </row>
    <row r="3">
      <c r="A3" s="4"/>
      <c r="B3" s="10" t="s">
        <v>390</v>
      </c>
    </row>
    <row r="4">
      <c r="A4" s="4"/>
      <c r="B4" s="10" t="s">
        <v>82</v>
      </c>
    </row>
    <row r="5">
      <c r="A5" s="4"/>
      <c r="B5" s="10" t="s">
        <v>93</v>
      </c>
    </row>
    <row r="6">
      <c r="A6" s="4"/>
      <c r="B6" s="10" t="s">
        <v>104</v>
      </c>
    </row>
    <row r="7">
      <c r="A7" s="4"/>
      <c r="B7" s="10" t="s">
        <v>116</v>
      </c>
    </row>
    <row r="8">
      <c r="A8" s="4"/>
      <c r="B8" s="10" t="s">
        <v>399</v>
      </c>
    </row>
    <row r="9">
      <c r="A9" s="4"/>
      <c r="B9" s="10" t="s">
        <v>119</v>
      </c>
    </row>
    <row r="10">
      <c r="A10" s="4"/>
      <c r="B10" s="10" t="s">
        <v>121</v>
      </c>
    </row>
    <row r="11">
      <c r="A11" s="4"/>
      <c r="B11" s="10" t="s">
        <v>125</v>
      </c>
    </row>
    <row r="12">
      <c r="A12" s="4"/>
      <c r="B12" s="10" t="s">
        <v>128</v>
      </c>
    </row>
    <row r="13">
      <c r="A13" s="4"/>
      <c r="B13" s="10" t="s">
        <v>134</v>
      </c>
    </row>
    <row r="14">
      <c r="A14" s="4"/>
      <c r="B14" s="10" t="s">
        <v>136</v>
      </c>
    </row>
    <row r="15">
      <c r="A15" s="4"/>
      <c r="B15" s="10" t="s">
        <v>141</v>
      </c>
    </row>
    <row r="16">
      <c r="A16" s="4"/>
      <c r="B16" s="10" t="s">
        <v>147</v>
      </c>
    </row>
    <row r="17">
      <c r="A17" s="4"/>
      <c r="B17" s="10" t="s">
        <v>149</v>
      </c>
    </row>
    <row r="18">
      <c r="A18" s="4"/>
      <c r="B18" s="10" t="s">
        <v>16</v>
      </c>
    </row>
    <row r="19">
      <c r="A19" s="4"/>
      <c r="B19" s="10" t="s">
        <v>22</v>
      </c>
    </row>
    <row r="20">
      <c r="A20" s="4"/>
      <c r="B20" s="10" t="s">
        <v>37</v>
      </c>
    </row>
    <row r="21">
      <c r="A21" s="4"/>
      <c r="B21" s="10" t="s">
        <v>60</v>
      </c>
    </row>
    <row r="22">
      <c r="A22" s="4"/>
      <c r="B22" s="10" t="s">
        <v>392</v>
      </c>
    </row>
    <row r="23">
      <c r="A23" s="4"/>
      <c r="B23" s="10" t="s">
        <v>67</v>
      </c>
    </row>
    <row r="24">
      <c r="A24" s="4"/>
      <c r="B24" s="10" t="s">
        <v>88</v>
      </c>
    </row>
    <row r="25">
      <c r="A25" s="4"/>
      <c r="B25" s="10" t="s">
        <v>90</v>
      </c>
    </row>
    <row r="26">
      <c r="A26" s="4"/>
      <c r="B26" s="10" t="s">
        <v>91</v>
      </c>
    </row>
    <row r="27">
      <c r="A27" s="4"/>
      <c r="B27" s="10" t="s">
        <v>98</v>
      </c>
    </row>
    <row r="28">
      <c r="A28" s="4"/>
      <c r="B28" s="10" t="s">
        <v>397</v>
      </c>
    </row>
    <row r="29">
      <c r="A29" s="4"/>
      <c r="B29" s="10" t="s">
        <v>401</v>
      </c>
    </row>
    <row r="30">
      <c r="A30" s="4"/>
      <c r="B30" s="10" t="s">
        <v>130</v>
      </c>
    </row>
    <row r="31">
      <c r="A31" s="4"/>
      <c r="B31" s="10" t="s">
        <v>145</v>
      </c>
    </row>
    <row r="32">
      <c r="A32" s="4"/>
      <c r="B32" s="10" t="s">
        <v>35</v>
      </c>
    </row>
    <row r="33">
      <c r="A33" s="4"/>
      <c r="B33" s="10" t="s">
        <v>43</v>
      </c>
    </row>
    <row r="34">
      <c r="A34" s="4"/>
      <c r="B34" s="10" t="s">
        <v>45</v>
      </c>
    </row>
    <row r="35">
      <c r="A35" s="4"/>
      <c r="B35" s="10" t="s">
        <v>47</v>
      </c>
    </row>
    <row r="36">
      <c r="A36" s="4"/>
      <c r="B36" s="10" t="s">
        <v>52</v>
      </c>
    </row>
    <row r="37">
      <c r="A37" s="4"/>
      <c r="B37" s="10" t="s">
        <v>65</v>
      </c>
    </row>
    <row r="38">
      <c r="A38" s="4"/>
      <c r="B38" s="10" t="s">
        <v>73</v>
      </c>
    </row>
    <row r="39">
      <c r="A39" s="4"/>
      <c r="B39" s="10" t="s">
        <v>77</v>
      </c>
    </row>
    <row r="40">
      <c r="A40" s="4"/>
      <c r="B40" s="10" t="s">
        <v>85</v>
      </c>
    </row>
    <row r="41">
      <c r="A41" s="4"/>
      <c r="B41" s="10" t="s">
        <v>96</v>
      </c>
    </row>
    <row r="42">
      <c r="A42" s="4"/>
      <c r="B42" s="10" t="s">
        <v>102</v>
      </c>
    </row>
    <row r="43">
      <c r="A43" s="4"/>
      <c r="B43" s="10" t="s">
        <v>106</v>
      </c>
    </row>
    <row r="44">
      <c r="A44" s="4"/>
      <c r="B44" s="10" t="s">
        <v>110</v>
      </c>
    </row>
    <row r="45">
      <c r="A45" s="4"/>
      <c r="B45" s="10" t="s">
        <v>112</v>
      </c>
    </row>
    <row r="46">
      <c r="A46" s="4"/>
      <c r="B46" s="10" t="s">
        <v>114</v>
      </c>
    </row>
    <row r="47">
      <c r="A47" s="4"/>
      <c r="B47" s="10" t="s">
        <v>123</v>
      </c>
    </row>
    <row r="48">
      <c r="A48" s="4"/>
      <c r="B48" s="10" t="s">
        <v>132</v>
      </c>
    </row>
    <row r="49">
      <c r="A49" s="4"/>
      <c r="B49" s="10" t="s">
        <v>139</v>
      </c>
    </row>
    <row r="50">
      <c r="A50" s="4"/>
      <c r="B50" s="10" t="s">
        <v>143</v>
      </c>
    </row>
    <row r="51">
      <c r="A51" s="4"/>
      <c r="B51" s="10" t="s">
        <v>154</v>
      </c>
    </row>
    <row r="52">
      <c r="A52" s="4"/>
      <c r="B52" s="10" t="s">
        <v>11</v>
      </c>
    </row>
    <row r="53">
      <c r="A53" s="4"/>
      <c r="B53" s="10" t="s">
        <v>387</v>
      </c>
    </row>
    <row r="54">
      <c r="A54" s="4"/>
      <c r="B54" s="10" t="s">
        <v>30</v>
      </c>
    </row>
    <row r="55">
      <c r="A55" s="4"/>
      <c r="B55" s="10" t="s">
        <v>32</v>
      </c>
    </row>
    <row r="56">
      <c r="A56" s="4"/>
      <c r="B56" s="10" t="s">
        <v>389</v>
      </c>
    </row>
    <row r="57">
      <c r="A57" s="4"/>
      <c r="B57" s="10" t="s">
        <v>56</v>
      </c>
    </row>
    <row r="58">
      <c r="A58" s="4"/>
      <c r="B58" s="10" t="s">
        <v>58</v>
      </c>
    </row>
    <row r="59">
      <c r="A59" s="4"/>
      <c r="B59" s="10" t="s">
        <v>391</v>
      </c>
    </row>
    <row r="60">
      <c r="A60" s="4"/>
      <c r="B60" s="10" t="s">
        <v>62</v>
      </c>
    </row>
    <row r="61">
      <c r="A61" s="4"/>
      <c r="B61" s="10" t="s">
        <v>69</v>
      </c>
    </row>
    <row r="62">
      <c r="A62" s="4"/>
      <c r="B62" s="10" t="s">
        <v>71</v>
      </c>
    </row>
    <row r="63">
      <c r="A63" s="4"/>
      <c r="B63" s="10" t="s">
        <v>75</v>
      </c>
    </row>
    <row r="64">
      <c r="A64" s="4"/>
      <c r="B64" s="10" t="s">
        <v>79</v>
      </c>
    </row>
    <row r="65">
      <c r="A65" s="4"/>
      <c r="B65" s="10" t="s">
        <v>395</v>
      </c>
    </row>
    <row r="66">
      <c r="A66" s="4"/>
      <c r="B66" s="10" t="s">
        <v>152</v>
      </c>
    </row>
    <row r="67">
      <c r="A67" s="3">
        <v>100.0</v>
      </c>
      <c r="B67" s="10" t="s">
        <v>1</v>
      </c>
    </row>
  </sheetData>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6"/>
    <hyperlink r:id="rId15" ref="B17"/>
    <hyperlink r:id="rId16" ref="B18"/>
    <hyperlink r:id="rId17" ref="B19"/>
    <hyperlink r:id="rId18" ref="B20"/>
    <hyperlink r:id="rId19" ref="B21"/>
    <hyperlink r:id="rId20" ref="B22"/>
    <hyperlink r:id="rId21" ref="B23"/>
    <hyperlink r:id="rId22" ref="B24"/>
    <hyperlink r:id="rId23" ref="B25"/>
    <hyperlink r:id="rId24" ref="B26"/>
    <hyperlink r:id="rId25" ref="B27"/>
    <hyperlink r:id="rId26" ref="B28"/>
    <hyperlink r:id="rId27" ref="B29"/>
    <hyperlink r:id="rId28" ref="B30"/>
    <hyperlink r:id="rId29" ref="B31"/>
    <hyperlink r:id="rId30" ref="B32"/>
    <hyperlink r:id="rId31" ref="B33"/>
    <hyperlink r:id="rId32" ref="B34"/>
    <hyperlink r:id="rId33" ref="B35"/>
    <hyperlink r:id="rId34" ref="B36"/>
    <hyperlink r:id="rId35" ref="B37"/>
    <hyperlink r:id="rId36" ref="B38"/>
    <hyperlink r:id="rId37" ref="B39"/>
    <hyperlink r:id="rId38" ref="B40"/>
    <hyperlink r:id="rId39" ref="B41"/>
    <hyperlink r:id="rId40" ref="B42"/>
    <hyperlink r:id="rId41" ref="B43"/>
    <hyperlink r:id="rId42" ref="B44"/>
    <hyperlink r:id="rId43" ref="B45"/>
    <hyperlink r:id="rId44" ref="B46"/>
    <hyperlink r:id="rId45" ref="B47"/>
    <hyperlink r:id="rId46" ref="B48"/>
    <hyperlink r:id="rId47" ref="B49"/>
    <hyperlink r:id="rId48" ref="B50"/>
    <hyperlink r:id="rId49" ref="B51"/>
    <hyperlink r:id="rId50" ref="B52"/>
    <hyperlink r:id="rId51" ref="B53"/>
    <hyperlink r:id="rId52" ref="B54"/>
    <hyperlink r:id="rId53" ref="B55"/>
    <hyperlink r:id="rId54" ref="B56"/>
    <hyperlink r:id="rId55" ref="B57"/>
    <hyperlink r:id="rId56" ref="B58"/>
    <hyperlink r:id="rId57" ref="B59"/>
    <hyperlink r:id="rId58" ref="B60"/>
    <hyperlink r:id="rId59" ref="B61"/>
    <hyperlink r:id="rId60" ref="B62"/>
    <hyperlink r:id="rId61" ref="B63"/>
    <hyperlink r:id="rId62" ref="B64"/>
    <hyperlink r:id="rId63" ref="B65"/>
    <hyperlink r:id="rId64" ref="B66"/>
    <hyperlink r:id="rId65" ref="B67"/>
  </hyperlinks>
  <drawing r:id="rId66"/>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2.5"/>
    <col customWidth="1" min="2" max="2" width="21.0"/>
    <col customWidth="1" min="3" max="3" width="8.63"/>
    <col customWidth="1" min="4" max="4" width="3.0"/>
    <col customWidth="1" min="5" max="5" width="7.88"/>
    <col customWidth="1" min="6" max="6" width="7.25"/>
    <col customWidth="1" min="7" max="7" width="6.88"/>
    <col customWidth="1" min="8" max="8" width="6.38"/>
  </cols>
  <sheetData>
    <row r="1">
      <c r="A1" s="108" t="s">
        <v>0</v>
      </c>
      <c r="B1" s="109" t="s">
        <v>3</v>
      </c>
      <c r="C1" s="8" t="s">
        <v>4</v>
      </c>
      <c r="D1" s="8" t="s">
        <v>7</v>
      </c>
      <c r="E1" s="110">
        <v>0.0</v>
      </c>
      <c r="F1" s="110" t="s">
        <v>472</v>
      </c>
      <c r="G1" s="110" t="s">
        <v>473</v>
      </c>
      <c r="H1" s="110" t="s">
        <v>474</v>
      </c>
    </row>
    <row r="2">
      <c r="A2" s="18">
        <v>2.0</v>
      </c>
      <c r="B2" s="111" t="s">
        <v>11</v>
      </c>
      <c r="C2" s="112" t="s">
        <v>42</v>
      </c>
      <c r="D2" s="113">
        <v>60.0</v>
      </c>
      <c r="E2" s="113" t="s">
        <v>475</v>
      </c>
      <c r="F2" s="113" t="s">
        <v>476</v>
      </c>
      <c r="G2" s="113" t="s">
        <v>477</v>
      </c>
      <c r="H2" s="113" t="s">
        <v>477</v>
      </c>
    </row>
    <row r="3">
      <c r="A3" s="18">
        <v>2.0</v>
      </c>
      <c r="B3" s="111" t="s">
        <v>11</v>
      </c>
      <c r="C3" s="112" t="s">
        <v>84</v>
      </c>
      <c r="D3" s="113">
        <v>60.0</v>
      </c>
      <c r="E3" s="113" t="s">
        <v>478</v>
      </c>
      <c r="F3" s="113" t="s">
        <v>479</v>
      </c>
      <c r="G3" s="113" t="s">
        <v>477</v>
      </c>
      <c r="H3" s="113" t="s">
        <v>477</v>
      </c>
    </row>
    <row r="4">
      <c r="A4" s="18">
        <v>5.0</v>
      </c>
      <c r="B4" s="111" t="s">
        <v>22</v>
      </c>
      <c r="C4" s="112" t="s">
        <v>42</v>
      </c>
      <c r="D4" s="113">
        <v>35.0</v>
      </c>
      <c r="E4" s="113" t="s">
        <v>480</v>
      </c>
      <c r="F4" s="113" t="s">
        <v>481</v>
      </c>
      <c r="G4" s="113" t="s">
        <v>482</v>
      </c>
      <c r="H4" s="113" t="s">
        <v>483</v>
      </c>
    </row>
    <row r="5">
      <c r="A5" s="18">
        <v>5.0</v>
      </c>
      <c r="B5" s="111" t="s">
        <v>22</v>
      </c>
      <c r="C5" s="112" t="s">
        <v>84</v>
      </c>
      <c r="D5" s="113">
        <v>70.0</v>
      </c>
      <c r="E5" s="113" t="s">
        <v>484</v>
      </c>
      <c r="F5" s="113" t="s">
        <v>485</v>
      </c>
      <c r="G5" s="113" t="s">
        <v>486</v>
      </c>
      <c r="H5" s="113" t="s">
        <v>487</v>
      </c>
    </row>
    <row r="6">
      <c r="A6" s="18">
        <v>11.0</v>
      </c>
      <c r="B6" s="111" t="s">
        <v>37</v>
      </c>
      <c r="C6" s="112" t="s">
        <v>42</v>
      </c>
      <c r="D6" s="113">
        <v>22.0</v>
      </c>
      <c r="E6" s="113" t="s">
        <v>488</v>
      </c>
      <c r="F6" s="113" t="s">
        <v>489</v>
      </c>
      <c r="G6" s="113" t="s">
        <v>477</v>
      </c>
      <c r="H6" s="113" t="s">
        <v>477</v>
      </c>
    </row>
    <row r="7">
      <c r="A7" s="18">
        <v>11.0</v>
      </c>
      <c r="B7" s="111" t="s">
        <v>37</v>
      </c>
      <c r="C7" s="112" t="s">
        <v>84</v>
      </c>
      <c r="D7" s="112">
        <v>22.0</v>
      </c>
      <c r="E7" s="113" t="s">
        <v>490</v>
      </c>
      <c r="F7" s="113" t="s">
        <v>489</v>
      </c>
      <c r="G7" s="113" t="s">
        <v>491</v>
      </c>
      <c r="H7" s="113" t="s">
        <v>477</v>
      </c>
    </row>
    <row r="8">
      <c r="A8" s="18">
        <v>12.0</v>
      </c>
      <c r="B8" s="111" t="s">
        <v>39</v>
      </c>
      <c r="C8" s="112" t="s">
        <v>84</v>
      </c>
      <c r="D8" s="113">
        <v>62.0</v>
      </c>
      <c r="E8" s="113" t="s">
        <v>492</v>
      </c>
      <c r="F8" s="113" t="s">
        <v>493</v>
      </c>
      <c r="G8" s="113" t="s">
        <v>494</v>
      </c>
      <c r="H8" s="113" t="s">
        <v>477</v>
      </c>
    </row>
    <row r="9">
      <c r="A9" s="18">
        <v>12.0</v>
      </c>
      <c r="B9" s="111" t="s">
        <v>39</v>
      </c>
      <c r="C9" s="112" t="s">
        <v>186</v>
      </c>
      <c r="D9" s="113">
        <v>62.0</v>
      </c>
      <c r="E9" s="113" t="s">
        <v>495</v>
      </c>
      <c r="F9" s="113" t="s">
        <v>496</v>
      </c>
      <c r="G9" s="113" t="s">
        <v>477</v>
      </c>
      <c r="H9" s="113" t="s">
        <v>477</v>
      </c>
    </row>
    <row r="10">
      <c r="A10" s="114">
        <v>13.0</v>
      </c>
      <c r="B10" s="111" t="s">
        <v>43</v>
      </c>
      <c r="C10" s="112" t="s">
        <v>42</v>
      </c>
      <c r="D10" s="113">
        <v>60.0</v>
      </c>
      <c r="E10" s="113" t="s">
        <v>497</v>
      </c>
      <c r="F10" s="113" t="s">
        <v>498</v>
      </c>
      <c r="G10" s="113" t="s">
        <v>499</v>
      </c>
      <c r="H10" s="113" t="s">
        <v>477</v>
      </c>
    </row>
    <row r="11">
      <c r="A11" s="114">
        <v>13.0</v>
      </c>
      <c r="B11" s="111" t="s">
        <v>43</v>
      </c>
      <c r="C11" s="112" t="s">
        <v>84</v>
      </c>
      <c r="D11" s="113">
        <v>86.0</v>
      </c>
      <c r="E11" s="113" t="s">
        <v>500</v>
      </c>
      <c r="F11" s="113" t="s">
        <v>501</v>
      </c>
      <c r="G11" s="113" t="s">
        <v>502</v>
      </c>
      <c r="H11" s="113" t="s">
        <v>503</v>
      </c>
    </row>
    <row r="12">
      <c r="A12" s="18">
        <v>25.0</v>
      </c>
      <c r="B12" s="111" t="s">
        <v>58</v>
      </c>
      <c r="C12" s="112" t="s">
        <v>42</v>
      </c>
      <c r="D12" s="113">
        <v>42.0</v>
      </c>
      <c r="E12" s="113" t="s">
        <v>504</v>
      </c>
      <c r="F12" s="113" t="s">
        <v>505</v>
      </c>
      <c r="G12" s="113" t="s">
        <v>477</v>
      </c>
      <c r="H12" s="113" t="s">
        <v>477</v>
      </c>
    </row>
    <row r="13">
      <c r="A13" s="18">
        <v>25.0</v>
      </c>
      <c r="B13" s="111" t="s">
        <v>58</v>
      </c>
      <c r="C13" s="112" t="s">
        <v>84</v>
      </c>
      <c r="D13" s="113">
        <v>47.0</v>
      </c>
      <c r="E13" s="113" t="s">
        <v>506</v>
      </c>
      <c r="F13" s="113" t="s">
        <v>507</v>
      </c>
      <c r="G13" s="113" t="s">
        <v>477</v>
      </c>
      <c r="H13" s="113" t="s">
        <v>477</v>
      </c>
    </row>
    <row r="14">
      <c r="A14" s="18">
        <v>26.0</v>
      </c>
      <c r="B14" s="111" t="s">
        <v>60</v>
      </c>
      <c r="C14" s="112" t="s">
        <v>42</v>
      </c>
      <c r="D14" s="113">
        <v>42.0</v>
      </c>
      <c r="E14" s="113" t="s">
        <v>508</v>
      </c>
      <c r="F14" s="113" t="s">
        <v>509</v>
      </c>
      <c r="G14" s="113" t="s">
        <v>477</v>
      </c>
      <c r="H14" s="113" t="s">
        <v>477</v>
      </c>
    </row>
    <row r="15">
      <c r="A15" s="18">
        <v>26.0</v>
      </c>
      <c r="B15" s="111" t="s">
        <v>60</v>
      </c>
      <c r="C15" s="112" t="s">
        <v>84</v>
      </c>
      <c r="D15" s="113">
        <v>47.0</v>
      </c>
      <c r="E15" s="113" t="s">
        <v>510</v>
      </c>
      <c r="F15" s="113" t="s">
        <v>511</v>
      </c>
      <c r="G15" s="113" t="s">
        <v>477</v>
      </c>
      <c r="H15" s="113" t="s">
        <v>477</v>
      </c>
    </row>
    <row r="16">
      <c r="A16" s="18">
        <v>32.0</v>
      </c>
      <c r="B16" s="111" t="s">
        <v>65</v>
      </c>
      <c r="C16" s="112" t="s">
        <v>42</v>
      </c>
      <c r="D16" s="113">
        <v>31.0</v>
      </c>
      <c r="E16" s="113" t="s">
        <v>512</v>
      </c>
      <c r="F16" s="113" t="s">
        <v>513</v>
      </c>
      <c r="G16" s="113" t="s">
        <v>477</v>
      </c>
      <c r="H16" s="113" t="s">
        <v>514</v>
      </c>
    </row>
    <row r="17">
      <c r="A17" s="18">
        <v>32.0</v>
      </c>
      <c r="B17" s="111" t="s">
        <v>65</v>
      </c>
      <c r="C17" s="112" t="s">
        <v>84</v>
      </c>
      <c r="D17" s="113">
        <v>31.0</v>
      </c>
      <c r="E17" s="113" t="s">
        <v>515</v>
      </c>
      <c r="F17" s="113" t="s">
        <v>516</v>
      </c>
      <c r="G17" s="113" t="s">
        <v>514</v>
      </c>
      <c r="H17" s="113" t="s">
        <v>517</v>
      </c>
    </row>
    <row r="18">
      <c r="A18" s="18">
        <v>33.0</v>
      </c>
      <c r="B18" s="111" t="s">
        <v>67</v>
      </c>
      <c r="C18" s="112" t="s">
        <v>42</v>
      </c>
      <c r="D18" s="113">
        <v>37.0</v>
      </c>
      <c r="E18" s="113" t="s">
        <v>518</v>
      </c>
      <c r="F18" s="113" t="s">
        <v>519</v>
      </c>
      <c r="G18" s="113" t="s">
        <v>477</v>
      </c>
      <c r="H18" s="113" t="s">
        <v>477</v>
      </c>
    </row>
    <row r="19">
      <c r="A19" s="18">
        <v>33.0</v>
      </c>
      <c r="B19" s="111" t="s">
        <v>67</v>
      </c>
      <c r="C19" s="112" t="s">
        <v>84</v>
      </c>
      <c r="D19" s="113">
        <v>37.0</v>
      </c>
      <c r="E19" s="113" t="s">
        <v>518</v>
      </c>
      <c r="F19" s="113" t="s">
        <v>520</v>
      </c>
      <c r="G19" s="113" t="s">
        <v>517</v>
      </c>
      <c r="H19" s="113" t="s">
        <v>477</v>
      </c>
    </row>
    <row r="20">
      <c r="A20" s="18">
        <v>34.0</v>
      </c>
      <c r="B20" s="111" t="s">
        <v>69</v>
      </c>
      <c r="C20" s="112" t="s">
        <v>42</v>
      </c>
      <c r="D20" s="113">
        <v>30.0</v>
      </c>
      <c r="E20" s="113" t="s">
        <v>521</v>
      </c>
      <c r="F20" s="113" t="s">
        <v>522</v>
      </c>
      <c r="G20" s="113" t="s">
        <v>523</v>
      </c>
      <c r="H20" s="113" t="s">
        <v>477</v>
      </c>
    </row>
    <row r="21">
      <c r="A21" s="18">
        <v>34.0</v>
      </c>
      <c r="B21" s="111" t="s">
        <v>69</v>
      </c>
      <c r="C21" s="112" t="s">
        <v>84</v>
      </c>
      <c r="D21" s="113">
        <v>29.0</v>
      </c>
      <c r="E21" s="113" t="s">
        <v>524</v>
      </c>
      <c r="F21" s="113" t="s">
        <v>525</v>
      </c>
      <c r="G21" s="113" t="s">
        <v>526</v>
      </c>
      <c r="H21" s="113" t="s">
        <v>517</v>
      </c>
    </row>
    <row r="22">
      <c r="A22" s="18">
        <v>36.0</v>
      </c>
      <c r="B22" s="111" t="s">
        <v>73</v>
      </c>
      <c r="C22" s="112" t="s">
        <v>84</v>
      </c>
      <c r="D22" s="113">
        <v>26.0</v>
      </c>
      <c r="E22" s="113" t="s">
        <v>527</v>
      </c>
      <c r="F22" s="113" t="s">
        <v>477</v>
      </c>
      <c r="G22" s="113" t="s">
        <v>477</v>
      </c>
      <c r="H22" s="113" t="s">
        <v>477</v>
      </c>
    </row>
    <row r="23">
      <c r="A23" s="18">
        <v>36.0</v>
      </c>
      <c r="B23" s="111" t="s">
        <v>73</v>
      </c>
      <c r="C23" s="112" t="s">
        <v>200</v>
      </c>
      <c r="D23" s="113">
        <v>23.0</v>
      </c>
      <c r="E23" s="113" t="s">
        <v>528</v>
      </c>
      <c r="F23" s="113" t="s">
        <v>477</v>
      </c>
      <c r="G23" s="113" t="s">
        <v>477</v>
      </c>
      <c r="H23" s="113" t="s">
        <v>477</v>
      </c>
    </row>
    <row r="24">
      <c r="A24" s="18">
        <v>37.0</v>
      </c>
      <c r="B24" s="111" t="s">
        <v>75</v>
      </c>
      <c r="C24" s="112" t="s">
        <v>42</v>
      </c>
      <c r="D24" s="112">
        <v>40.0</v>
      </c>
      <c r="E24" s="113" t="s">
        <v>529</v>
      </c>
      <c r="F24" s="113" t="s">
        <v>530</v>
      </c>
      <c r="G24" s="113" t="s">
        <v>477</v>
      </c>
      <c r="H24" s="113" t="s">
        <v>477</v>
      </c>
    </row>
    <row r="25">
      <c r="A25" s="18">
        <v>37.0</v>
      </c>
      <c r="B25" s="111" t="s">
        <v>75</v>
      </c>
      <c r="C25" s="112" t="s">
        <v>84</v>
      </c>
      <c r="D25" s="113">
        <v>45.0</v>
      </c>
      <c r="E25" s="113" t="s">
        <v>531</v>
      </c>
      <c r="F25" s="113" t="s">
        <v>532</v>
      </c>
      <c r="G25" s="113" t="s">
        <v>477</v>
      </c>
      <c r="H25" s="113" t="s">
        <v>477</v>
      </c>
    </row>
    <row r="26">
      <c r="A26" s="18">
        <v>41.0</v>
      </c>
      <c r="B26" s="111" t="s">
        <v>79</v>
      </c>
      <c r="C26" s="112" t="s">
        <v>42</v>
      </c>
      <c r="D26" s="113">
        <v>43.0</v>
      </c>
      <c r="E26" s="113" t="s">
        <v>533</v>
      </c>
      <c r="F26" s="113" t="s">
        <v>534</v>
      </c>
      <c r="G26" s="113" t="s">
        <v>477</v>
      </c>
      <c r="H26" s="113" t="s">
        <v>477</v>
      </c>
    </row>
    <row r="27">
      <c r="A27" s="18">
        <v>41.0</v>
      </c>
      <c r="B27" s="111" t="s">
        <v>79</v>
      </c>
      <c r="C27" s="112" t="s">
        <v>84</v>
      </c>
      <c r="D27" s="113">
        <v>46.0</v>
      </c>
      <c r="E27" s="113" t="s">
        <v>535</v>
      </c>
      <c r="F27" s="113" t="s">
        <v>534</v>
      </c>
      <c r="G27" s="113" t="s">
        <v>477</v>
      </c>
      <c r="H27" s="113" t="s">
        <v>477</v>
      </c>
    </row>
    <row r="28">
      <c r="A28" s="18">
        <v>46.0</v>
      </c>
      <c r="B28" s="111" t="s">
        <v>90</v>
      </c>
      <c r="C28" s="112" t="s">
        <v>42</v>
      </c>
      <c r="D28" s="113">
        <v>15.0</v>
      </c>
      <c r="E28" s="113" t="s">
        <v>536</v>
      </c>
      <c r="F28" s="113" t="s">
        <v>537</v>
      </c>
      <c r="G28" s="113" t="s">
        <v>477</v>
      </c>
      <c r="H28" s="113" t="s">
        <v>477</v>
      </c>
    </row>
    <row r="29">
      <c r="A29" s="18">
        <v>46.0</v>
      </c>
      <c r="B29" s="111" t="s">
        <v>90</v>
      </c>
      <c r="C29" s="112" t="s">
        <v>84</v>
      </c>
      <c r="D29" s="113">
        <v>13.0</v>
      </c>
      <c r="E29" s="113" t="s">
        <v>538</v>
      </c>
      <c r="F29" s="113" t="s">
        <v>539</v>
      </c>
      <c r="G29" s="113" t="s">
        <v>477</v>
      </c>
      <c r="H29" s="113" t="s">
        <v>477</v>
      </c>
    </row>
    <row r="30">
      <c r="A30" s="18">
        <v>47.0</v>
      </c>
      <c r="B30" s="111" t="s">
        <v>91</v>
      </c>
      <c r="C30" s="112" t="s">
        <v>84</v>
      </c>
      <c r="D30" s="113">
        <v>54.0</v>
      </c>
      <c r="E30" s="113" t="s">
        <v>540</v>
      </c>
      <c r="F30" s="113" t="s">
        <v>541</v>
      </c>
      <c r="G30" s="113" t="s">
        <v>477</v>
      </c>
      <c r="H30" s="113" t="s">
        <v>494</v>
      </c>
    </row>
    <row r="31">
      <c r="A31" s="18">
        <v>47.0</v>
      </c>
      <c r="B31" s="111" t="s">
        <v>91</v>
      </c>
      <c r="C31" s="112" t="s">
        <v>205</v>
      </c>
      <c r="D31" s="113">
        <v>48.0</v>
      </c>
      <c r="E31" s="113" t="s">
        <v>542</v>
      </c>
      <c r="F31" s="113" t="s">
        <v>543</v>
      </c>
      <c r="G31" s="113" t="s">
        <v>544</v>
      </c>
      <c r="H31" s="113" t="s">
        <v>544</v>
      </c>
    </row>
    <row r="32">
      <c r="A32" s="18">
        <v>51.0</v>
      </c>
      <c r="B32" s="111" t="s">
        <v>96</v>
      </c>
      <c r="C32" s="112" t="s">
        <v>84</v>
      </c>
      <c r="D32" s="112">
        <v>32.0</v>
      </c>
      <c r="E32" s="113" t="s">
        <v>545</v>
      </c>
      <c r="F32" s="113" t="s">
        <v>546</v>
      </c>
      <c r="G32" s="113" t="s">
        <v>477</v>
      </c>
      <c r="H32" s="113" t="s">
        <v>477</v>
      </c>
    </row>
    <row r="33">
      <c r="A33" s="18">
        <v>51.0</v>
      </c>
      <c r="B33" s="111" t="s">
        <v>96</v>
      </c>
      <c r="C33" s="112" t="s">
        <v>205</v>
      </c>
      <c r="D33" s="112">
        <v>32.0</v>
      </c>
      <c r="E33" s="113" t="s">
        <v>547</v>
      </c>
      <c r="F33" s="113" t="s">
        <v>548</v>
      </c>
      <c r="G33" s="113" t="s">
        <v>517</v>
      </c>
      <c r="H33" s="113" t="s">
        <v>477</v>
      </c>
    </row>
    <row r="34">
      <c r="A34" s="18">
        <v>53.0</v>
      </c>
      <c r="B34" s="111" t="s">
        <v>102</v>
      </c>
      <c r="C34" s="112" t="s">
        <v>84</v>
      </c>
      <c r="D34" s="112">
        <v>49.0</v>
      </c>
      <c r="E34" s="113" t="s">
        <v>549</v>
      </c>
      <c r="F34" s="113" t="s">
        <v>550</v>
      </c>
      <c r="G34" s="113" t="s">
        <v>477</v>
      </c>
      <c r="H34" s="113" t="s">
        <v>477</v>
      </c>
    </row>
    <row r="35">
      <c r="A35" s="18">
        <v>53.0</v>
      </c>
      <c r="B35" s="111" t="s">
        <v>102</v>
      </c>
      <c r="C35" s="112" t="s">
        <v>200</v>
      </c>
      <c r="D35" s="112">
        <v>47.0</v>
      </c>
      <c r="E35" s="113" t="s">
        <v>551</v>
      </c>
      <c r="F35" s="113" t="s">
        <v>552</v>
      </c>
      <c r="G35" s="113" t="s">
        <v>477</v>
      </c>
      <c r="H35" s="113" t="s">
        <v>477</v>
      </c>
    </row>
    <row r="36">
      <c r="A36" s="18">
        <v>70.0</v>
      </c>
      <c r="B36" s="111" t="s">
        <v>121</v>
      </c>
      <c r="C36" s="112" t="s">
        <v>84</v>
      </c>
      <c r="D36" s="112">
        <v>33.0</v>
      </c>
      <c r="E36" s="113" t="s">
        <v>553</v>
      </c>
      <c r="F36" s="113" t="s">
        <v>554</v>
      </c>
      <c r="G36" s="113" t="s">
        <v>517</v>
      </c>
      <c r="H36" s="113" t="s">
        <v>477</v>
      </c>
    </row>
    <row r="37">
      <c r="A37" s="18">
        <v>70.0</v>
      </c>
      <c r="B37" s="111" t="s">
        <v>121</v>
      </c>
      <c r="C37" s="112" t="s">
        <v>246</v>
      </c>
      <c r="D37" s="112">
        <v>32.0</v>
      </c>
      <c r="E37" s="113" t="s">
        <v>555</v>
      </c>
      <c r="F37" s="113" t="s">
        <v>548</v>
      </c>
      <c r="G37" s="113" t="s">
        <v>481</v>
      </c>
      <c r="H37" s="113" t="s">
        <v>477</v>
      </c>
    </row>
    <row r="38">
      <c r="A38" s="18">
        <v>76.0</v>
      </c>
      <c r="B38" s="111" t="s">
        <v>125</v>
      </c>
      <c r="C38" s="112" t="s">
        <v>42</v>
      </c>
      <c r="D38" s="112">
        <v>53.0</v>
      </c>
      <c r="E38" s="113" t="s">
        <v>556</v>
      </c>
      <c r="F38" s="113" t="s">
        <v>541</v>
      </c>
      <c r="G38" s="113" t="s">
        <v>477</v>
      </c>
      <c r="H38" s="113" t="s">
        <v>477</v>
      </c>
    </row>
    <row r="39">
      <c r="A39" s="18">
        <v>76.0</v>
      </c>
      <c r="B39" s="111" t="s">
        <v>125</v>
      </c>
      <c r="C39" s="112" t="s">
        <v>84</v>
      </c>
      <c r="D39" s="112">
        <v>58.0</v>
      </c>
      <c r="E39" s="113" t="s">
        <v>557</v>
      </c>
      <c r="F39" s="113" t="s">
        <v>558</v>
      </c>
      <c r="G39" s="113" t="s">
        <v>477</v>
      </c>
      <c r="H39" s="113" t="s">
        <v>477</v>
      </c>
    </row>
    <row r="40">
      <c r="A40" s="18">
        <v>82.0</v>
      </c>
      <c r="B40" s="111" t="s">
        <v>130</v>
      </c>
      <c r="C40" s="112" t="s">
        <v>42</v>
      </c>
      <c r="D40" s="112">
        <v>24.0</v>
      </c>
      <c r="E40" s="113" t="s">
        <v>559</v>
      </c>
      <c r="F40" s="113" t="s">
        <v>560</v>
      </c>
      <c r="G40" s="113" t="s">
        <v>477</v>
      </c>
      <c r="H40" s="113" t="s">
        <v>477</v>
      </c>
    </row>
    <row r="41">
      <c r="A41" s="18">
        <v>82.0</v>
      </c>
      <c r="B41" s="111" t="s">
        <v>130</v>
      </c>
      <c r="C41" s="112" t="s">
        <v>84</v>
      </c>
      <c r="D41" s="112">
        <v>24.0</v>
      </c>
      <c r="E41" s="113" t="s">
        <v>561</v>
      </c>
      <c r="F41" s="113" t="s">
        <v>562</v>
      </c>
      <c r="G41" s="113" t="s">
        <v>477</v>
      </c>
      <c r="H41" s="113" t="s">
        <v>477</v>
      </c>
    </row>
    <row r="42">
      <c r="A42" s="18">
        <v>97.0</v>
      </c>
      <c r="B42" s="111" t="s">
        <v>149</v>
      </c>
      <c r="C42" s="112" t="s">
        <v>84</v>
      </c>
      <c r="D42" s="112">
        <v>36.0</v>
      </c>
      <c r="E42" s="113" t="s">
        <v>563</v>
      </c>
      <c r="F42" s="113" t="s">
        <v>519</v>
      </c>
      <c r="G42" s="113" t="s">
        <v>517</v>
      </c>
      <c r="H42" s="113" t="s">
        <v>477</v>
      </c>
    </row>
    <row r="43">
      <c r="A43" s="18">
        <v>97.0</v>
      </c>
      <c r="B43" s="111" t="s">
        <v>149</v>
      </c>
      <c r="C43" s="112" t="s">
        <v>200</v>
      </c>
      <c r="D43" s="112">
        <v>33.0</v>
      </c>
      <c r="E43" s="113" t="s">
        <v>564</v>
      </c>
      <c r="F43" s="113" t="s">
        <v>477</v>
      </c>
      <c r="G43" s="113" t="s">
        <v>477</v>
      </c>
      <c r="H43" s="113" t="s">
        <v>477</v>
      </c>
    </row>
    <row r="44">
      <c r="A44" s="18">
        <v>98.0</v>
      </c>
      <c r="B44" s="111" t="s">
        <v>152</v>
      </c>
      <c r="C44" s="112" t="s">
        <v>84</v>
      </c>
      <c r="D44" s="112">
        <v>68.0</v>
      </c>
      <c r="E44" s="113" t="s">
        <v>565</v>
      </c>
      <c r="F44" s="113" t="s">
        <v>566</v>
      </c>
      <c r="G44" s="113" t="s">
        <v>567</v>
      </c>
      <c r="H44" s="113" t="s">
        <v>477</v>
      </c>
    </row>
    <row r="45">
      <c r="A45" s="18">
        <v>98.0</v>
      </c>
      <c r="B45" s="111" t="s">
        <v>152</v>
      </c>
      <c r="C45" s="112" t="s">
        <v>205</v>
      </c>
      <c r="D45" s="112">
        <v>64.0</v>
      </c>
      <c r="E45" s="113" t="s">
        <v>568</v>
      </c>
      <c r="F45" s="113" t="s">
        <v>569</v>
      </c>
      <c r="G45" s="113" t="s">
        <v>494</v>
      </c>
      <c r="H45" s="113" t="s">
        <v>567</v>
      </c>
    </row>
    <row r="46">
      <c r="B46" s="115"/>
    </row>
    <row r="47">
      <c r="B47" s="115"/>
    </row>
    <row r="48">
      <c r="B48" s="115"/>
    </row>
    <row r="49">
      <c r="B49" s="115"/>
    </row>
    <row r="50">
      <c r="B50" s="115"/>
    </row>
    <row r="51">
      <c r="B51" s="115"/>
    </row>
    <row r="52">
      <c r="B52" s="115"/>
    </row>
    <row r="53">
      <c r="B53" s="115"/>
    </row>
    <row r="54">
      <c r="B54" s="115"/>
    </row>
    <row r="55">
      <c r="B55" s="115"/>
    </row>
    <row r="56">
      <c r="B56" s="115"/>
    </row>
    <row r="57">
      <c r="B57" s="115"/>
    </row>
    <row r="58">
      <c r="B58" s="115"/>
    </row>
    <row r="59">
      <c r="B59" s="115"/>
    </row>
    <row r="60">
      <c r="B60" s="115"/>
    </row>
    <row r="61">
      <c r="B61" s="115"/>
    </row>
    <row r="62">
      <c r="B62" s="115"/>
    </row>
    <row r="63">
      <c r="B63" s="115"/>
    </row>
    <row r="64">
      <c r="B64" s="115"/>
    </row>
    <row r="65">
      <c r="B65" s="115"/>
    </row>
    <row r="66">
      <c r="B66" s="115"/>
    </row>
    <row r="67">
      <c r="B67" s="115"/>
    </row>
    <row r="68">
      <c r="B68" s="115"/>
    </row>
    <row r="69">
      <c r="B69" s="115"/>
    </row>
    <row r="70">
      <c r="B70" s="115"/>
    </row>
    <row r="71">
      <c r="B71" s="115"/>
    </row>
    <row r="72">
      <c r="B72" s="115"/>
    </row>
    <row r="73">
      <c r="B73" s="115"/>
    </row>
    <row r="74">
      <c r="B74" s="115"/>
    </row>
    <row r="75">
      <c r="B75" s="115"/>
    </row>
    <row r="76">
      <c r="B76" s="115"/>
    </row>
    <row r="77">
      <c r="B77" s="115"/>
    </row>
    <row r="78">
      <c r="B78" s="115"/>
    </row>
    <row r="79">
      <c r="B79" s="115"/>
    </row>
    <row r="80">
      <c r="B80" s="115"/>
    </row>
    <row r="81">
      <c r="B81" s="115"/>
    </row>
    <row r="82">
      <c r="B82" s="115"/>
    </row>
    <row r="83">
      <c r="B83" s="115"/>
    </row>
    <row r="84">
      <c r="B84" s="115"/>
    </row>
    <row r="85">
      <c r="B85" s="115"/>
    </row>
    <row r="86">
      <c r="B86" s="115"/>
    </row>
    <row r="87">
      <c r="B87" s="115"/>
    </row>
    <row r="88">
      <c r="B88" s="115"/>
    </row>
    <row r="89">
      <c r="B89" s="115"/>
    </row>
    <row r="90">
      <c r="B90" s="115"/>
    </row>
    <row r="91">
      <c r="B91" s="115"/>
    </row>
    <row r="92">
      <c r="B92" s="115"/>
    </row>
    <row r="93">
      <c r="B93" s="115"/>
    </row>
    <row r="94">
      <c r="B94" s="115"/>
    </row>
    <row r="95">
      <c r="B95" s="115"/>
    </row>
    <row r="96">
      <c r="B96" s="115"/>
    </row>
    <row r="97">
      <c r="B97" s="115"/>
    </row>
    <row r="98">
      <c r="B98" s="115"/>
    </row>
    <row r="99">
      <c r="B99" s="115"/>
    </row>
    <row r="100">
      <c r="B100" s="115"/>
    </row>
    <row r="101">
      <c r="B101" s="115"/>
    </row>
    <row r="102">
      <c r="B102" s="115"/>
    </row>
    <row r="103">
      <c r="B103" s="115"/>
    </row>
    <row r="104">
      <c r="B104" s="115"/>
    </row>
    <row r="105">
      <c r="B105" s="115"/>
    </row>
    <row r="106">
      <c r="B106" s="115"/>
    </row>
    <row r="107">
      <c r="B107" s="115"/>
    </row>
    <row r="108">
      <c r="B108" s="115"/>
    </row>
    <row r="109">
      <c r="B109" s="115"/>
    </row>
    <row r="110">
      <c r="B110" s="115"/>
    </row>
    <row r="111">
      <c r="B111" s="115"/>
    </row>
    <row r="112">
      <c r="B112" s="115"/>
    </row>
    <row r="113">
      <c r="B113" s="115"/>
    </row>
    <row r="114">
      <c r="B114" s="115"/>
    </row>
    <row r="115">
      <c r="B115" s="115"/>
    </row>
    <row r="116">
      <c r="B116" s="115"/>
    </row>
    <row r="117">
      <c r="B117" s="115"/>
    </row>
    <row r="118">
      <c r="B118" s="115"/>
    </row>
    <row r="119">
      <c r="B119" s="115"/>
    </row>
    <row r="120">
      <c r="B120" s="115"/>
    </row>
    <row r="121">
      <c r="B121" s="115"/>
    </row>
    <row r="122">
      <c r="B122" s="115"/>
    </row>
    <row r="123">
      <c r="B123" s="115"/>
    </row>
    <row r="124">
      <c r="B124" s="115"/>
    </row>
    <row r="125">
      <c r="B125" s="115"/>
    </row>
    <row r="126">
      <c r="B126" s="115"/>
    </row>
    <row r="127">
      <c r="B127" s="115"/>
    </row>
    <row r="128">
      <c r="B128" s="115"/>
    </row>
    <row r="129">
      <c r="B129" s="115"/>
    </row>
    <row r="130">
      <c r="B130" s="115"/>
    </row>
    <row r="131">
      <c r="B131" s="115"/>
    </row>
    <row r="132">
      <c r="B132" s="115"/>
    </row>
    <row r="133">
      <c r="B133" s="115"/>
    </row>
    <row r="134">
      <c r="B134" s="115"/>
    </row>
    <row r="135">
      <c r="B135" s="115"/>
    </row>
    <row r="136">
      <c r="B136" s="115"/>
    </row>
    <row r="137">
      <c r="B137" s="115"/>
    </row>
    <row r="138">
      <c r="B138" s="115"/>
    </row>
    <row r="139">
      <c r="B139" s="115"/>
    </row>
    <row r="140">
      <c r="B140" s="115"/>
    </row>
    <row r="141">
      <c r="B141" s="115"/>
    </row>
    <row r="142">
      <c r="B142" s="115"/>
    </row>
    <row r="143">
      <c r="B143" s="115"/>
    </row>
    <row r="144">
      <c r="B144" s="115"/>
    </row>
    <row r="145">
      <c r="B145" s="115"/>
    </row>
    <row r="146">
      <c r="B146" s="115"/>
    </row>
    <row r="147">
      <c r="B147" s="115"/>
    </row>
    <row r="148">
      <c r="B148" s="115"/>
    </row>
    <row r="149">
      <c r="B149" s="115"/>
    </row>
    <row r="150">
      <c r="B150" s="115"/>
    </row>
    <row r="151">
      <c r="B151" s="115"/>
    </row>
    <row r="152">
      <c r="B152" s="115"/>
    </row>
    <row r="153">
      <c r="B153" s="115"/>
    </row>
    <row r="154">
      <c r="B154" s="115"/>
    </row>
    <row r="155">
      <c r="B155" s="115"/>
    </row>
    <row r="156">
      <c r="B156" s="115"/>
    </row>
    <row r="157">
      <c r="B157" s="115"/>
    </row>
    <row r="158">
      <c r="B158" s="115"/>
    </row>
    <row r="159">
      <c r="B159" s="115"/>
    </row>
    <row r="160">
      <c r="B160" s="115"/>
    </row>
    <row r="161">
      <c r="B161" s="115"/>
    </row>
    <row r="162">
      <c r="B162" s="115"/>
    </row>
    <row r="163">
      <c r="B163" s="115"/>
    </row>
    <row r="164">
      <c r="B164" s="115"/>
    </row>
    <row r="165">
      <c r="B165" s="115"/>
    </row>
    <row r="166">
      <c r="B166" s="115"/>
    </row>
    <row r="167">
      <c r="B167" s="115"/>
    </row>
    <row r="168">
      <c r="B168" s="115"/>
    </row>
    <row r="169">
      <c r="B169" s="115"/>
    </row>
    <row r="170">
      <c r="B170" s="115"/>
    </row>
    <row r="171">
      <c r="B171" s="115"/>
    </row>
    <row r="172">
      <c r="B172" s="115"/>
    </row>
    <row r="173">
      <c r="B173" s="115"/>
    </row>
    <row r="174">
      <c r="B174" s="115"/>
    </row>
    <row r="175">
      <c r="B175" s="115"/>
    </row>
    <row r="176">
      <c r="B176" s="115"/>
    </row>
    <row r="177">
      <c r="B177" s="115"/>
    </row>
    <row r="178">
      <c r="B178" s="115"/>
    </row>
    <row r="179">
      <c r="B179" s="115"/>
    </row>
    <row r="180">
      <c r="B180" s="115"/>
    </row>
    <row r="181">
      <c r="B181" s="115"/>
    </row>
    <row r="182">
      <c r="B182" s="115"/>
    </row>
    <row r="183">
      <c r="B183" s="115"/>
    </row>
    <row r="184">
      <c r="B184" s="115"/>
    </row>
    <row r="185">
      <c r="B185" s="115"/>
    </row>
    <row r="186">
      <c r="B186" s="115"/>
    </row>
    <row r="187">
      <c r="B187" s="115"/>
    </row>
    <row r="188">
      <c r="B188" s="115"/>
    </row>
    <row r="189">
      <c r="B189" s="115"/>
    </row>
    <row r="190">
      <c r="B190" s="115"/>
    </row>
    <row r="191">
      <c r="B191" s="115"/>
    </row>
    <row r="192">
      <c r="B192" s="115"/>
    </row>
    <row r="193">
      <c r="B193" s="115"/>
    </row>
    <row r="194">
      <c r="B194" s="115"/>
    </row>
    <row r="195">
      <c r="B195" s="115"/>
    </row>
    <row r="196">
      <c r="B196" s="115"/>
    </row>
    <row r="197">
      <c r="B197" s="115"/>
    </row>
    <row r="198">
      <c r="B198" s="115"/>
    </row>
    <row r="199">
      <c r="B199" s="115"/>
    </row>
    <row r="200">
      <c r="B200" s="115"/>
    </row>
    <row r="201">
      <c r="B201" s="115"/>
    </row>
    <row r="202">
      <c r="B202" s="115"/>
    </row>
    <row r="203">
      <c r="B203" s="115"/>
    </row>
    <row r="204">
      <c r="B204" s="115"/>
    </row>
    <row r="205">
      <c r="B205" s="115"/>
    </row>
    <row r="206">
      <c r="B206" s="115"/>
    </row>
    <row r="207">
      <c r="B207" s="115"/>
    </row>
    <row r="208">
      <c r="B208" s="115"/>
    </row>
    <row r="209">
      <c r="B209" s="115"/>
    </row>
    <row r="210">
      <c r="B210" s="115"/>
    </row>
    <row r="211">
      <c r="B211" s="115"/>
    </row>
    <row r="212">
      <c r="B212" s="115"/>
    </row>
    <row r="213">
      <c r="B213" s="115"/>
    </row>
    <row r="214">
      <c r="B214" s="115"/>
    </row>
    <row r="215">
      <c r="B215" s="115"/>
    </row>
    <row r="216">
      <c r="B216" s="115"/>
    </row>
    <row r="217">
      <c r="B217" s="115"/>
    </row>
    <row r="218">
      <c r="B218" s="115"/>
    </row>
    <row r="219">
      <c r="B219" s="115"/>
    </row>
    <row r="220">
      <c r="B220" s="115"/>
    </row>
    <row r="221">
      <c r="B221" s="115"/>
    </row>
    <row r="222">
      <c r="B222" s="115"/>
    </row>
    <row r="223">
      <c r="B223" s="115"/>
    </row>
    <row r="224">
      <c r="B224" s="115"/>
    </row>
    <row r="225">
      <c r="B225" s="115"/>
    </row>
    <row r="226">
      <c r="B226" s="115"/>
    </row>
    <row r="227">
      <c r="B227" s="115"/>
    </row>
    <row r="228">
      <c r="B228" s="115"/>
    </row>
    <row r="229">
      <c r="B229" s="115"/>
    </row>
    <row r="230">
      <c r="B230" s="115"/>
    </row>
    <row r="231">
      <c r="B231" s="115"/>
    </row>
    <row r="232">
      <c r="B232" s="115"/>
    </row>
    <row r="233">
      <c r="B233" s="115"/>
    </row>
    <row r="234">
      <c r="B234" s="115"/>
    </row>
    <row r="235">
      <c r="B235" s="115"/>
    </row>
    <row r="236">
      <c r="B236" s="115"/>
    </row>
    <row r="237">
      <c r="B237" s="115"/>
    </row>
    <row r="238">
      <c r="B238" s="115"/>
    </row>
    <row r="239">
      <c r="B239" s="115"/>
    </row>
    <row r="240">
      <c r="B240" s="115"/>
    </row>
    <row r="241">
      <c r="B241" s="115"/>
    </row>
    <row r="242">
      <c r="B242" s="115"/>
    </row>
    <row r="243">
      <c r="B243" s="115"/>
    </row>
    <row r="244">
      <c r="B244" s="115"/>
    </row>
    <row r="245">
      <c r="B245" s="115"/>
    </row>
    <row r="246">
      <c r="B246" s="115"/>
    </row>
    <row r="247">
      <c r="B247" s="115"/>
    </row>
    <row r="248">
      <c r="B248" s="115"/>
    </row>
    <row r="249">
      <c r="B249" s="115"/>
    </row>
    <row r="250">
      <c r="B250" s="115"/>
    </row>
    <row r="251">
      <c r="B251" s="115"/>
    </row>
    <row r="252">
      <c r="B252" s="115"/>
    </row>
    <row r="253">
      <c r="B253" s="115"/>
    </row>
    <row r="254">
      <c r="B254" s="115"/>
    </row>
    <row r="255">
      <c r="B255" s="115"/>
    </row>
    <row r="256">
      <c r="B256" s="115"/>
    </row>
    <row r="257">
      <c r="B257" s="115"/>
    </row>
    <row r="258">
      <c r="B258" s="115"/>
    </row>
    <row r="259">
      <c r="B259" s="115"/>
    </row>
    <row r="260">
      <c r="B260" s="115"/>
    </row>
    <row r="261">
      <c r="B261" s="115"/>
    </row>
    <row r="262">
      <c r="B262" s="115"/>
    </row>
    <row r="263">
      <c r="B263" s="115"/>
    </row>
    <row r="264">
      <c r="B264" s="115"/>
    </row>
    <row r="265">
      <c r="B265" s="115"/>
    </row>
    <row r="266">
      <c r="B266" s="115"/>
    </row>
    <row r="267">
      <c r="B267" s="115"/>
    </row>
    <row r="268">
      <c r="B268" s="115"/>
    </row>
    <row r="269">
      <c r="B269" s="115"/>
    </row>
    <row r="270">
      <c r="B270" s="115"/>
    </row>
    <row r="271">
      <c r="B271" s="115"/>
    </row>
    <row r="272">
      <c r="B272" s="115"/>
    </row>
    <row r="273">
      <c r="B273" s="115"/>
    </row>
    <row r="274">
      <c r="B274" s="115"/>
    </row>
    <row r="275">
      <c r="B275" s="115"/>
    </row>
    <row r="276">
      <c r="B276" s="115"/>
    </row>
    <row r="277">
      <c r="B277" s="115"/>
    </row>
    <row r="278">
      <c r="B278" s="115"/>
    </row>
    <row r="279">
      <c r="B279" s="115"/>
    </row>
    <row r="280">
      <c r="B280" s="115"/>
    </row>
    <row r="281">
      <c r="B281" s="115"/>
    </row>
    <row r="282">
      <c r="B282" s="115"/>
    </row>
    <row r="283">
      <c r="B283" s="115"/>
    </row>
    <row r="284">
      <c r="B284" s="115"/>
    </row>
    <row r="285">
      <c r="B285" s="115"/>
    </row>
    <row r="286">
      <c r="B286" s="115"/>
    </row>
    <row r="287">
      <c r="B287" s="115"/>
    </row>
    <row r="288">
      <c r="B288" s="115"/>
    </row>
    <row r="289">
      <c r="B289" s="115"/>
    </row>
    <row r="290">
      <c r="B290" s="115"/>
    </row>
    <row r="291">
      <c r="B291" s="115"/>
    </row>
    <row r="292">
      <c r="B292" s="115"/>
    </row>
    <row r="293">
      <c r="B293" s="115"/>
    </row>
    <row r="294">
      <c r="B294" s="115"/>
    </row>
    <row r="295">
      <c r="B295" s="115"/>
    </row>
    <row r="296">
      <c r="B296" s="115"/>
    </row>
    <row r="297">
      <c r="B297" s="115"/>
    </row>
    <row r="298">
      <c r="B298" s="115"/>
    </row>
    <row r="299">
      <c r="B299" s="115"/>
    </row>
    <row r="300">
      <c r="B300" s="115"/>
    </row>
    <row r="301">
      <c r="B301" s="115"/>
    </row>
    <row r="302">
      <c r="B302" s="115"/>
    </row>
    <row r="303">
      <c r="B303" s="115"/>
    </row>
    <row r="304">
      <c r="B304" s="115"/>
    </row>
    <row r="305">
      <c r="B305" s="115"/>
    </row>
    <row r="306">
      <c r="B306" s="115"/>
    </row>
    <row r="307">
      <c r="B307" s="115"/>
    </row>
    <row r="308">
      <c r="B308" s="115"/>
    </row>
    <row r="309">
      <c r="B309" s="115"/>
    </row>
    <row r="310">
      <c r="B310" s="115"/>
    </row>
    <row r="311">
      <c r="B311" s="115"/>
    </row>
    <row r="312">
      <c r="B312" s="115"/>
    </row>
    <row r="313">
      <c r="B313" s="115"/>
    </row>
    <row r="314">
      <c r="B314" s="115"/>
    </row>
    <row r="315">
      <c r="B315" s="115"/>
    </row>
    <row r="316">
      <c r="B316" s="115"/>
    </row>
    <row r="317">
      <c r="B317" s="115"/>
    </row>
    <row r="318">
      <c r="B318" s="115"/>
    </row>
    <row r="319">
      <c r="B319" s="115"/>
    </row>
    <row r="320">
      <c r="B320" s="115"/>
    </row>
    <row r="321">
      <c r="B321" s="115"/>
    </row>
    <row r="322">
      <c r="B322" s="115"/>
    </row>
    <row r="323">
      <c r="B323" s="115"/>
    </row>
    <row r="324">
      <c r="B324" s="115"/>
    </row>
    <row r="325">
      <c r="B325" s="115"/>
    </row>
    <row r="326">
      <c r="B326" s="115"/>
    </row>
    <row r="327">
      <c r="B327" s="115"/>
    </row>
    <row r="328">
      <c r="B328" s="115"/>
    </row>
    <row r="329">
      <c r="B329" s="115"/>
    </row>
    <row r="330">
      <c r="B330" s="115"/>
    </row>
    <row r="331">
      <c r="B331" s="115"/>
    </row>
    <row r="332">
      <c r="B332" s="115"/>
    </row>
    <row r="333">
      <c r="B333" s="115"/>
    </row>
    <row r="334">
      <c r="B334" s="115"/>
    </row>
    <row r="335">
      <c r="B335" s="115"/>
    </row>
    <row r="336">
      <c r="B336" s="115"/>
    </row>
    <row r="337">
      <c r="B337" s="115"/>
    </row>
    <row r="338">
      <c r="B338" s="115"/>
    </row>
    <row r="339">
      <c r="B339" s="115"/>
    </row>
    <row r="340">
      <c r="B340" s="115"/>
    </row>
    <row r="341">
      <c r="B341" s="115"/>
    </row>
    <row r="342">
      <c r="B342" s="115"/>
    </row>
    <row r="343">
      <c r="B343" s="115"/>
    </row>
    <row r="344">
      <c r="B344" s="115"/>
    </row>
    <row r="345">
      <c r="B345" s="115"/>
    </row>
    <row r="346">
      <c r="B346" s="115"/>
    </row>
    <row r="347">
      <c r="B347" s="115"/>
    </row>
    <row r="348">
      <c r="B348" s="115"/>
    </row>
    <row r="349">
      <c r="B349" s="115"/>
    </row>
    <row r="350">
      <c r="B350" s="115"/>
    </row>
    <row r="351">
      <c r="B351" s="115"/>
    </row>
    <row r="352">
      <c r="B352" s="115"/>
    </row>
    <row r="353">
      <c r="B353" s="115"/>
    </row>
    <row r="354">
      <c r="B354" s="115"/>
    </row>
    <row r="355">
      <c r="B355" s="115"/>
    </row>
    <row r="356">
      <c r="B356" s="115"/>
    </row>
    <row r="357">
      <c r="B357" s="115"/>
    </row>
    <row r="358">
      <c r="B358" s="115"/>
    </row>
    <row r="359">
      <c r="B359" s="115"/>
    </row>
    <row r="360">
      <c r="B360" s="115"/>
    </row>
    <row r="361">
      <c r="B361" s="115"/>
    </row>
    <row r="362">
      <c r="B362" s="115"/>
    </row>
    <row r="363">
      <c r="B363" s="115"/>
    </row>
    <row r="364">
      <c r="B364" s="115"/>
    </row>
    <row r="365">
      <c r="B365" s="115"/>
    </row>
    <row r="366">
      <c r="B366" s="115"/>
    </row>
    <row r="367">
      <c r="B367" s="115"/>
    </row>
    <row r="368">
      <c r="B368" s="115"/>
    </row>
    <row r="369">
      <c r="B369" s="115"/>
    </row>
    <row r="370">
      <c r="B370" s="115"/>
    </row>
    <row r="371">
      <c r="B371" s="115"/>
    </row>
    <row r="372">
      <c r="B372" s="115"/>
    </row>
    <row r="373">
      <c r="B373" s="115"/>
    </row>
    <row r="374">
      <c r="B374" s="115"/>
    </row>
    <row r="375">
      <c r="B375" s="115"/>
    </row>
    <row r="376">
      <c r="B376" s="115"/>
    </row>
    <row r="377">
      <c r="B377" s="115"/>
    </row>
    <row r="378">
      <c r="B378" s="115"/>
    </row>
    <row r="379">
      <c r="B379" s="115"/>
    </row>
    <row r="380">
      <c r="B380" s="115"/>
    </row>
    <row r="381">
      <c r="B381" s="115"/>
    </row>
    <row r="382">
      <c r="B382" s="115"/>
    </row>
    <row r="383">
      <c r="B383" s="115"/>
    </row>
    <row r="384">
      <c r="B384" s="115"/>
    </row>
    <row r="385">
      <c r="B385" s="115"/>
    </row>
    <row r="386">
      <c r="B386" s="115"/>
    </row>
    <row r="387">
      <c r="B387" s="115"/>
    </row>
    <row r="388">
      <c r="B388" s="115"/>
    </row>
    <row r="389">
      <c r="B389" s="115"/>
    </row>
    <row r="390">
      <c r="B390" s="115"/>
    </row>
    <row r="391">
      <c r="B391" s="115"/>
    </row>
    <row r="392">
      <c r="B392" s="115"/>
    </row>
    <row r="393">
      <c r="B393" s="115"/>
    </row>
    <row r="394">
      <c r="B394" s="115"/>
    </row>
    <row r="395">
      <c r="B395" s="115"/>
    </row>
    <row r="396">
      <c r="B396" s="115"/>
    </row>
    <row r="397">
      <c r="B397" s="115"/>
    </row>
    <row r="398">
      <c r="B398" s="115"/>
    </row>
    <row r="399">
      <c r="B399" s="115"/>
    </row>
    <row r="400">
      <c r="B400" s="115"/>
    </row>
    <row r="401">
      <c r="B401" s="115"/>
    </row>
    <row r="402">
      <c r="B402" s="115"/>
    </row>
    <row r="403">
      <c r="B403" s="115"/>
    </row>
    <row r="404">
      <c r="B404" s="115"/>
    </row>
    <row r="405">
      <c r="B405" s="115"/>
    </row>
    <row r="406">
      <c r="B406" s="115"/>
    </row>
    <row r="407">
      <c r="B407" s="115"/>
    </row>
    <row r="408">
      <c r="B408" s="115"/>
    </row>
    <row r="409">
      <c r="B409" s="115"/>
    </row>
    <row r="410">
      <c r="B410" s="115"/>
    </row>
    <row r="411">
      <c r="B411" s="115"/>
    </row>
    <row r="412">
      <c r="B412" s="115"/>
    </row>
    <row r="413">
      <c r="B413" s="115"/>
    </row>
    <row r="414">
      <c r="B414" s="115"/>
    </row>
    <row r="415">
      <c r="B415" s="115"/>
    </row>
    <row r="416">
      <c r="B416" s="115"/>
    </row>
    <row r="417">
      <c r="B417" s="115"/>
    </row>
    <row r="418">
      <c r="B418" s="115"/>
    </row>
    <row r="419">
      <c r="B419" s="115"/>
    </row>
    <row r="420">
      <c r="B420" s="115"/>
    </row>
    <row r="421">
      <c r="B421" s="115"/>
    </row>
    <row r="422">
      <c r="B422" s="115"/>
    </row>
    <row r="423">
      <c r="B423" s="115"/>
    </row>
    <row r="424">
      <c r="B424" s="115"/>
    </row>
    <row r="425">
      <c r="B425" s="115"/>
    </row>
    <row r="426">
      <c r="B426" s="115"/>
    </row>
    <row r="427">
      <c r="B427" s="115"/>
    </row>
    <row r="428">
      <c r="B428" s="115"/>
    </row>
    <row r="429">
      <c r="B429" s="115"/>
    </row>
    <row r="430">
      <c r="B430" s="115"/>
    </row>
    <row r="431">
      <c r="B431" s="115"/>
    </row>
    <row r="432">
      <c r="B432" s="115"/>
    </row>
    <row r="433">
      <c r="B433" s="115"/>
    </row>
    <row r="434">
      <c r="B434" s="115"/>
    </row>
    <row r="435">
      <c r="B435" s="115"/>
    </row>
    <row r="436">
      <c r="B436" s="115"/>
    </row>
    <row r="437">
      <c r="B437" s="115"/>
    </row>
    <row r="438">
      <c r="B438" s="115"/>
    </row>
    <row r="439">
      <c r="B439" s="115"/>
    </row>
    <row r="440">
      <c r="B440" s="115"/>
    </row>
    <row r="441">
      <c r="B441" s="115"/>
    </row>
    <row r="442">
      <c r="B442" s="115"/>
    </row>
    <row r="443">
      <c r="B443" s="115"/>
    </row>
    <row r="444">
      <c r="B444" s="115"/>
    </row>
    <row r="445">
      <c r="B445" s="115"/>
    </row>
    <row r="446">
      <c r="B446" s="115"/>
    </row>
    <row r="447">
      <c r="B447" s="115"/>
    </row>
    <row r="448">
      <c r="B448" s="115"/>
    </row>
    <row r="449">
      <c r="B449" s="115"/>
    </row>
    <row r="450">
      <c r="B450" s="115"/>
    </row>
    <row r="451">
      <c r="B451" s="115"/>
    </row>
    <row r="452">
      <c r="B452" s="115"/>
    </row>
    <row r="453">
      <c r="B453" s="115"/>
    </row>
    <row r="454">
      <c r="B454" s="115"/>
    </row>
    <row r="455">
      <c r="B455" s="115"/>
    </row>
    <row r="456">
      <c r="B456" s="115"/>
    </row>
    <row r="457">
      <c r="B457" s="115"/>
    </row>
    <row r="458">
      <c r="B458" s="115"/>
    </row>
    <row r="459">
      <c r="B459" s="115"/>
    </row>
    <row r="460">
      <c r="B460" s="115"/>
    </row>
    <row r="461">
      <c r="B461" s="115"/>
    </row>
    <row r="462">
      <c r="B462" s="115"/>
    </row>
    <row r="463">
      <c r="B463" s="115"/>
    </row>
    <row r="464">
      <c r="B464" s="115"/>
    </row>
    <row r="465">
      <c r="B465" s="115"/>
    </row>
    <row r="466">
      <c r="B466" s="115"/>
    </row>
    <row r="467">
      <c r="B467" s="115"/>
    </row>
    <row r="468">
      <c r="B468" s="115"/>
    </row>
    <row r="469">
      <c r="B469" s="115"/>
    </row>
    <row r="470">
      <c r="B470" s="115"/>
    </row>
    <row r="471">
      <c r="B471" s="115"/>
    </row>
    <row r="472">
      <c r="B472" s="115"/>
    </row>
    <row r="473">
      <c r="B473" s="115"/>
    </row>
    <row r="474">
      <c r="B474" s="115"/>
    </row>
    <row r="475">
      <c r="B475" s="115"/>
    </row>
    <row r="476">
      <c r="B476" s="115"/>
    </row>
    <row r="477">
      <c r="B477" s="115"/>
    </row>
    <row r="478">
      <c r="B478" s="115"/>
    </row>
    <row r="479">
      <c r="B479" s="115"/>
    </row>
    <row r="480">
      <c r="B480" s="115"/>
    </row>
    <row r="481">
      <c r="B481" s="115"/>
    </row>
    <row r="482">
      <c r="B482" s="115"/>
    </row>
    <row r="483">
      <c r="B483" s="115"/>
    </row>
    <row r="484">
      <c r="B484" s="115"/>
    </row>
    <row r="485">
      <c r="B485" s="115"/>
    </row>
    <row r="486">
      <c r="B486" s="115"/>
    </row>
    <row r="487">
      <c r="B487" s="115"/>
    </row>
    <row r="488">
      <c r="B488" s="115"/>
    </row>
    <row r="489">
      <c r="B489" s="115"/>
    </row>
    <row r="490">
      <c r="B490" s="115"/>
    </row>
    <row r="491">
      <c r="B491" s="115"/>
    </row>
    <row r="492">
      <c r="B492" s="115"/>
    </row>
    <row r="493">
      <c r="B493" s="115"/>
    </row>
    <row r="494">
      <c r="B494" s="115"/>
    </row>
    <row r="495">
      <c r="B495" s="115"/>
    </row>
    <row r="496">
      <c r="B496" s="115"/>
    </row>
    <row r="497">
      <c r="B497" s="115"/>
    </row>
    <row r="498">
      <c r="B498" s="115"/>
    </row>
    <row r="499">
      <c r="B499" s="115"/>
    </row>
    <row r="500">
      <c r="B500" s="115"/>
    </row>
    <row r="501">
      <c r="B501" s="115"/>
    </row>
    <row r="502">
      <c r="B502" s="115"/>
    </row>
    <row r="503">
      <c r="B503" s="115"/>
    </row>
    <row r="504">
      <c r="B504" s="115"/>
    </row>
    <row r="505">
      <c r="B505" s="115"/>
    </row>
    <row r="506">
      <c r="B506" s="115"/>
    </row>
    <row r="507">
      <c r="B507" s="115"/>
    </row>
    <row r="508">
      <c r="B508" s="115"/>
    </row>
    <row r="509">
      <c r="B509" s="115"/>
    </row>
    <row r="510">
      <c r="B510" s="115"/>
    </row>
    <row r="511">
      <c r="B511" s="115"/>
    </row>
    <row r="512">
      <c r="B512" s="115"/>
    </row>
    <row r="513">
      <c r="B513" s="115"/>
    </row>
    <row r="514">
      <c r="B514" s="115"/>
    </row>
    <row r="515">
      <c r="B515" s="115"/>
    </row>
    <row r="516">
      <c r="B516" s="115"/>
    </row>
    <row r="517">
      <c r="B517" s="115"/>
    </row>
    <row r="518">
      <c r="B518" s="115"/>
    </row>
    <row r="519">
      <c r="B519" s="115"/>
    </row>
    <row r="520">
      <c r="B520" s="115"/>
    </row>
    <row r="521">
      <c r="B521" s="115"/>
    </row>
    <row r="522">
      <c r="B522" s="115"/>
    </row>
    <row r="523">
      <c r="B523" s="115"/>
    </row>
    <row r="524">
      <c r="B524" s="115"/>
    </row>
    <row r="525">
      <c r="B525" s="115"/>
    </row>
    <row r="526">
      <c r="B526" s="115"/>
    </row>
    <row r="527">
      <c r="B527" s="115"/>
    </row>
    <row r="528">
      <c r="B528" s="115"/>
    </row>
    <row r="529">
      <c r="B529" s="115"/>
    </row>
    <row r="530">
      <c r="B530" s="115"/>
    </row>
    <row r="531">
      <c r="B531" s="115"/>
    </row>
    <row r="532">
      <c r="B532" s="115"/>
    </row>
    <row r="533">
      <c r="B533" s="115"/>
    </row>
    <row r="534">
      <c r="B534" s="115"/>
    </row>
    <row r="535">
      <c r="B535" s="115"/>
    </row>
    <row r="536">
      <c r="B536" s="115"/>
    </row>
    <row r="537">
      <c r="B537" s="115"/>
    </row>
    <row r="538">
      <c r="B538" s="115"/>
    </row>
    <row r="539">
      <c r="B539" s="115"/>
    </row>
    <row r="540">
      <c r="B540" s="115"/>
    </row>
    <row r="541">
      <c r="B541" s="115"/>
    </row>
    <row r="542">
      <c r="B542" s="115"/>
    </row>
    <row r="543">
      <c r="B543" s="115"/>
    </row>
    <row r="544">
      <c r="B544" s="115"/>
    </row>
    <row r="545">
      <c r="B545" s="115"/>
    </row>
    <row r="546">
      <c r="B546" s="115"/>
    </row>
    <row r="547">
      <c r="B547" s="115"/>
    </row>
    <row r="548">
      <c r="B548" s="115"/>
    </row>
    <row r="549">
      <c r="B549" s="115"/>
    </row>
    <row r="550">
      <c r="B550" s="115"/>
    </row>
    <row r="551">
      <c r="B551" s="115"/>
    </row>
    <row r="552">
      <c r="B552" s="115"/>
    </row>
    <row r="553">
      <c r="B553" s="115"/>
    </row>
    <row r="554">
      <c r="B554" s="115"/>
    </row>
    <row r="555">
      <c r="B555" s="115"/>
    </row>
    <row r="556">
      <c r="B556" s="115"/>
    </row>
    <row r="557">
      <c r="B557" s="115"/>
    </row>
    <row r="558">
      <c r="B558" s="115"/>
    </row>
    <row r="559">
      <c r="B559" s="115"/>
    </row>
    <row r="560">
      <c r="B560" s="115"/>
    </row>
    <row r="561">
      <c r="B561" s="115"/>
    </row>
    <row r="562">
      <c r="B562" s="115"/>
    </row>
    <row r="563">
      <c r="B563" s="115"/>
    </row>
    <row r="564">
      <c r="B564" s="115"/>
    </row>
    <row r="565">
      <c r="B565" s="115"/>
    </row>
    <row r="566">
      <c r="B566" s="115"/>
    </row>
    <row r="567">
      <c r="B567" s="115"/>
    </row>
    <row r="568">
      <c r="B568" s="115"/>
    </row>
    <row r="569">
      <c r="B569" s="115"/>
    </row>
    <row r="570">
      <c r="B570" s="115"/>
    </row>
    <row r="571">
      <c r="B571" s="115"/>
    </row>
    <row r="572">
      <c r="B572" s="115"/>
    </row>
    <row r="573">
      <c r="B573" s="115"/>
    </row>
    <row r="574">
      <c r="B574" s="115"/>
    </row>
    <row r="575">
      <c r="B575" s="115"/>
    </row>
    <row r="576">
      <c r="B576" s="115"/>
    </row>
    <row r="577">
      <c r="B577" s="115"/>
    </row>
    <row r="578">
      <c r="B578" s="115"/>
    </row>
    <row r="579">
      <c r="B579" s="115"/>
    </row>
    <row r="580">
      <c r="B580" s="115"/>
    </row>
    <row r="581">
      <c r="B581" s="115"/>
    </row>
    <row r="582">
      <c r="B582" s="115"/>
    </row>
    <row r="583">
      <c r="B583" s="115"/>
    </row>
    <row r="584">
      <c r="B584" s="115"/>
    </row>
    <row r="585">
      <c r="B585" s="115"/>
    </row>
    <row r="586">
      <c r="B586" s="115"/>
    </row>
    <row r="587">
      <c r="B587" s="115"/>
    </row>
    <row r="588">
      <c r="B588" s="115"/>
    </row>
    <row r="589">
      <c r="B589" s="115"/>
    </row>
    <row r="590">
      <c r="B590" s="115"/>
    </row>
    <row r="591">
      <c r="B591" s="115"/>
    </row>
    <row r="592">
      <c r="B592" s="115"/>
    </row>
    <row r="593">
      <c r="B593" s="115"/>
    </row>
    <row r="594">
      <c r="B594" s="115"/>
    </row>
    <row r="595">
      <c r="B595" s="115"/>
    </row>
    <row r="596">
      <c r="B596" s="115"/>
    </row>
    <row r="597">
      <c r="B597" s="115"/>
    </row>
    <row r="598">
      <c r="B598" s="115"/>
    </row>
    <row r="599">
      <c r="B599" s="115"/>
    </row>
    <row r="600">
      <c r="B600" s="115"/>
    </row>
    <row r="601">
      <c r="B601" s="115"/>
    </row>
    <row r="602">
      <c r="B602" s="115"/>
    </row>
    <row r="603">
      <c r="B603" s="115"/>
    </row>
    <row r="604">
      <c r="B604" s="115"/>
    </row>
    <row r="605">
      <c r="B605" s="115"/>
    </row>
    <row r="606">
      <c r="B606" s="115"/>
    </row>
    <row r="607">
      <c r="B607" s="115"/>
    </row>
    <row r="608">
      <c r="B608" s="115"/>
    </row>
    <row r="609">
      <c r="B609" s="115"/>
    </row>
    <row r="610">
      <c r="B610" s="115"/>
    </row>
    <row r="611">
      <c r="B611" s="115"/>
    </row>
    <row r="612">
      <c r="B612" s="115"/>
    </row>
    <row r="613">
      <c r="B613" s="115"/>
    </row>
    <row r="614">
      <c r="B614" s="115"/>
    </row>
    <row r="615">
      <c r="B615" s="115"/>
    </row>
    <row r="616">
      <c r="B616" s="115"/>
    </row>
    <row r="617">
      <c r="B617" s="115"/>
    </row>
    <row r="618">
      <c r="B618" s="115"/>
    </row>
    <row r="619">
      <c r="B619" s="115"/>
    </row>
    <row r="620">
      <c r="B620" s="115"/>
    </row>
    <row r="621">
      <c r="B621" s="115"/>
    </row>
    <row r="622">
      <c r="B622" s="115"/>
    </row>
    <row r="623">
      <c r="B623" s="115"/>
    </row>
    <row r="624">
      <c r="B624" s="115"/>
    </row>
    <row r="625">
      <c r="B625" s="115"/>
    </row>
    <row r="626">
      <c r="B626" s="115"/>
    </row>
    <row r="627">
      <c r="B627" s="115"/>
    </row>
    <row r="628">
      <c r="B628" s="115"/>
    </row>
    <row r="629">
      <c r="B629" s="115"/>
    </row>
    <row r="630">
      <c r="B630" s="115"/>
    </row>
    <row r="631">
      <c r="B631" s="115"/>
    </row>
    <row r="632">
      <c r="B632" s="115"/>
    </row>
    <row r="633">
      <c r="B633" s="115"/>
    </row>
    <row r="634">
      <c r="B634" s="115"/>
    </row>
    <row r="635">
      <c r="B635" s="115"/>
    </row>
    <row r="636">
      <c r="B636" s="115"/>
    </row>
    <row r="637">
      <c r="B637" s="115"/>
    </row>
    <row r="638">
      <c r="B638" s="115"/>
    </row>
    <row r="639">
      <c r="B639" s="115"/>
    </row>
    <row r="640">
      <c r="B640" s="115"/>
    </row>
    <row r="641">
      <c r="B641" s="115"/>
    </row>
    <row r="642">
      <c r="B642" s="115"/>
    </row>
    <row r="643">
      <c r="B643" s="115"/>
    </row>
    <row r="644">
      <c r="B644" s="115"/>
    </row>
    <row r="645">
      <c r="B645" s="115"/>
    </row>
    <row r="646">
      <c r="B646" s="115"/>
    </row>
    <row r="647">
      <c r="B647" s="115"/>
    </row>
    <row r="648">
      <c r="B648" s="115"/>
    </row>
    <row r="649">
      <c r="B649" s="115"/>
    </row>
    <row r="650">
      <c r="B650" s="115"/>
    </row>
    <row r="651">
      <c r="B651" s="115"/>
    </row>
    <row r="652">
      <c r="B652" s="115"/>
    </row>
    <row r="653">
      <c r="B653" s="115"/>
    </row>
    <row r="654">
      <c r="B654" s="115"/>
    </row>
    <row r="655">
      <c r="B655" s="115"/>
    </row>
    <row r="656">
      <c r="B656" s="115"/>
    </row>
    <row r="657">
      <c r="B657" s="115"/>
    </row>
    <row r="658">
      <c r="B658" s="115"/>
    </row>
    <row r="659">
      <c r="B659" s="115"/>
    </row>
    <row r="660">
      <c r="B660" s="115"/>
    </row>
    <row r="661">
      <c r="B661" s="115"/>
    </row>
    <row r="662">
      <c r="B662" s="115"/>
    </row>
    <row r="663">
      <c r="B663" s="115"/>
    </row>
    <row r="664">
      <c r="B664" s="115"/>
    </row>
    <row r="665">
      <c r="B665" s="115"/>
    </row>
    <row r="666">
      <c r="B666" s="115"/>
    </row>
    <row r="667">
      <c r="B667" s="115"/>
    </row>
    <row r="668">
      <c r="B668" s="115"/>
    </row>
    <row r="669">
      <c r="B669" s="115"/>
    </row>
    <row r="670">
      <c r="B670" s="115"/>
    </row>
    <row r="671">
      <c r="B671" s="115"/>
    </row>
    <row r="672">
      <c r="B672" s="115"/>
    </row>
    <row r="673">
      <c r="B673" s="115"/>
    </row>
    <row r="674">
      <c r="B674" s="115"/>
    </row>
    <row r="675">
      <c r="B675" s="115"/>
    </row>
    <row r="676">
      <c r="B676" s="115"/>
    </row>
    <row r="677">
      <c r="B677" s="115"/>
    </row>
    <row r="678">
      <c r="B678" s="115"/>
    </row>
    <row r="679">
      <c r="B679" s="115"/>
    </row>
    <row r="680">
      <c r="B680" s="115"/>
    </row>
    <row r="681">
      <c r="B681" s="115"/>
    </row>
    <row r="682">
      <c r="B682" s="115"/>
    </row>
    <row r="683">
      <c r="B683" s="115"/>
    </row>
    <row r="684">
      <c r="B684" s="115"/>
    </row>
    <row r="685">
      <c r="B685" s="115"/>
    </row>
    <row r="686">
      <c r="B686" s="115"/>
    </row>
    <row r="687">
      <c r="B687" s="115"/>
    </row>
    <row r="688">
      <c r="B688" s="115"/>
    </row>
    <row r="689">
      <c r="B689" s="115"/>
    </row>
    <row r="690">
      <c r="B690" s="115"/>
    </row>
    <row r="691">
      <c r="B691" s="115"/>
    </row>
    <row r="692">
      <c r="B692" s="115"/>
    </row>
    <row r="693">
      <c r="B693" s="115"/>
    </row>
    <row r="694">
      <c r="B694" s="115"/>
    </row>
    <row r="695">
      <c r="B695" s="115"/>
    </row>
    <row r="696">
      <c r="B696" s="115"/>
    </row>
    <row r="697">
      <c r="B697" s="115"/>
    </row>
    <row r="698">
      <c r="B698" s="115"/>
    </row>
    <row r="699">
      <c r="B699" s="115"/>
    </row>
    <row r="700">
      <c r="B700" s="115"/>
    </row>
    <row r="701">
      <c r="B701" s="115"/>
    </row>
    <row r="702">
      <c r="B702" s="115"/>
    </row>
    <row r="703">
      <c r="B703" s="115"/>
    </row>
    <row r="704">
      <c r="B704" s="115"/>
    </row>
    <row r="705">
      <c r="B705" s="115"/>
    </row>
    <row r="706">
      <c r="B706" s="115"/>
    </row>
    <row r="707">
      <c r="B707" s="115"/>
    </row>
    <row r="708">
      <c r="B708" s="115"/>
    </row>
    <row r="709">
      <c r="B709" s="115"/>
    </row>
    <row r="710">
      <c r="B710" s="115"/>
    </row>
    <row r="711">
      <c r="B711" s="115"/>
    </row>
    <row r="712">
      <c r="B712" s="115"/>
    </row>
    <row r="713">
      <c r="B713" s="115"/>
    </row>
    <row r="714">
      <c r="B714" s="115"/>
    </row>
    <row r="715">
      <c r="B715" s="115"/>
    </row>
    <row r="716">
      <c r="B716" s="115"/>
    </row>
    <row r="717">
      <c r="B717" s="115"/>
    </row>
    <row r="718">
      <c r="B718" s="115"/>
    </row>
    <row r="719">
      <c r="B719" s="115"/>
    </row>
    <row r="720">
      <c r="B720" s="115"/>
    </row>
    <row r="721">
      <c r="B721" s="115"/>
    </row>
    <row r="722">
      <c r="B722" s="115"/>
    </row>
    <row r="723">
      <c r="B723" s="115"/>
    </row>
    <row r="724">
      <c r="B724" s="115"/>
    </row>
    <row r="725">
      <c r="B725" s="115"/>
    </row>
    <row r="726">
      <c r="B726" s="115"/>
    </row>
    <row r="727">
      <c r="B727" s="115"/>
    </row>
    <row r="728">
      <c r="B728" s="115"/>
    </row>
    <row r="729">
      <c r="B729" s="115"/>
    </row>
    <row r="730">
      <c r="B730" s="115"/>
    </row>
    <row r="731">
      <c r="B731" s="115"/>
    </row>
    <row r="732">
      <c r="B732" s="115"/>
    </row>
    <row r="733">
      <c r="B733" s="115"/>
    </row>
    <row r="734">
      <c r="B734" s="115"/>
    </row>
    <row r="735">
      <c r="B735" s="115"/>
    </row>
    <row r="736">
      <c r="B736" s="115"/>
    </row>
    <row r="737">
      <c r="B737" s="115"/>
    </row>
    <row r="738">
      <c r="B738" s="115"/>
    </row>
    <row r="739">
      <c r="B739" s="115"/>
    </row>
    <row r="740">
      <c r="B740" s="115"/>
    </row>
    <row r="741">
      <c r="B741" s="115"/>
    </row>
    <row r="742">
      <c r="B742" s="115"/>
    </row>
    <row r="743">
      <c r="B743" s="115"/>
    </row>
    <row r="744">
      <c r="B744" s="115"/>
    </row>
    <row r="745">
      <c r="B745" s="115"/>
    </row>
    <row r="746">
      <c r="B746" s="115"/>
    </row>
    <row r="747">
      <c r="B747" s="115"/>
    </row>
    <row r="748">
      <c r="B748" s="115"/>
    </row>
    <row r="749">
      <c r="B749" s="115"/>
    </row>
    <row r="750">
      <c r="B750" s="115"/>
    </row>
    <row r="751">
      <c r="B751" s="115"/>
    </row>
    <row r="752">
      <c r="B752" s="115"/>
    </row>
    <row r="753">
      <c r="B753" s="115"/>
    </row>
    <row r="754">
      <c r="B754" s="115"/>
    </row>
    <row r="755">
      <c r="B755" s="115"/>
    </row>
    <row r="756">
      <c r="B756" s="115"/>
    </row>
    <row r="757">
      <c r="B757" s="115"/>
    </row>
    <row r="758">
      <c r="B758" s="115"/>
    </row>
    <row r="759">
      <c r="B759" s="115"/>
    </row>
    <row r="760">
      <c r="B760" s="115"/>
    </row>
    <row r="761">
      <c r="B761" s="115"/>
    </row>
    <row r="762">
      <c r="B762" s="115"/>
    </row>
    <row r="763">
      <c r="B763" s="115"/>
    </row>
    <row r="764">
      <c r="B764" s="115"/>
    </row>
    <row r="765">
      <c r="B765" s="115"/>
    </row>
    <row r="766">
      <c r="B766" s="115"/>
    </row>
    <row r="767">
      <c r="B767" s="115"/>
    </row>
    <row r="768">
      <c r="B768" s="115"/>
    </row>
    <row r="769">
      <c r="B769" s="115"/>
    </row>
    <row r="770">
      <c r="B770" s="115"/>
    </row>
    <row r="771">
      <c r="B771" s="115"/>
    </row>
    <row r="772">
      <c r="B772" s="115"/>
    </row>
    <row r="773">
      <c r="B773" s="115"/>
    </row>
    <row r="774">
      <c r="B774" s="115"/>
    </row>
    <row r="775">
      <c r="B775" s="115"/>
    </row>
    <row r="776">
      <c r="B776" s="115"/>
    </row>
    <row r="777">
      <c r="B777" s="115"/>
    </row>
    <row r="778">
      <c r="B778" s="115"/>
    </row>
    <row r="779">
      <c r="B779" s="115"/>
    </row>
    <row r="780">
      <c r="B780" s="115"/>
    </row>
    <row r="781">
      <c r="B781" s="115"/>
    </row>
    <row r="782">
      <c r="B782" s="115"/>
    </row>
    <row r="783">
      <c r="B783" s="115"/>
    </row>
    <row r="784">
      <c r="B784" s="115"/>
    </row>
    <row r="785">
      <c r="B785" s="115"/>
    </row>
    <row r="786">
      <c r="B786" s="115"/>
    </row>
    <row r="787">
      <c r="B787" s="115"/>
    </row>
    <row r="788">
      <c r="B788" s="115"/>
    </row>
    <row r="789">
      <c r="B789" s="115"/>
    </row>
    <row r="790">
      <c r="B790" s="115"/>
    </row>
    <row r="791">
      <c r="B791" s="115"/>
    </row>
    <row r="792">
      <c r="B792" s="115"/>
    </row>
    <row r="793">
      <c r="B793" s="115"/>
    </row>
    <row r="794">
      <c r="B794" s="115"/>
    </row>
    <row r="795">
      <c r="B795" s="115"/>
    </row>
    <row r="796">
      <c r="B796" s="115"/>
    </row>
    <row r="797">
      <c r="B797" s="115"/>
    </row>
    <row r="798">
      <c r="B798" s="115"/>
    </row>
    <row r="799">
      <c r="B799" s="115"/>
    </row>
    <row r="800">
      <c r="B800" s="115"/>
    </row>
    <row r="801">
      <c r="B801" s="115"/>
    </row>
    <row r="802">
      <c r="B802" s="115"/>
    </row>
    <row r="803">
      <c r="B803" s="115"/>
    </row>
    <row r="804">
      <c r="B804" s="115"/>
    </row>
    <row r="805">
      <c r="B805" s="115"/>
    </row>
    <row r="806">
      <c r="B806" s="115"/>
    </row>
    <row r="807">
      <c r="B807" s="115"/>
    </row>
    <row r="808">
      <c r="B808" s="115"/>
    </row>
    <row r="809">
      <c r="B809" s="115"/>
    </row>
    <row r="810">
      <c r="B810" s="115"/>
    </row>
    <row r="811">
      <c r="B811" s="115"/>
    </row>
    <row r="812">
      <c r="B812" s="115"/>
    </row>
    <row r="813">
      <c r="B813" s="115"/>
    </row>
    <row r="814">
      <c r="B814" s="115"/>
    </row>
    <row r="815">
      <c r="B815" s="115"/>
    </row>
    <row r="816">
      <c r="B816" s="115"/>
    </row>
    <row r="817">
      <c r="B817" s="115"/>
    </row>
    <row r="818">
      <c r="B818" s="115"/>
    </row>
    <row r="819">
      <c r="B819" s="115"/>
    </row>
    <row r="820">
      <c r="B820" s="115"/>
    </row>
    <row r="821">
      <c r="B821" s="115"/>
    </row>
    <row r="822">
      <c r="B822" s="115"/>
    </row>
    <row r="823">
      <c r="B823" s="115"/>
    </row>
    <row r="824">
      <c r="B824" s="115"/>
    </row>
    <row r="825">
      <c r="B825" s="115"/>
    </row>
    <row r="826">
      <c r="B826" s="115"/>
    </row>
    <row r="827">
      <c r="B827" s="115"/>
    </row>
    <row r="828">
      <c r="B828" s="115"/>
    </row>
    <row r="829">
      <c r="B829" s="115"/>
    </row>
    <row r="830">
      <c r="B830" s="115"/>
    </row>
    <row r="831">
      <c r="B831" s="115"/>
    </row>
    <row r="832">
      <c r="B832" s="115"/>
    </row>
    <row r="833">
      <c r="B833" s="115"/>
    </row>
    <row r="834">
      <c r="B834" s="115"/>
    </row>
    <row r="835">
      <c r="B835" s="115"/>
    </row>
    <row r="836">
      <c r="B836" s="115"/>
    </row>
    <row r="837">
      <c r="B837" s="115"/>
    </row>
    <row r="838">
      <c r="B838" s="115"/>
    </row>
    <row r="839">
      <c r="B839" s="115"/>
    </row>
    <row r="840">
      <c r="B840" s="115"/>
    </row>
    <row r="841">
      <c r="B841" s="115"/>
    </row>
    <row r="842">
      <c r="B842" s="115"/>
    </row>
    <row r="843">
      <c r="B843" s="115"/>
    </row>
    <row r="844">
      <c r="B844" s="115"/>
    </row>
    <row r="845">
      <c r="B845" s="115"/>
    </row>
    <row r="846">
      <c r="B846" s="115"/>
    </row>
    <row r="847">
      <c r="B847" s="115"/>
    </row>
    <row r="848">
      <c r="B848" s="115"/>
    </row>
    <row r="849">
      <c r="B849" s="115"/>
    </row>
    <row r="850">
      <c r="B850" s="115"/>
    </row>
    <row r="851">
      <c r="B851" s="115"/>
    </row>
    <row r="852">
      <c r="B852" s="115"/>
    </row>
    <row r="853">
      <c r="B853" s="115"/>
    </row>
    <row r="854">
      <c r="B854" s="115"/>
    </row>
    <row r="855">
      <c r="B855" s="115"/>
    </row>
    <row r="856">
      <c r="B856" s="115"/>
    </row>
    <row r="857">
      <c r="B857" s="115"/>
    </row>
    <row r="858">
      <c r="B858" s="115"/>
    </row>
    <row r="859">
      <c r="B859" s="115"/>
    </row>
    <row r="860">
      <c r="B860" s="115"/>
    </row>
    <row r="861">
      <c r="B861" s="115"/>
    </row>
    <row r="862">
      <c r="B862" s="115"/>
    </row>
    <row r="863">
      <c r="B863" s="115"/>
    </row>
    <row r="864">
      <c r="B864" s="115"/>
    </row>
    <row r="865">
      <c r="B865" s="115"/>
    </row>
    <row r="866">
      <c r="B866" s="115"/>
    </row>
    <row r="867">
      <c r="B867" s="115"/>
    </row>
    <row r="868">
      <c r="B868" s="115"/>
    </row>
    <row r="869">
      <c r="B869" s="115"/>
    </row>
    <row r="870">
      <c r="B870" s="115"/>
    </row>
    <row r="871">
      <c r="B871" s="115"/>
    </row>
    <row r="872">
      <c r="B872" s="115"/>
    </row>
    <row r="873">
      <c r="B873" s="115"/>
    </row>
    <row r="874">
      <c r="B874" s="115"/>
    </row>
    <row r="875">
      <c r="B875" s="115"/>
    </row>
    <row r="876">
      <c r="B876" s="115"/>
    </row>
    <row r="877">
      <c r="B877" s="115"/>
    </row>
    <row r="878">
      <c r="B878" s="115"/>
    </row>
    <row r="879">
      <c r="B879" s="115"/>
    </row>
    <row r="880">
      <c r="B880" s="115"/>
    </row>
    <row r="881">
      <c r="B881" s="115"/>
    </row>
    <row r="882">
      <c r="B882" s="115"/>
    </row>
    <row r="883">
      <c r="B883" s="115"/>
    </row>
    <row r="884">
      <c r="B884" s="115"/>
    </row>
    <row r="885">
      <c r="B885" s="115"/>
    </row>
    <row r="886">
      <c r="B886" s="115"/>
    </row>
    <row r="887">
      <c r="B887" s="115"/>
    </row>
    <row r="888">
      <c r="B888" s="115"/>
    </row>
    <row r="889">
      <c r="B889" s="115"/>
    </row>
    <row r="890">
      <c r="B890" s="115"/>
    </row>
    <row r="891">
      <c r="B891" s="115"/>
    </row>
    <row r="892">
      <c r="B892" s="115"/>
    </row>
    <row r="893">
      <c r="B893" s="115"/>
    </row>
    <row r="894">
      <c r="B894" s="115"/>
    </row>
    <row r="895">
      <c r="B895" s="115"/>
    </row>
    <row r="896">
      <c r="B896" s="115"/>
    </row>
    <row r="897">
      <c r="B897" s="115"/>
    </row>
    <row r="898">
      <c r="B898" s="115"/>
    </row>
    <row r="899">
      <c r="B899" s="115"/>
    </row>
    <row r="900">
      <c r="B900" s="115"/>
    </row>
    <row r="901">
      <c r="B901" s="115"/>
    </row>
    <row r="902">
      <c r="B902" s="115"/>
    </row>
    <row r="903">
      <c r="B903" s="115"/>
    </row>
    <row r="904">
      <c r="B904" s="115"/>
    </row>
    <row r="905">
      <c r="B905" s="115"/>
    </row>
    <row r="906">
      <c r="B906" s="115"/>
    </row>
    <row r="907">
      <c r="B907" s="115"/>
    </row>
    <row r="908">
      <c r="B908" s="115"/>
    </row>
    <row r="909">
      <c r="B909" s="115"/>
    </row>
    <row r="910">
      <c r="B910" s="115"/>
    </row>
    <row r="911">
      <c r="B911" s="115"/>
    </row>
    <row r="912">
      <c r="B912" s="115"/>
    </row>
    <row r="913">
      <c r="B913" s="115"/>
    </row>
    <row r="914">
      <c r="B914" s="115"/>
    </row>
    <row r="915">
      <c r="B915" s="115"/>
    </row>
    <row r="916">
      <c r="B916" s="115"/>
    </row>
    <row r="917">
      <c r="B917" s="115"/>
    </row>
    <row r="918">
      <c r="B918" s="115"/>
    </row>
    <row r="919">
      <c r="B919" s="115"/>
    </row>
    <row r="920">
      <c r="B920" s="115"/>
    </row>
    <row r="921">
      <c r="B921" s="115"/>
    </row>
    <row r="922">
      <c r="B922" s="115"/>
    </row>
    <row r="923">
      <c r="B923" s="115"/>
    </row>
    <row r="924">
      <c r="B924" s="115"/>
    </row>
    <row r="925">
      <c r="B925" s="115"/>
    </row>
    <row r="926">
      <c r="B926" s="115"/>
    </row>
    <row r="927">
      <c r="B927" s="115"/>
    </row>
    <row r="928">
      <c r="B928" s="115"/>
    </row>
    <row r="929">
      <c r="B929" s="115"/>
    </row>
    <row r="930">
      <c r="B930" s="115"/>
    </row>
    <row r="931">
      <c r="B931" s="115"/>
    </row>
    <row r="932">
      <c r="B932" s="115"/>
    </row>
    <row r="933">
      <c r="B933" s="115"/>
    </row>
    <row r="934">
      <c r="B934" s="115"/>
    </row>
    <row r="935">
      <c r="B935" s="115"/>
    </row>
    <row r="936">
      <c r="B936" s="115"/>
    </row>
    <row r="937">
      <c r="B937" s="115"/>
    </row>
    <row r="938">
      <c r="B938" s="115"/>
    </row>
    <row r="939">
      <c r="B939" s="115"/>
    </row>
    <row r="940">
      <c r="B940" s="115"/>
    </row>
    <row r="941">
      <c r="B941" s="115"/>
    </row>
    <row r="942">
      <c r="B942" s="115"/>
    </row>
    <row r="943">
      <c r="B943" s="115"/>
    </row>
    <row r="944">
      <c r="B944" s="115"/>
    </row>
    <row r="945">
      <c r="B945" s="115"/>
    </row>
    <row r="946">
      <c r="B946" s="115"/>
    </row>
    <row r="947">
      <c r="B947" s="115"/>
    </row>
    <row r="948">
      <c r="B948" s="115"/>
    </row>
    <row r="949">
      <c r="B949" s="115"/>
    </row>
    <row r="950">
      <c r="B950" s="115"/>
    </row>
    <row r="951">
      <c r="B951" s="115"/>
    </row>
    <row r="952">
      <c r="B952" s="115"/>
    </row>
    <row r="953">
      <c r="B953" s="115"/>
    </row>
    <row r="954">
      <c r="B954" s="115"/>
    </row>
    <row r="955">
      <c r="B955" s="115"/>
    </row>
    <row r="956">
      <c r="B956" s="115"/>
    </row>
    <row r="957">
      <c r="B957" s="115"/>
    </row>
    <row r="958">
      <c r="B958" s="115"/>
    </row>
    <row r="959">
      <c r="B959" s="115"/>
    </row>
    <row r="960">
      <c r="B960" s="115"/>
    </row>
    <row r="961">
      <c r="B961" s="115"/>
    </row>
    <row r="962">
      <c r="B962" s="115"/>
    </row>
    <row r="963">
      <c r="B963" s="115"/>
    </row>
    <row r="964">
      <c r="B964" s="115"/>
    </row>
    <row r="965">
      <c r="B965" s="115"/>
    </row>
    <row r="966">
      <c r="B966" s="115"/>
    </row>
    <row r="967">
      <c r="B967" s="115"/>
    </row>
    <row r="968">
      <c r="B968" s="115"/>
    </row>
    <row r="969">
      <c r="B969" s="115"/>
    </row>
    <row r="970">
      <c r="B970" s="115"/>
    </row>
    <row r="971">
      <c r="B971" s="115"/>
    </row>
    <row r="972">
      <c r="B972" s="115"/>
    </row>
    <row r="973">
      <c r="B973" s="115"/>
    </row>
    <row r="974">
      <c r="B974" s="115"/>
    </row>
    <row r="975">
      <c r="B975" s="115"/>
    </row>
    <row r="976">
      <c r="B976" s="115"/>
    </row>
    <row r="977">
      <c r="B977" s="115"/>
    </row>
    <row r="978">
      <c r="B978" s="115"/>
    </row>
    <row r="979">
      <c r="B979" s="115"/>
    </row>
    <row r="980">
      <c r="B980" s="115"/>
    </row>
    <row r="981">
      <c r="B981" s="115"/>
    </row>
    <row r="982">
      <c r="B982" s="115"/>
    </row>
    <row r="983">
      <c r="B983" s="115"/>
    </row>
    <row r="984">
      <c r="B984" s="115"/>
    </row>
    <row r="985">
      <c r="B985" s="115"/>
    </row>
    <row r="986">
      <c r="B986" s="115"/>
    </row>
    <row r="987">
      <c r="B987" s="115"/>
    </row>
    <row r="988">
      <c r="B988" s="115"/>
    </row>
    <row r="989">
      <c r="B989" s="115"/>
    </row>
    <row r="990">
      <c r="B990" s="115"/>
    </row>
    <row r="991">
      <c r="B991" s="115"/>
    </row>
    <row r="992">
      <c r="B992" s="115"/>
    </row>
    <row r="993">
      <c r="B993" s="115"/>
    </row>
    <row r="994">
      <c r="B994" s="115"/>
    </row>
    <row r="995">
      <c r="B995" s="115"/>
    </row>
    <row r="996">
      <c r="B996" s="115"/>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2.5"/>
    <col customWidth="1" min="2" max="2" width="18.25"/>
    <col customWidth="1" min="3" max="3" width="8.63"/>
    <col customWidth="1" min="4" max="4" width="3.0"/>
    <col customWidth="1" min="5" max="5" width="2.88"/>
    <col customWidth="1" min="6" max="6" width="4.25"/>
    <col customWidth="1" min="7" max="7" width="8.88"/>
    <col customWidth="1" min="8" max="8" width="2.88"/>
    <col customWidth="1" min="9" max="9" width="4.25"/>
    <col customWidth="1" min="10" max="10" width="8.13"/>
    <col customWidth="1" min="11" max="11" width="2.75"/>
    <col customWidth="1" min="12" max="12" width="4.0"/>
    <col customWidth="1" min="13" max="13" width="7.75"/>
    <col customWidth="1" min="14" max="14" width="2.75"/>
    <col customWidth="1" min="15" max="15" width="3.88"/>
    <col customWidth="1" min="16" max="16" width="6.13"/>
  </cols>
  <sheetData>
    <row r="1">
      <c r="A1" s="2" t="s">
        <v>0</v>
      </c>
      <c r="B1" s="116" t="s">
        <v>3</v>
      </c>
      <c r="C1" s="2" t="s">
        <v>4</v>
      </c>
      <c r="D1" s="2" t="s">
        <v>7</v>
      </c>
      <c r="E1" s="117">
        <v>0.0</v>
      </c>
      <c r="F1" s="117">
        <v>0.0</v>
      </c>
      <c r="G1" s="117">
        <v>0.0</v>
      </c>
      <c r="H1" s="117" t="s">
        <v>472</v>
      </c>
      <c r="I1" s="117" t="s">
        <v>472</v>
      </c>
      <c r="J1" s="117" t="s">
        <v>472</v>
      </c>
      <c r="K1" s="117" t="s">
        <v>473</v>
      </c>
      <c r="L1" s="117" t="s">
        <v>473</v>
      </c>
      <c r="M1" s="117" t="s">
        <v>473</v>
      </c>
      <c r="N1" s="117" t="s">
        <v>474</v>
      </c>
      <c r="O1" s="117" t="s">
        <v>474</v>
      </c>
      <c r="P1" s="117" t="s">
        <v>474</v>
      </c>
    </row>
    <row r="2">
      <c r="A2" s="15">
        <v>11.0</v>
      </c>
      <c r="B2" s="19" t="s">
        <v>37</v>
      </c>
      <c r="C2" s="114" t="s">
        <v>42</v>
      </c>
      <c r="D2" s="118">
        <v>22.0</v>
      </c>
      <c r="E2" s="118">
        <v>10.0</v>
      </c>
      <c r="F2" s="119">
        <v>0.45454545454545453</v>
      </c>
      <c r="G2" s="118" t="s">
        <v>570</v>
      </c>
      <c r="H2" s="118">
        <v>10.0</v>
      </c>
      <c r="I2" s="119">
        <v>0.45454545454545453</v>
      </c>
      <c r="J2" s="118" t="s">
        <v>570</v>
      </c>
      <c r="K2" s="118">
        <v>2.0</v>
      </c>
      <c r="L2" s="119">
        <v>0.09090909090909091</v>
      </c>
      <c r="M2" s="118" t="s">
        <v>571</v>
      </c>
      <c r="N2" s="118">
        <v>0.0</v>
      </c>
      <c r="O2" s="119">
        <v>0.0</v>
      </c>
      <c r="P2" s="113" t="s">
        <v>477</v>
      </c>
    </row>
    <row r="3">
      <c r="A3" s="15">
        <v>11.0</v>
      </c>
      <c r="B3" s="19" t="s">
        <v>37</v>
      </c>
      <c r="C3" s="114" t="s">
        <v>84</v>
      </c>
      <c r="D3" s="118">
        <v>22.0</v>
      </c>
      <c r="E3" s="118">
        <v>3.0</v>
      </c>
      <c r="F3" s="119">
        <v>0.13636363636363635</v>
      </c>
      <c r="G3" s="118" t="s">
        <v>489</v>
      </c>
      <c r="H3" s="118">
        <v>6.0</v>
      </c>
      <c r="I3" s="119">
        <v>0.2727272727272727</v>
      </c>
      <c r="J3" s="118" t="s">
        <v>491</v>
      </c>
      <c r="K3" s="118">
        <v>8.0</v>
      </c>
      <c r="L3" s="119">
        <v>0.36363636363636365</v>
      </c>
      <c r="M3" s="118" t="s">
        <v>572</v>
      </c>
      <c r="N3" s="118">
        <v>5.0</v>
      </c>
      <c r="O3" s="119">
        <v>0.22727272727272727</v>
      </c>
      <c r="P3" s="113" t="s">
        <v>573</v>
      </c>
    </row>
    <row r="4">
      <c r="A4" s="9">
        <v>13.0</v>
      </c>
      <c r="B4" s="19" t="s">
        <v>43</v>
      </c>
      <c r="C4" s="114" t="s">
        <v>42</v>
      </c>
      <c r="D4" s="118">
        <v>61.0</v>
      </c>
      <c r="E4" s="118">
        <v>30.0</v>
      </c>
      <c r="F4" s="119">
        <v>0.4918032786885246</v>
      </c>
      <c r="G4" s="118" t="s">
        <v>574</v>
      </c>
      <c r="H4" s="118">
        <v>24.0</v>
      </c>
      <c r="I4" s="119">
        <v>0.39344262295081966</v>
      </c>
      <c r="J4" s="118" t="s">
        <v>575</v>
      </c>
      <c r="K4" s="118">
        <v>6.0</v>
      </c>
      <c r="L4" s="119">
        <v>0.09836065573770492</v>
      </c>
      <c r="M4" s="118" t="s">
        <v>576</v>
      </c>
      <c r="N4" s="118">
        <v>1.0</v>
      </c>
      <c r="O4" s="119">
        <v>0.01639344262295082</v>
      </c>
      <c r="P4" s="113" t="s">
        <v>494</v>
      </c>
    </row>
    <row r="5">
      <c r="A5" s="9">
        <v>13.0</v>
      </c>
      <c r="B5" s="19" t="s">
        <v>43</v>
      </c>
      <c r="C5" s="114" t="s">
        <v>84</v>
      </c>
      <c r="D5" s="118">
        <v>86.0</v>
      </c>
      <c r="E5" s="118">
        <v>19.0</v>
      </c>
      <c r="F5" s="119">
        <v>0.22093023255813954</v>
      </c>
      <c r="G5" s="118" t="s">
        <v>577</v>
      </c>
      <c r="H5" s="118">
        <v>46.0</v>
      </c>
      <c r="I5" s="119">
        <v>0.5348837209302325</v>
      </c>
      <c r="J5" s="118" t="s">
        <v>578</v>
      </c>
      <c r="K5" s="118">
        <v>12.0</v>
      </c>
      <c r="L5" s="119">
        <v>0.13953488372093023</v>
      </c>
      <c r="M5" s="118" t="s">
        <v>502</v>
      </c>
      <c r="N5" s="118">
        <v>9.0</v>
      </c>
      <c r="O5" s="119">
        <v>0.10465116279069768</v>
      </c>
      <c r="P5" s="113" t="s">
        <v>579</v>
      </c>
    </row>
    <row r="6">
      <c r="A6" s="15">
        <v>23.0</v>
      </c>
      <c r="B6" s="19" t="s">
        <v>56</v>
      </c>
      <c r="C6" s="114" t="s">
        <v>42</v>
      </c>
      <c r="D6" s="118">
        <v>32.0</v>
      </c>
      <c r="E6" s="118">
        <v>18.0</v>
      </c>
      <c r="F6" s="119">
        <v>0.5625</v>
      </c>
      <c r="G6" s="118" t="s">
        <v>580</v>
      </c>
      <c r="H6" s="118">
        <v>12.0</v>
      </c>
      <c r="I6" s="119">
        <v>0.375</v>
      </c>
      <c r="J6" s="118" t="s">
        <v>581</v>
      </c>
      <c r="K6" s="118">
        <v>2.0</v>
      </c>
      <c r="L6" s="119">
        <v>0.0625</v>
      </c>
      <c r="M6" s="118" t="s">
        <v>514</v>
      </c>
      <c r="N6" s="118">
        <v>0.0</v>
      </c>
      <c r="O6" s="119">
        <v>0.0</v>
      </c>
      <c r="P6" s="113" t="s">
        <v>477</v>
      </c>
    </row>
    <row r="7">
      <c r="A7" s="15">
        <v>23.0</v>
      </c>
      <c r="B7" s="19" t="s">
        <v>56</v>
      </c>
      <c r="C7" s="114" t="s">
        <v>84</v>
      </c>
      <c r="D7" s="118">
        <v>33.0</v>
      </c>
      <c r="E7" s="118">
        <v>16.0</v>
      </c>
      <c r="F7" s="119">
        <v>0.48484848484848486</v>
      </c>
      <c r="G7" s="118" t="s">
        <v>582</v>
      </c>
      <c r="H7" s="118">
        <v>17.0</v>
      </c>
      <c r="I7" s="119">
        <v>0.5151515151515151</v>
      </c>
      <c r="J7" s="118" t="s">
        <v>583</v>
      </c>
      <c r="K7" s="118">
        <v>0.0</v>
      </c>
      <c r="L7" s="119">
        <v>0.0</v>
      </c>
      <c r="M7" s="118" t="s">
        <v>477</v>
      </c>
      <c r="N7" s="118">
        <v>0.0</v>
      </c>
      <c r="O7" s="119">
        <v>0.0</v>
      </c>
      <c r="P7" s="113" t="s">
        <v>477</v>
      </c>
    </row>
    <row r="8">
      <c r="A8" s="15">
        <v>26.0</v>
      </c>
      <c r="B8" s="19" t="s">
        <v>60</v>
      </c>
      <c r="C8" s="114" t="s">
        <v>42</v>
      </c>
      <c r="D8" s="118">
        <v>42.0</v>
      </c>
      <c r="E8" s="118">
        <v>36.0</v>
      </c>
      <c r="F8" s="119">
        <v>0.8571428571428571</v>
      </c>
      <c r="G8" s="118" t="s">
        <v>504</v>
      </c>
      <c r="H8" s="118">
        <v>6.0</v>
      </c>
      <c r="I8" s="119">
        <v>0.14285714285714285</v>
      </c>
      <c r="J8" s="118" t="s">
        <v>505</v>
      </c>
      <c r="K8" s="118">
        <v>0.0</v>
      </c>
      <c r="L8" s="119">
        <v>0.0</v>
      </c>
      <c r="M8" s="118" t="s">
        <v>477</v>
      </c>
      <c r="N8" s="118">
        <v>0.0</v>
      </c>
      <c r="O8" s="119">
        <v>0.0</v>
      </c>
      <c r="P8" s="113" t="s">
        <v>477</v>
      </c>
    </row>
    <row r="9">
      <c r="A9" s="15">
        <v>26.0</v>
      </c>
      <c r="B9" s="19" t="s">
        <v>60</v>
      </c>
      <c r="C9" s="114" t="s">
        <v>84</v>
      </c>
      <c r="D9" s="118">
        <v>47.0</v>
      </c>
      <c r="E9" s="118">
        <v>28.0</v>
      </c>
      <c r="F9" s="119">
        <v>0.5957446808510638</v>
      </c>
      <c r="G9" s="118" t="s">
        <v>506</v>
      </c>
      <c r="H9" s="118">
        <v>19.0</v>
      </c>
      <c r="I9" s="119">
        <v>0.40425531914893614</v>
      </c>
      <c r="J9" s="118" t="s">
        <v>507</v>
      </c>
      <c r="K9" s="118">
        <v>0.0</v>
      </c>
      <c r="L9" s="119">
        <v>0.0</v>
      </c>
      <c r="M9" s="118" t="s">
        <v>477</v>
      </c>
      <c r="N9" s="118">
        <v>0.0</v>
      </c>
      <c r="O9" s="119">
        <v>0.0</v>
      </c>
      <c r="P9" s="113" t="s">
        <v>477</v>
      </c>
    </row>
    <row r="10">
      <c r="A10" s="15">
        <v>30.0</v>
      </c>
      <c r="B10" s="19" t="s">
        <v>62</v>
      </c>
      <c r="C10" s="114" t="s">
        <v>42</v>
      </c>
      <c r="D10" s="118">
        <v>45.0</v>
      </c>
      <c r="E10" s="118">
        <v>29.0</v>
      </c>
      <c r="F10" s="119">
        <v>0.6444444444444445</v>
      </c>
      <c r="G10" s="118" t="s">
        <v>584</v>
      </c>
      <c r="H10" s="118">
        <v>15.0</v>
      </c>
      <c r="I10" s="119">
        <v>0.3333333333333333</v>
      </c>
      <c r="J10" s="118" t="s">
        <v>585</v>
      </c>
      <c r="K10" s="118">
        <v>1.0</v>
      </c>
      <c r="L10" s="119">
        <v>0.022222222222222223</v>
      </c>
      <c r="M10" s="118" t="s">
        <v>494</v>
      </c>
      <c r="N10" s="118">
        <v>0.0</v>
      </c>
      <c r="O10" s="119">
        <v>0.0</v>
      </c>
      <c r="P10" s="113" t="s">
        <v>477</v>
      </c>
    </row>
    <row r="11">
      <c r="A11" s="15">
        <v>30.0</v>
      </c>
      <c r="B11" s="19" t="s">
        <v>62</v>
      </c>
      <c r="C11" s="114" t="s">
        <v>84</v>
      </c>
      <c r="D11" s="118">
        <v>32.0</v>
      </c>
      <c r="E11" s="118">
        <v>19.0</v>
      </c>
      <c r="F11" s="119">
        <v>0.59375</v>
      </c>
      <c r="G11" s="118" t="s">
        <v>586</v>
      </c>
      <c r="H11" s="118">
        <v>12.0</v>
      </c>
      <c r="I11" s="119">
        <v>0.375</v>
      </c>
      <c r="J11" s="118" t="s">
        <v>581</v>
      </c>
      <c r="K11" s="118">
        <v>1.0</v>
      </c>
      <c r="L11" s="119">
        <v>0.03125</v>
      </c>
      <c r="M11" s="118" t="s">
        <v>517</v>
      </c>
      <c r="N11" s="118">
        <v>0.0</v>
      </c>
      <c r="O11" s="119">
        <v>0.0</v>
      </c>
      <c r="P11" s="113" t="s">
        <v>477</v>
      </c>
    </row>
    <row r="12">
      <c r="A12" s="15">
        <v>32.0</v>
      </c>
      <c r="B12" s="19" t="s">
        <v>65</v>
      </c>
      <c r="C12" s="114" t="s">
        <v>42</v>
      </c>
      <c r="D12" s="118">
        <v>31.0</v>
      </c>
      <c r="E12" s="118">
        <v>22.0</v>
      </c>
      <c r="F12" s="119">
        <v>0.7096774193548387</v>
      </c>
      <c r="G12" s="118" t="s">
        <v>587</v>
      </c>
      <c r="H12" s="118">
        <v>7.0</v>
      </c>
      <c r="I12" s="119">
        <v>0.22580645161290322</v>
      </c>
      <c r="J12" s="118" t="s">
        <v>588</v>
      </c>
      <c r="K12" s="118">
        <v>1.0</v>
      </c>
      <c r="L12" s="119">
        <v>0.03225806451612903</v>
      </c>
      <c r="M12" s="118" t="s">
        <v>517</v>
      </c>
      <c r="N12" s="118">
        <v>1.0</v>
      </c>
      <c r="O12" s="119">
        <v>0.03225806451612903</v>
      </c>
      <c r="P12" s="113" t="s">
        <v>517</v>
      </c>
    </row>
    <row r="13">
      <c r="A13" s="15">
        <v>32.0</v>
      </c>
      <c r="B13" s="19" t="s">
        <v>65</v>
      </c>
      <c r="C13" s="114" t="s">
        <v>84</v>
      </c>
      <c r="D13" s="118">
        <v>31.0</v>
      </c>
      <c r="E13" s="118">
        <v>22.0</v>
      </c>
      <c r="F13" s="119">
        <v>0.7096774193548387</v>
      </c>
      <c r="G13" s="118" t="s">
        <v>587</v>
      </c>
      <c r="H13" s="118">
        <v>6.0</v>
      </c>
      <c r="I13" s="119">
        <v>0.1935483870967742</v>
      </c>
      <c r="J13" s="118" t="s">
        <v>589</v>
      </c>
      <c r="K13" s="118">
        <v>2.0</v>
      </c>
      <c r="L13" s="119">
        <v>0.06451612903225806</v>
      </c>
      <c r="M13" s="118" t="s">
        <v>514</v>
      </c>
      <c r="N13" s="118">
        <v>1.0</v>
      </c>
      <c r="O13" s="119">
        <v>0.03225806451612903</v>
      </c>
      <c r="P13" s="113" t="s">
        <v>517</v>
      </c>
    </row>
    <row r="14">
      <c r="A14" s="15">
        <v>33.0</v>
      </c>
      <c r="B14" s="19" t="s">
        <v>67</v>
      </c>
      <c r="C14" s="114" t="s">
        <v>42</v>
      </c>
      <c r="D14" s="118">
        <v>37.0</v>
      </c>
      <c r="E14" s="118">
        <v>29.0</v>
      </c>
      <c r="F14" s="119">
        <v>0.7837837837837838</v>
      </c>
      <c r="G14" s="118" t="s">
        <v>590</v>
      </c>
      <c r="H14" s="118">
        <v>8.0</v>
      </c>
      <c r="I14" s="119">
        <v>0.21621621621621623</v>
      </c>
      <c r="J14" s="118" t="s">
        <v>591</v>
      </c>
      <c r="K14" s="118">
        <v>0.0</v>
      </c>
      <c r="L14" s="119">
        <v>0.0</v>
      </c>
      <c r="M14" s="118" t="s">
        <v>477</v>
      </c>
      <c r="N14" s="118">
        <v>0.0</v>
      </c>
      <c r="O14" s="119">
        <v>0.0</v>
      </c>
      <c r="P14" s="113" t="s">
        <v>477</v>
      </c>
    </row>
    <row r="15">
      <c r="A15" s="15">
        <v>33.0</v>
      </c>
      <c r="B15" s="19" t="s">
        <v>67</v>
      </c>
      <c r="C15" s="114" t="s">
        <v>84</v>
      </c>
      <c r="D15" s="118">
        <v>37.0</v>
      </c>
      <c r="E15" s="118">
        <v>31.0</v>
      </c>
      <c r="F15" s="119">
        <v>0.8378378378378378</v>
      </c>
      <c r="G15" s="118" t="s">
        <v>592</v>
      </c>
      <c r="H15" s="118">
        <v>5.0</v>
      </c>
      <c r="I15" s="119">
        <v>0.13513513513513514</v>
      </c>
      <c r="J15" s="118" t="s">
        <v>593</v>
      </c>
      <c r="K15" s="118">
        <v>1.0</v>
      </c>
      <c r="L15" s="119">
        <v>0.02702702702702703</v>
      </c>
      <c r="M15" s="118" t="s">
        <v>517</v>
      </c>
      <c r="N15" s="118">
        <v>0.0</v>
      </c>
      <c r="O15" s="119">
        <v>0.0</v>
      </c>
      <c r="P15" s="113" t="s">
        <v>477</v>
      </c>
    </row>
    <row r="16">
      <c r="A16" s="15">
        <v>37.0</v>
      </c>
      <c r="B16" s="19" t="s">
        <v>75</v>
      </c>
      <c r="C16" s="114" t="s">
        <v>42</v>
      </c>
      <c r="D16" s="118">
        <v>40.0</v>
      </c>
      <c r="E16" s="118">
        <v>35.0</v>
      </c>
      <c r="F16" s="119">
        <v>0.875</v>
      </c>
      <c r="G16" s="118" t="s">
        <v>529</v>
      </c>
      <c r="H16" s="118">
        <v>5.0</v>
      </c>
      <c r="I16" s="119">
        <v>0.125</v>
      </c>
      <c r="J16" s="118" t="s">
        <v>530</v>
      </c>
      <c r="K16" s="118">
        <v>0.0</v>
      </c>
      <c r="L16" s="119">
        <v>0.0</v>
      </c>
      <c r="M16" s="118" t="s">
        <v>477</v>
      </c>
      <c r="N16" s="118">
        <v>0.0</v>
      </c>
      <c r="O16" s="119">
        <v>0.0</v>
      </c>
      <c r="P16" s="113" t="s">
        <v>477</v>
      </c>
    </row>
    <row r="17">
      <c r="A17" s="15">
        <v>37.0</v>
      </c>
      <c r="B17" s="19" t="s">
        <v>75</v>
      </c>
      <c r="C17" s="114" t="s">
        <v>84</v>
      </c>
      <c r="D17" s="118">
        <v>46.0</v>
      </c>
      <c r="E17" s="118">
        <v>39.0</v>
      </c>
      <c r="F17" s="119">
        <v>0.8478260869565217</v>
      </c>
      <c r="G17" s="118" t="s">
        <v>594</v>
      </c>
      <c r="H17" s="118">
        <v>7.0</v>
      </c>
      <c r="I17" s="119">
        <v>0.15217391304347827</v>
      </c>
      <c r="J17" s="118" t="s">
        <v>595</v>
      </c>
      <c r="K17" s="118">
        <v>0.0</v>
      </c>
      <c r="L17" s="119">
        <v>0.0</v>
      </c>
      <c r="M17" s="118" t="s">
        <v>477</v>
      </c>
      <c r="N17" s="118">
        <v>0.0</v>
      </c>
      <c r="O17" s="119">
        <v>0.0</v>
      </c>
      <c r="P17" s="113" t="s">
        <v>477</v>
      </c>
    </row>
    <row r="18">
      <c r="A18" s="15">
        <v>41.0</v>
      </c>
      <c r="B18" s="19" t="s">
        <v>79</v>
      </c>
      <c r="C18" s="114" t="s">
        <v>42</v>
      </c>
      <c r="D18" s="118">
        <v>43.0</v>
      </c>
      <c r="E18" s="118">
        <v>35.0</v>
      </c>
      <c r="F18" s="119">
        <v>0.813953488372093</v>
      </c>
      <c r="G18" s="118" t="s">
        <v>596</v>
      </c>
      <c r="H18" s="118">
        <v>8.0</v>
      </c>
      <c r="I18" s="119">
        <v>0.18604651162790697</v>
      </c>
      <c r="J18" s="118" t="s">
        <v>597</v>
      </c>
      <c r="K18" s="118">
        <v>0.0</v>
      </c>
      <c r="L18" s="119">
        <v>0.0</v>
      </c>
      <c r="M18" s="118" t="s">
        <v>477</v>
      </c>
      <c r="N18" s="118">
        <v>0.0</v>
      </c>
      <c r="O18" s="119">
        <v>0.0</v>
      </c>
      <c r="P18" s="113" t="s">
        <v>477</v>
      </c>
    </row>
    <row r="19">
      <c r="A19" s="15">
        <v>41.0</v>
      </c>
      <c r="B19" s="19" t="s">
        <v>79</v>
      </c>
      <c r="C19" s="114" t="s">
        <v>84</v>
      </c>
      <c r="D19" s="118">
        <v>46.0</v>
      </c>
      <c r="E19" s="118">
        <v>38.0</v>
      </c>
      <c r="F19" s="119">
        <v>0.8260869565217391</v>
      </c>
      <c r="G19" s="118" t="s">
        <v>598</v>
      </c>
      <c r="H19" s="118">
        <v>8.0</v>
      </c>
      <c r="I19" s="119">
        <v>0.17391304347826086</v>
      </c>
      <c r="J19" s="118" t="s">
        <v>552</v>
      </c>
      <c r="K19" s="118">
        <v>0.0</v>
      </c>
      <c r="L19" s="119">
        <v>0.0</v>
      </c>
      <c r="M19" s="118" t="s">
        <v>477</v>
      </c>
      <c r="N19" s="118">
        <v>0.0</v>
      </c>
      <c r="O19" s="119">
        <v>0.0</v>
      </c>
      <c r="P19" s="113" t="s">
        <v>477</v>
      </c>
    </row>
    <row r="20">
      <c r="A20" s="15">
        <v>45.0</v>
      </c>
      <c r="B20" s="19" t="s">
        <v>88</v>
      </c>
      <c r="C20" s="114" t="s">
        <v>42</v>
      </c>
      <c r="D20" s="118">
        <v>24.0</v>
      </c>
      <c r="E20" s="118">
        <v>16.0</v>
      </c>
      <c r="F20" s="119">
        <v>0.6666666666666666</v>
      </c>
      <c r="G20" s="118" t="s">
        <v>599</v>
      </c>
      <c r="H20" s="118">
        <v>8.0</v>
      </c>
      <c r="I20" s="119">
        <v>0.3333333333333333</v>
      </c>
      <c r="J20" s="118" t="s">
        <v>600</v>
      </c>
      <c r="K20" s="118">
        <v>0.0</v>
      </c>
      <c r="L20" s="119">
        <v>0.0</v>
      </c>
      <c r="M20" s="118" t="s">
        <v>477</v>
      </c>
      <c r="N20" s="118">
        <v>0.0</v>
      </c>
      <c r="O20" s="119">
        <v>0.0</v>
      </c>
      <c r="P20" s="113" t="s">
        <v>477</v>
      </c>
    </row>
    <row r="21">
      <c r="A21" s="15">
        <v>45.0</v>
      </c>
      <c r="B21" s="19" t="s">
        <v>88</v>
      </c>
      <c r="C21" s="114" t="s">
        <v>84</v>
      </c>
      <c r="D21" s="118">
        <v>23.0</v>
      </c>
      <c r="E21" s="118">
        <v>12.0</v>
      </c>
      <c r="F21" s="119">
        <v>0.5217391304347826</v>
      </c>
      <c r="G21" s="118" t="s">
        <v>601</v>
      </c>
      <c r="H21" s="118">
        <v>9.0</v>
      </c>
      <c r="I21" s="119">
        <v>0.391304347826087</v>
      </c>
      <c r="J21" s="118" t="s">
        <v>602</v>
      </c>
      <c r="K21" s="118">
        <v>1.0</v>
      </c>
      <c r="L21" s="119">
        <v>0.043478260869565216</v>
      </c>
      <c r="M21" s="118" t="s">
        <v>603</v>
      </c>
      <c r="N21" s="118">
        <v>1.0</v>
      </c>
      <c r="O21" s="119">
        <v>0.043478260869565216</v>
      </c>
      <c r="P21" s="113" t="s">
        <v>603</v>
      </c>
    </row>
    <row r="22">
      <c r="A22" s="15">
        <v>51.0</v>
      </c>
      <c r="B22" s="19" t="s">
        <v>96</v>
      </c>
      <c r="C22" s="114" t="s">
        <v>84</v>
      </c>
      <c r="D22" s="114">
        <v>32.0</v>
      </c>
      <c r="E22" s="118">
        <v>26.0</v>
      </c>
      <c r="F22" s="119">
        <v>0.8125</v>
      </c>
      <c r="G22" s="118" t="s">
        <v>604</v>
      </c>
      <c r="H22" s="118">
        <v>4.0</v>
      </c>
      <c r="I22" s="119">
        <v>0.125</v>
      </c>
      <c r="J22" s="118" t="s">
        <v>546</v>
      </c>
      <c r="K22" s="118">
        <v>2.0</v>
      </c>
      <c r="L22" s="119">
        <v>0.0625</v>
      </c>
      <c r="M22" s="118" t="s">
        <v>514</v>
      </c>
      <c r="N22" s="118">
        <v>0.0</v>
      </c>
      <c r="O22" s="119">
        <v>0.0</v>
      </c>
      <c r="P22" s="113" t="s">
        <v>477</v>
      </c>
    </row>
    <row r="23">
      <c r="A23" s="15">
        <v>51.0</v>
      </c>
      <c r="B23" s="19" t="s">
        <v>96</v>
      </c>
      <c r="C23" s="114" t="s">
        <v>205</v>
      </c>
      <c r="D23" s="114">
        <v>32.0</v>
      </c>
      <c r="E23" s="118">
        <v>19.0</v>
      </c>
      <c r="F23" s="119">
        <v>0.59375</v>
      </c>
      <c r="G23" s="118" t="s">
        <v>586</v>
      </c>
      <c r="H23" s="118">
        <v>9.0</v>
      </c>
      <c r="I23" s="119">
        <v>0.28125</v>
      </c>
      <c r="J23" s="118" t="s">
        <v>605</v>
      </c>
      <c r="K23" s="118">
        <v>3.0</v>
      </c>
      <c r="L23" s="119">
        <v>0.09375</v>
      </c>
      <c r="M23" s="118" t="s">
        <v>481</v>
      </c>
      <c r="N23" s="118">
        <v>1.0</v>
      </c>
      <c r="O23" s="119">
        <v>0.03125</v>
      </c>
      <c r="P23" s="113" t="s">
        <v>517</v>
      </c>
    </row>
    <row r="24">
      <c r="A24" s="15">
        <v>52.0</v>
      </c>
      <c r="B24" s="19" t="s">
        <v>98</v>
      </c>
      <c r="C24" s="114" t="s">
        <v>42</v>
      </c>
      <c r="D24" s="114">
        <v>30.0</v>
      </c>
      <c r="E24" s="118">
        <v>8.0</v>
      </c>
      <c r="F24" s="119">
        <v>0.26666666666666666</v>
      </c>
      <c r="G24" s="118" t="s">
        <v>606</v>
      </c>
      <c r="H24" s="118">
        <v>21.0</v>
      </c>
      <c r="I24" s="119">
        <v>0.7</v>
      </c>
      <c r="J24" s="118" t="s">
        <v>607</v>
      </c>
      <c r="K24" s="118">
        <v>1.0</v>
      </c>
      <c r="L24" s="119">
        <v>0.03333333333333333</v>
      </c>
      <c r="M24" s="118" t="s">
        <v>517</v>
      </c>
      <c r="N24" s="118">
        <v>0.0</v>
      </c>
      <c r="O24" s="119">
        <v>0.0</v>
      </c>
      <c r="P24" s="113" t="s">
        <v>477</v>
      </c>
    </row>
    <row r="25">
      <c r="A25" s="15">
        <v>52.0</v>
      </c>
      <c r="B25" s="19" t="s">
        <v>98</v>
      </c>
      <c r="C25" s="114" t="s">
        <v>84</v>
      </c>
      <c r="D25" s="114">
        <v>32.0</v>
      </c>
      <c r="E25" s="118">
        <v>7.0</v>
      </c>
      <c r="F25" s="119">
        <v>0.21875</v>
      </c>
      <c r="G25" s="118" t="s">
        <v>608</v>
      </c>
      <c r="H25" s="118">
        <v>23.0</v>
      </c>
      <c r="I25" s="119">
        <v>0.71875</v>
      </c>
      <c r="J25" s="118" t="s">
        <v>547</v>
      </c>
      <c r="K25" s="118">
        <v>1.0</v>
      </c>
      <c r="L25" s="119">
        <v>0.03125</v>
      </c>
      <c r="M25" s="118" t="s">
        <v>517</v>
      </c>
      <c r="N25" s="118">
        <v>1.0</v>
      </c>
      <c r="O25" s="119">
        <v>0.03125</v>
      </c>
      <c r="P25" s="113" t="s">
        <v>517</v>
      </c>
    </row>
    <row r="26">
      <c r="A26" s="15">
        <v>55.0</v>
      </c>
      <c r="B26" s="19" t="s">
        <v>106</v>
      </c>
      <c r="C26" s="114" t="s">
        <v>42</v>
      </c>
      <c r="D26" s="114">
        <v>14.0</v>
      </c>
      <c r="E26" s="118">
        <v>10.0</v>
      </c>
      <c r="F26" s="119">
        <v>0.7142857142857143</v>
      </c>
      <c r="G26" s="118" t="s">
        <v>609</v>
      </c>
      <c r="H26" s="118">
        <v>4.0</v>
      </c>
      <c r="I26" s="119">
        <v>0.2857142857142857</v>
      </c>
      <c r="J26" s="118" t="s">
        <v>610</v>
      </c>
      <c r="K26" s="118">
        <v>0.0</v>
      </c>
      <c r="L26" s="119">
        <v>0.0</v>
      </c>
      <c r="M26" s="118" t="s">
        <v>477</v>
      </c>
      <c r="N26" s="118">
        <v>0.0</v>
      </c>
      <c r="O26" s="119">
        <v>0.0</v>
      </c>
      <c r="P26" s="113" t="s">
        <v>477</v>
      </c>
    </row>
    <row r="27">
      <c r="A27" s="15">
        <v>55.0</v>
      </c>
      <c r="B27" s="19" t="s">
        <v>106</v>
      </c>
      <c r="C27" s="114" t="s">
        <v>84</v>
      </c>
      <c r="D27" s="114">
        <v>38.0</v>
      </c>
      <c r="E27" s="118">
        <v>32.0</v>
      </c>
      <c r="F27" s="119">
        <v>0.8421052631578947</v>
      </c>
      <c r="G27" s="118" t="s">
        <v>611</v>
      </c>
      <c r="H27" s="118">
        <v>6.0</v>
      </c>
      <c r="I27" s="119">
        <v>0.15789473684210525</v>
      </c>
      <c r="J27" s="118" t="s">
        <v>612</v>
      </c>
      <c r="K27" s="118">
        <v>0.0</v>
      </c>
      <c r="L27" s="119">
        <v>0.0</v>
      </c>
      <c r="M27" s="118" t="s">
        <v>477</v>
      </c>
      <c r="N27" s="118">
        <v>0.0</v>
      </c>
      <c r="O27" s="119">
        <v>0.0</v>
      </c>
      <c r="P27" s="113" t="s">
        <v>477</v>
      </c>
    </row>
    <row r="28">
      <c r="A28" s="15">
        <v>58.0</v>
      </c>
      <c r="B28" s="19" t="s">
        <v>110</v>
      </c>
      <c r="C28" s="114" t="s">
        <v>42</v>
      </c>
      <c r="D28" s="114">
        <v>18.0</v>
      </c>
      <c r="E28" s="118">
        <v>13.68</v>
      </c>
      <c r="F28" s="119">
        <v>0.76</v>
      </c>
      <c r="G28" s="118" t="s">
        <v>613</v>
      </c>
      <c r="H28" s="118">
        <v>2.88</v>
      </c>
      <c r="I28" s="119">
        <v>0.16</v>
      </c>
      <c r="J28" s="118" t="s">
        <v>614</v>
      </c>
      <c r="K28" s="118">
        <v>1.44</v>
      </c>
      <c r="L28" s="119">
        <v>0.08</v>
      </c>
      <c r="M28" s="118" t="s">
        <v>615</v>
      </c>
      <c r="N28" s="118">
        <v>0.0</v>
      </c>
      <c r="O28" s="119">
        <v>0.0</v>
      </c>
      <c r="P28" s="113" t="s">
        <v>477</v>
      </c>
    </row>
    <row r="29">
      <c r="A29" s="15">
        <v>58.0</v>
      </c>
      <c r="B29" s="19" t="s">
        <v>110</v>
      </c>
      <c r="C29" s="114" t="s">
        <v>200</v>
      </c>
      <c r="D29" s="114">
        <v>21.0</v>
      </c>
      <c r="E29" s="118">
        <v>16.17</v>
      </c>
      <c r="F29" s="119">
        <v>0.7700000000000001</v>
      </c>
      <c r="G29" s="118" t="s">
        <v>616</v>
      </c>
      <c r="H29" s="118">
        <v>3.99</v>
      </c>
      <c r="I29" s="119">
        <v>0.19</v>
      </c>
      <c r="J29" s="118" t="s">
        <v>617</v>
      </c>
      <c r="K29" s="118">
        <v>0.84</v>
      </c>
      <c r="L29" s="119">
        <v>0.04</v>
      </c>
      <c r="M29" s="118" t="s">
        <v>618</v>
      </c>
      <c r="N29" s="118">
        <v>0.0</v>
      </c>
      <c r="O29" s="119">
        <v>0.0</v>
      </c>
      <c r="P29" s="113" t="s">
        <v>477</v>
      </c>
    </row>
    <row r="30">
      <c r="A30" s="15">
        <v>70.0</v>
      </c>
      <c r="B30" s="19" t="s">
        <v>121</v>
      </c>
      <c r="C30" s="114" t="s">
        <v>84</v>
      </c>
      <c r="D30" s="114">
        <v>33.0</v>
      </c>
      <c r="E30" s="118">
        <v>27.0</v>
      </c>
      <c r="F30" s="119">
        <v>0.8181818181818182</v>
      </c>
      <c r="G30" s="113" t="s">
        <v>553</v>
      </c>
      <c r="H30" s="118">
        <v>5.0</v>
      </c>
      <c r="I30" s="119">
        <v>0.15151515151515152</v>
      </c>
      <c r="J30" s="113" t="s">
        <v>554</v>
      </c>
      <c r="K30" s="118">
        <v>1.0</v>
      </c>
      <c r="L30" s="119">
        <v>0.030303030303030304</v>
      </c>
      <c r="M30" s="113" t="s">
        <v>517</v>
      </c>
      <c r="N30" s="118">
        <v>0.0</v>
      </c>
      <c r="O30" s="119">
        <v>0.0</v>
      </c>
      <c r="P30" s="113" t="s">
        <v>477</v>
      </c>
    </row>
    <row r="31">
      <c r="A31" s="15">
        <v>70.0</v>
      </c>
      <c r="B31" s="19" t="s">
        <v>121</v>
      </c>
      <c r="C31" s="114" t="s">
        <v>246</v>
      </c>
      <c r="D31" s="114">
        <v>32.0</v>
      </c>
      <c r="E31" s="118">
        <v>26.0</v>
      </c>
      <c r="F31" s="119">
        <v>0.8125</v>
      </c>
      <c r="G31" s="113" t="s">
        <v>604</v>
      </c>
      <c r="H31" s="118">
        <v>3.0</v>
      </c>
      <c r="I31" s="119">
        <v>0.09375</v>
      </c>
      <c r="J31" s="113" t="s">
        <v>481</v>
      </c>
      <c r="K31" s="118">
        <v>3.0</v>
      </c>
      <c r="L31" s="119">
        <v>0.09375</v>
      </c>
      <c r="M31" s="113" t="s">
        <v>481</v>
      </c>
      <c r="N31" s="118">
        <v>0.0</v>
      </c>
      <c r="O31" s="119">
        <v>0.0</v>
      </c>
      <c r="P31" s="113" t="s">
        <v>477</v>
      </c>
    </row>
    <row r="32">
      <c r="A32" s="15">
        <v>76.0</v>
      </c>
      <c r="B32" s="19" t="s">
        <v>125</v>
      </c>
      <c r="C32" s="114" t="s">
        <v>42</v>
      </c>
      <c r="D32" s="114">
        <v>53.0</v>
      </c>
      <c r="E32" s="118">
        <v>43.0</v>
      </c>
      <c r="F32" s="119">
        <v>0.8113207547169812</v>
      </c>
      <c r="G32" s="113" t="s">
        <v>619</v>
      </c>
      <c r="H32" s="118">
        <v>10.0</v>
      </c>
      <c r="I32" s="119">
        <v>0.18867924528301888</v>
      </c>
      <c r="J32" s="113" t="s">
        <v>620</v>
      </c>
      <c r="K32" s="118">
        <v>0.0</v>
      </c>
      <c r="L32" s="119">
        <v>0.0</v>
      </c>
      <c r="M32" s="113" t="s">
        <v>477</v>
      </c>
      <c r="N32" s="118">
        <v>0.0</v>
      </c>
      <c r="O32" s="119">
        <v>0.0</v>
      </c>
      <c r="P32" s="113" t="s">
        <v>477</v>
      </c>
    </row>
    <row r="33">
      <c r="A33" s="15">
        <v>76.0</v>
      </c>
      <c r="B33" s="19" t="s">
        <v>125</v>
      </c>
      <c r="C33" s="114" t="s">
        <v>84</v>
      </c>
      <c r="D33" s="114">
        <v>58.0</v>
      </c>
      <c r="E33" s="118">
        <v>46.0</v>
      </c>
      <c r="F33" s="119">
        <v>0.7931034482758621</v>
      </c>
      <c r="G33" s="113" t="s">
        <v>621</v>
      </c>
      <c r="H33" s="118">
        <v>11.0</v>
      </c>
      <c r="I33" s="119">
        <v>0.1896551724137931</v>
      </c>
      <c r="J33" s="113" t="s">
        <v>622</v>
      </c>
      <c r="K33" s="118">
        <v>1.0</v>
      </c>
      <c r="L33" s="119">
        <v>0.017241379310344827</v>
      </c>
      <c r="M33" s="113" t="s">
        <v>494</v>
      </c>
      <c r="N33" s="118">
        <v>0.0</v>
      </c>
      <c r="O33" s="119">
        <v>0.0</v>
      </c>
      <c r="P33" s="113" t="s">
        <v>477</v>
      </c>
    </row>
    <row r="34">
      <c r="A34" s="15">
        <v>77.0</v>
      </c>
      <c r="B34" s="19" t="s">
        <v>128</v>
      </c>
      <c r="C34" s="114" t="s">
        <v>42</v>
      </c>
      <c r="D34" s="114">
        <v>38.0</v>
      </c>
      <c r="E34" s="120"/>
      <c r="F34" s="119"/>
      <c r="G34" s="113"/>
      <c r="H34" s="118"/>
      <c r="I34" s="119"/>
      <c r="J34" s="113"/>
      <c r="K34" s="118">
        <v>0.0</v>
      </c>
      <c r="L34" s="119">
        <v>0.0</v>
      </c>
      <c r="M34" s="113"/>
      <c r="N34" s="118">
        <v>0.0</v>
      </c>
      <c r="O34" s="119">
        <v>0.0</v>
      </c>
      <c r="P34" s="113"/>
    </row>
    <row r="35">
      <c r="A35" s="15">
        <v>77.0</v>
      </c>
      <c r="B35" s="19" t="s">
        <v>128</v>
      </c>
      <c r="C35" s="114" t="s">
        <v>84</v>
      </c>
      <c r="D35" s="114">
        <v>33.0</v>
      </c>
      <c r="E35" s="120"/>
      <c r="F35" s="119"/>
      <c r="G35" s="113"/>
      <c r="H35" s="118"/>
      <c r="I35" s="119"/>
      <c r="J35" s="113"/>
      <c r="K35" s="118">
        <v>5.0</v>
      </c>
      <c r="L35" s="119">
        <v>0.15151515151515152</v>
      </c>
      <c r="M35" s="113"/>
      <c r="N35" s="118">
        <v>0.0</v>
      </c>
      <c r="O35" s="119">
        <v>0.0</v>
      </c>
      <c r="P35" s="113"/>
    </row>
    <row r="36">
      <c r="A36" s="15">
        <v>82.0</v>
      </c>
      <c r="B36" s="19" t="s">
        <v>130</v>
      </c>
      <c r="C36" s="114" t="s">
        <v>42</v>
      </c>
      <c r="D36" s="114">
        <v>24.0</v>
      </c>
      <c r="E36" s="118">
        <v>19.0</v>
      </c>
      <c r="F36" s="119">
        <v>0.7916666666666666</v>
      </c>
      <c r="G36" s="113" t="s">
        <v>559</v>
      </c>
      <c r="H36" s="118">
        <v>5.0</v>
      </c>
      <c r="I36" s="119">
        <v>0.20833333333333334</v>
      </c>
      <c r="J36" s="113" t="s">
        <v>560</v>
      </c>
      <c r="K36" s="118">
        <v>0.0</v>
      </c>
      <c r="L36" s="119">
        <v>0.0</v>
      </c>
      <c r="M36" s="113" t="s">
        <v>477</v>
      </c>
      <c r="N36" s="118">
        <v>0.0</v>
      </c>
      <c r="O36" s="119">
        <v>0.0</v>
      </c>
      <c r="P36" s="113" t="s">
        <v>477</v>
      </c>
    </row>
    <row r="37">
      <c r="A37" s="15">
        <v>82.0</v>
      </c>
      <c r="B37" s="19" t="s">
        <v>130</v>
      </c>
      <c r="C37" s="114" t="s">
        <v>84</v>
      </c>
      <c r="D37" s="114">
        <v>24.0</v>
      </c>
      <c r="E37" s="118">
        <v>19.0</v>
      </c>
      <c r="F37" s="119">
        <v>0.7916666666666666</v>
      </c>
      <c r="G37" s="113" t="s">
        <v>559</v>
      </c>
      <c r="H37" s="118">
        <v>5.0</v>
      </c>
      <c r="I37" s="119">
        <v>0.20833333333333334</v>
      </c>
      <c r="J37" s="113" t="s">
        <v>560</v>
      </c>
      <c r="K37" s="118">
        <v>0.0</v>
      </c>
      <c r="L37" s="119">
        <v>0.0</v>
      </c>
      <c r="M37" s="113" t="s">
        <v>477</v>
      </c>
      <c r="N37" s="118">
        <v>0.0</v>
      </c>
      <c r="O37" s="119">
        <v>0.0</v>
      </c>
      <c r="P37" s="113" t="s">
        <v>477</v>
      </c>
    </row>
    <row r="38">
      <c r="A38" s="9">
        <v>97.0</v>
      </c>
      <c r="B38" s="19" t="s">
        <v>149</v>
      </c>
      <c r="C38" s="114" t="s">
        <v>84</v>
      </c>
      <c r="D38" s="114">
        <v>36.0</v>
      </c>
      <c r="E38" s="118">
        <v>15.0</v>
      </c>
      <c r="F38" s="119">
        <v>0.4166666666666667</v>
      </c>
      <c r="G38" s="113" t="s">
        <v>623</v>
      </c>
      <c r="H38" s="118">
        <v>12.0</v>
      </c>
      <c r="I38" s="119">
        <v>0.3333333333333333</v>
      </c>
      <c r="J38" s="113" t="s">
        <v>624</v>
      </c>
      <c r="K38" s="118">
        <v>8.0</v>
      </c>
      <c r="L38" s="119">
        <v>0.2222222222222222</v>
      </c>
      <c r="M38" s="113" t="s">
        <v>591</v>
      </c>
      <c r="N38" s="118">
        <v>1.0</v>
      </c>
      <c r="O38" s="119">
        <v>0.027777777777777776</v>
      </c>
      <c r="P38" s="113" t="s">
        <v>517</v>
      </c>
    </row>
    <row r="39">
      <c r="A39" s="9">
        <v>97.0</v>
      </c>
      <c r="B39" s="19" t="s">
        <v>149</v>
      </c>
      <c r="C39" s="114" t="s">
        <v>200</v>
      </c>
      <c r="D39" s="114">
        <v>33.0</v>
      </c>
      <c r="E39" s="118">
        <v>24.0</v>
      </c>
      <c r="F39" s="119">
        <v>0.7272727272727273</v>
      </c>
      <c r="G39" s="113" t="s">
        <v>625</v>
      </c>
      <c r="H39" s="118">
        <v>6.0</v>
      </c>
      <c r="I39" s="119">
        <v>0.18181818181818182</v>
      </c>
      <c r="J39" s="113" t="s">
        <v>626</v>
      </c>
      <c r="K39" s="118">
        <v>3.0</v>
      </c>
      <c r="L39" s="119">
        <v>0.09090909090909091</v>
      </c>
      <c r="M39" s="113" t="s">
        <v>481</v>
      </c>
      <c r="N39" s="118">
        <v>0.0</v>
      </c>
      <c r="O39" s="119">
        <v>0.0</v>
      </c>
      <c r="P39" s="113" t="s">
        <v>477</v>
      </c>
    </row>
    <row r="40">
      <c r="A40" s="9">
        <v>98.0</v>
      </c>
      <c r="B40" s="19" t="s">
        <v>152</v>
      </c>
      <c r="C40" s="114" t="s">
        <v>84</v>
      </c>
      <c r="D40" s="114">
        <v>68.0</v>
      </c>
      <c r="E40" s="118">
        <v>33.0</v>
      </c>
      <c r="F40" s="119">
        <v>0.4852941176470588</v>
      </c>
      <c r="G40" s="113" t="s">
        <v>627</v>
      </c>
      <c r="H40" s="118">
        <v>31.0</v>
      </c>
      <c r="I40" s="119">
        <v>0.45588235294117646</v>
      </c>
      <c r="J40" s="113" t="s">
        <v>628</v>
      </c>
      <c r="K40" s="118">
        <v>3.0</v>
      </c>
      <c r="L40" s="119">
        <v>0.04411764705882353</v>
      </c>
      <c r="M40" s="113" t="s">
        <v>629</v>
      </c>
      <c r="N40" s="118">
        <v>1.0</v>
      </c>
      <c r="O40" s="119">
        <v>0.014705882352941176</v>
      </c>
      <c r="P40" s="113" t="s">
        <v>503</v>
      </c>
    </row>
    <row r="41">
      <c r="A41" s="9">
        <v>98.0</v>
      </c>
      <c r="B41" s="19" t="s">
        <v>152</v>
      </c>
      <c r="C41" s="114" t="s">
        <v>205</v>
      </c>
      <c r="D41" s="114">
        <v>64.0</v>
      </c>
      <c r="E41" s="118">
        <v>30.0</v>
      </c>
      <c r="F41" s="119">
        <v>0.46875</v>
      </c>
      <c r="G41" s="113" t="s">
        <v>569</v>
      </c>
      <c r="H41" s="118">
        <v>28.0</v>
      </c>
      <c r="I41" s="119">
        <v>0.4375</v>
      </c>
      <c r="J41" s="113" t="s">
        <v>630</v>
      </c>
      <c r="K41" s="118">
        <v>4.0</v>
      </c>
      <c r="L41" s="119">
        <v>0.0625</v>
      </c>
      <c r="M41" s="113" t="s">
        <v>631</v>
      </c>
      <c r="N41" s="118">
        <v>2.0</v>
      </c>
      <c r="O41" s="119">
        <v>0.03125</v>
      </c>
      <c r="P41" s="113" t="s">
        <v>567</v>
      </c>
    </row>
    <row r="42">
      <c r="A42" s="121"/>
    </row>
    <row r="43">
      <c r="A43" s="121"/>
    </row>
    <row r="44">
      <c r="A44" s="121"/>
    </row>
    <row r="45">
      <c r="A45" s="121"/>
    </row>
    <row r="46">
      <c r="A46" s="121"/>
    </row>
    <row r="47">
      <c r="A47" s="121"/>
    </row>
    <row r="48">
      <c r="A48" s="121"/>
    </row>
    <row r="49">
      <c r="A49" s="121"/>
    </row>
    <row r="50">
      <c r="A50" s="121"/>
    </row>
    <row r="51">
      <c r="A51" s="121"/>
    </row>
    <row r="52">
      <c r="A52" s="121"/>
    </row>
    <row r="53">
      <c r="A53" s="121"/>
    </row>
    <row r="54">
      <c r="A54" s="121"/>
    </row>
    <row r="55">
      <c r="A55" s="121"/>
    </row>
    <row r="56">
      <c r="A56" s="121"/>
    </row>
    <row r="57">
      <c r="A57" s="121"/>
    </row>
    <row r="58">
      <c r="A58" s="121"/>
    </row>
    <row r="59">
      <c r="A59" s="121"/>
    </row>
    <row r="60">
      <c r="A60" s="121"/>
    </row>
    <row r="61">
      <c r="A61" s="121"/>
    </row>
    <row r="62">
      <c r="A62" s="121"/>
    </row>
    <row r="63">
      <c r="A63" s="121"/>
    </row>
    <row r="64">
      <c r="A64" s="121"/>
    </row>
    <row r="65">
      <c r="A65" s="121"/>
    </row>
    <row r="66">
      <c r="A66" s="121"/>
    </row>
    <row r="67">
      <c r="A67" s="121"/>
    </row>
    <row r="68">
      <c r="A68" s="121"/>
    </row>
    <row r="69">
      <c r="A69" s="121"/>
    </row>
    <row r="70">
      <c r="A70" s="121"/>
    </row>
    <row r="71">
      <c r="A71" s="121"/>
    </row>
    <row r="72">
      <c r="A72" s="121"/>
    </row>
    <row r="73">
      <c r="A73" s="121"/>
    </row>
    <row r="74">
      <c r="A74" s="121"/>
    </row>
    <row r="75">
      <c r="A75" s="121"/>
    </row>
    <row r="76">
      <c r="A76" s="121"/>
    </row>
    <row r="77">
      <c r="A77" s="121"/>
    </row>
    <row r="78">
      <c r="A78" s="121"/>
    </row>
    <row r="79">
      <c r="A79" s="121"/>
    </row>
    <row r="80">
      <c r="A80" s="121"/>
    </row>
    <row r="81">
      <c r="A81" s="121"/>
    </row>
    <row r="82">
      <c r="A82" s="121"/>
    </row>
    <row r="83">
      <c r="A83" s="121"/>
    </row>
    <row r="84">
      <c r="A84" s="121"/>
    </row>
    <row r="85">
      <c r="A85" s="121"/>
    </row>
    <row r="86">
      <c r="A86" s="121"/>
    </row>
    <row r="87">
      <c r="A87" s="121"/>
    </row>
    <row r="88">
      <c r="A88" s="121"/>
    </row>
    <row r="89">
      <c r="A89" s="121"/>
    </row>
    <row r="90">
      <c r="A90" s="121"/>
    </row>
    <row r="91">
      <c r="A91" s="121"/>
    </row>
    <row r="92">
      <c r="A92" s="121"/>
    </row>
    <row r="93">
      <c r="A93" s="121"/>
    </row>
    <row r="94">
      <c r="A94" s="121"/>
    </row>
    <row r="95">
      <c r="A95" s="121"/>
    </row>
    <row r="96">
      <c r="A96" s="121"/>
    </row>
    <row r="97">
      <c r="A97" s="121"/>
    </row>
    <row r="98">
      <c r="A98" s="121"/>
    </row>
    <row r="99">
      <c r="A99" s="121"/>
    </row>
    <row r="100">
      <c r="A100" s="121"/>
    </row>
    <row r="101">
      <c r="A101" s="121"/>
    </row>
    <row r="102">
      <c r="A102" s="121"/>
    </row>
    <row r="103">
      <c r="A103" s="121"/>
    </row>
    <row r="104">
      <c r="A104" s="121"/>
    </row>
    <row r="105">
      <c r="A105" s="121"/>
    </row>
    <row r="106">
      <c r="A106" s="121"/>
    </row>
    <row r="107">
      <c r="A107" s="121"/>
    </row>
    <row r="108">
      <c r="A108" s="121"/>
    </row>
    <row r="109">
      <c r="A109" s="121"/>
    </row>
    <row r="110">
      <c r="A110" s="121"/>
    </row>
    <row r="111">
      <c r="A111" s="121"/>
    </row>
    <row r="112">
      <c r="A112" s="121"/>
    </row>
    <row r="113">
      <c r="A113" s="121"/>
    </row>
    <row r="114">
      <c r="A114" s="121"/>
    </row>
    <row r="115">
      <c r="A115" s="121"/>
    </row>
    <row r="116">
      <c r="A116" s="121"/>
    </row>
    <row r="117">
      <c r="A117" s="121"/>
    </row>
    <row r="118">
      <c r="A118" s="121"/>
    </row>
    <row r="119">
      <c r="A119" s="121"/>
    </row>
    <row r="120">
      <c r="A120" s="121"/>
    </row>
    <row r="121">
      <c r="A121" s="121"/>
    </row>
    <row r="122">
      <c r="A122" s="121"/>
    </row>
    <row r="123">
      <c r="A123" s="121"/>
    </row>
    <row r="124">
      <c r="A124" s="121"/>
    </row>
    <row r="125">
      <c r="A125" s="121"/>
    </row>
    <row r="126">
      <c r="A126" s="121"/>
    </row>
    <row r="127">
      <c r="A127" s="121"/>
    </row>
    <row r="128">
      <c r="A128" s="121"/>
    </row>
    <row r="129">
      <c r="A129" s="121"/>
    </row>
    <row r="130">
      <c r="A130" s="121"/>
    </row>
    <row r="131">
      <c r="A131" s="121"/>
    </row>
    <row r="132">
      <c r="A132" s="121"/>
    </row>
    <row r="133">
      <c r="A133" s="121"/>
    </row>
    <row r="134">
      <c r="A134" s="121"/>
    </row>
    <row r="135">
      <c r="A135" s="121"/>
    </row>
    <row r="136">
      <c r="A136" s="121"/>
    </row>
    <row r="137">
      <c r="A137" s="121"/>
    </row>
    <row r="138">
      <c r="A138" s="121"/>
    </row>
    <row r="139">
      <c r="A139" s="121"/>
    </row>
    <row r="140">
      <c r="A140" s="121"/>
    </row>
    <row r="141">
      <c r="A141" s="121"/>
    </row>
    <row r="142">
      <c r="A142" s="121"/>
    </row>
    <row r="143">
      <c r="A143" s="121"/>
    </row>
    <row r="144">
      <c r="A144" s="121"/>
    </row>
    <row r="145">
      <c r="A145" s="121"/>
    </row>
    <row r="146">
      <c r="A146" s="121"/>
    </row>
    <row r="147">
      <c r="A147" s="121"/>
    </row>
    <row r="148">
      <c r="A148" s="121"/>
    </row>
    <row r="149">
      <c r="A149" s="121"/>
    </row>
    <row r="150">
      <c r="A150" s="121"/>
    </row>
    <row r="151">
      <c r="A151" s="121"/>
    </row>
    <row r="152">
      <c r="A152" s="121"/>
    </row>
    <row r="153">
      <c r="A153" s="121"/>
    </row>
    <row r="154">
      <c r="A154" s="121"/>
    </row>
    <row r="155">
      <c r="A155" s="121"/>
    </row>
    <row r="156">
      <c r="A156" s="121"/>
    </row>
    <row r="157">
      <c r="A157" s="121"/>
    </row>
    <row r="158">
      <c r="A158" s="121"/>
    </row>
    <row r="159">
      <c r="A159" s="121"/>
    </row>
    <row r="160">
      <c r="A160" s="121"/>
    </row>
    <row r="161">
      <c r="A161" s="121"/>
    </row>
    <row r="162">
      <c r="A162" s="121"/>
    </row>
    <row r="163">
      <c r="A163" s="121"/>
    </row>
    <row r="164">
      <c r="A164" s="121"/>
    </row>
    <row r="165">
      <c r="A165" s="121"/>
    </row>
    <row r="166">
      <c r="A166" s="121"/>
    </row>
    <row r="167">
      <c r="A167" s="121"/>
    </row>
    <row r="168">
      <c r="A168" s="121"/>
    </row>
    <row r="169">
      <c r="A169" s="121"/>
    </row>
    <row r="170">
      <c r="A170" s="121"/>
    </row>
    <row r="171">
      <c r="A171" s="121"/>
    </row>
    <row r="172">
      <c r="A172" s="121"/>
    </row>
    <row r="173">
      <c r="A173" s="121"/>
    </row>
    <row r="174">
      <c r="A174" s="121"/>
    </row>
    <row r="175">
      <c r="A175" s="121"/>
    </row>
    <row r="176">
      <c r="A176" s="121"/>
    </row>
    <row r="177">
      <c r="A177" s="121"/>
    </row>
    <row r="178">
      <c r="A178" s="121"/>
    </row>
    <row r="179">
      <c r="A179" s="121"/>
    </row>
    <row r="180">
      <c r="A180" s="121"/>
    </row>
    <row r="181">
      <c r="A181" s="121"/>
    </row>
    <row r="182">
      <c r="A182" s="121"/>
    </row>
    <row r="183">
      <c r="A183" s="121"/>
    </row>
    <row r="184">
      <c r="A184" s="121"/>
    </row>
    <row r="185">
      <c r="A185" s="121"/>
    </row>
    <row r="186">
      <c r="A186" s="121"/>
    </row>
    <row r="187">
      <c r="A187" s="121"/>
    </row>
    <row r="188">
      <c r="A188" s="121"/>
    </row>
    <row r="189">
      <c r="A189" s="121"/>
    </row>
    <row r="190">
      <c r="A190" s="121"/>
    </row>
    <row r="191">
      <c r="A191" s="121"/>
    </row>
    <row r="192">
      <c r="A192" s="121"/>
    </row>
    <row r="193">
      <c r="A193" s="121"/>
    </row>
    <row r="194">
      <c r="A194" s="121"/>
    </row>
    <row r="195">
      <c r="A195" s="121"/>
    </row>
    <row r="196">
      <c r="A196" s="121"/>
    </row>
    <row r="197">
      <c r="A197" s="121"/>
    </row>
    <row r="198">
      <c r="A198" s="121"/>
    </row>
    <row r="199">
      <c r="A199" s="121"/>
    </row>
    <row r="200">
      <c r="A200" s="121"/>
    </row>
    <row r="201">
      <c r="A201" s="121"/>
    </row>
    <row r="202">
      <c r="A202" s="121"/>
    </row>
    <row r="203">
      <c r="A203" s="121"/>
    </row>
    <row r="204">
      <c r="A204" s="121"/>
    </row>
    <row r="205">
      <c r="A205" s="121"/>
    </row>
    <row r="206">
      <c r="A206" s="121"/>
    </row>
    <row r="207">
      <c r="A207" s="121"/>
    </row>
    <row r="208">
      <c r="A208" s="121"/>
    </row>
    <row r="209">
      <c r="A209" s="121"/>
    </row>
    <row r="210">
      <c r="A210" s="121"/>
    </row>
    <row r="211">
      <c r="A211" s="121"/>
    </row>
    <row r="212">
      <c r="A212" s="121"/>
    </row>
    <row r="213">
      <c r="A213" s="121"/>
    </row>
    <row r="214">
      <c r="A214" s="121"/>
    </row>
    <row r="215">
      <c r="A215" s="121"/>
    </row>
    <row r="216">
      <c r="A216" s="121"/>
    </row>
    <row r="217">
      <c r="A217" s="121"/>
    </row>
    <row r="218">
      <c r="A218" s="121"/>
    </row>
    <row r="219">
      <c r="A219" s="121"/>
    </row>
    <row r="220">
      <c r="A220" s="121"/>
    </row>
    <row r="221">
      <c r="A221" s="121"/>
    </row>
    <row r="222">
      <c r="A222" s="121"/>
    </row>
    <row r="223">
      <c r="A223" s="121"/>
    </row>
    <row r="224">
      <c r="A224" s="121"/>
    </row>
    <row r="225">
      <c r="A225" s="121"/>
    </row>
    <row r="226">
      <c r="A226" s="121"/>
    </row>
    <row r="227">
      <c r="A227" s="121"/>
    </row>
    <row r="228">
      <c r="A228" s="121"/>
    </row>
    <row r="229">
      <c r="A229" s="121"/>
    </row>
    <row r="230">
      <c r="A230" s="121"/>
    </row>
    <row r="231">
      <c r="A231" s="121"/>
    </row>
    <row r="232">
      <c r="A232" s="121"/>
    </row>
    <row r="233">
      <c r="A233" s="121"/>
    </row>
    <row r="234">
      <c r="A234" s="121"/>
    </row>
    <row r="235">
      <c r="A235" s="121"/>
    </row>
    <row r="236">
      <c r="A236" s="121"/>
    </row>
    <row r="237">
      <c r="A237" s="121"/>
    </row>
    <row r="238">
      <c r="A238" s="121"/>
    </row>
    <row r="239">
      <c r="A239" s="121"/>
    </row>
    <row r="240">
      <c r="A240" s="121"/>
    </row>
    <row r="241">
      <c r="A241" s="121"/>
    </row>
    <row r="242">
      <c r="A242" s="121"/>
    </row>
    <row r="243">
      <c r="A243" s="121"/>
    </row>
    <row r="244">
      <c r="A244" s="121"/>
    </row>
    <row r="245">
      <c r="A245" s="121"/>
    </row>
    <row r="246">
      <c r="A246" s="121"/>
    </row>
    <row r="247">
      <c r="A247" s="121"/>
    </row>
    <row r="248">
      <c r="A248" s="121"/>
    </row>
    <row r="249">
      <c r="A249" s="121"/>
    </row>
    <row r="250">
      <c r="A250" s="121"/>
    </row>
    <row r="251">
      <c r="A251" s="121"/>
    </row>
    <row r="252">
      <c r="A252" s="121"/>
    </row>
    <row r="253">
      <c r="A253" s="121"/>
    </row>
    <row r="254">
      <c r="A254" s="121"/>
    </row>
    <row r="255">
      <c r="A255" s="121"/>
    </row>
    <row r="256">
      <c r="A256" s="121"/>
    </row>
    <row r="257">
      <c r="A257" s="121"/>
    </row>
    <row r="258">
      <c r="A258" s="121"/>
    </row>
    <row r="259">
      <c r="A259" s="121"/>
    </row>
    <row r="260">
      <c r="A260" s="121"/>
    </row>
    <row r="261">
      <c r="A261" s="121"/>
    </row>
    <row r="262">
      <c r="A262" s="121"/>
    </row>
    <row r="263">
      <c r="A263" s="121"/>
    </row>
    <row r="264">
      <c r="A264" s="121"/>
    </row>
    <row r="265">
      <c r="A265" s="121"/>
    </row>
    <row r="266">
      <c r="A266" s="121"/>
    </row>
    <row r="267">
      <c r="A267" s="121"/>
    </row>
    <row r="268">
      <c r="A268" s="121"/>
    </row>
    <row r="269">
      <c r="A269" s="121"/>
    </row>
    <row r="270">
      <c r="A270" s="121"/>
    </row>
    <row r="271">
      <c r="A271" s="121"/>
    </row>
    <row r="272">
      <c r="A272" s="121"/>
    </row>
    <row r="273">
      <c r="A273" s="121"/>
    </row>
    <row r="274">
      <c r="A274" s="121"/>
    </row>
    <row r="275">
      <c r="A275" s="121"/>
    </row>
    <row r="276">
      <c r="A276" s="121"/>
    </row>
    <row r="277">
      <c r="A277" s="121"/>
    </row>
    <row r="278">
      <c r="A278" s="121"/>
    </row>
    <row r="279">
      <c r="A279" s="121"/>
    </row>
    <row r="280">
      <c r="A280" s="121"/>
    </row>
    <row r="281">
      <c r="A281" s="121"/>
    </row>
    <row r="282">
      <c r="A282" s="121"/>
    </row>
    <row r="283">
      <c r="A283" s="121"/>
    </row>
    <row r="284">
      <c r="A284" s="121"/>
    </row>
    <row r="285">
      <c r="A285" s="121"/>
    </row>
    <row r="286">
      <c r="A286" s="121"/>
    </row>
    <row r="287">
      <c r="A287" s="121"/>
    </row>
    <row r="288">
      <c r="A288" s="121"/>
    </row>
    <row r="289">
      <c r="A289" s="121"/>
    </row>
    <row r="290">
      <c r="A290" s="121"/>
    </row>
    <row r="291">
      <c r="A291" s="121"/>
    </row>
    <row r="292">
      <c r="A292" s="121"/>
    </row>
    <row r="293">
      <c r="A293" s="121"/>
    </row>
    <row r="294">
      <c r="A294" s="121"/>
    </row>
    <row r="295">
      <c r="A295" s="121"/>
    </row>
    <row r="296">
      <c r="A296" s="121"/>
    </row>
    <row r="297">
      <c r="A297" s="121"/>
    </row>
    <row r="298">
      <c r="A298" s="121"/>
    </row>
    <row r="299">
      <c r="A299" s="121"/>
    </row>
    <row r="300">
      <c r="A300" s="121"/>
    </row>
    <row r="301">
      <c r="A301" s="121"/>
    </row>
    <row r="302">
      <c r="A302" s="121"/>
    </row>
    <row r="303">
      <c r="A303" s="121"/>
    </row>
    <row r="304">
      <c r="A304" s="121"/>
    </row>
    <row r="305">
      <c r="A305" s="121"/>
    </row>
    <row r="306">
      <c r="A306" s="121"/>
    </row>
    <row r="307">
      <c r="A307" s="121"/>
    </row>
    <row r="308">
      <c r="A308" s="121"/>
    </row>
    <row r="309">
      <c r="A309" s="121"/>
    </row>
    <row r="310">
      <c r="A310" s="121"/>
    </row>
    <row r="311">
      <c r="A311" s="121"/>
    </row>
    <row r="312">
      <c r="A312" s="121"/>
    </row>
    <row r="313">
      <c r="A313" s="121"/>
    </row>
    <row r="314">
      <c r="A314" s="121"/>
    </row>
    <row r="315">
      <c r="A315" s="121"/>
    </row>
    <row r="316">
      <c r="A316" s="121"/>
    </row>
    <row r="317">
      <c r="A317" s="121"/>
    </row>
    <row r="318">
      <c r="A318" s="121"/>
    </row>
    <row r="319">
      <c r="A319" s="121"/>
    </row>
    <row r="320">
      <c r="A320" s="121"/>
    </row>
    <row r="321">
      <c r="A321" s="121"/>
    </row>
    <row r="322">
      <c r="A322" s="121"/>
    </row>
    <row r="323">
      <c r="A323" s="121"/>
    </row>
    <row r="324">
      <c r="A324" s="121"/>
    </row>
    <row r="325">
      <c r="A325" s="121"/>
    </row>
    <row r="326">
      <c r="A326" s="121"/>
    </row>
    <row r="327">
      <c r="A327" s="121"/>
    </row>
    <row r="328">
      <c r="A328" s="121"/>
    </row>
    <row r="329">
      <c r="A329" s="121"/>
    </row>
    <row r="330">
      <c r="A330" s="121"/>
    </row>
    <row r="331">
      <c r="A331" s="121"/>
    </row>
    <row r="332">
      <c r="A332" s="121"/>
    </row>
    <row r="333">
      <c r="A333" s="121"/>
    </row>
    <row r="334">
      <c r="A334" s="121"/>
    </row>
    <row r="335">
      <c r="A335" s="121"/>
    </row>
    <row r="336">
      <c r="A336" s="121"/>
    </row>
    <row r="337">
      <c r="A337" s="121"/>
    </row>
    <row r="338">
      <c r="A338" s="121"/>
    </row>
    <row r="339">
      <c r="A339" s="121"/>
    </row>
    <row r="340">
      <c r="A340" s="121"/>
    </row>
    <row r="341">
      <c r="A341" s="121"/>
    </row>
    <row r="342">
      <c r="A342" s="121"/>
    </row>
    <row r="343">
      <c r="A343" s="121"/>
    </row>
    <row r="344">
      <c r="A344" s="121"/>
    </row>
    <row r="345">
      <c r="A345" s="121"/>
    </row>
    <row r="346">
      <c r="A346" s="121"/>
    </row>
    <row r="347">
      <c r="A347" s="121"/>
    </row>
    <row r="348">
      <c r="A348" s="121"/>
    </row>
    <row r="349">
      <c r="A349" s="121"/>
    </row>
    <row r="350">
      <c r="A350" s="121"/>
    </row>
    <row r="351">
      <c r="A351" s="121"/>
    </row>
    <row r="352">
      <c r="A352" s="121"/>
    </row>
    <row r="353">
      <c r="A353" s="121"/>
    </row>
    <row r="354">
      <c r="A354" s="121"/>
    </row>
    <row r="355">
      <c r="A355" s="121"/>
    </row>
    <row r="356">
      <c r="A356" s="121"/>
    </row>
    <row r="357">
      <c r="A357" s="121"/>
    </row>
    <row r="358">
      <c r="A358" s="121"/>
    </row>
    <row r="359">
      <c r="A359" s="121"/>
    </row>
    <row r="360">
      <c r="A360" s="121"/>
    </row>
    <row r="361">
      <c r="A361" s="121"/>
    </row>
    <row r="362">
      <c r="A362" s="121"/>
    </row>
    <row r="363">
      <c r="A363" s="121"/>
    </row>
    <row r="364">
      <c r="A364" s="121"/>
    </row>
    <row r="365">
      <c r="A365" s="121"/>
    </row>
    <row r="366">
      <c r="A366" s="121"/>
    </row>
    <row r="367">
      <c r="A367" s="121"/>
    </row>
    <row r="368">
      <c r="A368" s="121"/>
    </row>
    <row r="369">
      <c r="A369" s="121"/>
    </row>
    <row r="370">
      <c r="A370" s="121"/>
    </row>
    <row r="371">
      <c r="A371" s="121"/>
    </row>
    <row r="372">
      <c r="A372" s="121"/>
    </row>
    <row r="373">
      <c r="A373" s="121"/>
    </row>
    <row r="374">
      <c r="A374" s="121"/>
    </row>
    <row r="375">
      <c r="A375" s="121"/>
    </row>
    <row r="376">
      <c r="A376" s="121"/>
    </row>
    <row r="377">
      <c r="A377" s="121"/>
    </row>
    <row r="378">
      <c r="A378" s="121"/>
    </row>
    <row r="379">
      <c r="A379" s="121"/>
    </row>
    <row r="380">
      <c r="A380" s="121"/>
    </row>
    <row r="381">
      <c r="A381" s="121"/>
    </row>
    <row r="382">
      <c r="A382" s="121"/>
    </row>
    <row r="383">
      <c r="A383" s="121"/>
    </row>
    <row r="384">
      <c r="A384" s="121"/>
    </row>
    <row r="385">
      <c r="A385" s="121"/>
    </row>
    <row r="386">
      <c r="A386" s="121"/>
    </row>
    <row r="387">
      <c r="A387" s="121"/>
    </row>
    <row r="388">
      <c r="A388" s="121"/>
    </row>
    <row r="389">
      <c r="A389" s="121"/>
    </row>
    <row r="390">
      <c r="A390" s="121"/>
    </row>
    <row r="391">
      <c r="A391" s="121"/>
    </row>
    <row r="392">
      <c r="A392" s="121"/>
    </row>
    <row r="393">
      <c r="A393" s="121"/>
    </row>
    <row r="394">
      <c r="A394" s="121"/>
    </row>
    <row r="395">
      <c r="A395" s="121"/>
    </row>
    <row r="396">
      <c r="A396" s="121"/>
    </row>
    <row r="397">
      <c r="A397" s="121"/>
    </row>
    <row r="398">
      <c r="A398" s="121"/>
    </row>
    <row r="399">
      <c r="A399" s="121"/>
    </row>
    <row r="400">
      <c r="A400" s="121"/>
    </row>
    <row r="401">
      <c r="A401" s="121"/>
    </row>
    <row r="402">
      <c r="A402" s="121"/>
    </row>
    <row r="403">
      <c r="A403" s="121"/>
    </row>
    <row r="404">
      <c r="A404" s="121"/>
    </row>
    <row r="405">
      <c r="A405" s="121"/>
    </row>
    <row r="406">
      <c r="A406" s="121"/>
    </row>
    <row r="407">
      <c r="A407" s="121"/>
    </row>
    <row r="408">
      <c r="A408" s="121"/>
    </row>
    <row r="409">
      <c r="A409" s="121"/>
    </row>
    <row r="410">
      <c r="A410" s="121"/>
    </row>
    <row r="411">
      <c r="A411" s="121"/>
    </row>
    <row r="412">
      <c r="A412" s="121"/>
    </row>
    <row r="413">
      <c r="A413" s="121"/>
    </row>
    <row r="414">
      <c r="A414" s="121"/>
    </row>
    <row r="415">
      <c r="A415" s="121"/>
    </row>
    <row r="416">
      <c r="A416" s="121"/>
    </row>
    <row r="417">
      <c r="A417" s="121"/>
    </row>
    <row r="418">
      <c r="A418" s="121"/>
    </row>
    <row r="419">
      <c r="A419" s="121"/>
    </row>
    <row r="420">
      <c r="A420" s="121"/>
    </row>
    <row r="421">
      <c r="A421" s="121"/>
    </row>
    <row r="422">
      <c r="A422" s="121"/>
    </row>
    <row r="423">
      <c r="A423" s="121"/>
    </row>
    <row r="424">
      <c r="A424" s="121"/>
    </row>
    <row r="425">
      <c r="A425" s="121"/>
    </row>
    <row r="426">
      <c r="A426" s="121"/>
    </row>
    <row r="427">
      <c r="A427" s="121"/>
    </row>
    <row r="428">
      <c r="A428" s="121"/>
    </row>
    <row r="429">
      <c r="A429" s="121"/>
    </row>
    <row r="430">
      <c r="A430" s="121"/>
    </row>
    <row r="431">
      <c r="A431" s="121"/>
    </row>
    <row r="432">
      <c r="A432" s="121"/>
    </row>
    <row r="433">
      <c r="A433" s="121"/>
    </row>
    <row r="434">
      <c r="A434" s="121"/>
    </row>
    <row r="435">
      <c r="A435" s="121"/>
    </row>
    <row r="436">
      <c r="A436" s="121"/>
    </row>
    <row r="437">
      <c r="A437" s="121"/>
    </row>
    <row r="438">
      <c r="A438" s="121"/>
    </row>
    <row r="439">
      <c r="A439" s="121"/>
    </row>
    <row r="440">
      <c r="A440" s="121"/>
    </row>
    <row r="441">
      <c r="A441" s="121"/>
    </row>
    <row r="442">
      <c r="A442" s="121"/>
    </row>
    <row r="443">
      <c r="A443" s="121"/>
    </row>
    <row r="444">
      <c r="A444" s="121"/>
    </row>
    <row r="445">
      <c r="A445" s="121"/>
    </row>
    <row r="446">
      <c r="A446" s="121"/>
    </row>
    <row r="447">
      <c r="A447" s="121"/>
    </row>
    <row r="448">
      <c r="A448" s="121"/>
    </row>
    <row r="449">
      <c r="A449" s="121"/>
    </row>
    <row r="450">
      <c r="A450" s="121"/>
    </row>
    <row r="451">
      <c r="A451" s="121"/>
    </row>
    <row r="452">
      <c r="A452" s="121"/>
    </row>
    <row r="453">
      <c r="A453" s="121"/>
    </row>
    <row r="454">
      <c r="A454" s="121"/>
    </row>
    <row r="455">
      <c r="A455" s="121"/>
    </row>
    <row r="456">
      <c r="A456" s="121"/>
    </row>
    <row r="457">
      <c r="A457" s="121"/>
    </row>
    <row r="458">
      <c r="A458" s="121"/>
    </row>
    <row r="459">
      <c r="A459" s="121"/>
    </row>
    <row r="460">
      <c r="A460" s="121"/>
    </row>
    <row r="461">
      <c r="A461" s="121"/>
    </row>
    <row r="462">
      <c r="A462" s="121"/>
    </row>
    <row r="463">
      <c r="A463" s="121"/>
    </row>
    <row r="464">
      <c r="A464" s="121"/>
    </row>
    <row r="465">
      <c r="A465" s="121"/>
    </row>
    <row r="466">
      <c r="A466" s="121"/>
    </row>
    <row r="467">
      <c r="A467" s="121"/>
    </row>
    <row r="468">
      <c r="A468" s="121"/>
    </row>
    <row r="469">
      <c r="A469" s="121"/>
    </row>
    <row r="470">
      <c r="A470" s="121"/>
    </row>
    <row r="471">
      <c r="A471" s="121"/>
    </row>
    <row r="472">
      <c r="A472" s="121"/>
    </row>
    <row r="473">
      <c r="A473" s="121"/>
    </row>
    <row r="474">
      <c r="A474" s="121"/>
    </row>
    <row r="475">
      <c r="A475" s="121"/>
    </row>
    <row r="476">
      <c r="A476" s="121"/>
    </row>
    <row r="477">
      <c r="A477" s="121"/>
    </row>
    <row r="478">
      <c r="A478" s="121"/>
    </row>
    <row r="479">
      <c r="A479" s="121"/>
    </row>
    <row r="480">
      <c r="A480" s="121"/>
    </row>
    <row r="481">
      <c r="A481" s="121"/>
    </row>
    <row r="482">
      <c r="A482" s="121"/>
    </row>
    <row r="483">
      <c r="A483" s="121"/>
    </row>
    <row r="484">
      <c r="A484" s="121"/>
    </row>
    <row r="485">
      <c r="A485" s="121"/>
    </row>
    <row r="486">
      <c r="A486" s="121"/>
    </row>
    <row r="487">
      <c r="A487" s="121"/>
    </row>
    <row r="488">
      <c r="A488" s="121"/>
    </row>
    <row r="489">
      <c r="A489" s="121"/>
    </row>
    <row r="490">
      <c r="A490" s="121"/>
    </row>
    <row r="491">
      <c r="A491" s="121"/>
    </row>
    <row r="492">
      <c r="A492" s="121"/>
    </row>
    <row r="493">
      <c r="A493" s="121"/>
    </row>
    <row r="494">
      <c r="A494" s="121"/>
    </row>
    <row r="495">
      <c r="A495" s="121"/>
    </row>
    <row r="496">
      <c r="A496" s="121"/>
    </row>
    <row r="497">
      <c r="A497" s="121"/>
    </row>
    <row r="498">
      <c r="A498" s="121"/>
    </row>
    <row r="499">
      <c r="A499" s="121"/>
    </row>
    <row r="500">
      <c r="A500" s="121"/>
    </row>
    <row r="501">
      <c r="A501" s="121"/>
    </row>
    <row r="502">
      <c r="A502" s="121"/>
    </row>
    <row r="503">
      <c r="A503" s="121"/>
    </row>
    <row r="504">
      <c r="A504" s="121"/>
    </row>
    <row r="505">
      <c r="A505" s="121"/>
    </row>
    <row r="506">
      <c r="A506" s="121"/>
    </row>
    <row r="507">
      <c r="A507" s="121"/>
    </row>
    <row r="508">
      <c r="A508" s="121"/>
    </row>
    <row r="509">
      <c r="A509" s="121"/>
    </row>
    <row r="510">
      <c r="A510" s="121"/>
    </row>
    <row r="511">
      <c r="A511" s="121"/>
    </row>
    <row r="512">
      <c r="A512" s="121"/>
    </row>
    <row r="513">
      <c r="A513" s="121"/>
    </row>
    <row r="514">
      <c r="A514" s="121"/>
    </row>
    <row r="515">
      <c r="A515" s="121"/>
    </row>
    <row r="516">
      <c r="A516" s="121"/>
    </row>
    <row r="517">
      <c r="A517" s="121"/>
    </row>
    <row r="518">
      <c r="A518" s="121"/>
    </row>
    <row r="519">
      <c r="A519" s="121"/>
    </row>
    <row r="520">
      <c r="A520" s="121"/>
    </row>
    <row r="521">
      <c r="A521" s="121"/>
    </row>
    <row r="522">
      <c r="A522" s="121"/>
    </row>
    <row r="523">
      <c r="A523" s="121"/>
    </row>
    <row r="524">
      <c r="A524" s="121"/>
    </row>
    <row r="525">
      <c r="A525" s="121"/>
    </row>
    <row r="526">
      <c r="A526" s="121"/>
    </row>
    <row r="527">
      <c r="A527" s="121"/>
    </row>
    <row r="528">
      <c r="A528" s="121"/>
    </row>
    <row r="529">
      <c r="A529" s="121"/>
    </row>
    <row r="530">
      <c r="A530" s="121"/>
    </row>
    <row r="531">
      <c r="A531" s="121"/>
    </row>
    <row r="532">
      <c r="A532" s="121"/>
    </row>
    <row r="533">
      <c r="A533" s="121"/>
    </row>
    <row r="534">
      <c r="A534" s="121"/>
    </row>
    <row r="535">
      <c r="A535" s="121"/>
    </row>
    <row r="536">
      <c r="A536" s="121"/>
    </row>
    <row r="537">
      <c r="A537" s="121"/>
    </row>
    <row r="538">
      <c r="A538" s="121"/>
    </row>
    <row r="539">
      <c r="A539" s="121"/>
    </row>
    <row r="540">
      <c r="A540" s="121"/>
    </row>
    <row r="541">
      <c r="A541" s="121"/>
    </row>
    <row r="542">
      <c r="A542" s="121"/>
    </row>
    <row r="543">
      <c r="A543" s="121"/>
    </row>
    <row r="544">
      <c r="A544" s="121"/>
    </row>
    <row r="545">
      <c r="A545" s="121"/>
    </row>
    <row r="546">
      <c r="A546" s="121"/>
    </row>
    <row r="547">
      <c r="A547" s="121"/>
    </row>
    <row r="548">
      <c r="A548" s="121"/>
    </row>
    <row r="549">
      <c r="A549" s="121"/>
    </row>
    <row r="550">
      <c r="A550" s="121"/>
    </row>
    <row r="551">
      <c r="A551" s="121"/>
    </row>
    <row r="552">
      <c r="A552" s="121"/>
    </row>
    <row r="553">
      <c r="A553" s="121"/>
    </row>
    <row r="554">
      <c r="A554" s="121"/>
    </row>
    <row r="555">
      <c r="A555" s="121"/>
    </row>
    <row r="556">
      <c r="A556" s="121"/>
    </row>
    <row r="557">
      <c r="A557" s="121"/>
    </row>
    <row r="558">
      <c r="A558" s="121"/>
    </row>
    <row r="559">
      <c r="A559" s="121"/>
    </row>
    <row r="560">
      <c r="A560" s="121"/>
    </row>
    <row r="561">
      <c r="A561" s="121"/>
    </row>
    <row r="562">
      <c r="A562" s="121"/>
    </row>
    <row r="563">
      <c r="A563" s="121"/>
    </row>
    <row r="564">
      <c r="A564" s="121"/>
    </row>
    <row r="565">
      <c r="A565" s="121"/>
    </row>
    <row r="566">
      <c r="A566" s="121"/>
    </row>
    <row r="567">
      <c r="A567" s="121"/>
    </row>
    <row r="568">
      <c r="A568" s="121"/>
    </row>
    <row r="569">
      <c r="A569" s="121"/>
    </row>
    <row r="570">
      <c r="A570" s="121"/>
    </row>
    <row r="571">
      <c r="A571" s="121"/>
    </row>
    <row r="572">
      <c r="A572" s="121"/>
    </row>
    <row r="573">
      <c r="A573" s="121"/>
    </row>
    <row r="574">
      <c r="A574" s="121"/>
    </row>
    <row r="575">
      <c r="A575" s="121"/>
    </row>
    <row r="576">
      <c r="A576" s="121"/>
    </row>
    <row r="577">
      <c r="A577" s="121"/>
    </row>
    <row r="578">
      <c r="A578" s="121"/>
    </row>
    <row r="579">
      <c r="A579" s="121"/>
    </row>
    <row r="580">
      <c r="A580" s="121"/>
    </row>
    <row r="581">
      <c r="A581" s="121"/>
    </row>
    <row r="582">
      <c r="A582" s="121"/>
    </row>
    <row r="583">
      <c r="A583" s="121"/>
    </row>
    <row r="584">
      <c r="A584" s="121"/>
    </row>
    <row r="585">
      <c r="A585" s="121"/>
    </row>
    <row r="586">
      <c r="A586" s="121"/>
    </row>
    <row r="587">
      <c r="A587" s="121"/>
    </row>
    <row r="588">
      <c r="A588" s="121"/>
    </row>
    <row r="589">
      <c r="A589" s="121"/>
    </row>
    <row r="590">
      <c r="A590" s="121"/>
    </row>
    <row r="591">
      <c r="A591" s="121"/>
    </row>
    <row r="592">
      <c r="A592" s="121"/>
    </row>
    <row r="593">
      <c r="A593" s="121"/>
    </row>
    <row r="594">
      <c r="A594" s="121"/>
    </row>
    <row r="595">
      <c r="A595" s="121"/>
    </row>
    <row r="596">
      <c r="A596" s="121"/>
    </row>
    <row r="597">
      <c r="A597" s="121"/>
    </row>
    <row r="598">
      <c r="A598" s="121"/>
    </row>
    <row r="599">
      <c r="A599" s="121"/>
    </row>
    <row r="600">
      <c r="A600" s="121"/>
    </row>
    <row r="601">
      <c r="A601" s="121"/>
    </row>
    <row r="602">
      <c r="A602" s="121"/>
    </row>
    <row r="603">
      <c r="A603" s="121"/>
    </row>
    <row r="604">
      <c r="A604" s="121"/>
    </row>
    <row r="605">
      <c r="A605" s="121"/>
    </row>
    <row r="606">
      <c r="A606" s="121"/>
    </row>
    <row r="607">
      <c r="A607" s="121"/>
    </row>
    <row r="608">
      <c r="A608" s="121"/>
    </row>
    <row r="609">
      <c r="A609" s="121"/>
    </row>
    <row r="610">
      <c r="A610" s="121"/>
    </row>
    <row r="611">
      <c r="A611" s="121"/>
    </row>
    <row r="612">
      <c r="A612" s="121"/>
    </row>
    <row r="613">
      <c r="A613" s="121"/>
    </row>
    <row r="614">
      <c r="A614" s="121"/>
    </row>
    <row r="615">
      <c r="A615" s="121"/>
    </row>
    <row r="616">
      <c r="A616" s="121"/>
    </row>
    <row r="617">
      <c r="A617" s="121"/>
    </row>
    <row r="618">
      <c r="A618" s="121"/>
    </row>
    <row r="619">
      <c r="A619" s="121"/>
    </row>
    <row r="620">
      <c r="A620" s="121"/>
    </row>
    <row r="621">
      <c r="A621" s="121"/>
    </row>
    <row r="622">
      <c r="A622" s="121"/>
    </row>
    <row r="623">
      <c r="A623" s="121"/>
    </row>
    <row r="624">
      <c r="A624" s="121"/>
    </row>
    <row r="625">
      <c r="A625" s="121"/>
    </row>
    <row r="626">
      <c r="A626" s="121"/>
    </row>
    <row r="627">
      <c r="A627" s="121"/>
    </row>
    <row r="628">
      <c r="A628" s="121"/>
    </row>
    <row r="629">
      <c r="A629" s="121"/>
    </row>
    <row r="630">
      <c r="A630" s="121"/>
    </row>
    <row r="631">
      <c r="A631" s="121"/>
    </row>
    <row r="632">
      <c r="A632" s="121"/>
    </row>
    <row r="633">
      <c r="A633" s="121"/>
    </row>
    <row r="634">
      <c r="A634" s="121"/>
    </row>
    <row r="635">
      <c r="A635" s="121"/>
    </row>
    <row r="636">
      <c r="A636" s="121"/>
    </row>
    <row r="637">
      <c r="A637" s="121"/>
    </row>
    <row r="638">
      <c r="A638" s="121"/>
    </row>
    <row r="639">
      <c r="A639" s="121"/>
    </row>
    <row r="640">
      <c r="A640" s="121"/>
    </row>
    <row r="641">
      <c r="A641" s="121"/>
    </row>
    <row r="642">
      <c r="A642" s="121"/>
    </row>
    <row r="643">
      <c r="A643" s="121"/>
    </row>
    <row r="644">
      <c r="A644" s="121"/>
    </row>
    <row r="645">
      <c r="A645" s="121"/>
    </row>
    <row r="646">
      <c r="A646" s="121"/>
    </row>
    <row r="647">
      <c r="A647" s="121"/>
    </row>
    <row r="648">
      <c r="A648" s="121"/>
    </row>
    <row r="649">
      <c r="A649" s="121"/>
    </row>
    <row r="650">
      <c r="A650" s="121"/>
    </row>
    <row r="651">
      <c r="A651" s="121"/>
    </row>
    <row r="652">
      <c r="A652" s="121"/>
    </row>
    <row r="653">
      <c r="A653" s="121"/>
    </row>
    <row r="654">
      <c r="A654" s="121"/>
    </row>
    <row r="655">
      <c r="A655" s="121"/>
    </row>
    <row r="656">
      <c r="A656" s="121"/>
    </row>
    <row r="657">
      <c r="A657" s="121"/>
    </row>
    <row r="658">
      <c r="A658" s="121"/>
    </row>
    <row r="659">
      <c r="A659" s="121"/>
    </row>
    <row r="660">
      <c r="A660" s="121"/>
    </row>
    <row r="661">
      <c r="A661" s="121"/>
    </row>
    <row r="662">
      <c r="A662" s="121"/>
    </row>
    <row r="663">
      <c r="A663" s="121"/>
    </row>
    <row r="664">
      <c r="A664" s="121"/>
    </row>
    <row r="665">
      <c r="A665" s="121"/>
    </row>
    <row r="666">
      <c r="A666" s="121"/>
    </row>
    <row r="667">
      <c r="A667" s="121"/>
    </row>
    <row r="668">
      <c r="A668" s="121"/>
    </row>
    <row r="669">
      <c r="A669" s="121"/>
    </row>
    <row r="670">
      <c r="A670" s="121"/>
    </row>
    <row r="671">
      <c r="A671" s="121"/>
    </row>
    <row r="672">
      <c r="A672" s="121"/>
    </row>
    <row r="673">
      <c r="A673" s="121"/>
    </row>
    <row r="674">
      <c r="A674" s="121"/>
    </row>
    <row r="675">
      <c r="A675" s="121"/>
    </row>
    <row r="676">
      <c r="A676" s="121"/>
    </row>
    <row r="677">
      <c r="A677" s="121"/>
    </row>
    <row r="678">
      <c r="A678" s="121"/>
    </row>
    <row r="679">
      <c r="A679" s="121"/>
    </row>
    <row r="680">
      <c r="A680" s="121"/>
    </row>
    <row r="681">
      <c r="A681" s="121"/>
    </row>
    <row r="682">
      <c r="A682" s="121"/>
    </row>
    <row r="683">
      <c r="A683" s="121"/>
    </row>
    <row r="684">
      <c r="A684" s="121"/>
    </row>
    <row r="685">
      <c r="A685" s="121"/>
    </row>
    <row r="686">
      <c r="A686" s="121"/>
    </row>
    <row r="687">
      <c r="A687" s="121"/>
    </row>
    <row r="688">
      <c r="A688" s="121"/>
    </row>
    <row r="689">
      <c r="A689" s="121"/>
    </row>
    <row r="690">
      <c r="A690" s="121"/>
    </row>
    <row r="691">
      <c r="A691" s="121"/>
    </row>
    <row r="692">
      <c r="A692" s="121"/>
    </row>
    <row r="693">
      <c r="A693" s="121"/>
    </row>
    <row r="694">
      <c r="A694" s="121"/>
    </row>
    <row r="695">
      <c r="A695" s="121"/>
    </row>
    <row r="696">
      <c r="A696" s="121"/>
    </row>
    <row r="697">
      <c r="A697" s="121"/>
    </row>
    <row r="698">
      <c r="A698" s="121"/>
    </row>
    <row r="699">
      <c r="A699" s="121"/>
    </row>
    <row r="700">
      <c r="A700" s="121"/>
    </row>
    <row r="701">
      <c r="A701" s="121"/>
    </row>
    <row r="702">
      <c r="A702" s="121"/>
    </row>
    <row r="703">
      <c r="A703" s="121"/>
    </row>
    <row r="704">
      <c r="A704" s="121"/>
    </row>
    <row r="705">
      <c r="A705" s="121"/>
    </row>
    <row r="706">
      <c r="A706" s="121"/>
    </row>
    <row r="707">
      <c r="A707" s="121"/>
    </row>
    <row r="708">
      <c r="A708" s="121"/>
    </row>
    <row r="709">
      <c r="A709" s="121"/>
    </row>
    <row r="710">
      <c r="A710" s="121"/>
    </row>
    <row r="711">
      <c r="A711" s="121"/>
    </row>
    <row r="712">
      <c r="A712" s="121"/>
    </row>
    <row r="713">
      <c r="A713" s="121"/>
    </row>
    <row r="714">
      <c r="A714" s="121"/>
    </row>
    <row r="715">
      <c r="A715" s="121"/>
    </row>
    <row r="716">
      <c r="A716" s="121"/>
    </row>
    <row r="717">
      <c r="A717" s="121"/>
    </row>
    <row r="718">
      <c r="A718" s="121"/>
    </row>
    <row r="719">
      <c r="A719" s="121"/>
    </row>
    <row r="720">
      <c r="A720" s="121"/>
    </row>
    <row r="721">
      <c r="A721" s="121"/>
    </row>
    <row r="722">
      <c r="A722" s="121"/>
    </row>
    <row r="723">
      <c r="A723" s="121"/>
    </row>
    <row r="724">
      <c r="A724" s="121"/>
    </row>
    <row r="725">
      <c r="A725" s="121"/>
    </row>
    <row r="726">
      <c r="A726" s="121"/>
    </row>
    <row r="727">
      <c r="A727" s="121"/>
    </row>
    <row r="728">
      <c r="A728" s="121"/>
    </row>
    <row r="729">
      <c r="A729" s="121"/>
    </row>
    <row r="730">
      <c r="A730" s="121"/>
    </row>
    <row r="731">
      <c r="A731" s="121"/>
    </row>
    <row r="732">
      <c r="A732" s="121"/>
    </row>
    <row r="733">
      <c r="A733" s="121"/>
    </row>
    <row r="734">
      <c r="A734" s="121"/>
    </row>
    <row r="735">
      <c r="A735" s="121"/>
    </row>
    <row r="736">
      <c r="A736" s="121"/>
    </row>
    <row r="737">
      <c r="A737" s="121"/>
    </row>
    <row r="738">
      <c r="A738" s="121"/>
    </row>
    <row r="739">
      <c r="A739" s="121"/>
    </row>
    <row r="740">
      <c r="A740" s="121"/>
    </row>
    <row r="741">
      <c r="A741" s="121"/>
    </row>
    <row r="742">
      <c r="A742" s="121"/>
    </row>
    <row r="743">
      <c r="A743" s="121"/>
    </row>
    <row r="744">
      <c r="A744" s="121"/>
    </row>
    <row r="745">
      <c r="A745" s="121"/>
    </row>
    <row r="746">
      <c r="A746" s="121"/>
    </row>
    <row r="747">
      <c r="A747" s="121"/>
    </row>
    <row r="748">
      <c r="A748" s="121"/>
    </row>
    <row r="749">
      <c r="A749" s="121"/>
    </row>
    <row r="750">
      <c r="A750" s="121"/>
    </row>
    <row r="751">
      <c r="A751" s="121"/>
    </row>
    <row r="752">
      <c r="A752" s="121"/>
    </row>
    <row r="753">
      <c r="A753" s="121"/>
    </row>
    <row r="754">
      <c r="A754" s="121"/>
    </row>
    <row r="755">
      <c r="A755" s="121"/>
    </row>
    <row r="756">
      <c r="A756" s="121"/>
    </row>
    <row r="757">
      <c r="A757" s="121"/>
    </row>
    <row r="758">
      <c r="A758" s="121"/>
    </row>
    <row r="759">
      <c r="A759" s="121"/>
    </row>
    <row r="760">
      <c r="A760" s="121"/>
    </row>
    <row r="761">
      <c r="A761" s="121"/>
    </row>
    <row r="762">
      <c r="A762" s="121"/>
    </row>
    <row r="763">
      <c r="A763" s="121"/>
    </row>
    <row r="764">
      <c r="A764" s="121"/>
    </row>
    <row r="765">
      <c r="A765" s="121"/>
    </row>
    <row r="766">
      <c r="A766" s="121"/>
    </row>
    <row r="767">
      <c r="A767" s="121"/>
    </row>
    <row r="768">
      <c r="A768" s="121"/>
    </row>
    <row r="769">
      <c r="A769" s="121"/>
    </row>
    <row r="770">
      <c r="A770" s="121"/>
    </row>
    <row r="771">
      <c r="A771" s="121"/>
    </row>
    <row r="772">
      <c r="A772" s="121"/>
    </row>
    <row r="773">
      <c r="A773" s="121"/>
    </row>
    <row r="774">
      <c r="A774" s="121"/>
    </row>
    <row r="775">
      <c r="A775" s="121"/>
    </row>
    <row r="776">
      <c r="A776" s="121"/>
    </row>
    <row r="777">
      <c r="A777" s="121"/>
    </row>
    <row r="778">
      <c r="A778" s="121"/>
    </row>
    <row r="779">
      <c r="A779" s="121"/>
    </row>
    <row r="780">
      <c r="A780" s="121"/>
    </row>
    <row r="781">
      <c r="A781" s="121"/>
    </row>
    <row r="782">
      <c r="A782" s="121"/>
    </row>
    <row r="783">
      <c r="A783" s="121"/>
    </row>
    <row r="784">
      <c r="A784" s="121"/>
    </row>
    <row r="785">
      <c r="A785" s="121"/>
    </row>
    <row r="786">
      <c r="A786" s="121"/>
    </row>
    <row r="787">
      <c r="A787" s="121"/>
    </row>
    <row r="788">
      <c r="A788" s="121"/>
    </row>
    <row r="789">
      <c r="A789" s="121"/>
    </row>
    <row r="790">
      <c r="A790" s="121"/>
    </row>
    <row r="791">
      <c r="A791" s="121"/>
    </row>
    <row r="792">
      <c r="A792" s="121"/>
    </row>
    <row r="793">
      <c r="A793" s="121"/>
    </row>
    <row r="794">
      <c r="A794" s="121"/>
    </row>
    <row r="795">
      <c r="A795" s="121"/>
    </row>
    <row r="796">
      <c r="A796" s="121"/>
    </row>
    <row r="797">
      <c r="A797" s="121"/>
    </row>
    <row r="798">
      <c r="A798" s="121"/>
    </row>
    <row r="799">
      <c r="A799" s="121"/>
    </row>
    <row r="800">
      <c r="A800" s="121"/>
    </row>
    <row r="801">
      <c r="A801" s="121"/>
    </row>
    <row r="802">
      <c r="A802" s="121"/>
    </row>
    <row r="803">
      <c r="A803" s="121"/>
    </row>
    <row r="804">
      <c r="A804" s="121"/>
    </row>
    <row r="805">
      <c r="A805" s="121"/>
    </row>
    <row r="806">
      <c r="A806" s="121"/>
    </row>
    <row r="807">
      <c r="A807" s="121"/>
    </row>
    <row r="808">
      <c r="A808" s="121"/>
    </row>
    <row r="809">
      <c r="A809" s="121"/>
    </row>
    <row r="810">
      <c r="A810" s="121"/>
    </row>
    <row r="811">
      <c r="A811" s="121"/>
    </row>
    <row r="812">
      <c r="A812" s="121"/>
    </row>
    <row r="813">
      <c r="A813" s="121"/>
    </row>
    <row r="814">
      <c r="A814" s="121"/>
    </row>
    <row r="815">
      <c r="A815" s="121"/>
    </row>
    <row r="816">
      <c r="A816" s="121"/>
    </row>
    <row r="817">
      <c r="A817" s="121"/>
    </row>
    <row r="818">
      <c r="A818" s="121"/>
    </row>
    <row r="819">
      <c r="A819" s="121"/>
    </row>
    <row r="820">
      <c r="A820" s="121"/>
    </row>
    <row r="821">
      <c r="A821" s="121"/>
    </row>
    <row r="822">
      <c r="A822" s="121"/>
    </row>
    <row r="823">
      <c r="A823" s="121"/>
    </row>
    <row r="824">
      <c r="A824" s="121"/>
    </row>
    <row r="825">
      <c r="A825" s="121"/>
    </row>
    <row r="826">
      <c r="A826" s="121"/>
    </row>
    <row r="827">
      <c r="A827" s="121"/>
    </row>
    <row r="828">
      <c r="A828" s="121"/>
    </row>
    <row r="829">
      <c r="A829" s="121"/>
    </row>
    <row r="830">
      <c r="A830" s="121"/>
    </row>
    <row r="831">
      <c r="A831" s="121"/>
    </row>
    <row r="832">
      <c r="A832" s="121"/>
    </row>
    <row r="833">
      <c r="A833" s="121"/>
    </row>
    <row r="834">
      <c r="A834" s="121"/>
    </row>
    <row r="835">
      <c r="A835" s="121"/>
    </row>
    <row r="836">
      <c r="A836" s="121"/>
    </row>
    <row r="837">
      <c r="A837" s="121"/>
    </row>
    <row r="838">
      <c r="A838" s="121"/>
    </row>
    <row r="839">
      <c r="A839" s="121"/>
    </row>
    <row r="840">
      <c r="A840" s="121"/>
    </row>
    <row r="841">
      <c r="A841" s="121"/>
    </row>
    <row r="842">
      <c r="A842" s="121"/>
    </row>
    <row r="843">
      <c r="A843" s="121"/>
    </row>
    <row r="844">
      <c r="A844" s="121"/>
    </row>
    <row r="845">
      <c r="A845" s="121"/>
    </row>
    <row r="846">
      <c r="A846" s="121"/>
    </row>
    <row r="847">
      <c r="A847" s="121"/>
    </row>
    <row r="848">
      <c r="A848" s="121"/>
    </row>
    <row r="849">
      <c r="A849" s="121"/>
    </row>
    <row r="850">
      <c r="A850" s="121"/>
    </row>
    <row r="851">
      <c r="A851" s="121"/>
    </row>
    <row r="852">
      <c r="A852" s="121"/>
    </row>
    <row r="853">
      <c r="A853" s="121"/>
    </row>
    <row r="854">
      <c r="A854" s="121"/>
    </row>
    <row r="855">
      <c r="A855" s="121"/>
    </row>
    <row r="856">
      <c r="A856" s="121"/>
    </row>
    <row r="857">
      <c r="A857" s="121"/>
    </row>
    <row r="858">
      <c r="A858" s="121"/>
    </row>
    <row r="859">
      <c r="A859" s="121"/>
    </row>
    <row r="860">
      <c r="A860" s="121"/>
    </row>
    <row r="861">
      <c r="A861" s="121"/>
    </row>
    <row r="862">
      <c r="A862" s="121"/>
    </row>
    <row r="863">
      <c r="A863" s="121"/>
    </row>
    <row r="864">
      <c r="A864" s="121"/>
    </row>
    <row r="865">
      <c r="A865" s="121"/>
    </row>
    <row r="866">
      <c r="A866" s="121"/>
    </row>
    <row r="867">
      <c r="A867" s="121"/>
    </row>
    <row r="868">
      <c r="A868" s="121"/>
    </row>
    <row r="869">
      <c r="A869" s="121"/>
    </row>
    <row r="870">
      <c r="A870" s="121"/>
    </row>
    <row r="871">
      <c r="A871" s="121"/>
    </row>
    <row r="872">
      <c r="A872" s="121"/>
    </row>
    <row r="873">
      <c r="A873" s="121"/>
    </row>
    <row r="874">
      <c r="A874" s="121"/>
    </row>
    <row r="875">
      <c r="A875" s="121"/>
    </row>
    <row r="876">
      <c r="A876" s="121"/>
    </row>
    <row r="877">
      <c r="A877" s="121"/>
    </row>
    <row r="878">
      <c r="A878" s="121"/>
    </row>
    <row r="879">
      <c r="A879" s="121"/>
    </row>
    <row r="880">
      <c r="A880" s="121"/>
    </row>
    <row r="881">
      <c r="A881" s="121"/>
    </row>
    <row r="882">
      <c r="A882" s="121"/>
    </row>
    <row r="883">
      <c r="A883" s="121"/>
    </row>
    <row r="884">
      <c r="A884" s="121"/>
    </row>
    <row r="885">
      <c r="A885" s="121"/>
    </row>
    <row r="886">
      <c r="A886" s="121"/>
    </row>
    <row r="887">
      <c r="A887" s="121"/>
    </row>
    <row r="888">
      <c r="A888" s="121"/>
    </row>
    <row r="889">
      <c r="A889" s="121"/>
    </row>
    <row r="890">
      <c r="A890" s="121"/>
    </row>
    <row r="891">
      <c r="A891" s="121"/>
    </row>
    <row r="892">
      <c r="A892" s="121"/>
    </row>
    <row r="893">
      <c r="A893" s="121"/>
    </row>
    <row r="894">
      <c r="A894" s="121"/>
    </row>
    <row r="895">
      <c r="A895" s="121"/>
    </row>
    <row r="896">
      <c r="A896" s="121"/>
    </row>
    <row r="897">
      <c r="A897" s="121"/>
    </row>
    <row r="898">
      <c r="A898" s="121"/>
    </row>
    <row r="899">
      <c r="A899" s="121"/>
    </row>
    <row r="900">
      <c r="A900" s="121"/>
    </row>
    <row r="901">
      <c r="A901" s="121"/>
    </row>
    <row r="902">
      <c r="A902" s="121"/>
    </row>
    <row r="903">
      <c r="A903" s="121"/>
    </row>
    <row r="904">
      <c r="A904" s="121"/>
    </row>
    <row r="905">
      <c r="A905" s="121"/>
    </row>
    <row r="906">
      <c r="A906" s="121"/>
    </row>
    <row r="907">
      <c r="A907" s="121"/>
    </row>
    <row r="908">
      <c r="A908" s="121"/>
    </row>
    <row r="909">
      <c r="A909" s="121"/>
    </row>
    <row r="910">
      <c r="A910" s="121"/>
    </row>
    <row r="911">
      <c r="A911" s="121"/>
    </row>
    <row r="912">
      <c r="A912" s="121"/>
    </row>
    <row r="913">
      <c r="A913" s="121"/>
    </row>
    <row r="914">
      <c r="A914" s="121"/>
    </row>
    <row r="915">
      <c r="A915" s="121"/>
    </row>
    <row r="916">
      <c r="A916" s="121"/>
    </row>
    <row r="917">
      <c r="A917" s="121"/>
    </row>
    <row r="918">
      <c r="A918" s="121"/>
    </row>
    <row r="919">
      <c r="A919" s="121"/>
    </row>
    <row r="920">
      <c r="A920" s="121"/>
    </row>
    <row r="921">
      <c r="A921" s="121"/>
    </row>
    <row r="922">
      <c r="A922" s="121"/>
    </row>
    <row r="923">
      <c r="A923" s="121"/>
    </row>
    <row r="924">
      <c r="A924" s="121"/>
    </row>
    <row r="925">
      <c r="A925" s="121"/>
    </row>
    <row r="926">
      <c r="A926" s="121"/>
    </row>
    <row r="927">
      <c r="A927" s="121"/>
    </row>
    <row r="928">
      <c r="A928" s="121"/>
    </row>
    <row r="929">
      <c r="A929" s="121"/>
    </row>
    <row r="930">
      <c r="A930" s="121"/>
    </row>
    <row r="931">
      <c r="A931" s="121"/>
    </row>
    <row r="932">
      <c r="A932" s="121"/>
    </row>
    <row r="933">
      <c r="A933" s="121"/>
    </row>
    <row r="934">
      <c r="A934" s="121"/>
    </row>
    <row r="935">
      <c r="A935" s="121"/>
    </row>
    <row r="936">
      <c r="A936" s="121"/>
    </row>
    <row r="937">
      <c r="A937" s="121"/>
    </row>
    <row r="938">
      <c r="A938" s="121"/>
    </row>
    <row r="939">
      <c r="A939" s="121"/>
    </row>
    <row r="940">
      <c r="A940" s="121"/>
    </row>
    <row r="941">
      <c r="A941" s="121"/>
    </row>
    <row r="942">
      <c r="A942" s="121"/>
    </row>
    <row r="943">
      <c r="A943" s="121"/>
    </row>
    <row r="944">
      <c r="A944" s="121"/>
    </row>
    <row r="945">
      <c r="A945" s="121"/>
    </row>
    <row r="946">
      <c r="A946" s="121"/>
    </row>
    <row r="947">
      <c r="A947" s="121"/>
    </row>
    <row r="948">
      <c r="A948" s="121"/>
    </row>
    <row r="949">
      <c r="A949" s="121"/>
    </row>
    <row r="950">
      <c r="A950" s="121"/>
    </row>
    <row r="951">
      <c r="A951" s="121"/>
    </row>
    <row r="952">
      <c r="A952" s="121"/>
    </row>
    <row r="953">
      <c r="A953" s="121"/>
    </row>
    <row r="954">
      <c r="A954" s="121"/>
    </row>
    <row r="955">
      <c r="A955" s="121"/>
    </row>
    <row r="956">
      <c r="A956" s="121"/>
    </row>
    <row r="957">
      <c r="A957" s="121"/>
    </row>
    <row r="958">
      <c r="A958" s="121"/>
    </row>
    <row r="959">
      <c r="A959" s="121"/>
    </row>
    <row r="960">
      <c r="A960" s="121"/>
    </row>
    <row r="961">
      <c r="A961" s="121"/>
    </row>
    <row r="962">
      <c r="A962" s="121"/>
    </row>
    <row r="963">
      <c r="A963" s="121"/>
    </row>
    <row r="964">
      <c r="A964" s="121"/>
    </row>
    <row r="965">
      <c r="A965" s="121"/>
    </row>
    <row r="966">
      <c r="A966" s="121"/>
    </row>
    <row r="967">
      <c r="A967" s="121"/>
    </row>
    <row r="968">
      <c r="A968" s="121"/>
    </row>
    <row r="969">
      <c r="A969" s="121"/>
    </row>
    <row r="970">
      <c r="A970" s="121"/>
    </row>
    <row r="971">
      <c r="A971" s="121"/>
    </row>
    <row r="972">
      <c r="A972" s="121"/>
    </row>
    <row r="973">
      <c r="A973" s="121"/>
    </row>
    <row r="974">
      <c r="A974" s="121"/>
    </row>
    <row r="975">
      <c r="A975" s="121"/>
    </row>
    <row r="976">
      <c r="A976" s="121"/>
    </row>
    <row r="977">
      <c r="A977" s="121"/>
    </row>
    <row r="978">
      <c r="A978" s="121"/>
    </row>
    <row r="979">
      <c r="A979" s="121"/>
    </row>
    <row r="980">
      <c r="A980" s="121"/>
    </row>
    <row r="981">
      <c r="A981" s="121"/>
    </row>
    <row r="982">
      <c r="A982" s="121"/>
    </row>
    <row r="983">
      <c r="A983" s="121"/>
    </row>
    <row r="984">
      <c r="A984" s="121"/>
    </row>
    <row r="985">
      <c r="A985" s="121"/>
    </row>
    <row r="986">
      <c r="A986" s="121"/>
    </row>
    <row r="987">
      <c r="A987" s="121"/>
    </row>
    <row r="988">
      <c r="A988" s="121"/>
    </row>
    <row r="989">
      <c r="A989" s="121"/>
    </row>
    <row r="990">
      <c r="A990" s="121"/>
    </row>
    <row r="991">
      <c r="A991" s="121"/>
    </row>
    <row r="992">
      <c r="A992" s="121"/>
    </row>
    <row r="993">
      <c r="A993" s="121"/>
    </row>
    <row r="994">
      <c r="A994" s="121"/>
    </row>
    <row r="995">
      <c r="A995" s="121"/>
    </row>
    <row r="996">
      <c r="A996" s="121"/>
    </row>
  </sheetData>
  <conditionalFormatting sqref="A41:B41">
    <cfRule type="expression" dxfId="0" priority="1">
      <formula>$D41="Excluded"</formula>
    </cfRule>
  </conditionalFormatting>
  <conditionalFormatting sqref="A40:B40">
    <cfRule type="expression" dxfId="0" priority="2">
      <formula>$D40="Excluded"</formula>
    </cfRule>
  </conditionalFormatting>
  <conditionalFormatting sqref="A39:B39">
    <cfRule type="expression" dxfId="0" priority="3">
      <formula>$D39="Excluded"</formula>
    </cfRule>
  </conditionalFormatting>
  <conditionalFormatting sqref="A38:B39">
    <cfRule type="expression" dxfId="0" priority="4">
      <formula>$D38="Excluded"</formula>
    </cfRule>
  </conditionalFormatting>
  <conditionalFormatting sqref="A37:B37">
    <cfRule type="expression" dxfId="0" priority="5">
      <formula>$D37="Excluded"</formula>
    </cfRule>
  </conditionalFormatting>
  <conditionalFormatting sqref="A36:B36">
    <cfRule type="expression" dxfId="0" priority="6">
      <formula>$D36="Excluded"</formula>
    </cfRule>
  </conditionalFormatting>
  <conditionalFormatting sqref="A35:B35">
    <cfRule type="expression" dxfId="0" priority="7">
      <formula>$D35="Excluded"</formula>
    </cfRule>
  </conditionalFormatting>
  <conditionalFormatting sqref="A34:B34">
    <cfRule type="expression" dxfId="0" priority="8">
      <formula>$D34="Excluded"</formula>
    </cfRule>
  </conditionalFormatting>
  <conditionalFormatting sqref="A33:B33">
    <cfRule type="expression" dxfId="0" priority="9">
      <formula>$D33="Excluded"</formula>
    </cfRule>
  </conditionalFormatting>
  <conditionalFormatting sqref="A32:B32">
    <cfRule type="expression" dxfId="0" priority="10">
      <formula>$D32="Excluded"</formula>
    </cfRule>
  </conditionalFormatting>
  <conditionalFormatting sqref="A31:B31">
    <cfRule type="expression" dxfId="0" priority="11">
      <formula>$D31="Excluded"</formula>
    </cfRule>
  </conditionalFormatting>
  <conditionalFormatting sqref="A30:B30">
    <cfRule type="expression" dxfId="0" priority="12">
      <formula>$D30="Excluded"</formula>
    </cfRule>
  </conditionalFormatting>
  <conditionalFormatting sqref="A28:B29">
    <cfRule type="expression" dxfId="0" priority="13">
      <formula>$D28="Excluded"</formula>
    </cfRule>
  </conditionalFormatting>
  <conditionalFormatting sqref="A28:B28">
    <cfRule type="expression" dxfId="0" priority="14">
      <formula>$D28="Excluded"</formula>
    </cfRule>
  </conditionalFormatting>
  <conditionalFormatting sqref="A27:B27">
    <cfRule type="expression" dxfId="0" priority="15">
      <formula>$D27="Excluded"</formula>
    </cfRule>
  </conditionalFormatting>
  <conditionalFormatting sqref="A26:B26">
    <cfRule type="expression" dxfId="0" priority="16">
      <formula>$D26="Excluded"</formula>
    </cfRule>
  </conditionalFormatting>
  <conditionalFormatting sqref="A25:B25">
    <cfRule type="expression" dxfId="0" priority="17">
      <formula>$D25="Excluded"</formula>
    </cfRule>
  </conditionalFormatting>
  <conditionalFormatting sqref="A24:B24">
    <cfRule type="expression" dxfId="0" priority="18">
      <formula>$D24="Excluded"</formula>
    </cfRule>
  </conditionalFormatting>
  <conditionalFormatting sqref="A23:B23">
    <cfRule type="expression" dxfId="0" priority="19">
      <formula>$D23="Excluded"</formula>
    </cfRule>
  </conditionalFormatting>
  <conditionalFormatting sqref="A22:B22">
    <cfRule type="expression" dxfId="0" priority="20">
      <formula>$D22="Excluded"</formula>
    </cfRule>
  </conditionalFormatting>
  <conditionalFormatting sqref="A21:B21">
    <cfRule type="expression" dxfId="0" priority="21">
      <formula>$D21="Excluded"</formula>
    </cfRule>
  </conditionalFormatting>
  <conditionalFormatting sqref="A20:B20">
    <cfRule type="expression" dxfId="0" priority="22">
      <formula>$D20="Excluded"</formula>
    </cfRule>
  </conditionalFormatting>
  <conditionalFormatting sqref="A19:B19">
    <cfRule type="expression" dxfId="0" priority="23">
      <formula>$D19="Excluded"</formula>
    </cfRule>
  </conditionalFormatting>
  <conditionalFormatting sqref="A18:B18">
    <cfRule type="expression" dxfId="0" priority="24">
      <formula>$D18="Excluded"</formula>
    </cfRule>
  </conditionalFormatting>
  <conditionalFormatting sqref="A17:B17">
    <cfRule type="expression" dxfId="0" priority="25">
      <formula>$D17="Excluded"</formula>
    </cfRule>
  </conditionalFormatting>
  <conditionalFormatting sqref="A16:B16">
    <cfRule type="expression" dxfId="0" priority="26">
      <formula>$D16="Excluded"</formula>
    </cfRule>
  </conditionalFormatting>
  <conditionalFormatting sqref="A15:B15">
    <cfRule type="expression" dxfId="0" priority="27">
      <formula>$D15="Excluded"</formula>
    </cfRule>
  </conditionalFormatting>
  <conditionalFormatting sqref="A14:B14">
    <cfRule type="expression" dxfId="0" priority="28">
      <formula>$D14="Excluded"</formula>
    </cfRule>
  </conditionalFormatting>
  <conditionalFormatting sqref="A13:B13">
    <cfRule type="expression" dxfId="0" priority="29">
      <formula>$D13="Excluded"</formula>
    </cfRule>
  </conditionalFormatting>
  <conditionalFormatting sqref="A12:B12">
    <cfRule type="expression" dxfId="0" priority="30">
      <formula>$D12="Excluded"</formula>
    </cfRule>
  </conditionalFormatting>
  <conditionalFormatting sqref="A11:B11">
    <cfRule type="expression" dxfId="0" priority="31">
      <formula>$D11="Excluded"</formula>
    </cfRule>
  </conditionalFormatting>
  <conditionalFormatting sqref="A10:B10">
    <cfRule type="expression" dxfId="0" priority="32">
      <formula>$D10="Excluded"</formula>
    </cfRule>
  </conditionalFormatting>
  <conditionalFormatting sqref="A9:B9">
    <cfRule type="expression" dxfId="0" priority="33">
      <formula>$D9="Excluded"</formula>
    </cfRule>
  </conditionalFormatting>
  <conditionalFormatting sqref="A8:B8">
    <cfRule type="expression" dxfId="0" priority="34">
      <formula>$D8="Excluded"</formula>
    </cfRule>
  </conditionalFormatting>
  <conditionalFormatting sqref="A7:B7">
    <cfRule type="expression" dxfId="0" priority="35">
      <formula>$D7="Excluded"</formula>
    </cfRule>
  </conditionalFormatting>
  <conditionalFormatting sqref="A6:B6">
    <cfRule type="expression" dxfId="0" priority="36">
      <formula>$D6="Excluded"</formula>
    </cfRule>
  </conditionalFormatting>
  <conditionalFormatting sqref="A5:B5">
    <cfRule type="expression" dxfId="0" priority="37">
      <formula>$D5="Excluded"</formula>
    </cfRule>
  </conditionalFormatting>
  <conditionalFormatting sqref="A4:B4">
    <cfRule type="expression" dxfId="0" priority="38">
      <formula>$D4="Excluded"</formula>
    </cfRule>
  </conditionalFormatting>
  <conditionalFormatting sqref="A3:B3">
    <cfRule type="expression" dxfId="0" priority="39">
      <formula>$D3="Excluded"</formula>
    </cfRule>
  </conditionalFormatting>
  <conditionalFormatting sqref="A2:B2">
    <cfRule type="expression" dxfId="0" priority="40">
      <formula>$D2="Excluded"</formula>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2.88"/>
    <col customWidth="1" min="2" max="2" width="18.25"/>
    <col customWidth="1" min="3" max="3" width="8.63"/>
    <col customWidth="1" min="4" max="4" width="3.0"/>
    <col customWidth="1" min="5" max="6" width="2.88"/>
    <col customWidth="1" min="7" max="8" width="2.75"/>
  </cols>
  <sheetData>
    <row r="1">
      <c r="A1" s="2" t="s">
        <v>0</v>
      </c>
      <c r="B1" s="116" t="s">
        <v>3</v>
      </c>
      <c r="C1" s="2" t="s">
        <v>4</v>
      </c>
      <c r="D1" s="2" t="s">
        <v>7</v>
      </c>
      <c r="E1" s="117">
        <v>0.0</v>
      </c>
      <c r="F1" s="117">
        <v>1.0</v>
      </c>
      <c r="G1" s="117">
        <v>2.0</v>
      </c>
      <c r="H1" s="117">
        <v>3.0</v>
      </c>
    </row>
    <row r="2">
      <c r="A2" s="15">
        <v>11.0</v>
      </c>
      <c r="B2" s="19" t="s">
        <v>37</v>
      </c>
      <c r="C2" s="114" t="s">
        <v>42</v>
      </c>
      <c r="D2" s="118">
        <v>22.0</v>
      </c>
      <c r="E2" s="118">
        <v>10.0</v>
      </c>
      <c r="F2" s="118">
        <v>10.0</v>
      </c>
      <c r="G2" s="118">
        <v>2.0</v>
      </c>
      <c r="H2" s="118">
        <v>0.0</v>
      </c>
    </row>
    <row r="3">
      <c r="A3" s="15">
        <v>11.0</v>
      </c>
      <c r="B3" s="19" t="s">
        <v>37</v>
      </c>
      <c r="C3" s="114" t="s">
        <v>84</v>
      </c>
      <c r="D3" s="118">
        <v>22.0</v>
      </c>
      <c r="E3" s="118">
        <v>3.0</v>
      </c>
      <c r="F3" s="118">
        <v>6.0</v>
      </c>
      <c r="G3" s="118">
        <v>8.0</v>
      </c>
      <c r="H3" s="118">
        <v>5.0</v>
      </c>
    </row>
    <row r="4">
      <c r="A4" s="9">
        <v>13.0</v>
      </c>
      <c r="B4" s="19" t="s">
        <v>43</v>
      </c>
      <c r="C4" s="114" t="s">
        <v>42</v>
      </c>
      <c r="D4" s="118">
        <v>61.0</v>
      </c>
      <c r="E4" s="118">
        <v>30.0</v>
      </c>
      <c r="F4" s="118">
        <v>24.0</v>
      </c>
      <c r="G4" s="118">
        <v>6.0</v>
      </c>
      <c r="H4" s="118">
        <v>1.0</v>
      </c>
    </row>
    <row r="5">
      <c r="A5" s="9">
        <v>13.0</v>
      </c>
      <c r="B5" s="19" t="s">
        <v>43</v>
      </c>
      <c r="C5" s="114" t="s">
        <v>84</v>
      </c>
      <c r="D5" s="118">
        <v>86.0</v>
      </c>
      <c r="E5" s="118">
        <v>19.0</v>
      </c>
      <c r="F5" s="118">
        <v>46.0</v>
      </c>
      <c r="G5" s="118">
        <v>12.0</v>
      </c>
      <c r="H5" s="118">
        <v>9.0</v>
      </c>
    </row>
    <row r="6">
      <c r="A6" s="15">
        <v>23.0</v>
      </c>
      <c r="B6" s="19" t="s">
        <v>56</v>
      </c>
      <c r="C6" s="114" t="s">
        <v>42</v>
      </c>
      <c r="D6" s="118">
        <v>32.0</v>
      </c>
      <c r="E6" s="118">
        <v>18.0</v>
      </c>
      <c r="F6" s="118">
        <v>12.0</v>
      </c>
      <c r="G6" s="118">
        <v>2.0</v>
      </c>
      <c r="H6" s="118">
        <v>0.0</v>
      </c>
    </row>
    <row r="7">
      <c r="A7" s="15">
        <v>23.0</v>
      </c>
      <c r="B7" s="19" t="s">
        <v>56</v>
      </c>
      <c r="C7" s="114" t="s">
        <v>84</v>
      </c>
      <c r="D7" s="118">
        <v>33.0</v>
      </c>
      <c r="E7" s="118">
        <v>16.0</v>
      </c>
      <c r="F7" s="118">
        <v>17.0</v>
      </c>
      <c r="G7" s="118">
        <v>0.0</v>
      </c>
      <c r="H7" s="118">
        <v>0.0</v>
      </c>
    </row>
    <row r="8">
      <c r="A8" s="15">
        <v>26.0</v>
      </c>
      <c r="B8" s="19" t="s">
        <v>60</v>
      </c>
      <c r="C8" s="114" t="s">
        <v>42</v>
      </c>
      <c r="D8" s="118">
        <v>42.0</v>
      </c>
      <c r="E8" s="118">
        <v>36.0</v>
      </c>
      <c r="F8" s="118">
        <v>6.0</v>
      </c>
      <c r="G8" s="118">
        <v>0.0</v>
      </c>
      <c r="H8" s="118">
        <v>0.0</v>
      </c>
    </row>
    <row r="9">
      <c r="A9" s="15">
        <v>26.0</v>
      </c>
      <c r="B9" s="19" t="s">
        <v>60</v>
      </c>
      <c r="C9" s="114" t="s">
        <v>84</v>
      </c>
      <c r="D9" s="118">
        <v>47.0</v>
      </c>
      <c r="E9" s="118">
        <v>28.0</v>
      </c>
      <c r="F9" s="118">
        <v>19.0</v>
      </c>
      <c r="G9" s="118">
        <v>0.0</v>
      </c>
      <c r="H9" s="118">
        <v>0.0</v>
      </c>
    </row>
    <row r="10">
      <c r="A10" s="15">
        <v>30.0</v>
      </c>
      <c r="B10" s="19" t="s">
        <v>62</v>
      </c>
      <c r="C10" s="114" t="s">
        <v>42</v>
      </c>
      <c r="D10" s="118">
        <v>45.0</v>
      </c>
      <c r="E10" s="118">
        <v>29.0</v>
      </c>
      <c r="F10" s="118">
        <v>15.0</v>
      </c>
      <c r="G10" s="118">
        <v>1.0</v>
      </c>
      <c r="H10" s="118">
        <v>0.0</v>
      </c>
    </row>
    <row r="11">
      <c r="A11" s="15">
        <v>30.0</v>
      </c>
      <c r="B11" s="19" t="s">
        <v>62</v>
      </c>
      <c r="C11" s="114" t="s">
        <v>84</v>
      </c>
      <c r="D11" s="118">
        <v>32.0</v>
      </c>
      <c r="E11" s="118">
        <v>19.0</v>
      </c>
      <c r="F11" s="118">
        <v>12.0</v>
      </c>
      <c r="G11" s="118">
        <v>1.0</v>
      </c>
      <c r="H11" s="118">
        <v>0.0</v>
      </c>
    </row>
    <row r="12">
      <c r="A12" s="15">
        <v>32.0</v>
      </c>
      <c r="B12" s="19" t="s">
        <v>65</v>
      </c>
      <c r="C12" s="114" t="s">
        <v>42</v>
      </c>
      <c r="D12" s="118">
        <v>31.0</v>
      </c>
      <c r="E12" s="118">
        <v>22.0</v>
      </c>
      <c r="F12" s="118">
        <v>7.0</v>
      </c>
      <c r="G12" s="118">
        <v>1.0</v>
      </c>
      <c r="H12" s="118">
        <v>1.0</v>
      </c>
    </row>
    <row r="13">
      <c r="A13" s="15">
        <v>32.0</v>
      </c>
      <c r="B13" s="19" t="s">
        <v>65</v>
      </c>
      <c r="C13" s="114" t="s">
        <v>84</v>
      </c>
      <c r="D13" s="118">
        <v>31.0</v>
      </c>
      <c r="E13" s="118">
        <v>22.0</v>
      </c>
      <c r="F13" s="118">
        <v>6.0</v>
      </c>
      <c r="G13" s="118">
        <v>2.0</v>
      </c>
      <c r="H13" s="118">
        <v>1.0</v>
      </c>
    </row>
    <row r="14">
      <c r="A14" s="15">
        <v>33.0</v>
      </c>
      <c r="B14" s="19" t="s">
        <v>67</v>
      </c>
      <c r="C14" s="114" t="s">
        <v>42</v>
      </c>
      <c r="D14" s="118">
        <v>37.0</v>
      </c>
      <c r="E14" s="118">
        <v>29.0</v>
      </c>
      <c r="F14" s="118">
        <v>8.0</v>
      </c>
      <c r="G14" s="118">
        <v>0.0</v>
      </c>
      <c r="H14" s="118">
        <v>0.0</v>
      </c>
    </row>
    <row r="15">
      <c r="A15" s="15">
        <v>33.0</v>
      </c>
      <c r="B15" s="19" t="s">
        <v>67</v>
      </c>
      <c r="C15" s="114" t="s">
        <v>84</v>
      </c>
      <c r="D15" s="118">
        <v>37.0</v>
      </c>
      <c r="E15" s="118">
        <v>31.0</v>
      </c>
      <c r="F15" s="118">
        <v>5.0</v>
      </c>
      <c r="G15" s="118">
        <v>1.0</v>
      </c>
      <c r="H15" s="118">
        <v>0.0</v>
      </c>
    </row>
    <row r="16">
      <c r="A16" s="15">
        <v>37.0</v>
      </c>
      <c r="B16" s="19" t="s">
        <v>75</v>
      </c>
      <c r="C16" s="114" t="s">
        <v>42</v>
      </c>
      <c r="D16" s="118">
        <v>40.0</v>
      </c>
      <c r="E16" s="118">
        <v>35.0</v>
      </c>
      <c r="F16" s="118">
        <v>5.0</v>
      </c>
      <c r="G16" s="118">
        <v>0.0</v>
      </c>
      <c r="H16" s="118">
        <v>0.0</v>
      </c>
    </row>
    <row r="17">
      <c r="A17" s="15">
        <v>37.0</v>
      </c>
      <c r="B17" s="19" t="s">
        <v>75</v>
      </c>
      <c r="C17" s="114" t="s">
        <v>84</v>
      </c>
      <c r="D17" s="118">
        <v>46.0</v>
      </c>
      <c r="E17" s="118">
        <v>39.0</v>
      </c>
      <c r="F17" s="118">
        <v>7.0</v>
      </c>
      <c r="G17" s="118">
        <v>0.0</v>
      </c>
      <c r="H17" s="118">
        <v>0.0</v>
      </c>
    </row>
    <row r="18">
      <c r="A18" s="15">
        <v>41.0</v>
      </c>
      <c r="B18" s="19" t="s">
        <v>79</v>
      </c>
      <c r="C18" s="114" t="s">
        <v>42</v>
      </c>
      <c r="D18" s="118">
        <v>43.0</v>
      </c>
      <c r="E18" s="118">
        <v>35.0</v>
      </c>
      <c r="F18" s="118">
        <v>8.0</v>
      </c>
      <c r="G18" s="118">
        <v>0.0</v>
      </c>
      <c r="H18" s="118">
        <v>0.0</v>
      </c>
    </row>
    <row r="19">
      <c r="A19" s="15">
        <v>41.0</v>
      </c>
      <c r="B19" s="19" t="s">
        <v>79</v>
      </c>
      <c r="C19" s="114" t="s">
        <v>84</v>
      </c>
      <c r="D19" s="118">
        <v>46.0</v>
      </c>
      <c r="E19" s="118">
        <v>38.0</v>
      </c>
      <c r="F19" s="118">
        <v>8.0</v>
      </c>
      <c r="G19" s="118">
        <v>0.0</v>
      </c>
      <c r="H19" s="118">
        <v>0.0</v>
      </c>
    </row>
    <row r="20">
      <c r="A20" s="15">
        <v>45.0</v>
      </c>
      <c r="B20" s="19" t="s">
        <v>88</v>
      </c>
      <c r="C20" s="114" t="s">
        <v>42</v>
      </c>
      <c r="D20" s="118">
        <v>24.0</v>
      </c>
      <c r="E20" s="118">
        <v>16.0</v>
      </c>
      <c r="F20" s="118">
        <v>8.0</v>
      </c>
      <c r="G20" s="118">
        <v>0.0</v>
      </c>
      <c r="H20" s="118">
        <v>0.0</v>
      </c>
    </row>
    <row r="21">
      <c r="A21" s="15">
        <v>45.0</v>
      </c>
      <c r="B21" s="19" t="s">
        <v>88</v>
      </c>
      <c r="C21" s="114" t="s">
        <v>84</v>
      </c>
      <c r="D21" s="118">
        <v>23.0</v>
      </c>
      <c r="E21" s="118">
        <v>12.0</v>
      </c>
      <c r="F21" s="118">
        <v>9.0</v>
      </c>
      <c r="G21" s="118">
        <v>1.0</v>
      </c>
      <c r="H21" s="118">
        <v>1.0</v>
      </c>
    </row>
    <row r="22">
      <c r="A22" s="15">
        <v>51.0</v>
      </c>
      <c r="B22" s="19" t="s">
        <v>96</v>
      </c>
      <c r="C22" s="114" t="s">
        <v>84</v>
      </c>
      <c r="D22" s="114">
        <v>32.0</v>
      </c>
      <c r="E22" s="118">
        <v>26.0</v>
      </c>
      <c r="F22" s="118">
        <v>4.0</v>
      </c>
      <c r="G22" s="118">
        <v>2.0</v>
      </c>
      <c r="H22" s="118">
        <v>0.0</v>
      </c>
    </row>
    <row r="23">
      <c r="A23" s="15">
        <v>51.0</v>
      </c>
      <c r="B23" s="19" t="s">
        <v>96</v>
      </c>
      <c r="C23" s="114" t="s">
        <v>205</v>
      </c>
      <c r="D23" s="114">
        <v>32.0</v>
      </c>
      <c r="E23" s="118">
        <v>19.0</v>
      </c>
      <c r="F23" s="118">
        <v>9.0</v>
      </c>
      <c r="G23" s="118">
        <v>3.0</v>
      </c>
      <c r="H23" s="118">
        <v>1.0</v>
      </c>
    </row>
    <row r="24">
      <c r="A24" s="15">
        <v>52.0</v>
      </c>
      <c r="B24" s="19" t="s">
        <v>98</v>
      </c>
      <c r="C24" s="114" t="s">
        <v>42</v>
      </c>
      <c r="D24" s="114">
        <v>30.0</v>
      </c>
      <c r="E24" s="118">
        <v>8.0</v>
      </c>
      <c r="F24" s="118">
        <v>21.0</v>
      </c>
      <c r="G24" s="118">
        <v>1.0</v>
      </c>
      <c r="H24" s="118">
        <v>0.0</v>
      </c>
    </row>
    <row r="25">
      <c r="A25" s="15">
        <v>52.0</v>
      </c>
      <c r="B25" s="19" t="s">
        <v>98</v>
      </c>
      <c r="C25" s="114" t="s">
        <v>84</v>
      </c>
      <c r="D25" s="114">
        <v>32.0</v>
      </c>
      <c r="E25" s="118">
        <v>7.0</v>
      </c>
      <c r="F25" s="118">
        <v>23.0</v>
      </c>
      <c r="G25" s="118">
        <v>1.0</v>
      </c>
      <c r="H25" s="118">
        <v>1.0</v>
      </c>
    </row>
    <row r="26">
      <c r="A26" s="15">
        <v>55.0</v>
      </c>
      <c r="B26" s="19" t="s">
        <v>106</v>
      </c>
      <c r="C26" s="114" t="s">
        <v>42</v>
      </c>
      <c r="D26" s="114">
        <v>14.0</v>
      </c>
      <c r="E26" s="118">
        <v>10.0</v>
      </c>
      <c r="F26" s="118">
        <v>4.0</v>
      </c>
      <c r="G26" s="118">
        <v>0.0</v>
      </c>
      <c r="H26" s="118">
        <v>0.0</v>
      </c>
    </row>
    <row r="27">
      <c r="A27" s="15">
        <v>55.0</v>
      </c>
      <c r="B27" s="19" t="s">
        <v>106</v>
      </c>
      <c r="C27" s="114" t="s">
        <v>84</v>
      </c>
      <c r="D27" s="114">
        <v>38.0</v>
      </c>
      <c r="E27" s="118">
        <v>32.0</v>
      </c>
      <c r="F27" s="118">
        <v>6.0</v>
      </c>
      <c r="G27" s="118">
        <v>0.0</v>
      </c>
      <c r="H27" s="118">
        <v>0.0</v>
      </c>
    </row>
    <row r="28">
      <c r="A28" s="15">
        <v>58.0</v>
      </c>
      <c r="B28" s="19" t="s">
        <v>110</v>
      </c>
      <c r="C28" s="114" t="s">
        <v>42</v>
      </c>
      <c r="D28" s="114">
        <v>18.0</v>
      </c>
      <c r="E28" s="118">
        <v>13.68</v>
      </c>
      <c r="F28" s="118">
        <v>2.88</v>
      </c>
      <c r="G28" s="118">
        <v>1.44</v>
      </c>
      <c r="H28" s="118">
        <v>0.0</v>
      </c>
    </row>
    <row r="29">
      <c r="A29" s="15">
        <v>58.0</v>
      </c>
      <c r="B29" s="19" t="s">
        <v>110</v>
      </c>
      <c r="C29" s="114" t="s">
        <v>200</v>
      </c>
      <c r="D29" s="114">
        <v>21.0</v>
      </c>
      <c r="E29" s="118">
        <v>16.17</v>
      </c>
      <c r="F29" s="118">
        <v>3.99</v>
      </c>
      <c r="G29" s="118">
        <v>0.84</v>
      </c>
      <c r="H29" s="118">
        <v>0.0</v>
      </c>
    </row>
    <row r="30">
      <c r="A30" s="15">
        <v>70.0</v>
      </c>
      <c r="B30" s="19" t="s">
        <v>121</v>
      </c>
      <c r="C30" s="114" t="s">
        <v>84</v>
      </c>
      <c r="D30" s="114">
        <v>33.0</v>
      </c>
      <c r="E30" s="118">
        <v>27.0</v>
      </c>
      <c r="F30" s="118">
        <v>5.0</v>
      </c>
      <c r="G30" s="118">
        <v>1.0</v>
      </c>
      <c r="H30" s="118">
        <v>0.0</v>
      </c>
    </row>
    <row r="31">
      <c r="A31" s="15">
        <v>70.0</v>
      </c>
      <c r="B31" s="19" t="s">
        <v>121</v>
      </c>
      <c r="C31" s="114" t="s">
        <v>246</v>
      </c>
      <c r="D31" s="114">
        <v>32.0</v>
      </c>
      <c r="E31" s="118">
        <v>26.0</v>
      </c>
      <c r="F31" s="118">
        <v>3.0</v>
      </c>
      <c r="G31" s="118">
        <v>3.0</v>
      </c>
      <c r="H31" s="118">
        <v>0.0</v>
      </c>
    </row>
    <row r="32">
      <c r="A32" s="15">
        <v>76.0</v>
      </c>
      <c r="B32" s="19" t="s">
        <v>125</v>
      </c>
      <c r="C32" s="114" t="s">
        <v>42</v>
      </c>
      <c r="D32" s="114">
        <v>53.0</v>
      </c>
      <c r="E32" s="118">
        <v>43.0</v>
      </c>
      <c r="F32" s="118">
        <v>10.0</v>
      </c>
      <c r="G32" s="118">
        <v>0.0</v>
      </c>
      <c r="H32" s="118">
        <v>0.0</v>
      </c>
    </row>
    <row r="33">
      <c r="A33" s="15">
        <v>76.0</v>
      </c>
      <c r="B33" s="19" t="s">
        <v>125</v>
      </c>
      <c r="C33" s="114" t="s">
        <v>84</v>
      </c>
      <c r="D33" s="114">
        <v>58.0</v>
      </c>
      <c r="E33" s="118">
        <v>46.0</v>
      </c>
      <c r="F33" s="118">
        <v>11.0</v>
      </c>
      <c r="G33" s="118">
        <v>1.0</v>
      </c>
      <c r="H33" s="118">
        <v>0.0</v>
      </c>
    </row>
    <row r="34">
      <c r="A34" s="15">
        <v>77.0</v>
      </c>
      <c r="B34" s="19" t="s">
        <v>128</v>
      </c>
      <c r="C34" s="114" t="s">
        <v>42</v>
      </c>
      <c r="D34" s="114">
        <v>38.0</v>
      </c>
      <c r="E34" s="120"/>
      <c r="F34" s="118"/>
      <c r="G34" s="118">
        <v>0.0</v>
      </c>
      <c r="H34" s="118">
        <v>0.0</v>
      </c>
    </row>
    <row r="35">
      <c r="A35" s="15">
        <v>77.0</v>
      </c>
      <c r="B35" s="19" t="s">
        <v>128</v>
      </c>
      <c r="C35" s="114" t="s">
        <v>84</v>
      </c>
      <c r="D35" s="114">
        <v>33.0</v>
      </c>
      <c r="E35" s="120"/>
      <c r="F35" s="118"/>
      <c r="G35" s="118">
        <v>5.0</v>
      </c>
      <c r="H35" s="118">
        <v>0.0</v>
      </c>
    </row>
    <row r="36">
      <c r="A36" s="15">
        <v>82.0</v>
      </c>
      <c r="B36" s="19" t="s">
        <v>130</v>
      </c>
      <c r="C36" s="114" t="s">
        <v>42</v>
      </c>
      <c r="D36" s="114">
        <v>24.0</v>
      </c>
      <c r="E36" s="118">
        <v>19.0</v>
      </c>
      <c r="F36" s="118">
        <v>5.0</v>
      </c>
      <c r="G36" s="118">
        <v>0.0</v>
      </c>
      <c r="H36" s="118">
        <v>0.0</v>
      </c>
    </row>
    <row r="37">
      <c r="A37" s="15">
        <v>82.0</v>
      </c>
      <c r="B37" s="19" t="s">
        <v>130</v>
      </c>
      <c r="C37" s="114" t="s">
        <v>84</v>
      </c>
      <c r="D37" s="114">
        <v>24.0</v>
      </c>
      <c r="E37" s="118">
        <v>19.0</v>
      </c>
      <c r="F37" s="118">
        <v>5.0</v>
      </c>
      <c r="G37" s="118">
        <v>0.0</v>
      </c>
      <c r="H37" s="118">
        <v>0.0</v>
      </c>
    </row>
    <row r="38">
      <c r="A38" s="9">
        <v>97.0</v>
      </c>
      <c r="B38" s="19" t="s">
        <v>149</v>
      </c>
      <c r="C38" s="114" t="s">
        <v>84</v>
      </c>
      <c r="D38" s="114">
        <v>36.0</v>
      </c>
      <c r="E38" s="118">
        <v>15.0</v>
      </c>
      <c r="F38" s="118">
        <v>12.0</v>
      </c>
      <c r="G38" s="118">
        <v>8.0</v>
      </c>
      <c r="H38" s="118">
        <v>1.0</v>
      </c>
    </row>
    <row r="39">
      <c r="A39" s="9">
        <v>97.0</v>
      </c>
      <c r="B39" s="19" t="s">
        <v>149</v>
      </c>
      <c r="C39" s="114" t="s">
        <v>200</v>
      </c>
      <c r="D39" s="114">
        <v>33.0</v>
      </c>
      <c r="E39" s="118">
        <v>24.0</v>
      </c>
      <c r="F39" s="118">
        <v>6.0</v>
      </c>
      <c r="G39" s="118">
        <v>3.0</v>
      </c>
      <c r="H39" s="118">
        <v>0.0</v>
      </c>
    </row>
    <row r="40">
      <c r="A40" s="9">
        <v>98.0</v>
      </c>
      <c r="B40" s="19" t="s">
        <v>152</v>
      </c>
      <c r="C40" s="114" t="s">
        <v>84</v>
      </c>
      <c r="D40" s="114">
        <v>68.0</v>
      </c>
      <c r="E40" s="118">
        <v>33.0</v>
      </c>
      <c r="F40" s="118">
        <v>31.0</v>
      </c>
      <c r="G40" s="118">
        <v>3.0</v>
      </c>
      <c r="H40" s="118">
        <v>1.0</v>
      </c>
    </row>
    <row r="41">
      <c r="A41" s="9">
        <v>98.0</v>
      </c>
      <c r="B41" s="19" t="s">
        <v>152</v>
      </c>
      <c r="C41" s="114" t="s">
        <v>205</v>
      </c>
      <c r="D41" s="114">
        <v>64.0</v>
      </c>
      <c r="E41" s="118">
        <v>30.0</v>
      </c>
      <c r="F41" s="118">
        <v>28.0</v>
      </c>
      <c r="G41" s="118">
        <v>4.0</v>
      </c>
      <c r="H41" s="118">
        <v>2.0</v>
      </c>
    </row>
  </sheetData>
  <conditionalFormatting sqref="A41:B41">
    <cfRule type="expression" dxfId="0" priority="1">
      <formula>$D41="Excluded"</formula>
    </cfRule>
  </conditionalFormatting>
  <conditionalFormatting sqref="A40:B40">
    <cfRule type="expression" dxfId="0" priority="2">
      <formula>$D40="Excluded"</formula>
    </cfRule>
  </conditionalFormatting>
  <conditionalFormatting sqref="A39:B39">
    <cfRule type="expression" dxfId="0" priority="3">
      <formula>$D39="Excluded"</formula>
    </cfRule>
  </conditionalFormatting>
  <conditionalFormatting sqref="A38:B39">
    <cfRule type="expression" dxfId="0" priority="4">
      <formula>$D38="Excluded"</formula>
    </cfRule>
  </conditionalFormatting>
  <conditionalFormatting sqref="A37:B37">
    <cfRule type="expression" dxfId="0" priority="5">
      <formula>$D37="Excluded"</formula>
    </cfRule>
  </conditionalFormatting>
  <conditionalFormatting sqref="A36:B36">
    <cfRule type="expression" dxfId="0" priority="6">
      <formula>$D36="Excluded"</formula>
    </cfRule>
  </conditionalFormatting>
  <conditionalFormatting sqref="A35:B35">
    <cfRule type="expression" dxfId="0" priority="7">
      <formula>$D35="Excluded"</formula>
    </cfRule>
  </conditionalFormatting>
  <conditionalFormatting sqref="A34:B34">
    <cfRule type="expression" dxfId="0" priority="8">
      <formula>$D34="Excluded"</formula>
    </cfRule>
  </conditionalFormatting>
  <conditionalFormatting sqref="A33:B33">
    <cfRule type="expression" dxfId="0" priority="9">
      <formula>$D33="Excluded"</formula>
    </cfRule>
  </conditionalFormatting>
  <conditionalFormatting sqref="A32:B32">
    <cfRule type="expression" dxfId="0" priority="10">
      <formula>$D32="Excluded"</formula>
    </cfRule>
  </conditionalFormatting>
  <conditionalFormatting sqref="A31:B31">
    <cfRule type="expression" dxfId="0" priority="11">
      <formula>$D31="Excluded"</formula>
    </cfRule>
  </conditionalFormatting>
  <conditionalFormatting sqref="A30:B30">
    <cfRule type="expression" dxfId="0" priority="12">
      <formula>$D30="Excluded"</formula>
    </cfRule>
  </conditionalFormatting>
  <conditionalFormatting sqref="A28:B29">
    <cfRule type="expression" dxfId="0" priority="13">
      <formula>$D28="Excluded"</formula>
    </cfRule>
  </conditionalFormatting>
  <conditionalFormatting sqref="A28:B28">
    <cfRule type="expression" dxfId="0" priority="14">
      <formula>$D28="Excluded"</formula>
    </cfRule>
  </conditionalFormatting>
  <conditionalFormatting sqref="A27:B27">
    <cfRule type="expression" dxfId="0" priority="15">
      <formula>$D27="Excluded"</formula>
    </cfRule>
  </conditionalFormatting>
  <conditionalFormatting sqref="A26:B26">
    <cfRule type="expression" dxfId="0" priority="16">
      <formula>$D26="Excluded"</formula>
    </cfRule>
  </conditionalFormatting>
  <conditionalFormatting sqref="A25:B25">
    <cfRule type="expression" dxfId="0" priority="17">
      <formula>$D25="Excluded"</formula>
    </cfRule>
  </conditionalFormatting>
  <conditionalFormatting sqref="A24:B24">
    <cfRule type="expression" dxfId="0" priority="18">
      <formula>$D24="Excluded"</formula>
    </cfRule>
  </conditionalFormatting>
  <conditionalFormatting sqref="A23:B23">
    <cfRule type="expression" dxfId="0" priority="19">
      <formula>$D23="Excluded"</formula>
    </cfRule>
  </conditionalFormatting>
  <conditionalFormatting sqref="A22:B22">
    <cfRule type="expression" dxfId="0" priority="20">
      <formula>$D22="Excluded"</formula>
    </cfRule>
  </conditionalFormatting>
  <conditionalFormatting sqref="A21:B21">
    <cfRule type="expression" dxfId="0" priority="21">
      <formula>$D21="Excluded"</formula>
    </cfRule>
  </conditionalFormatting>
  <conditionalFormatting sqref="A20:B20">
    <cfRule type="expression" dxfId="0" priority="22">
      <formula>$D20="Excluded"</formula>
    </cfRule>
  </conditionalFormatting>
  <conditionalFormatting sqref="A19:B19">
    <cfRule type="expression" dxfId="0" priority="23">
      <formula>$D19="Excluded"</formula>
    </cfRule>
  </conditionalFormatting>
  <conditionalFormatting sqref="A18:B18">
    <cfRule type="expression" dxfId="0" priority="24">
      <formula>$D18="Excluded"</formula>
    </cfRule>
  </conditionalFormatting>
  <conditionalFormatting sqref="A17:B17">
    <cfRule type="expression" dxfId="0" priority="25">
      <formula>$D17="Excluded"</formula>
    </cfRule>
  </conditionalFormatting>
  <conditionalFormatting sqref="A16:B16">
    <cfRule type="expression" dxfId="0" priority="26">
      <formula>$D16="Excluded"</formula>
    </cfRule>
  </conditionalFormatting>
  <conditionalFormatting sqref="A15:B15">
    <cfRule type="expression" dxfId="0" priority="27">
      <formula>$D15="Excluded"</formula>
    </cfRule>
  </conditionalFormatting>
  <conditionalFormatting sqref="A14:B14">
    <cfRule type="expression" dxfId="0" priority="28">
      <formula>$D14="Excluded"</formula>
    </cfRule>
  </conditionalFormatting>
  <conditionalFormatting sqref="A13:B13">
    <cfRule type="expression" dxfId="0" priority="29">
      <formula>$D13="Excluded"</formula>
    </cfRule>
  </conditionalFormatting>
  <conditionalFormatting sqref="A12:B12">
    <cfRule type="expression" dxfId="0" priority="30">
      <formula>$D12="Excluded"</formula>
    </cfRule>
  </conditionalFormatting>
  <conditionalFormatting sqref="A11:B11">
    <cfRule type="expression" dxfId="0" priority="31">
      <formula>$D11="Excluded"</formula>
    </cfRule>
  </conditionalFormatting>
  <conditionalFormatting sqref="A10:B10">
    <cfRule type="expression" dxfId="0" priority="32">
      <formula>$D10="Excluded"</formula>
    </cfRule>
  </conditionalFormatting>
  <conditionalFormatting sqref="A9:B9">
    <cfRule type="expression" dxfId="0" priority="33">
      <formula>$D9="Excluded"</formula>
    </cfRule>
  </conditionalFormatting>
  <conditionalFormatting sqref="A8:B8">
    <cfRule type="expression" dxfId="0" priority="34">
      <formula>$D8="Excluded"</formula>
    </cfRule>
  </conditionalFormatting>
  <conditionalFormatting sqref="A7:B7">
    <cfRule type="expression" dxfId="0" priority="35">
      <formula>$D7="Excluded"</formula>
    </cfRule>
  </conditionalFormatting>
  <conditionalFormatting sqref="A6:B6">
    <cfRule type="expression" dxfId="0" priority="36">
      <formula>$D6="Excluded"</formula>
    </cfRule>
  </conditionalFormatting>
  <conditionalFormatting sqref="A5:B5">
    <cfRule type="expression" dxfId="0" priority="37">
      <formula>$D5="Excluded"</formula>
    </cfRule>
  </conditionalFormatting>
  <conditionalFormatting sqref="A4:B4">
    <cfRule type="expression" dxfId="0" priority="38">
      <formula>$D4="Excluded"</formula>
    </cfRule>
  </conditionalFormatting>
  <conditionalFormatting sqref="A3:B3">
    <cfRule type="expression" dxfId="0" priority="39">
      <formula>$D3="Excluded"</formula>
    </cfRule>
  </conditionalFormatting>
  <conditionalFormatting sqref="A2:B2">
    <cfRule type="expression" dxfId="0" priority="40">
      <formula>$D2="Excluded"</formula>
    </cfRule>
  </conditionalFormatting>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5.0"/>
    <col customWidth="1" min="2" max="2" width="18.25"/>
    <col customWidth="1" min="3" max="3" width="11.13"/>
    <col customWidth="1" min="4" max="4" width="10.5"/>
    <col customWidth="1" min="5" max="5" width="5.0"/>
    <col customWidth="1" min="6" max="6" width="4.5"/>
    <col customWidth="1" hidden="1" min="7" max="7" width="4.5"/>
    <col customWidth="1" hidden="1" min="8" max="8" width="8.88"/>
    <col customWidth="1" min="9" max="9" width="5.0"/>
    <col customWidth="1" hidden="1" min="10" max="10" width="5.0"/>
    <col customWidth="1" hidden="1" min="11" max="11" width="8.13"/>
    <col customWidth="1" min="12" max="12" width="5.25"/>
    <col customWidth="1" hidden="1" min="13" max="13" width="5.25"/>
    <col customWidth="1" hidden="1" min="14" max="14" width="7.75"/>
    <col customWidth="1" min="15" max="15" width="5.25"/>
    <col customWidth="1" hidden="1" min="16" max="16" width="5.25"/>
    <col customWidth="1" hidden="1" min="17" max="17" width="6.13"/>
    <col customWidth="1" min="18" max="18" width="6.25"/>
    <col customWidth="1" min="19" max="19" width="6.63"/>
    <col customWidth="1" min="20" max="20" width="6.0"/>
    <col customWidth="1" min="21" max="21" width="5.25"/>
    <col customWidth="1" min="22" max="22" width="5.88"/>
    <col customWidth="1" min="23" max="23" width="18.75"/>
  </cols>
  <sheetData>
    <row r="1">
      <c r="A1" s="2" t="s">
        <v>0</v>
      </c>
      <c r="B1" s="116" t="s">
        <v>3</v>
      </c>
      <c r="C1" s="2" t="s">
        <v>4</v>
      </c>
      <c r="D1" s="2" t="s">
        <v>5</v>
      </c>
      <c r="E1" s="2" t="s">
        <v>7</v>
      </c>
      <c r="F1" s="117">
        <v>0.0</v>
      </c>
      <c r="G1" s="117">
        <v>0.0</v>
      </c>
      <c r="H1" s="117">
        <v>0.0</v>
      </c>
      <c r="I1" s="117" t="s">
        <v>472</v>
      </c>
      <c r="J1" s="117" t="s">
        <v>472</v>
      </c>
      <c r="K1" s="117" t="s">
        <v>472</v>
      </c>
      <c r="L1" s="117" t="s">
        <v>473</v>
      </c>
      <c r="M1" s="117" t="s">
        <v>473</v>
      </c>
      <c r="N1" s="117" t="s">
        <v>473</v>
      </c>
      <c r="O1" s="117" t="s">
        <v>474</v>
      </c>
      <c r="P1" s="117" t="s">
        <v>474</v>
      </c>
      <c r="Q1" s="117" t="s">
        <v>474</v>
      </c>
      <c r="R1" s="122" t="s">
        <v>632</v>
      </c>
      <c r="S1" s="122" t="s">
        <v>633</v>
      </c>
      <c r="T1" s="11" t="s">
        <v>634</v>
      </c>
      <c r="U1" s="123" t="s">
        <v>635</v>
      </c>
      <c r="V1" s="124" t="s">
        <v>12</v>
      </c>
      <c r="W1" s="107"/>
      <c r="X1" s="107"/>
      <c r="Y1" s="107"/>
      <c r="Z1" s="107"/>
      <c r="AA1" s="107"/>
      <c r="AB1" s="107"/>
      <c r="AC1" s="107"/>
      <c r="AD1" s="107"/>
      <c r="AE1" s="107"/>
      <c r="AF1" s="107"/>
      <c r="AG1" s="107"/>
      <c r="AH1" s="107"/>
      <c r="AI1" s="107"/>
      <c r="AJ1" s="107"/>
      <c r="AK1" s="107"/>
    </row>
    <row r="2">
      <c r="A2" s="15">
        <v>11.0</v>
      </c>
      <c r="B2" s="17" t="str">
        <f t="shared" ref="B2:B3" si="1">HYPERLINK("https://github.com/d-wkim/phd/blob/main/data/pdf/beynnon_2002.pdf","Beynnon et al., 2002")</f>
        <v>Beynnon et al., 2002</v>
      </c>
      <c r="C2" s="114" t="s">
        <v>42</v>
      </c>
      <c r="D2" s="126" t="s">
        <v>370</v>
      </c>
      <c r="E2" s="118">
        <v>22.0</v>
      </c>
      <c r="F2" s="118">
        <v>10.0</v>
      </c>
      <c r="G2" s="119">
        <f>F2/$E2</f>
        <v>0.4545454545</v>
      </c>
      <c r="H2" s="118" t="s">
        <v>570</v>
      </c>
      <c r="I2" s="118">
        <v>10.0</v>
      </c>
      <c r="J2" s="119">
        <f t="shared" ref="J2:J33" si="2">I2/$E2</f>
        <v>0.4545454545</v>
      </c>
      <c r="K2" s="118" t="s">
        <v>570</v>
      </c>
      <c r="L2" s="118">
        <v>2.0</v>
      </c>
      <c r="M2" s="119">
        <f t="shared" ref="M2:M56" si="3">L2/$E2</f>
        <v>0.09090909091</v>
      </c>
      <c r="N2" s="118" t="s">
        <v>571</v>
      </c>
      <c r="O2" s="118">
        <v>0.0</v>
      </c>
      <c r="P2" s="119">
        <f t="shared" ref="P2:P87" si="4">O2/$E2</f>
        <v>0</v>
      </c>
      <c r="Q2" s="113" t="s">
        <v>477</v>
      </c>
      <c r="R2" s="127">
        <f t="shared" ref="R2:R33" si="5">sum(I2:O2)</f>
        <v>12.54545455</v>
      </c>
      <c r="S2" s="127">
        <f t="shared" ref="S2:S3" si="6">sum(L3:O3)</f>
        <v>13.36363636</v>
      </c>
      <c r="T2" s="118">
        <f t="shared" ref="T2:T87" si="7">R2</f>
        <v>12.54545455</v>
      </c>
      <c r="U2" s="128">
        <f t="shared" ref="U2:U87" si="8">(R2+0.5)/(E2+0.5)</f>
        <v>0.5797979798</v>
      </c>
      <c r="V2" s="129">
        <v>0.5863019699779287</v>
      </c>
      <c r="W2" s="130"/>
      <c r="X2" s="130"/>
      <c r="Y2" s="130"/>
      <c r="Z2" s="130"/>
      <c r="AA2" s="130"/>
      <c r="AB2" s="130"/>
      <c r="AC2" s="130"/>
      <c r="AD2" s="130"/>
      <c r="AE2" s="130"/>
      <c r="AF2" s="130"/>
      <c r="AG2" s="130"/>
      <c r="AH2" s="130"/>
      <c r="AI2" s="130"/>
      <c r="AJ2" s="130"/>
      <c r="AK2" s="130"/>
    </row>
    <row r="3">
      <c r="A3" s="15">
        <v>11.0</v>
      </c>
      <c r="B3" s="17" t="str">
        <f t="shared" si="1"/>
        <v>Beynnon et al., 2002</v>
      </c>
      <c r="C3" s="114" t="s">
        <v>84</v>
      </c>
      <c r="D3" s="126" t="s">
        <v>370</v>
      </c>
      <c r="E3" s="118">
        <v>22.0</v>
      </c>
      <c r="F3" s="118">
        <v>3.0</v>
      </c>
      <c r="G3" s="119">
        <f t="shared" ref="G3:G33" si="9">F3/E3</f>
        <v>0.1363636364</v>
      </c>
      <c r="H3" s="118" t="s">
        <v>489</v>
      </c>
      <c r="I3" s="118">
        <v>6.0</v>
      </c>
      <c r="J3" s="119">
        <f t="shared" si="2"/>
        <v>0.2727272727</v>
      </c>
      <c r="K3" s="118" t="s">
        <v>491</v>
      </c>
      <c r="L3" s="118">
        <v>8.0</v>
      </c>
      <c r="M3" s="119">
        <f t="shared" si="3"/>
        <v>0.3636363636</v>
      </c>
      <c r="N3" s="118" t="s">
        <v>572</v>
      </c>
      <c r="O3" s="118">
        <v>5.0</v>
      </c>
      <c r="P3" s="119">
        <f t="shared" si="4"/>
        <v>0.2272727273</v>
      </c>
      <c r="Q3" s="113" t="s">
        <v>573</v>
      </c>
      <c r="R3" s="127">
        <f t="shared" si="5"/>
        <v>19.63636364</v>
      </c>
      <c r="S3" s="127">
        <f t="shared" si="6"/>
        <v>7.098360656</v>
      </c>
      <c r="T3" s="118">
        <f t="shared" si="7"/>
        <v>19.63636364</v>
      </c>
      <c r="U3" s="128">
        <f t="shared" si="8"/>
        <v>0.8949494949</v>
      </c>
      <c r="V3" s="129">
        <v>7.035623639735143</v>
      </c>
      <c r="W3" s="130"/>
      <c r="X3" s="130"/>
      <c r="Y3" s="130"/>
      <c r="Z3" s="130"/>
      <c r="AA3" s="130"/>
      <c r="AB3" s="130"/>
      <c r="AC3" s="130"/>
      <c r="AD3" s="130"/>
      <c r="AE3" s="130"/>
      <c r="AF3" s="130"/>
      <c r="AG3" s="130"/>
      <c r="AH3" s="130"/>
      <c r="AI3" s="130"/>
      <c r="AJ3" s="130"/>
      <c r="AK3" s="130"/>
    </row>
    <row r="4">
      <c r="A4" s="9">
        <v>13.0</v>
      </c>
      <c r="B4" s="17" t="str">
        <f t="shared" ref="B4:B5" si="10">HYPERLINK("https://github.com/d-wkim/phd/blob/main/data/pdf/björnsson_2016.pdf","Björnsson et al., 2016")</f>
        <v>Björnsson et al., 2016</v>
      </c>
      <c r="C4" s="114" t="s">
        <v>42</v>
      </c>
      <c r="D4" s="131" t="s">
        <v>370</v>
      </c>
      <c r="E4" s="118">
        <v>61.0</v>
      </c>
      <c r="F4" s="118">
        <v>30.0</v>
      </c>
      <c r="G4" s="119">
        <f t="shared" si="9"/>
        <v>0.4918032787</v>
      </c>
      <c r="H4" s="118" t="s">
        <v>574</v>
      </c>
      <c r="I4" s="118">
        <v>24.0</v>
      </c>
      <c r="J4" s="119">
        <f t="shared" si="2"/>
        <v>0.393442623</v>
      </c>
      <c r="K4" s="118" t="s">
        <v>575</v>
      </c>
      <c r="L4" s="118">
        <v>6.0</v>
      </c>
      <c r="M4" s="119">
        <f t="shared" si="3"/>
        <v>0.09836065574</v>
      </c>
      <c r="N4" s="118" t="s">
        <v>576</v>
      </c>
      <c r="O4" s="118">
        <v>1.0</v>
      </c>
      <c r="P4" s="119">
        <f t="shared" si="4"/>
        <v>0.01639344262</v>
      </c>
      <c r="Q4" s="113" t="s">
        <v>494</v>
      </c>
      <c r="R4" s="127">
        <f t="shared" si="5"/>
        <v>31.49180328</v>
      </c>
      <c r="S4" s="127">
        <f t="shared" ref="S4:S16" si="11">sum(L4:O4)</f>
        <v>7.098360656</v>
      </c>
      <c r="T4" s="118">
        <f t="shared" si="7"/>
        <v>31.49180328</v>
      </c>
      <c r="U4" s="128">
        <f t="shared" si="8"/>
        <v>0.5201919232</v>
      </c>
      <c r="V4" s="129">
        <v>1.0847568994314798</v>
      </c>
      <c r="W4" s="130"/>
      <c r="X4" s="130"/>
      <c r="Y4" s="130"/>
      <c r="Z4" s="130"/>
      <c r="AA4" s="130"/>
      <c r="AB4" s="130"/>
      <c r="AC4" s="130"/>
      <c r="AD4" s="130"/>
      <c r="AE4" s="130"/>
      <c r="AF4" s="130"/>
      <c r="AG4" s="130"/>
      <c r="AH4" s="130"/>
      <c r="AI4" s="130"/>
      <c r="AJ4" s="130"/>
      <c r="AK4" s="130"/>
    </row>
    <row r="5">
      <c r="A5" s="9">
        <v>13.0</v>
      </c>
      <c r="B5" s="17" t="str">
        <f t="shared" si="10"/>
        <v>Björnsson et al., 2016</v>
      </c>
      <c r="C5" s="114" t="s">
        <v>84</v>
      </c>
      <c r="D5" s="131" t="s">
        <v>370</v>
      </c>
      <c r="E5" s="118">
        <v>86.0</v>
      </c>
      <c r="F5" s="118">
        <v>19.0</v>
      </c>
      <c r="G5" s="119">
        <f t="shared" si="9"/>
        <v>0.2209302326</v>
      </c>
      <c r="H5" s="118" t="s">
        <v>577</v>
      </c>
      <c r="I5" s="118">
        <v>46.0</v>
      </c>
      <c r="J5" s="119">
        <f t="shared" si="2"/>
        <v>0.5348837209</v>
      </c>
      <c r="K5" s="118" t="s">
        <v>578</v>
      </c>
      <c r="L5" s="118">
        <v>12.0</v>
      </c>
      <c r="M5" s="119">
        <f t="shared" si="3"/>
        <v>0.1395348837</v>
      </c>
      <c r="N5" s="118" t="s">
        <v>502</v>
      </c>
      <c r="O5" s="118">
        <v>9.0</v>
      </c>
      <c r="P5" s="119">
        <f t="shared" si="4"/>
        <v>0.1046511628</v>
      </c>
      <c r="Q5" s="113" t="s">
        <v>579</v>
      </c>
      <c r="R5" s="127">
        <f t="shared" si="5"/>
        <v>67.6744186</v>
      </c>
      <c r="S5" s="127">
        <f t="shared" si="11"/>
        <v>21.13953488</v>
      </c>
      <c r="T5" s="118">
        <f t="shared" si="7"/>
        <v>67.6744186</v>
      </c>
      <c r="U5" s="128">
        <f t="shared" si="8"/>
        <v>0.7881435677</v>
      </c>
      <c r="V5" s="129">
        <v>2.8804421084494227</v>
      </c>
      <c r="W5" s="130"/>
      <c r="X5" s="130"/>
      <c r="Y5" s="130"/>
      <c r="Z5" s="130"/>
      <c r="AA5" s="130"/>
      <c r="AB5" s="130"/>
      <c r="AC5" s="130"/>
      <c r="AD5" s="130"/>
      <c r="AE5" s="130"/>
      <c r="AF5" s="130"/>
      <c r="AG5" s="130"/>
      <c r="AH5" s="130"/>
      <c r="AI5" s="130"/>
      <c r="AJ5" s="130"/>
      <c r="AK5" s="130"/>
    </row>
    <row r="6">
      <c r="A6" s="15">
        <v>23.0</v>
      </c>
      <c r="B6" s="17" t="str">
        <f t="shared" ref="B6:B7" si="12">HYPERLINK("https://github.com/d-wkim/phd/blob/main/data/pdf/ejerhed_2003.pdf","Ejerhed et al., 2003")</f>
        <v>Ejerhed et al., 2003</v>
      </c>
      <c r="C6" s="114" t="s">
        <v>42</v>
      </c>
      <c r="D6" s="126" t="s">
        <v>370</v>
      </c>
      <c r="E6" s="118">
        <v>32.0</v>
      </c>
      <c r="F6" s="118">
        <v>18.0</v>
      </c>
      <c r="G6" s="119">
        <f t="shared" si="9"/>
        <v>0.5625</v>
      </c>
      <c r="H6" s="118" t="s">
        <v>580</v>
      </c>
      <c r="I6" s="118">
        <v>12.0</v>
      </c>
      <c r="J6" s="119">
        <f t="shared" si="2"/>
        <v>0.375</v>
      </c>
      <c r="K6" s="118" t="s">
        <v>581</v>
      </c>
      <c r="L6" s="118">
        <v>2.0</v>
      </c>
      <c r="M6" s="119">
        <f t="shared" si="3"/>
        <v>0.0625</v>
      </c>
      <c r="N6" s="118" t="s">
        <v>514</v>
      </c>
      <c r="O6" s="118">
        <v>0.0</v>
      </c>
      <c r="P6" s="119">
        <f t="shared" si="4"/>
        <v>0</v>
      </c>
      <c r="Q6" s="113" t="s">
        <v>477</v>
      </c>
      <c r="R6" s="127">
        <f t="shared" si="5"/>
        <v>14.4375</v>
      </c>
      <c r="S6" s="127">
        <f t="shared" si="11"/>
        <v>2.0625</v>
      </c>
      <c r="T6" s="118">
        <f t="shared" si="7"/>
        <v>14.4375</v>
      </c>
      <c r="U6" s="128">
        <f t="shared" si="8"/>
        <v>0.4596153846</v>
      </c>
      <c r="V6" s="129">
        <v>5.15772005100776</v>
      </c>
      <c r="W6" s="130"/>
      <c r="X6" s="130"/>
      <c r="Y6" s="130"/>
      <c r="Z6" s="130"/>
      <c r="AA6" s="130"/>
      <c r="AB6" s="130"/>
      <c r="AC6" s="130"/>
      <c r="AD6" s="130"/>
      <c r="AE6" s="130"/>
      <c r="AF6" s="130"/>
      <c r="AG6" s="130"/>
      <c r="AH6" s="130"/>
      <c r="AI6" s="130"/>
      <c r="AJ6" s="130"/>
      <c r="AK6" s="130"/>
    </row>
    <row r="7">
      <c r="A7" s="15">
        <v>23.0</v>
      </c>
      <c r="B7" s="17" t="str">
        <f t="shared" si="12"/>
        <v>Ejerhed et al., 2003</v>
      </c>
      <c r="C7" s="114" t="s">
        <v>84</v>
      </c>
      <c r="D7" s="126" t="s">
        <v>370</v>
      </c>
      <c r="E7" s="118">
        <v>33.0</v>
      </c>
      <c r="F7" s="118">
        <v>16.0</v>
      </c>
      <c r="G7" s="119">
        <f t="shared" si="9"/>
        <v>0.4848484848</v>
      </c>
      <c r="H7" s="118" t="s">
        <v>582</v>
      </c>
      <c r="I7" s="118">
        <v>17.0</v>
      </c>
      <c r="J7" s="119">
        <f t="shared" si="2"/>
        <v>0.5151515152</v>
      </c>
      <c r="K7" s="118" t="s">
        <v>583</v>
      </c>
      <c r="L7" s="118">
        <v>0.0</v>
      </c>
      <c r="M7" s="119">
        <f t="shared" si="3"/>
        <v>0</v>
      </c>
      <c r="N7" s="118" t="s">
        <v>477</v>
      </c>
      <c r="O7" s="118">
        <v>0.0</v>
      </c>
      <c r="P7" s="119">
        <f t="shared" si="4"/>
        <v>0</v>
      </c>
      <c r="Q7" s="113" t="s">
        <v>477</v>
      </c>
      <c r="R7" s="127">
        <f t="shared" si="5"/>
        <v>17.51515152</v>
      </c>
      <c r="S7" s="127">
        <f t="shared" si="11"/>
        <v>0</v>
      </c>
      <c r="T7" s="118">
        <f t="shared" si="7"/>
        <v>17.51515152</v>
      </c>
      <c r="U7" s="128">
        <f t="shared" si="8"/>
        <v>0.5377657169</v>
      </c>
      <c r="V7" s="129">
        <v>4.227440123762843</v>
      </c>
      <c r="W7" s="130"/>
      <c r="X7" s="130"/>
      <c r="Y7" s="130"/>
      <c r="Z7" s="130"/>
      <c r="AA7" s="130"/>
      <c r="AB7" s="130"/>
      <c r="AC7" s="130"/>
      <c r="AD7" s="130"/>
      <c r="AE7" s="130"/>
      <c r="AF7" s="130"/>
      <c r="AG7" s="130"/>
      <c r="AH7" s="130"/>
      <c r="AI7" s="130"/>
      <c r="AJ7" s="130"/>
      <c r="AK7" s="130"/>
    </row>
    <row r="8">
      <c r="A8" s="15">
        <v>26.0</v>
      </c>
      <c r="B8" s="17" t="str">
        <f t="shared" ref="B8:B9" si="13">HYPERLINK("https://github.com/d-wkim/phd/blob/main/data/pdf/feller_webster_2003.pdf","Feller &amp; Webster, 2003")</f>
        <v>Feller &amp; Webster, 2003</v>
      </c>
      <c r="C8" s="114" t="s">
        <v>42</v>
      </c>
      <c r="D8" s="126" t="s">
        <v>370</v>
      </c>
      <c r="E8" s="118">
        <v>42.0</v>
      </c>
      <c r="F8" s="118">
        <v>36.0</v>
      </c>
      <c r="G8" s="119">
        <f t="shared" si="9"/>
        <v>0.8571428571</v>
      </c>
      <c r="H8" s="118" t="s">
        <v>504</v>
      </c>
      <c r="I8" s="118">
        <v>6.0</v>
      </c>
      <c r="J8" s="119">
        <f t="shared" si="2"/>
        <v>0.1428571429</v>
      </c>
      <c r="K8" s="118" t="s">
        <v>505</v>
      </c>
      <c r="L8" s="118">
        <v>0.0</v>
      </c>
      <c r="M8" s="119">
        <f t="shared" si="3"/>
        <v>0</v>
      </c>
      <c r="N8" s="118" t="s">
        <v>477</v>
      </c>
      <c r="O8" s="118">
        <v>0.0</v>
      </c>
      <c r="P8" s="119">
        <f t="shared" si="4"/>
        <v>0</v>
      </c>
      <c r="Q8" s="113" t="s">
        <v>477</v>
      </c>
      <c r="R8" s="127">
        <f t="shared" si="5"/>
        <v>6.142857143</v>
      </c>
      <c r="S8" s="127">
        <f t="shared" si="11"/>
        <v>0</v>
      </c>
      <c r="T8" s="118">
        <f t="shared" si="7"/>
        <v>6.142857143</v>
      </c>
      <c r="U8" s="128">
        <f t="shared" si="8"/>
        <v>0.156302521</v>
      </c>
      <c r="V8" s="129">
        <v>0.2997780243869211</v>
      </c>
      <c r="W8" s="130"/>
      <c r="X8" s="130"/>
      <c r="Y8" s="130"/>
      <c r="Z8" s="130"/>
      <c r="AA8" s="130"/>
      <c r="AB8" s="130"/>
      <c r="AC8" s="130"/>
      <c r="AD8" s="130"/>
      <c r="AE8" s="130"/>
      <c r="AF8" s="130"/>
      <c r="AG8" s="130"/>
      <c r="AH8" s="130"/>
      <c r="AI8" s="130"/>
      <c r="AJ8" s="130"/>
      <c r="AK8" s="130"/>
    </row>
    <row r="9">
      <c r="A9" s="15">
        <v>26.0</v>
      </c>
      <c r="B9" s="17" t="str">
        <f t="shared" si="13"/>
        <v>Feller &amp; Webster, 2003</v>
      </c>
      <c r="C9" s="114" t="s">
        <v>84</v>
      </c>
      <c r="D9" s="126" t="s">
        <v>370</v>
      </c>
      <c r="E9" s="118">
        <v>47.0</v>
      </c>
      <c r="F9" s="118">
        <v>28.0</v>
      </c>
      <c r="G9" s="119">
        <f t="shared" si="9"/>
        <v>0.5957446809</v>
      </c>
      <c r="H9" s="118" t="s">
        <v>506</v>
      </c>
      <c r="I9" s="118">
        <v>19.0</v>
      </c>
      <c r="J9" s="119">
        <f t="shared" si="2"/>
        <v>0.4042553191</v>
      </c>
      <c r="K9" s="118" t="s">
        <v>507</v>
      </c>
      <c r="L9" s="118">
        <v>0.0</v>
      </c>
      <c r="M9" s="119">
        <f t="shared" si="3"/>
        <v>0</v>
      </c>
      <c r="N9" s="118" t="s">
        <v>477</v>
      </c>
      <c r="O9" s="118">
        <v>0.0</v>
      </c>
      <c r="P9" s="119">
        <f t="shared" si="4"/>
        <v>0</v>
      </c>
      <c r="Q9" s="113" t="s">
        <v>477</v>
      </c>
      <c r="R9" s="127">
        <f t="shared" si="5"/>
        <v>19.40425532</v>
      </c>
      <c r="S9" s="127">
        <f t="shared" si="11"/>
        <v>0</v>
      </c>
      <c r="T9" s="118">
        <f t="shared" si="7"/>
        <v>19.40425532</v>
      </c>
      <c r="U9" s="128">
        <f t="shared" si="8"/>
        <v>0.4190369541</v>
      </c>
      <c r="V9" s="129">
        <v>0.1091089451179962</v>
      </c>
      <c r="W9" s="130"/>
      <c r="X9" s="130"/>
      <c r="Y9" s="130"/>
      <c r="Z9" s="130"/>
      <c r="AA9" s="130"/>
      <c r="AB9" s="130"/>
      <c r="AC9" s="130"/>
      <c r="AD9" s="130"/>
      <c r="AE9" s="130"/>
      <c r="AF9" s="130"/>
      <c r="AG9" s="130"/>
      <c r="AH9" s="130"/>
      <c r="AI9" s="130"/>
      <c r="AJ9" s="130"/>
      <c r="AK9" s="130"/>
    </row>
    <row r="10">
      <c r="A10" s="15">
        <v>30.0</v>
      </c>
      <c r="B10" s="17" t="str">
        <f t="shared" ref="B10:B11" si="14">HYPERLINK("https://github.com/d-wkim/phd/blob/main/data/pdf/gifstad_2013.pdf","Gifstad et al., 2013")</f>
        <v>Gifstad et al., 2013</v>
      </c>
      <c r="C10" s="114" t="s">
        <v>42</v>
      </c>
      <c r="D10" s="126" t="s">
        <v>370</v>
      </c>
      <c r="E10" s="118">
        <v>45.0</v>
      </c>
      <c r="F10" s="118">
        <f>45-16</f>
        <v>29</v>
      </c>
      <c r="G10" s="119">
        <f t="shared" si="9"/>
        <v>0.6444444444</v>
      </c>
      <c r="H10" s="118" t="s">
        <v>584</v>
      </c>
      <c r="I10" s="118">
        <v>15.0</v>
      </c>
      <c r="J10" s="119">
        <f t="shared" si="2"/>
        <v>0.3333333333</v>
      </c>
      <c r="K10" s="118" t="s">
        <v>585</v>
      </c>
      <c r="L10" s="118">
        <v>1.0</v>
      </c>
      <c r="M10" s="119">
        <f t="shared" si="3"/>
        <v>0.02222222222</v>
      </c>
      <c r="N10" s="118" t="s">
        <v>494</v>
      </c>
      <c r="O10" s="118">
        <v>0.0</v>
      </c>
      <c r="P10" s="119">
        <f t="shared" si="4"/>
        <v>0</v>
      </c>
      <c r="Q10" s="113" t="s">
        <v>477</v>
      </c>
      <c r="R10" s="127">
        <f t="shared" si="5"/>
        <v>16.35555556</v>
      </c>
      <c r="S10" s="127">
        <f t="shared" si="11"/>
        <v>1.022222222</v>
      </c>
      <c r="T10" s="118">
        <f t="shared" si="7"/>
        <v>16.35555556</v>
      </c>
      <c r="U10" s="128">
        <f t="shared" si="8"/>
        <v>0.3704517705</v>
      </c>
      <c r="V10" s="129">
        <v>0.2401171589037318</v>
      </c>
      <c r="W10" s="130"/>
      <c r="X10" s="130"/>
      <c r="Y10" s="130"/>
      <c r="Z10" s="130"/>
      <c r="AA10" s="130"/>
      <c r="AB10" s="130"/>
      <c r="AC10" s="130"/>
      <c r="AD10" s="130"/>
      <c r="AE10" s="130"/>
      <c r="AF10" s="130"/>
      <c r="AG10" s="130"/>
      <c r="AH10" s="130"/>
      <c r="AI10" s="130"/>
      <c r="AJ10" s="130"/>
      <c r="AK10" s="130"/>
    </row>
    <row r="11">
      <c r="A11" s="15">
        <v>30.0</v>
      </c>
      <c r="B11" s="17" t="str">
        <f t="shared" si="14"/>
        <v>Gifstad et al., 2013</v>
      </c>
      <c r="C11" s="114" t="s">
        <v>84</v>
      </c>
      <c r="D11" s="126" t="s">
        <v>370</v>
      </c>
      <c r="E11" s="118">
        <v>32.0</v>
      </c>
      <c r="F11" s="118">
        <f>32-13</f>
        <v>19</v>
      </c>
      <c r="G11" s="119">
        <f t="shared" si="9"/>
        <v>0.59375</v>
      </c>
      <c r="H11" s="118" t="s">
        <v>586</v>
      </c>
      <c r="I11" s="118">
        <v>12.0</v>
      </c>
      <c r="J11" s="119">
        <f t="shared" si="2"/>
        <v>0.375</v>
      </c>
      <c r="K11" s="118" t="s">
        <v>581</v>
      </c>
      <c r="L11" s="118">
        <v>1.0</v>
      </c>
      <c r="M11" s="119">
        <f t="shared" si="3"/>
        <v>0.03125</v>
      </c>
      <c r="N11" s="118" t="s">
        <v>517</v>
      </c>
      <c r="O11" s="118">
        <v>0.0</v>
      </c>
      <c r="P11" s="119">
        <f t="shared" si="4"/>
        <v>0</v>
      </c>
      <c r="Q11" s="113" t="s">
        <v>477</v>
      </c>
      <c r="R11" s="127">
        <f t="shared" si="5"/>
        <v>13.40625</v>
      </c>
      <c r="S11" s="127">
        <f t="shared" si="11"/>
        <v>1.03125</v>
      </c>
      <c r="T11" s="118">
        <f t="shared" si="7"/>
        <v>13.40625</v>
      </c>
      <c r="U11" s="128">
        <f t="shared" si="8"/>
        <v>0.4278846154</v>
      </c>
      <c r="V11" s="129">
        <v>0.2571428571428571</v>
      </c>
      <c r="W11" s="130"/>
      <c r="X11" s="130"/>
      <c r="Y11" s="130"/>
      <c r="Z11" s="130"/>
      <c r="AA11" s="130"/>
      <c r="AB11" s="130"/>
      <c r="AC11" s="130"/>
      <c r="AD11" s="130"/>
      <c r="AE11" s="130"/>
      <c r="AF11" s="130"/>
      <c r="AG11" s="130"/>
      <c r="AH11" s="130"/>
      <c r="AI11" s="130"/>
      <c r="AJ11" s="130"/>
      <c r="AK11" s="130"/>
    </row>
    <row r="12">
      <c r="A12" s="15">
        <v>32.0</v>
      </c>
      <c r="B12" s="17" t="str">
        <f t="shared" ref="B12:B13" si="15">HYPERLINK("https://github.com/d-wkim/phd/blob/main/data/pdf/guglielmetti_2021.pdf","Guglielmetti et al., 2021")</f>
        <v>Guglielmetti et al., 2021</v>
      </c>
      <c r="C12" s="114" t="s">
        <v>42</v>
      </c>
      <c r="D12" s="126" t="s">
        <v>370</v>
      </c>
      <c r="E12" s="118">
        <v>31.0</v>
      </c>
      <c r="F12" s="118">
        <v>22.0</v>
      </c>
      <c r="G12" s="119">
        <f t="shared" si="9"/>
        <v>0.7096774194</v>
      </c>
      <c r="H12" s="118" t="s">
        <v>587</v>
      </c>
      <c r="I12" s="118">
        <v>7.0</v>
      </c>
      <c r="J12" s="119">
        <f t="shared" si="2"/>
        <v>0.2258064516</v>
      </c>
      <c r="K12" s="118" t="s">
        <v>588</v>
      </c>
      <c r="L12" s="118">
        <v>1.0</v>
      </c>
      <c r="M12" s="119">
        <f t="shared" si="3"/>
        <v>0.03225806452</v>
      </c>
      <c r="N12" s="118" t="s">
        <v>517</v>
      </c>
      <c r="O12" s="118">
        <v>1.0</v>
      </c>
      <c r="P12" s="119">
        <f t="shared" si="4"/>
        <v>0.03225806452</v>
      </c>
      <c r="Q12" s="113" t="s">
        <v>517</v>
      </c>
      <c r="R12" s="127">
        <f t="shared" si="5"/>
        <v>9.258064516</v>
      </c>
      <c r="S12" s="127">
        <f t="shared" si="11"/>
        <v>2.032258065</v>
      </c>
      <c r="T12" s="118">
        <f t="shared" si="7"/>
        <v>9.258064516</v>
      </c>
      <c r="U12" s="128">
        <f t="shared" si="8"/>
        <v>0.3097798259</v>
      </c>
      <c r="V12" s="129">
        <v>0.47997968645086386</v>
      </c>
      <c r="W12" s="130"/>
      <c r="X12" s="130"/>
      <c r="Y12" s="130"/>
      <c r="Z12" s="130"/>
      <c r="AA12" s="130"/>
      <c r="AB12" s="130"/>
      <c r="AC12" s="130"/>
      <c r="AD12" s="130"/>
      <c r="AE12" s="130"/>
      <c r="AF12" s="130"/>
      <c r="AG12" s="130"/>
      <c r="AH12" s="130"/>
      <c r="AI12" s="130"/>
      <c r="AJ12" s="130"/>
      <c r="AK12" s="130"/>
    </row>
    <row r="13">
      <c r="A13" s="15">
        <v>32.0</v>
      </c>
      <c r="B13" s="17" t="str">
        <f t="shared" si="15"/>
        <v>Guglielmetti et al., 2021</v>
      </c>
      <c r="C13" s="114" t="s">
        <v>84</v>
      </c>
      <c r="D13" s="126" t="s">
        <v>370</v>
      </c>
      <c r="E13" s="118">
        <v>31.0</v>
      </c>
      <c r="F13" s="118">
        <v>22.0</v>
      </c>
      <c r="G13" s="119">
        <f t="shared" si="9"/>
        <v>0.7096774194</v>
      </c>
      <c r="H13" s="118" t="s">
        <v>587</v>
      </c>
      <c r="I13" s="118">
        <v>6.0</v>
      </c>
      <c r="J13" s="119">
        <f t="shared" si="2"/>
        <v>0.1935483871</v>
      </c>
      <c r="K13" s="118" t="s">
        <v>589</v>
      </c>
      <c r="L13" s="118">
        <v>2.0</v>
      </c>
      <c r="M13" s="119">
        <f t="shared" si="3"/>
        <v>0.06451612903</v>
      </c>
      <c r="N13" s="118" t="s">
        <v>514</v>
      </c>
      <c r="O13" s="118">
        <v>1.0</v>
      </c>
      <c r="P13" s="119">
        <f t="shared" si="4"/>
        <v>0.03225806452</v>
      </c>
      <c r="Q13" s="113" t="s">
        <v>517</v>
      </c>
      <c r="R13" s="127">
        <f t="shared" si="5"/>
        <v>9.258064516</v>
      </c>
      <c r="S13" s="127">
        <f t="shared" si="11"/>
        <v>3.064516129</v>
      </c>
      <c r="T13" s="118">
        <f t="shared" si="7"/>
        <v>9.258064516</v>
      </c>
      <c r="U13" s="128">
        <f t="shared" si="8"/>
        <v>0.3097798259</v>
      </c>
      <c r="V13" s="129">
        <v>0.6959705453537527</v>
      </c>
      <c r="W13" s="130"/>
      <c r="X13" s="130"/>
      <c r="Y13" s="130"/>
      <c r="Z13" s="130"/>
      <c r="AA13" s="130"/>
      <c r="AB13" s="130"/>
      <c r="AC13" s="130"/>
      <c r="AD13" s="130"/>
      <c r="AE13" s="130"/>
      <c r="AF13" s="130"/>
      <c r="AG13" s="130"/>
      <c r="AH13" s="130"/>
      <c r="AI13" s="130"/>
      <c r="AJ13" s="130"/>
      <c r="AK13" s="130"/>
    </row>
    <row r="14">
      <c r="A14" s="15">
        <v>33.0</v>
      </c>
      <c r="B14" s="17" t="str">
        <f t="shared" ref="B14:B15" si="16">HYPERLINK("https://github.com/d-wkim/phd/blob/main/data/pdf/harilainen_2006.pdf","Harilainen et al., 2006")</f>
        <v>Harilainen et al., 2006</v>
      </c>
      <c r="C14" s="114" t="s">
        <v>42</v>
      </c>
      <c r="D14" s="131" t="s">
        <v>370</v>
      </c>
      <c r="E14" s="118">
        <v>37.0</v>
      </c>
      <c r="F14" s="118">
        <v>29.0</v>
      </c>
      <c r="G14" s="119">
        <f t="shared" si="9"/>
        <v>0.7837837838</v>
      </c>
      <c r="H14" s="118" t="s">
        <v>590</v>
      </c>
      <c r="I14" s="118">
        <v>8.0</v>
      </c>
      <c r="J14" s="119">
        <f t="shared" si="2"/>
        <v>0.2162162162</v>
      </c>
      <c r="K14" s="118" t="s">
        <v>591</v>
      </c>
      <c r="L14" s="118">
        <v>0.0</v>
      </c>
      <c r="M14" s="119">
        <f t="shared" si="3"/>
        <v>0</v>
      </c>
      <c r="N14" s="118" t="s">
        <v>477</v>
      </c>
      <c r="O14" s="118">
        <v>0.0</v>
      </c>
      <c r="P14" s="119">
        <f t="shared" si="4"/>
        <v>0</v>
      </c>
      <c r="Q14" s="113" t="s">
        <v>477</v>
      </c>
      <c r="R14" s="127">
        <f t="shared" si="5"/>
        <v>8.216216216</v>
      </c>
      <c r="S14" s="127">
        <f t="shared" si="11"/>
        <v>0</v>
      </c>
      <c r="T14" s="118">
        <f t="shared" si="7"/>
        <v>8.216216216</v>
      </c>
      <c r="U14" s="128">
        <f t="shared" si="8"/>
        <v>0.2324324324</v>
      </c>
      <c r="V14" s="129">
        <v>0.08219949365267865</v>
      </c>
      <c r="W14" s="130"/>
      <c r="X14" s="130"/>
      <c r="Y14" s="130"/>
      <c r="Z14" s="130"/>
      <c r="AA14" s="130"/>
      <c r="AB14" s="130"/>
      <c r="AC14" s="130"/>
      <c r="AD14" s="130"/>
      <c r="AE14" s="130"/>
      <c r="AF14" s="130"/>
      <c r="AG14" s="130"/>
      <c r="AH14" s="130"/>
      <c r="AI14" s="130"/>
      <c r="AJ14" s="130"/>
      <c r="AK14" s="130"/>
    </row>
    <row r="15">
      <c r="A15" s="15">
        <v>33.0</v>
      </c>
      <c r="B15" s="17" t="str">
        <f t="shared" si="16"/>
        <v>Harilainen et al., 2006</v>
      </c>
      <c r="C15" s="114" t="s">
        <v>84</v>
      </c>
      <c r="D15" s="131" t="s">
        <v>370</v>
      </c>
      <c r="E15" s="118">
        <v>37.0</v>
      </c>
      <c r="F15" s="118">
        <v>31.0</v>
      </c>
      <c r="G15" s="119">
        <f t="shared" si="9"/>
        <v>0.8378378378</v>
      </c>
      <c r="H15" s="118" t="s">
        <v>592</v>
      </c>
      <c r="I15" s="118">
        <v>5.0</v>
      </c>
      <c r="J15" s="119">
        <f t="shared" si="2"/>
        <v>0.1351351351</v>
      </c>
      <c r="K15" s="118" t="s">
        <v>593</v>
      </c>
      <c r="L15" s="118">
        <v>1.0</v>
      </c>
      <c r="M15" s="119">
        <f t="shared" si="3"/>
        <v>0.02702702703</v>
      </c>
      <c r="N15" s="118" t="s">
        <v>517</v>
      </c>
      <c r="O15" s="118">
        <v>0.0</v>
      </c>
      <c r="P15" s="119">
        <f t="shared" si="4"/>
        <v>0</v>
      </c>
      <c r="Q15" s="113" t="s">
        <v>477</v>
      </c>
      <c r="R15" s="127">
        <f t="shared" si="5"/>
        <v>6.162162162</v>
      </c>
      <c r="S15" s="127">
        <f t="shared" si="11"/>
        <v>1.027027027</v>
      </c>
      <c r="T15" s="118">
        <f t="shared" si="7"/>
        <v>6.162162162</v>
      </c>
      <c r="U15" s="128">
        <f t="shared" si="8"/>
        <v>0.1776576577</v>
      </c>
      <c r="V15" s="129">
        <v>0.25344843876242584</v>
      </c>
      <c r="W15" s="130"/>
      <c r="X15" s="130"/>
      <c r="Y15" s="130"/>
      <c r="Z15" s="130"/>
      <c r="AA15" s="130"/>
      <c r="AB15" s="130"/>
      <c r="AC15" s="130"/>
      <c r="AD15" s="130"/>
      <c r="AE15" s="130"/>
      <c r="AF15" s="130"/>
      <c r="AG15" s="130"/>
      <c r="AH15" s="130"/>
      <c r="AI15" s="130"/>
      <c r="AJ15" s="130"/>
      <c r="AK15" s="130"/>
    </row>
    <row r="16">
      <c r="A16" s="15">
        <v>37.0</v>
      </c>
      <c r="B16" s="17" t="str">
        <f t="shared" ref="B16:B17" si="17">HYPERLINK("https://github.com/d-wkim/phd/blob/main/data/pdf/ibrahim_2005.pdf","Ibrahim et al., 2005")</f>
        <v>Ibrahim et al., 2005</v>
      </c>
      <c r="C16" s="114" t="s">
        <v>42</v>
      </c>
      <c r="D16" s="126" t="s">
        <v>370</v>
      </c>
      <c r="E16" s="118">
        <v>40.0</v>
      </c>
      <c r="F16" s="118">
        <v>35.0</v>
      </c>
      <c r="G16" s="119">
        <f t="shared" si="9"/>
        <v>0.875</v>
      </c>
      <c r="H16" s="118" t="s">
        <v>529</v>
      </c>
      <c r="I16" s="118">
        <v>5.0</v>
      </c>
      <c r="J16" s="119">
        <f t="shared" si="2"/>
        <v>0.125</v>
      </c>
      <c r="K16" s="118" t="s">
        <v>530</v>
      </c>
      <c r="L16" s="118">
        <v>0.0</v>
      </c>
      <c r="M16" s="119">
        <f t="shared" si="3"/>
        <v>0</v>
      </c>
      <c r="N16" s="118" t="s">
        <v>477</v>
      </c>
      <c r="O16" s="118">
        <v>0.0</v>
      </c>
      <c r="P16" s="119">
        <f t="shared" si="4"/>
        <v>0</v>
      </c>
      <c r="Q16" s="113" t="s">
        <v>477</v>
      </c>
      <c r="R16" s="127">
        <f t="shared" si="5"/>
        <v>5.125</v>
      </c>
      <c r="S16" s="127">
        <f t="shared" si="11"/>
        <v>0</v>
      </c>
      <c r="T16" s="118">
        <f t="shared" si="7"/>
        <v>5.125</v>
      </c>
      <c r="U16" s="128">
        <f t="shared" si="8"/>
        <v>0.1388888889</v>
      </c>
      <c r="V16" s="129">
        <v>0.9938586931957762</v>
      </c>
      <c r="W16" s="130"/>
      <c r="X16" s="130"/>
      <c r="Y16" s="130"/>
      <c r="Z16" s="130"/>
      <c r="AA16" s="130"/>
      <c r="AB16" s="130"/>
      <c r="AC16" s="130"/>
      <c r="AD16" s="130"/>
      <c r="AE16" s="130"/>
      <c r="AF16" s="130"/>
      <c r="AG16" s="130"/>
      <c r="AH16" s="130"/>
      <c r="AI16" s="130"/>
      <c r="AJ16" s="130"/>
      <c r="AK16" s="130"/>
    </row>
    <row r="17">
      <c r="A17" s="15">
        <v>37.0</v>
      </c>
      <c r="B17" s="17" t="str">
        <f t="shared" si="17"/>
        <v>Ibrahim et al., 2005</v>
      </c>
      <c r="C17" s="114" t="s">
        <v>84</v>
      </c>
      <c r="D17" s="126" t="s">
        <v>370</v>
      </c>
      <c r="E17" s="118">
        <v>46.0</v>
      </c>
      <c r="F17" s="118">
        <v>39.0</v>
      </c>
      <c r="G17" s="119">
        <f t="shared" si="9"/>
        <v>0.847826087</v>
      </c>
      <c r="H17" s="118" t="s">
        <v>594</v>
      </c>
      <c r="I17" s="118">
        <v>7.0</v>
      </c>
      <c r="J17" s="119">
        <f t="shared" si="2"/>
        <v>0.152173913</v>
      </c>
      <c r="K17" s="118" t="s">
        <v>595</v>
      </c>
      <c r="L17" s="118">
        <v>0.0</v>
      </c>
      <c r="M17" s="119">
        <f t="shared" si="3"/>
        <v>0</v>
      </c>
      <c r="N17" s="118" t="s">
        <v>477</v>
      </c>
      <c r="O17" s="118">
        <v>0.0</v>
      </c>
      <c r="P17" s="119">
        <f t="shared" si="4"/>
        <v>0</v>
      </c>
      <c r="Q17" s="113" t="s">
        <v>477</v>
      </c>
      <c r="R17" s="127">
        <f t="shared" si="5"/>
        <v>7.152173913</v>
      </c>
      <c r="S17" s="127">
        <f>sum(L18:O18)</f>
        <v>0</v>
      </c>
      <c r="T17" s="118">
        <f t="shared" si="7"/>
        <v>7.152173913</v>
      </c>
      <c r="U17" s="128">
        <f t="shared" si="8"/>
        <v>0.1645628799</v>
      </c>
      <c r="V17" s="129">
        <v>1.3042942275240899</v>
      </c>
      <c r="W17" s="130"/>
      <c r="X17" s="130"/>
      <c r="Y17" s="130"/>
      <c r="Z17" s="130"/>
      <c r="AA17" s="130"/>
      <c r="AB17" s="130"/>
      <c r="AC17" s="130"/>
      <c r="AD17" s="130"/>
      <c r="AE17" s="130"/>
      <c r="AF17" s="130"/>
      <c r="AG17" s="130"/>
      <c r="AH17" s="130"/>
      <c r="AI17" s="130"/>
      <c r="AJ17" s="130"/>
      <c r="AK17" s="130"/>
    </row>
    <row r="18">
      <c r="A18" s="15">
        <v>41.0</v>
      </c>
      <c r="B18" s="17" t="str">
        <f t="shared" ref="B18:B19" si="18">HYPERLINK("https://github.com/d-wkim/phd/blob/main/data/pdf/jansson_2003.pdf","Jansson et al., 2003")</f>
        <v>Jansson et al., 2003</v>
      </c>
      <c r="C18" s="114" t="s">
        <v>42</v>
      </c>
      <c r="D18" s="126" t="s">
        <v>370</v>
      </c>
      <c r="E18" s="118">
        <v>43.0</v>
      </c>
      <c r="F18" s="118">
        <v>35.0</v>
      </c>
      <c r="G18" s="119">
        <f t="shared" si="9"/>
        <v>0.8139534884</v>
      </c>
      <c r="H18" s="118" t="s">
        <v>596</v>
      </c>
      <c r="I18" s="118">
        <v>8.0</v>
      </c>
      <c r="J18" s="119">
        <f t="shared" si="2"/>
        <v>0.1860465116</v>
      </c>
      <c r="K18" s="118" t="s">
        <v>597</v>
      </c>
      <c r="L18" s="118">
        <v>0.0</v>
      </c>
      <c r="M18" s="119">
        <f t="shared" si="3"/>
        <v>0</v>
      </c>
      <c r="N18" s="118" t="s">
        <v>477</v>
      </c>
      <c r="O18" s="118">
        <v>0.0</v>
      </c>
      <c r="P18" s="119">
        <f t="shared" si="4"/>
        <v>0</v>
      </c>
      <c r="Q18" s="113" t="s">
        <v>477</v>
      </c>
      <c r="R18" s="127">
        <f t="shared" si="5"/>
        <v>8.186046512</v>
      </c>
      <c r="S18" s="127">
        <f t="shared" ref="S18:S33" si="19">sum(L18:O18)</f>
        <v>0</v>
      </c>
      <c r="T18" s="118">
        <f t="shared" si="7"/>
        <v>8.186046512</v>
      </c>
      <c r="U18" s="128">
        <f t="shared" si="8"/>
        <v>0.1996792302</v>
      </c>
      <c r="V18" s="129">
        <v>1.5925207844733429</v>
      </c>
      <c r="W18" s="130"/>
      <c r="X18" s="130"/>
      <c r="Y18" s="130"/>
      <c r="Z18" s="130"/>
      <c r="AA18" s="130"/>
      <c r="AB18" s="130"/>
      <c r="AC18" s="130"/>
      <c r="AD18" s="130"/>
      <c r="AE18" s="130"/>
      <c r="AF18" s="130"/>
      <c r="AG18" s="130"/>
      <c r="AH18" s="130"/>
      <c r="AI18" s="130"/>
      <c r="AJ18" s="130"/>
      <c r="AK18" s="130"/>
    </row>
    <row r="19">
      <c r="A19" s="15">
        <v>41.0</v>
      </c>
      <c r="B19" s="17" t="str">
        <f t="shared" si="18"/>
        <v>Jansson et al., 2003</v>
      </c>
      <c r="C19" s="114" t="s">
        <v>84</v>
      </c>
      <c r="D19" s="126" t="s">
        <v>370</v>
      </c>
      <c r="E19" s="118">
        <v>46.0</v>
      </c>
      <c r="F19" s="118">
        <v>38.0</v>
      </c>
      <c r="G19" s="119">
        <f t="shared" si="9"/>
        <v>0.8260869565</v>
      </c>
      <c r="H19" s="118" t="s">
        <v>598</v>
      </c>
      <c r="I19" s="118">
        <v>8.0</v>
      </c>
      <c r="J19" s="119">
        <f t="shared" si="2"/>
        <v>0.1739130435</v>
      </c>
      <c r="K19" s="118" t="s">
        <v>552</v>
      </c>
      <c r="L19" s="118">
        <v>0.0</v>
      </c>
      <c r="M19" s="119">
        <f t="shared" si="3"/>
        <v>0</v>
      </c>
      <c r="N19" s="118" t="s">
        <v>477</v>
      </c>
      <c r="O19" s="118">
        <v>0.0</v>
      </c>
      <c r="P19" s="119">
        <f t="shared" si="4"/>
        <v>0</v>
      </c>
      <c r="Q19" s="113" t="s">
        <v>477</v>
      </c>
      <c r="R19" s="127">
        <f t="shared" si="5"/>
        <v>8.173913043</v>
      </c>
      <c r="S19" s="127">
        <f t="shared" si="19"/>
        <v>0</v>
      </c>
      <c r="T19" s="118">
        <f t="shared" si="7"/>
        <v>8.173913043</v>
      </c>
      <c r="U19" s="128">
        <f t="shared" si="8"/>
        <v>0.1865357644</v>
      </c>
      <c r="V19" s="129">
        <v>1.5171001278043366</v>
      </c>
      <c r="W19" s="130"/>
      <c r="X19" s="130"/>
      <c r="Y19" s="130"/>
      <c r="Z19" s="130"/>
      <c r="AA19" s="130"/>
      <c r="AB19" s="130"/>
      <c r="AC19" s="130"/>
      <c r="AD19" s="130"/>
      <c r="AE19" s="130"/>
      <c r="AF19" s="130"/>
      <c r="AG19" s="130"/>
      <c r="AH19" s="130"/>
      <c r="AI19" s="130"/>
      <c r="AJ19" s="130"/>
      <c r="AK19" s="130"/>
    </row>
    <row r="20">
      <c r="A20" s="15">
        <v>45.0</v>
      </c>
      <c r="B20" s="17" t="str">
        <f t="shared" ref="B20:B21" si="20">HYPERLINK("https://github.com/d-wkim/phd/blob/main/data/pdf/konrads_2016.pdf","Konrads et al., 2016")</f>
        <v>Konrads et al., 2016</v>
      </c>
      <c r="C20" s="114" t="s">
        <v>42</v>
      </c>
      <c r="D20" s="126" t="s">
        <v>370</v>
      </c>
      <c r="E20" s="118">
        <v>24.0</v>
      </c>
      <c r="F20" s="118">
        <v>16.0</v>
      </c>
      <c r="G20" s="119">
        <f t="shared" si="9"/>
        <v>0.6666666667</v>
      </c>
      <c r="H20" s="118" t="s">
        <v>599</v>
      </c>
      <c r="I20" s="118">
        <v>8.0</v>
      </c>
      <c r="J20" s="119">
        <f t="shared" si="2"/>
        <v>0.3333333333</v>
      </c>
      <c r="K20" s="118" t="s">
        <v>600</v>
      </c>
      <c r="L20" s="118">
        <v>0.0</v>
      </c>
      <c r="M20" s="119">
        <f t="shared" si="3"/>
        <v>0</v>
      </c>
      <c r="N20" s="118" t="s">
        <v>477</v>
      </c>
      <c r="O20" s="118">
        <v>0.0</v>
      </c>
      <c r="P20" s="119">
        <f t="shared" si="4"/>
        <v>0</v>
      </c>
      <c r="Q20" s="113" t="s">
        <v>477</v>
      </c>
      <c r="R20" s="127">
        <f t="shared" si="5"/>
        <v>8.333333333</v>
      </c>
      <c r="S20" s="127">
        <f t="shared" si="19"/>
        <v>0</v>
      </c>
      <c r="T20" s="118">
        <f t="shared" si="7"/>
        <v>8.333333333</v>
      </c>
      <c r="U20" s="128">
        <f t="shared" si="8"/>
        <v>0.3605442177</v>
      </c>
      <c r="V20" s="129">
        <v>2.6025828517071266</v>
      </c>
      <c r="W20" s="130"/>
      <c r="X20" s="130"/>
      <c r="Y20" s="130"/>
      <c r="Z20" s="130"/>
      <c r="AA20" s="130"/>
      <c r="AB20" s="130"/>
      <c r="AC20" s="130"/>
      <c r="AD20" s="130"/>
      <c r="AE20" s="130"/>
      <c r="AF20" s="130"/>
      <c r="AG20" s="130"/>
      <c r="AH20" s="130"/>
      <c r="AI20" s="130"/>
      <c r="AJ20" s="130"/>
      <c r="AK20" s="130"/>
    </row>
    <row r="21">
      <c r="A21" s="15">
        <v>45.0</v>
      </c>
      <c r="B21" s="17" t="str">
        <f t="shared" si="20"/>
        <v>Konrads et al., 2016</v>
      </c>
      <c r="C21" s="114" t="s">
        <v>84</v>
      </c>
      <c r="D21" s="126" t="s">
        <v>370</v>
      </c>
      <c r="E21" s="118">
        <v>23.0</v>
      </c>
      <c r="F21" s="118">
        <v>12.0</v>
      </c>
      <c r="G21" s="119">
        <f t="shared" si="9"/>
        <v>0.5217391304</v>
      </c>
      <c r="H21" s="118" t="s">
        <v>601</v>
      </c>
      <c r="I21" s="118">
        <v>9.0</v>
      </c>
      <c r="J21" s="119">
        <f t="shared" si="2"/>
        <v>0.3913043478</v>
      </c>
      <c r="K21" s="118" t="s">
        <v>602</v>
      </c>
      <c r="L21" s="118">
        <v>1.0</v>
      </c>
      <c r="M21" s="119">
        <f t="shared" si="3"/>
        <v>0.04347826087</v>
      </c>
      <c r="N21" s="118" t="s">
        <v>603</v>
      </c>
      <c r="O21" s="118">
        <v>1.0</v>
      </c>
      <c r="P21" s="119">
        <f t="shared" si="4"/>
        <v>0.04347826087</v>
      </c>
      <c r="Q21" s="113" t="s">
        <v>603</v>
      </c>
      <c r="R21" s="127">
        <f t="shared" si="5"/>
        <v>11.43478261</v>
      </c>
      <c r="S21" s="127">
        <f t="shared" si="19"/>
        <v>2.043478261</v>
      </c>
      <c r="T21" s="118">
        <f t="shared" si="7"/>
        <v>11.43478261</v>
      </c>
      <c r="U21" s="128">
        <f t="shared" si="8"/>
        <v>0.5078630897</v>
      </c>
      <c r="V21" s="129">
        <v>4.596005209841355</v>
      </c>
      <c r="W21" s="130"/>
      <c r="X21" s="130"/>
      <c r="Y21" s="130"/>
      <c r="Z21" s="130"/>
      <c r="AA21" s="130"/>
      <c r="AB21" s="130"/>
      <c r="AC21" s="130"/>
      <c r="AD21" s="130"/>
      <c r="AE21" s="130"/>
      <c r="AF21" s="130"/>
      <c r="AG21" s="130"/>
      <c r="AH21" s="130"/>
      <c r="AI21" s="130"/>
      <c r="AJ21" s="130"/>
      <c r="AK21" s="130"/>
    </row>
    <row r="22">
      <c r="A22" s="15">
        <v>51.0</v>
      </c>
      <c r="B22" s="17" t="str">
        <f t="shared" ref="B22:B23" si="21">HYPERLINK("https://github.com/d-wkim/phd/blob/main/data/pdf/li_2015.pdf","Li et al., 2015")</f>
        <v>Li et al., 2015</v>
      </c>
      <c r="C22" s="114" t="s">
        <v>84</v>
      </c>
      <c r="D22" s="126" t="s">
        <v>370</v>
      </c>
      <c r="E22" s="114">
        <v>32.0</v>
      </c>
      <c r="F22" s="118">
        <v>26.0</v>
      </c>
      <c r="G22" s="119">
        <f t="shared" si="9"/>
        <v>0.8125</v>
      </c>
      <c r="H22" s="118" t="s">
        <v>604</v>
      </c>
      <c r="I22" s="118">
        <v>4.0</v>
      </c>
      <c r="J22" s="119">
        <f t="shared" si="2"/>
        <v>0.125</v>
      </c>
      <c r="K22" s="118" t="s">
        <v>546</v>
      </c>
      <c r="L22" s="118">
        <v>2.0</v>
      </c>
      <c r="M22" s="119">
        <f t="shared" si="3"/>
        <v>0.0625</v>
      </c>
      <c r="N22" s="118" t="s">
        <v>514</v>
      </c>
      <c r="O22" s="118">
        <v>0.0</v>
      </c>
      <c r="P22" s="119">
        <f t="shared" si="4"/>
        <v>0</v>
      </c>
      <c r="Q22" s="113" t="s">
        <v>477</v>
      </c>
      <c r="R22" s="127">
        <f t="shared" si="5"/>
        <v>6.1875</v>
      </c>
      <c r="S22" s="127">
        <f t="shared" si="19"/>
        <v>2.0625</v>
      </c>
      <c r="T22" s="118">
        <f t="shared" si="7"/>
        <v>6.1875</v>
      </c>
      <c r="U22" s="128">
        <f t="shared" si="8"/>
        <v>0.2057692308</v>
      </c>
      <c r="V22" s="129">
        <v>1.4142135623730951</v>
      </c>
      <c r="W22" s="130"/>
      <c r="X22" s="130"/>
      <c r="Y22" s="130"/>
      <c r="Z22" s="130"/>
      <c r="AA22" s="130"/>
      <c r="AB22" s="130"/>
      <c r="AC22" s="130"/>
      <c r="AD22" s="130"/>
      <c r="AE22" s="130"/>
      <c r="AF22" s="130"/>
      <c r="AG22" s="130"/>
      <c r="AH22" s="130"/>
      <c r="AI22" s="130"/>
      <c r="AJ22" s="130"/>
      <c r="AK22" s="130"/>
    </row>
    <row r="23">
      <c r="A23" s="15">
        <v>51.0</v>
      </c>
      <c r="B23" s="17" t="str">
        <f t="shared" si="21"/>
        <v>Li et al., 2015</v>
      </c>
      <c r="C23" s="114" t="s">
        <v>205</v>
      </c>
      <c r="D23" s="126" t="s">
        <v>370</v>
      </c>
      <c r="E23" s="114">
        <v>32.0</v>
      </c>
      <c r="F23" s="118">
        <v>19.0</v>
      </c>
      <c r="G23" s="119">
        <f t="shared" si="9"/>
        <v>0.59375</v>
      </c>
      <c r="H23" s="118" t="s">
        <v>586</v>
      </c>
      <c r="I23" s="118">
        <v>9.0</v>
      </c>
      <c r="J23" s="119">
        <f t="shared" si="2"/>
        <v>0.28125</v>
      </c>
      <c r="K23" s="118" t="s">
        <v>605</v>
      </c>
      <c r="L23" s="118">
        <v>3.0</v>
      </c>
      <c r="M23" s="119">
        <f t="shared" si="3"/>
        <v>0.09375</v>
      </c>
      <c r="N23" s="118" t="s">
        <v>481</v>
      </c>
      <c r="O23" s="118">
        <v>1.0</v>
      </c>
      <c r="P23" s="119">
        <f t="shared" si="4"/>
        <v>0.03125</v>
      </c>
      <c r="Q23" s="113" t="s">
        <v>517</v>
      </c>
      <c r="R23" s="127">
        <f t="shared" si="5"/>
        <v>13.375</v>
      </c>
      <c r="S23" s="127">
        <f t="shared" si="19"/>
        <v>4.09375</v>
      </c>
      <c r="T23" s="118">
        <f t="shared" si="7"/>
        <v>13.375</v>
      </c>
      <c r="U23" s="128">
        <f t="shared" si="8"/>
        <v>0.4269230769</v>
      </c>
      <c r="V23" s="129">
        <v>4.01934380884985</v>
      </c>
      <c r="W23" s="130"/>
      <c r="X23" s="130"/>
      <c r="Y23" s="130"/>
      <c r="Z23" s="130"/>
      <c r="AA23" s="130"/>
      <c r="AB23" s="130"/>
      <c r="AC23" s="130"/>
      <c r="AD23" s="130"/>
      <c r="AE23" s="130"/>
      <c r="AF23" s="130"/>
      <c r="AG23" s="130"/>
      <c r="AH23" s="130"/>
      <c r="AI23" s="130"/>
      <c r="AJ23" s="130"/>
      <c r="AK23" s="130"/>
    </row>
    <row r="24">
      <c r="A24" s="15">
        <v>52.0</v>
      </c>
      <c r="B24" s="17" t="str">
        <f t="shared" ref="B24:B25" si="22">HYPERLINK("https://github.com/d-wkim/phd/blob/main/data/pdf/lidén_2007.pdf","Lidén et al., 2007")</f>
        <v>Lidén et al., 2007</v>
      </c>
      <c r="C24" s="114" t="s">
        <v>42</v>
      </c>
      <c r="D24" s="126" t="s">
        <v>370</v>
      </c>
      <c r="E24" s="114">
        <v>30.0</v>
      </c>
      <c r="F24" s="118">
        <v>8.0</v>
      </c>
      <c r="G24" s="119">
        <f t="shared" si="9"/>
        <v>0.2666666667</v>
      </c>
      <c r="H24" s="118" t="s">
        <v>606</v>
      </c>
      <c r="I24" s="118">
        <v>21.0</v>
      </c>
      <c r="J24" s="119">
        <f t="shared" si="2"/>
        <v>0.7</v>
      </c>
      <c r="K24" s="118" t="s">
        <v>607</v>
      </c>
      <c r="L24" s="118">
        <v>1.0</v>
      </c>
      <c r="M24" s="119">
        <f t="shared" si="3"/>
        <v>0.03333333333</v>
      </c>
      <c r="N24" s="118" t="s">
        <v>517</v>
      </c>
      <c r="O24" s="118">
        <v>0.0</v>
      </c>
      <c r="P24" s="119">
        <f t="shared" si="4"/>
        <v>0</v>
      </c>
      <c r="Q24" s="113" t="s">
        <v>477</v>
      </c>
      <c r="R24" s="127">
        <f t="shared" si="5"/>
        <v>22.73333333</v>
      </c>
      <c r="S24" s="127">
        <f t="shared" si="19"/>
        <v>1.033333333</v>
      </c>
      <c r="T24" s="118">
        <f t="shared" si="7"/>
        <v>22.73333333</v>
      </c>
      <c r="U24" s="128">
        <f t="shared" si="8"/>
        <v>0.7617486339</v>
      </c>
      <c r="V24" s="129">
        <v>15.404696929832799</v>
      </c>
      <c r="W24" s="130"/>
      <c r="X24" s="130"/>
      <c r="Y24" s="130"/>
      <c r="Z24" s="130"/>
      <c r="AA24" s="130"/>
      <c r="AB24" s="130"/>
      <c r="AC24" s="130"/>
      <c r="AD24" s="130"/>
      <c r="AE24" s="130"/>
      <c r="AF24" s="130"/>
      <c r="AG24" s="130"/>
      <c r="AH24" s="130"/>
      <c r="AI24" s="130"/>
      <c r="AJ24" s="130"/>
      <c r="AK24" s="130"/>
    </row>
    <row r="25">
      <c r="A25" s="15">
        <v>52.0</v>
      </c>
      <c r="B25" s="17" t="str">
        <f t="shared" si="22"/>
        <v>Lidén et al., 2007</v>
      </c>
      <c r="C25" s="114" t="s">
        <v>84</v>
      </c>
      <c r="D25" s="126" t="s">
        <v>370</v>
      </c>
      <c r="E25" s="114">
        <v>32.0</v>
      </c>
      <c r="F25" s="118">
        <v>7.0</v>
      </c>
      <c r="G25" s="119">
        <f t="shared" si="9"/>
        <v>0.21875</v>
      </c>
      <c r="H25" s="118" t="s">
        <v>608</v>
      </c>
      <c r="I25" s="118">
        <v>23.0</v>
      </c>
      <c r="J25" s="119">
        <f t="shared" si="2"/>
        <v>0.71875</v>
      </c>
      <c r="K25" s="118" t="s">
        <v>547</v>
      </c>
      <c r="L25" s="118">
        <v>1.0</v>
      </c>
      <c r="M25" s="119">
        <f t="shared" si="3"/>
        <v>0.03125</v>
      </c>
      <c r="N25" s="118" t="s">
        <v>517</v>
      </c>
      <c r="O25" s="118">
        <v>1.0</v>
      </c>
      <c r="P25" s="119">
        <f t="shared" si="4"/>
        <v>0.03125</v>
      </c>
      <c r="Q25" s="113" t="s">
        <v>517</v>
      </c>
      <c r="R25" s="127">
        <f t="shared" si="5"/>
        <v>25.75</v>
      </c>
      <c r="S25" s="127">
        <f t="shared" si="19"/>
        <v>2.03125</v>
      </c>
      <c r="T25" s="118">
        <f t="shared" si="7"/>
        <v>25.75</v>
      </c>
      <c r="U25" s="128">
        <f t="shared" si="8"/>
        <v>0.8076923077</v>
      </c>
      <c r="V25" s="129">
        <v>20.6071119088651</v>
      </c>
      <c r="W25" s="130"/>
      <c r="X25" s="130"/>
      <c r="Y25" s="130"/>
      <c r="Z25" s="130"/>
      <c r="AA25" s="130"/>
      <c r="AB25" s="130"/>
      <c r="AC25" s="130"/>
      <c r="AD25" s="130"/>
      <c r="AE25" s="130"/>
      <c r="AF25" s="130"/>
      <c r="AG25" s="130"/>
      <c r="AH25" s="130"/>
      <c r="AI25" s="130"/>
      <c r="AJ25" s="130"/>
      <c r="AK25" s="130"/>
    </row>
    <row r="26">
      <c r="A26" s="15">
        <v>55.0</v>
      </c>
      <c r="B26" s="17" t="str">
        <f t="shared" ref="B26:B27" si="23">HYPERLINK("https://github.com/d-wkim/phd/blob/main/data/pdf/lui_2012.pdf","Lui et al., 2012")</f>
        <v>Lui et al., 2012</v>
      </c>
      <c r="C26" s="114" t="s">
        <v>42</v>
      </c>
      <c r="D26" s="126" t="s">
        <v>370</v>
      </c>
      <c r="E26" s="114">
        <v>14.0</v>
      </c>
      <c r="F26" s="118">
        <v>10.0</v>
      </c>
      <c r="G26" s="119">
        <f t="shared" si="9"/>
        <v>0.7142857143</v>
      </c>
      <c r="H26" s="118" t="s">
        <v>609</v>
      </c>
      <c r="I26" s="118">
        <v>4.0</v>
      </c>
      <c r="J26" s="119">
        <f t="shared" si="2"/>
        <v>0.2857142857</v>
      </c>
      <c r="K26" s="118" t="s">
        <v>610</v>
      </c>
      <c r="L26" s="118">
        <v>0.0</v>
      </c>
      <c r="M26" s="119">
        <f t="shared" si="3"/>
        <v>0</v>
      </c>
      <c r="N26" s="118" t="s">
        <v>477</v>
      </c>
      <c r="O26" s="118">
        <v>0.0</v>
      </c>
      <c r="P26" s="119">
        <f t="shared" si="4"/>
        <v>0</v>
      </c>
      <c r="Q26" s="113" t="s">
        <v>477</v>
      </c>
      <c r="R26" s="127">
        <f t="shared" si="5"/>
        <v>4.285714286</v>
      </c>
      <c r="S26" s="127">
        <f t="shared" si="19"/>
        <v>0</v>
      </c>
      <c r="T26" s="118">
        <f t="shared" si="7"/>
        <v>4.285714286</v>
      </c>
      <c r="U26" s="128">
        <f t="shared" si="8"/>
        <v>0.3300492611</v>
      </c>
      <c r="V26" s="129">
        <v>1.6837458240482737</v>
      </c>
      <c r="W26" s="130"/>
      <c r="X26" s="130"/>
      <c r="Y26" s="130"/>
      <c r="Z26" s="130"/>
      <c r="AA26" s="130"/>
      <c r="AB26" s="130"/>
      <c r="AC26" s="130"/>
      <c r="AD26" s="130"/>
      <c r="AE26" s="130"/>
      <c r="AF26" s="130"/>
      <c r="AG26" s="130"/>
      <c r="AH26" s="130"/>
      <c r="AI26" s="130"/>
      <c r="AJ26" s="130"/>
      <c r="AK26" s="130"/>
    </row>
    <row r="27">
      <c r="A27" s="15">
        <v>55.0</v>
      </c>
      <c r="B27" s="17" t="str">
        <f t="shared" si="23"/>
        <v>Lui et al., 2012</v>
      </c>
      <c r="C27" s="114" t="s">
        <v>84</v>
      </c>
      <c r="D27" s="126" t="s">
        <v>370</v>
      </c>
      <c r="E27" s="114">
        <v>38.0</v>
      </c>
      <c r="F27" s="118">
        <v>32.0</v>
      </c>
      <c r="G27" s="119">
        <f t="shared" si="9"/>
        <v>0.8421052632</v>
      </c>
      <c r="H27" s="118" t="s">
        <v>611</v>
      </c>
      <c r="I27" s="118">
        <v>6.0</v>
      </c>
      <c r="J27" s="119">
        <f t="shared" si="2"/>
        <v>0.1578947368</v>
      </c>
      <c r="K27" s="118" t="s">
        <v>612</v>
      </c>
      <c r="L27" s="118">
        <v>0.0</v>
      </c>
      <c r="M27" s="119">
        <f t="shared" si="3"/>
        <v>0</v>
      </c>
      <c r="N27" s="118" t="s">
        <v>477</v>
      </c>
      <c r="O27" s="118">
        <v>0.0</v>
      </c>
      <c r="P27" s="119">
        <f t="shared" si="4"/>
        <v>0</v>
      </c>
      <c r="Q27" s="113" t="s">
        <v>477</v>
      </c>
      <c r="R27" s="127">
        <f t="shared" si="5"/>
        <v>6.157894737</v>
      </c>
      <c r="S27" s="127">
        <f t="shared" si="19"/>
        <v>0</v>
      </c>
      <c r="T27" s="118">
        <f t="shared" si="7"/>
        <v>6.157894737</v>
      </c>
      <c r="U27" s="128">
        <f t="shared" si="8"/>
        <v>0.1729323308</v>
      </c>
      <c r="V27" s="129">
        <v>1.0307764064044151</v>
      </c>
      <c r="W27" s="130"/>
      <c r="X27" s="130"/>
      <c r="Y27" s="130"/>
      <c r="Z27" s="130"/>
      <c r="AA27" s="130"/>
      <c r="AB27" s="130"/>
      <c r="AC27" s="130"/>
      <c r="AD27" s="130"/>
      <c r="AE27" s="130"/>
      <c r="AF27" s="130"/>
      <c r="AG27" s="130"/>
      <c r="AH27" s="130"/>
      <c r="AI27" s="130"/>
      <c r="AJ27" s="130"/>
      <c r="AK27" s="130"/>
    </row>
    <row r="28">
      <c r="A28" s="15">
        <v>58.0</v>
      </c>
      <c r="B28" s="17" t="str">
        <f t="shared" ref="B28:B29" si="24">HYPERLINK("https://github.com/d-wkim/phd/blob/main/data/pdf/lund_2014.pdf","Lund et al., 2014")</f>
        <v>Lund et al., 2014</v>
      </c>
      <c r="C28" s="114" t="s">
        <v>42</v>
      </c>
      <c r="D28" s="131" t="s">
        <v>370</v>
      </c>
      <c r="E28" s="114">
        <v>18.0</v>
      </c>
      <c r="F28" s="118">
        <f>0.76*E28</f>
        <v>13.68</v>
      </c>
      <c r="G28" s="119">
        <f t="shared" si="9"/>
        <v>0.76</v>
      </c>
      <c r="H28" s="118" t="s">
        <v>613</v>
      </c>
      <c r="I28" s="118">
        <f>0.16*E28</f>
        <v>2.88</v>
      </c>
      <c r="J28" s="119">
        <f t="shared" si="2"/>
        <v>0.16</v>
      </c>
      <c r="K28" s="118" t="s">
        <v>614</v>
      </c>
      <c r="L28" s="118">
        <f>0.08*E28</f>
        <v>1.44</v>
      </c>
      <c r="M28" s="119">
        <f t="shared" si="3"/>
        <v>0.08</v>
      </c>
      <c r="N28" s="118" t="s">
        <v>615</v>
      </c>
      <c r="O28" s="118">
        <v>0.0</v>
      </c>
      <c r="P28" s="119">
        <f t="shared" si="4"/>
        <v>0</v>
      </c>
      <c r="Q28" s="113" t="s">
        <v>477</v>
      </c>
      <c r="R28" s="127">
        <f t="shared" si="5"/>
        <v>4.56</v>
      </c>
      <c r="S28" s="127">
        <f t="shared" si="19"/>
        <v>1.52</v>
      </c>
      <c r="T28" s="118">
        <f t="shared" si="7"/>
        <v>4.56</v>
      </c>
      <c r="U28" s="128">
        <f t="shared" si="8"/>
        <v>0.2735135135</v>
      </c>
      <c r="V28" s="129">
        <v>0.9899494936611666</v>
      </c>
      <c r="W28" s="130"/>
      <c r="X28" s="130"/>
      <c r="Y28" s="130"/>
      <c r="Z28" s="130"/>
      <c r="AA28" s="130"/>
      <c r="AB28" s="130"/>
      <c r="AC28" s="130"/>
      <c r="AD28" s="130"/>
      <c r="AE28" s="130"/>
      <c r="AF28" s="130"/>
      <c r="AG28" s="130"/>
      <c r="AH28" s="130"/>
      <c r="AI28" s="130"/>
      <c r="AJ28" s="130"/>
      <c r="AK28" s="130"/>
    </row>
    <row r="29">
      <c r="A29" s="15">
        <v>58.0</v>
      </c>
      <c r="B29" s="17" t="str">
        <f t="shared" si="24"/>
        <v>Lund et al., 2014</v>
      </c>
      <c r="C29" s="114" t="s">
        <v>200</v>
      </c>
      <c r="D29" s="131" t="s">
        <v>370</v>
      </c>
      <c r="E29" s="114">
        <v>21.0</v>
      </c>
      <c r="F29" s="118">
        <f>0.77*E29</f>
        <v>16.17</v>
      </c>
      <c r="G29" s="119">
        <f t="shared" si="9"/>
        <v>0.77</v>
      </c>
      <c r="H29" s="118" t="s">
        <v>616</v>
      </c>
      <c r="I29" s="118">
        <f>0.19*E29</f>
        <v>3.99</v>
      </c>
      <c r="J29" s="119">
        <f t="shared" si="2"/>
        <v>0.19</v>
      </c>
      <c r="K29" s="118" t="s">
        <v>617</v>
      </c>
      <c r="L29" s="118">
        <f>0.04*E29</f>
        <v>0.84</v>
      </c>
      <c r="M29" s="119">
        <f t="shared" si="3"/>
        <v>0.04</v>
      </c>
      <c r="N29" s="118" t="s">
        <v>618</v>
      </c>
      <c r="O29" s="118">
        <v>0.0</v>
      </c>
      <c r="P29" s="119">
        <f t="shared" si="4"/>
        <v>0</v>
      </c>
      <c r="Q29" s="113" t="s">
        <v>477</v>
      </c>
      <c r="R29" s="127">
        <f t="shared" si="5"/>
        <v>5.06</v>
      </c>
      <c r="S29" s="127">
        <f t="shared" si="19"/>
        <v>0.88</v>
      </c>
      <c r="T29" s="118">
        <f t="shared" si="7"/>
        <v>5.06</v>
      </c>
      <c r="U29" s="128">
        <f t="shared" si="8"/>
        <v>0.2586046512</v>
      </c>
      <c r="V29" s="129">
        <v>2.9962994928557416</v>
      </c>
      <c r="W29" s="130"/>
      <c r="X29" s="130"/>
      <c r="Y29" s="130"/>
      <c r="Z29" s="130"/>
      <c r="AA29" s="130"/>
      <c r="AB29" s="130"/>
      <c r="AC29" s="130"/>
      <c r="AD29" s="130"/>
      <c r="AE29" s="130"/>
      <c r="AF29" s="130"/>
      <c r="AG29" s="130"/>
      <c r="AH29" s="130"/>
      <c r="AI29" s="130"/>
      <c r="AJ29" s="130"/>
      <c r="AK29" s="130"/>
    </row>
    <row r="30">
      <c r="A30" s="15">
        <v>70.0</v>
      </c>
      <c r="B30" s="17" t="str">
        <f t="shared" ref="B30:B31" si="25">HYPERLINK("https://github.com/d-wkim/phd/blob/main/data/pdf/noh_2011.pdf","Noh et al., 2011")</f>
        <v>Noh et al., 2011</v>
      </c>
      <c r="C30" s="114" t="s">
        <v>84</v>
      </c>
      <c r="D30" s="126" t="s">
        <v>370</v>
      </c>
      <c r="E30" s="114">
        <v>33.0</v>
      </c>
      <c r="F30" s="118">
        <v>27.0</v>
      </c>
      <c r="G30" s="119">
        <f t="shared" si="9"/>
        <v>0.8181818182</v>
      </c>
      <c r="H30" s="113" t="str">
        <f t="shared" ref="H30:H33" si="26">F30&amp;" ("&amp;round(G30*100,0)&amp;"%)"</f>
        <v>27 (82%)</v>
      </c>
      <c r="I30" s="118">
        <v>5.0</v>
      </c>
      <c r="J30" s="119">
        <f t="shared" si="2"/>
        <v>0.1515151515</v>
      </c>
      <c r="K30" s="113" t="str">
        <f t="shared" ref="K30:K33" si="27">I30&amp;" ("&amp;round(J30*100,0)&amp;"%)"</f>
        <v>5 (15%)</v>
      </c>
      <c r="L30" s="118">
        <v>1.0</v>
      </c>
      <c r="M30" s="119">
        <f t="shared" si="3"/>
        <v>0.0303030303</v>
      </c>
      <c r="N30" s="113" t="str">
        <f t="shared" ref="N30:N33" si="28">L30&amp;" ("&amp;round(M30*100,0)&amp;"%)"</f>
        <v>1 (3%)</v>
      </c>
      <c r="O30" s="118">
        <v>0.0</v>
      </c>
      <c r="P30" s="119">
        <f t="shared" si="4"/>
        <v>0</v>
      </c>
      <c r="Q30" s="113" t="s">
        <v>477</v>
      </c>
      <c r="R30" s="127">
        <f t="shared" si="5"/>
        <v>6.181818182</v>
      </c>
      <c r="S30" s="127">
        <f t="shared" si="19"/>
        <v>1.03030303</v>
      </c>
      <c r="T30" s="118">
        <f t="shared" si="7"/>
        <v>6.181818182</v>
      </c>
      <c r="U30" s="128">
        <f t="shared" si="8"/>
        <v>0.1994572592</v>
      </c>
      <c r="V30" s="129">
        <v>1.3829502667591551</v>
      </c>
      <c r="W30" s="130"/>
      <c r="X30" s="130"/>
      <c r="Y30" s="130"/>
      <c r="Z30" s="130"/>
      <c r="AA30" s="130"/>
      <c r="AB30" s="130"/>
      <c r="AC30" s="130"/>
      <c r="AD30" s="130"/>
      <c r="AE30" s="130"/>
      <c r="AF30" s="130"/>
      <c r="AG30" s="130"/>
      <c r="AH30" s="130"/>
      <c r="AI30" s="130"/>
      <c r="AJ30" s="130"/>
      <c r="AK30" s="130"/>
    </row>
    <row r="31">
      <c r="A31" s="15">
        <v>70.0</v>
      </c>
      <c r="B31" s="17" t="str">
        <f t="shared" si="25"/>
        <v>Noh et al., 2011</v>
      </c>
      <c r="C31" s="114" t="s">
        <v>246</v>
      </c>
      <c r="D31" s="126" t="s">
        <v>370</v>
      </c>
      <c r="E31" s="114">
        <v>32.0</v>
      </c>
      <c r="F31" s="118">
        <v>26.0</v>
      </c>
      <c r="G31" s="119">
        <f t="shared" si="9"/>
        <v>0.8125</v>
      </c>
      <c r="H31" s="113" t="str">
        <f t="shared" si="26"/>
        <v>26 (81%)</v>
      </c>
      <c r="I31" s="118">
        <v>3.0</v>
      </c>
      <c r="J31" s="119">
        <f t="shared" si="2"/>
        <v>0.09375</v>
      </c>
      <c r="K31" s="113" t="str">
        <f t="shared" si="27"/>
        <v>3 (9%)</v>
      </c>
      <c r="L31" s="118">
        <v>3.0</v>
      </c>
      <c r="M31" s="119">
        <f t="shared" si="3"/>
        <v>0.09375</v>
      </c>
      <c r="N31" s="113" t="str">
        <f t="shared" si="28"/>
        <v>3 (9%)</v>
      </c>
      <c r="O31" s="118">
        <v>0.0</v>
      </c>
      <c r="P31" s="119">
        <f t="shared" si="4"/>
        <v>0</v>
      </c>
      <c r="Q31" s="113" t="s">
        <v>477</v>
      </c>
      <c r="R31" s="127">
        <f t="shared" si="5"/>
        <v>6.1875</v>
      </c>
      <c r="S31" s="127">
        <f t="shared" si="19"/>
        <v>3.09375</v>
      </c>
      <c r="T31" s="118">
        <f t="shared" si="7"/>
        <v>6.1875</v>
      </c>
      <c r="U31" s="128">
        <f t="shared" si="8"/>
        <v>0.2057692308</v>
      </c>
      <c r="V31" s="129">
        <v>3.09780113662678</v>
      </c>
      <c r="W31" s="130"/>
      <c r="X31" s="130"/>
      <c r="Y31" s="130"/>
      <c r="Z31" s="130"/>
      <c r="AA31" s="130"/>
      <c r="AB31" s="130"/>
      <c r="AC31" s="130"/>
      <c r="AD31" s="130"/>
      <c r="AE31" s="130"/>
      <c r="AF31" s="130"/>
      <c r="AG31" s="130"/>
      <c r="AH31" s="130"/>
      <c r="AI31" s="130"/>
      <c r="AJ31" s="130"/>
      <c r="AK31" s="130"/>
    </row>
    <row r="32">
      <c r="A32" s="15">
        <v>76.0</v>
      </c>
      <c r="B32" s="17" t="str">
        <f t="shared" ref="B32:B33" si="29">HYPERLINK("https://github.com/d-wkim/phd/blob/main/data/pdf/pinczewski_2007.pdf","Pinczewski et al., 2007")</f>
        <v>Pinczewski et al., 2007</v>
      </c>
      <c r="C32" s="114" t="s">
        <v>42</v>
      </c>
      <c r="D32" s="126" t="s">
        <v>370</v>
      </c>
      <c r="E32" s="114">
        <v>53.0</v>
      </c>
      <c r="F32" s="118">
        <v>43.0</v>
      </c>
      <c r="G32" s="119">
        <f t="shared" si="9"/>
        <v>0.8113207547</v>
      </c>
      <c r="H32" s="113" t="str">
        <f t="shared" si="26"/>
        <v>43 (81%)</v>
      </c>
      <c r="I32" s="118">
        <v>10.0</v>
      </c>
      <c r="J32" s="119">
        <f t="shared" si="2"/>
        <v>0.1886792453</v>
      </c>
      <c r="K32" s="113" t="str">
        <f t="shared" si="27"/>
        <v>10 (19%)</v>
      </c>
      <c r="L32" s="118">
        <v>0.0</v>
      </c>
      <c r="M32" s="119">
        <f t="shared" si="3"/>
        <v>0</v>
      </c>
      <c r="N32" s="113" t="str">
        <f t="shared" si="28"/>
        <v>0 (0%)</v>
      </c>
      <c r="O32" s="118">
        <v>0.0</v>
      </c>
      <c r="P32" s="119">
        <f t="shared" si="4"/>
        <v>0</v>
      </c>
      <c r="Q32" s="113" t="s">
        <v>477</v>
      </c>
      <c r="R32" s="127">
        <f t="shared" si="5"/>
        <v>10.18867925</v>
      </c>
      <c r="S32" s="127">
        <f t="shared" si="19"/>
        <v>0</v>
      </c>
      <c r="T32" s="118">
        <f t="shared" si="7"/>
        <v>10.18867925</v>
      </c>
      <c r="U32" s="128">
        <f t="shared" si="8"/>
        <v>0.1997883971</v>
      </c>
      <c r="V32" s="129">
        <v>1.7777012520336148</v>
      </c>
      <c r="W32" s="130"/>
      <c r="X32" s="130"/>
      <c r="Y32" s="130"/>
      <c r="Z32" s="130"/>
      <c r="AA32" s="130"/>
      <c r="AB32" s="130"/>
      <c r="AC32" s="130"/>
      <c r="AD32" s="130"/>
      <c r="AE32" s="130"/>
      <c r="AF32" s="130"/>
      <c r="AG32" s="130"/>
      <c r="AH32" s="130"/>
      <c r="AI32" s="130"/>
      <c r="AJ32" s="130"/>
      <c r="AK32" s="130"/>
    </row>
    <row r="33">
      <c r="A33" s="15">
        <v>76.0</v>
      </c>
      <c r="B33" s="17" t="str">
        <f t="shared" si="29"/>
        <v>Pinczewski et al., 2007</v>
      </c>
      <c r="C33" s="114" t="s">
        <v>84</v>
      </c>
      <c r="D33" s="126" t="s">
        <v>370</v>
      </c>
      <c r="E33" s="114">
        <v>58.0</v>
      </c>
      <c r="F33" s="118">
        <v>46.0</v>
      </c>
      <c r="G33" s="119">
        <f t="shared" si="9"/>
        <v>0.7931034483</v>
      </c>
      <c r="H33" s="113" t="str">
        <f t="shared" si="26"/>
        <v>46 (79%)</v>
      </c>
      <c r="I33" s="118">
        <v>11.0</v>
      </c>
      <c r="J33" s="119">
        <f t="shared" si="2"/>
        <v>0.1896551724</v>
      </c>
      <c r="K33" s="113" t="str">
        <f t="shared" si="27"/>
        <v>11 (19%)</v>
      </c>
      <c r="L33" s="118">
        <v>1.0</v>
      </c>
      <c r="M33" s="119">
        <f t="shared" si="3"/>
        <v>0.01724137931</v>
      </c>
      <c r="N33" s="113" t="str">
        <f t="shared" si="28"/>
        <v>1 (2%)</v>
      </c>
      <c r="O33" s="118">
        <v>0.0</v>
      </c>
      <c r="P33" s="119">
        <f t="shared" si="4"/>
        <v>0</v>
      </c>
      <c r="Q33" s="113" t="s">
        <v>477</v>
      </c>
      <c r="R33" s="127">
        <f t="shared" si="5"/>
        <v>12.20689655</v>
      </c>
      <c r="S33" s="127">
        <f t="shared" si="19"/>
        <v>1.017241379</v>
      </c>
      <c r="T33" s="118">
        <f t="shared" si="7"/>
        <v>12.20689655</v>
      </c>
      <c r="U33" s="128">
        <f t="shared" si="8"/>
        <v>0.2172119069</v>
      </c>
      <c r="V33" s="129">
        <v>2.069503561376062</v>
      </c>
      <c r="W33" s="130"/>
      <c r="X33" s="130"/>
      <c r="Y33" s="130"/>
      <c r="Z33" s="130"/>
      <c r="AA33" s="130"/>
      <c r="AB33" s="130"/>
      <c r="AC33" s="130"/>
      <c r="AD33" s="130"/>
      <c r="AE33" s="130"/>
      <c r="AF33" s="130"/>
      <c r="AG33" s="130"/>
      <c r="AH33" s="130"/>
      <c r="AI33" s="130"/>
      <c r="AJ33" s="130"/>
      <c r="AK33" s="130"/>
    </row>
    <row r="34">
      <c r="A34" s="15">
        <v>77.0</v>
      </c>
      <c r="B34" s="17" t="str">
        <f t="shared" ref="B34:B35" si="30">HYPERLINK("https://github.com/d-wkim/phd/blob/main/data/pdf/popovic_2024.pdf","Popovic et al., 2024")</f>
        <v>Popovic et al., 2024</v>
      </c>
      <c r="C34" s="114" t="s">
        <v>42</v>
      </c>
      <c r="D34" s="126" t="s">
        <v>370</v>
      </c>
      <c r="E34" s="114">
        <v>38.0</v>
      </c>
      <c r="F34" s="120"/>
      <c r="G34" s="119"/>
      <c r="H34" s="113"/>
      <c r="I34" s="118"/>
      <c r="J34" s="119"/>
      <c r="K34" s="113"/>
      <c r="L34" s="118">
        <v>9.0</v>
      </c>
      <c r="M34" s="119">
        <f t="shared" si="3"/>
        <v>0.2368421053</v>
      </c>
      <c r="N34" s="113"/>
      <c r="O34" s="118">
        <v>0.0</v>
      </c>
      <c r="P34" s="119">
        <f t="shared" si="4"/>
        <v>0</v>
      </c>
      <c r="Q34" s="113"/>
      <c r="R34" s="127"/>
      <c r="S34" s="136">
        <v>9.0</v>
      </c>
      <c r="T34" s="118" t="str">
        <f t="shared" si="7"/>
        <v/>
      </c>
      <c r="U34" s="128">
        <f t="shared" si="8"/>
        <v>0.01298701299</v>
      </c>
      <c r="V34" s="129">
        <v>0.08111071056538127</v>
      </c>
      <c r="W34" s="130"/>
      <c r="X34" s="130"/>
      <c r="Y34" s="130"/>
      <c r="Z34" s="130"/>
      <c r="AA34" s="130"/>
      <c r="AB34" s="130"/>
      <c r="AC34" s="130"/>
      <c r="AD34" s="130"/>
      <c r="AE34" s="130"/>
      <c r="AF34" s="130"/>
      <c r="AG34" s="130"/>
      <c r="AH34" s="130"/>
      <c r="AI34" s="130"/>
      <c r="AJ34" s="130"/>
      <c r="AK34" s="130"/>
    </row>
    <row r="35">
      <c r="A35" s="15">
        <v>77.0</v>
      </c>
      <c r="B35" s="17" t="str">
        <f t="shared" si="30"/>
        <v>Popovic et al., 2024</v>
      </c>
      <c r="C35" s="114" t="s">
        <v>84</v>
      </c>
      <c r="D35" s="126" t="s">
        <v>370</v>
      </c>
      <c r="E35" s="114">
        <v>33.0</v>
      </c>
      <c r="F35" s="120"/>
      <c r="G35" s="119"/>
      <c r="H35" s="113"/>
      <c r="I35" s="118"/>
      <c r="J35" s="119"/>
      <c r="K35" s="113"/>
      <c r="L35" s="118">
        <v>5.0</v>
      </c>
      <c r="M35" s="119">
        <f t="shared" si="3"/>
        <v>0.1515151515</v>
      </c>
      <c r="N35" s="113"/>
      <c r="O35" s="118">
        <v>0.0</v>
      </c>
      <c r="P35" s="119">
        <f t="shared" si="4"/>
        <v>0</v>
      </c>
      <c r="Q35" s="113"/>
      <c r="R35" s="136"/>
      <c r="S35" s="136">
        <v>5.0</v>
      </c>
      <c r="T35" s="118" t="str">
        <f t="shared" si="7"/>
        <v/>
      </c>
      <c r="U35" s="128">
        <f t="shared" si="8"/>
        <v>0.01492537313</v>
      </c>
      <c r="V35" s="129">
        <v>0.08703882797784893</v>
      </c>
      <c r="W35" s="130"/>
      <c r="X35" s="130"/>
      <c r="Y35" s="130"/>
      <c r="Z35" s="130"/>
      <c r="AA35" s="130"/>
      <c r="AB35" s="130"/>
      <c r="AC35" s="130"/>
      <c r="AD35" s="130"/>
      <c r="AE35" s="130"/>
      <c r="AF35" s="130"/>
      <c r="AG35" s="130"/>
      <c r="AH35" s="130"/>
      <c r="AI35" s="130"/>
      <c r="AJ35" s="130"/>
      <c r="AK35" s="130"/>
    </row>
    <row r="36">
      <c r="A36" s="15">
        <v>82.0</v>
      </c>
      <c r="B36" s="17" t="str">
        <f t="shared" ref="B36:B37" si="31">HYPERLINK("https://github.com/d-wkim/phd/blob/main/data/pdf/sajovic_2018.pdf","Sajovic et al., 2018")</f>
        <v>Sajovic et al., 2018</v>
      </c>
      <c r="C36" s="114" t="s">
        <v>42</v>
      </c>
      <c r="D36" s="131" t="s">
        <v>370</v>
      </c>
      <c r="E36" s="114">
        <v>24.0</v>
      </c>
      <c r="F36" s="118">
        <v>19.0</v>
      </c>
      <c r="G36" s="119">
        <f t="shared" ref="G36:G41" si="32">F36/E36</f>
        <v>0.7916666667</v>
      </c>
      <c r="H36" s="113" t="str">
        <f t="shared" ref="H36:H79" si="33">F36&amp;" ("&amp;round(G36*100,0)&amp;"%)"</f>
        <v>19 (79%)</v>
      </c>
      <c r="I36" s="118">
        <v>5.0</v>
      </c>
      <c r="J36" s="119">
        <f t="shared" ref="J36:J79" si="34">I36/$E36</f>
        <v>0.2083333333</v>
      </c>
      <c r="K36" s="113" t="str">
        <f t="shared" ref="K36:K79" si="35">I36&amp;" ("&amp;round(J36*100,0)&amp;"%)"</f>
        <v>5 (21%)</v>
      </c>
      <c r="L36" s="118">
        <v>0.0</v>
      </c>
      <c r="M36" s="119">
        <f t="shared" si="3"/>
        <v>0</v>
      </c>
      <c r="N36" s="113" t="str">
        <f t="shared" ref="N36:N56" si="36">L36&amp;" ("&amp;round(M36*100,0)&amp;"%)"</f>
        <v>0 (0%)</v>
      </c>
      <c r="O36" s="118">
        <v>0.0</v>
      </c>
      <c r="P36" s="119">
        <f t="shared" si="4"/>
        <v>0</v>
      </c>
      <c r="Q36" s="113" t="s">
        <v>477</v>
      </c>
      <c r="R36" s="127">
        <f t="shared" ref="R36:R79" si="37">sum(I36:O36)</f>
        <v>5.208333333</v>
      </c>
      <c r="S36" s="127">
        <f t="shared" ref="S36:S45" si="38">sum(L36:O36)</f>
        <v>0</v>
      </c>
      <c r="T36" s="118">
        <f t="shared" si="7"/>
        <v>5.208333333</v>
      </c>
      <c r="U36" s="128">
        <f t="shared" si="8"/>
        <v>0.2329931973</v>
      </c>
      <c r="V36" s="129">
        <v>1.418125640558682</v>
      </c>
      <c r="W36" s="130"/>
      <c r="X36" s="130"/>
      <c r="Y36" s="130"/>
      <c r="Z36" s="130"/>
      <c r="AA36" s="130"/>
      <c r="AB36" s="130"/>
      <c r="AC36" s="130"/>
      <c r="AD36" s="130"/>
      <c r="AE36" s="130"/>
      <c r="AF36" s="130"/>
      <c r="AG36" s="130"/>
      <c r="AH36" s="130"/>
      <c r="AI36" s="130"/>
      <c r="AJ36" s="130"/>
      <c r="AK36" s="130"/>
    </row>
    <row r="37">
      <c r="A37" s="15">
        <v>82.0</v>
      </c>
      <c r="B37" s="17" t="str">
        <f t="shared" si="31"/>
        <v>Sajovic et al., 2018</v>
      </c>
      <c r="C37" s="114" t="s">
        <v>84</v>
      </c>
      <c r="D37" s="131" t="s">
        <v>370</v>
      </c>
      <c r="E37" s="114">
        <v>24.0</v>
      </c>
      <c r="F37" s="118">
        <v>19.0</v>
      </c>
      <c r="G37" s="119">
        <f t="shared" si="32"/>
        <v>0.7916666667</v>
      </c>
      <c r="H37" s="113" t="str">
        <f t="shared" si="33"/>
        <v>19 (79%)</v>
      </c>
      <c r="I37" s="118">
        <v>5.0</v>
      </c>
      <c r="J37" s="119">
        <f t="shared" si="34"/>
        <v>0.2083333333</v>
      </c>
      <c r="K37" s="113" t="str">
        <f t="shared" si="35"/>
        <v>5 (21%)</v>
      </c>
      <c r="L37" s="118">
        <v>0.0</v>
      </c>
      <c r="M37" s="119">
        <f t="shared" si="3"/>
        <v>0</v>
      </c>
      <c r="N37" s="113" t="str">
        <f t="shared" si="36"/>
        <v>0 (0%)</v>
      </c>
      <c r="O37" s="118">
        <v>0.0</v>
      </c>
      <c r="P37" s="119">
        <f t="shared" si="4"/>
        <v>0</v>
      </c>
      <c r="Q37" s="113" t="s">
        <v>477</v>
      </c>
      <c r="R37" s="127">
        <f t="shared" si="37"/>
        <v>5.208333333</v>
      </c>
      <c r="S37" s="127">
        <f t="shared" si="38"/>
        <v>0</v>
      </c>
      <c r="T37" s="118">
        <f t="shared" si="7"/>
        <v>5.208333333</v>
      </c>
      <c r="U37" s="128">
        <f t="shared" si="8"/>
        <v>0.2329931973</v>
      </c>
      <c r="V37" s="129">
        <v>1.418125640558682</v>
      </c>
      <c r="W37" s="130"/>
      <c r="X37" s="130"/>
      <c r="Y37" s="130"/>
      <c r="Z37" s="130"/>
      <c r="AA37" s="130"/>
      <c r="AB37" s="130"/>
      <c r="AC37" s="130"/>
      <c r="AD37" s="130"/>
      <c r="AE37" s="130"/>
      <c r="AF37" s="130"/>
      <c r="AG37" s="130"/>
      <c r="AH37" s="130"/>
      <c r="AI37" s="130"/>
      <c r="AJ37" s="130"/>
      <c r="AK37" s="130"/>
    </row>
    <row r="38">
      <c r="A38" s="9">
        <v>97.0</v>
      </c>
      <c r="B38" s="17" t="str">
        <f t="shared" ref="B38:B39" si="39">HYPERLINK("https://github.com/d-wkim/phd/blob/main/data/pdf/yadav_2025.pdf","Yadav et al., 2025")</f>
        <v>Yadav et al., 2025</v>
      </c>
      <c r="C38" s="114" t="s">
        <v>84</v>
      </c>
      <c r="D38" s="131" t="s">
        <v>370</v>
      </c>
      <c r="E38" s="114">
        <v>36.0</v>
      </c>
      <c r="F38" s="118">
        <v>15.0</v>
      </c>
      <c r="G38" s="119">
        <f t="shared" si="32"/>
        <v>0.4166666667</v>
      </c>
      <c r="H38" s="113" t="str">
        <f t="shared" si="33"/>
        <v>15 (42%)</v>
      </c>
      <c r="I38" s="118">
        <v>12.0</v>
      </c>
      <c r="J38" s="119">
        <f t="shared" si="34"/>
        <v>0.3333333333</v>
      </c>
      <c r="K38" s="113" t="str">
        <f t="shared" si="35"/>
        <v>12 (33%)</v>
      </c>
      <c r="L38" s="118">
        <v>8.0</v>
      </c>
      <c r="M38" s="119">
        <f t="shared" si="3"/>
        <v>0.2222222222</v>
      </c>
      <c r="N38" s="113" t="str">
        <f t="shared" si="36"/>
        <v>8 (22%)</v>
      </c>
      <c r="O38" s="118">
        <v>1.0</v>
      </c>
      <c r="P38" s="119">
        <f t="shared" si="4"/>
        <v>0.02777777778</v>
      </c>
      <c r="Q38" s="113" t="s">
        <v>517</v>
      </c>
      <c r="R38" s="127">
        <f t="shared" si="37"/>
        <v>21.55555556</v>
      </c>
      <c r="S38" s="127">
        <f t="shared" si="38"/>
        <v>9.222222222</v>
      </c>
      <c r="T38" s="118">
        <f t="shared" si="7"/>
        <v>21.55555556</v>
      </c>
      <c r="U38" s="128">
        <f t="shared" si="8"/>
        <v>0.604261796</v>
      </c>
      <c r="V38" s="129">
        <v>1.064516129032258</v>
      </c>
      <c r="W38" s="130"/>
      <c r="X38" s="130"/>
      <c r="Y38" s="130"/>
      <c r="Z38" s="130"/>
      <c r="AA38" s="130"/>
      <c r="AB38" s="130"/>
      <c r="AC38" s="130"/>
      <c r="AD38" s="130"/>
      <c r="AE38" s="130"/>
      <c r="AF38" s="130"/>
      <c r="AG38" s="130"/>
      <c r="AH38" s="130"/>
      <c r="AI38" s="130"/>
      <c r="AJ38" s="130"/>
      <c r="AK38" s="130"/>
    </row>
    <row r="39">
      <c r="A39" s="9">
        <v>97.0</v>
      </c>
      <c r="B39" s="17" t="str">
        <f t="shared" si="39"/>
        <v>Yadav et al., 2025</v>
      </c>
      <c r="C39" s="114" t="s">
        <v>200</v>
      </c>
      <c r="D39" s="131" t="s">
        <v>370</v>
      </c>
      <c r="E39" s="114">
        <v>33.0</v>
      </c>
      <c r="F39" s="118">
        <v>24.0</v>
      </c>
      <c r="G39" s="119">
        <f t="shared" si="32"/>
        <v>0.7272727273</v>
      </c>
      <c r="H39" s="113" t="str">
        <f t="shared" si="33"/>
        <v>24 (73%)</v>
      </c>
      <c r="I39" s="118">
        <v>6.0</v>
      </c>
      <c r="J39" s="119">
        <f t="shared" si="34"/>
        <v>0.1818181818</v>
      </c>
      <c r="K39" s="113" t="str">
        <f t="shared" si="35"/>
        <v>6 (18%)</v>
      </c>
      <c r="L39" s="118">
        <v>3.0</v>
      </c>
      <c r="M39" s="119">
        <f t="shared" si="3"/>
        <v>0.09090909091</v>
      </c>
      <c r="N39" s="113" t="str">
        <f t="shared" si="36"/>
        <v>3 (9%)</v>
      </c>
      <c r="O39" s="118">
        <v>0.0</v>
      </c>
      <c r="P39" s="119">
        <f t="shared" si="4"/>
        <v>0</v>
      </c>
      <c r="Q39" s="113" t="s">
        <v>477</v>
      </c>
      <c r="R39" s="127">
        <f t="shared" si="37"/>
        <v>9.272727273</v>
      </c>
      <c r="S39" s="127">
        <f t="shared" si="38"/>
        <v>3.090909091</v>
      </c>
      <c r="T39" s="118">
        <f t="shared" si="7"/>
        <v>9.272727273</v>
      </c>
      <c r="U39" s="128">
        <f t="shared" si="8"/>
        <v>0.2917232022</v>
      </c>
      <c r="V39" s="129">
        <v>0.08703882797784893</v>
      </c>
      <c r="W39" s="130"/>
      <c r="X39" s="130"/>
      <c r="Y39" s="130"/>
      <c r="Z39" s="130"/>
      <c r="AA39" s="130"/>
      <c r="AB39" s="130"/>
      <c r="AC39" s="130"/>
      <c r="AD39" s="130"/>
      <c r="AE39" s="130"/>
      <c r="AF39" s="130"/>
      <c r="AG39" s="130"/>
      <c r="AH39" s="130"/>
      <c r="AI39" s="130"/>
      <c r="AJ39" s="130"/>
      <c r="AK39" s="130"/>
    </row>
    <row r="40">
      <c r="A40" s="9">
        <v>98.0</v>
      </c>
      <c r="B40" s="17" t="str">
        <f t="shared" ref="B40:B41" si="40">HYPERLINK("https://github.com/d-wkim/phd/blob/main/data/pdf/yoo_2017.pdf","Yoo et al., 2017")</f>
        <v>Yoo et al., 2017</v>
      </c>
      <c r="C40" s="114" t="s">
        <v>84</v>
      </c>
      <c r="D40" s="126" t="s">
        <v>370</v>
      </c>
      <c r="E40" s="114">
        <v>68.0</v>
      </c>
      <c r="F40" s="118">
        <v>33.0</v>
      </c>
      <c r="G40" s="119">
        <f t="shared" si="32"/>
        <v>0.4852941176</v>
      </c>
      <c r="H40" s="113" t="str">
        <f t="shared" si="33"/>
        <v>33 (49%)</v>
      </c>
      <c r="I40" s="118">
        <v>31.0</v>
      </c>
      <c r="J40" s="119">
        <f t="shared" si="34"/>
        <v>0.4558823529</v>
      </c>
      <c r="K40" s="113" t="str">
        <f t="shared" si="35"/>
        <v>31 (46%)</v>
      </c>
      <c r="L40" s="118">
        <v>3.0</v>
      </c>
      <c r="M40" s="119">
        <f t="shared" si="3"/>
        <v>0.04411764706</v>
      </c>
      <c r="N40" s="113" t="str">
        <f t="shared" si="36"/>
        <v>3 (4%)</v>
      </c>
      <c r="O40" s="118">
        <v>1.0</v>
      </c>
      <c r="P40" s="119">
        <f t="shared" si="4"/>
        <v>0.01470588235</v>
      </c>
      <c r="Q40" s="113" t="s">
        <v>503</v>
      </c>
      <c r="R40" s="127">
        <f t="shared" si="37"/>
        <v>35.5</v>
      </c>
      <c r="S40" s="127">
        <f t="shared" si="38"/>
        <v>4.044117647</v>
      </c>
      <c r="T40" s="118">
        <f t="shared" si="7"/>
        <v>35.5</v>
      </c>
      <c r="U40" s="128">
        <f t="shared" si="8"/>
        <v>0.5255474453</v>
      </c>
      <c r="V40" s="129">
        <v>0.5798117286024835</v>
      </c>
      <c r="W40" s="130"/>
      <c r="X40" s="130"/>
      <c r="Y40" s="130"/>
      <c r="Z40" s="130"/>
      <c r="AA40" s="130"/>
      <c r="AB40" s="130"/>
      <c r="AC40" s="130"/>
      <c r="AD40" s="130"/>
      <c r="AE40" s="130"/>
      <c r="AF40" s="130"/>
      <c r="AG40" s="130"/>
      <c r="AH40" s="130"/>
      <c r="AI40" s="130"/>
      <c r="AJ40" s="130"/>
      <c r="AK40" s="130"/>
    </row>
    <row r="41">
      <c r="A41" s="9">
        <v>98.0</v>
      </c>
      <c r="B41" s="17" t="str">
        <f t="shared" si="40"/>
        <v>Yoo et al., 2017</v>
      </c>
      <c r="C41" s="114" t="s">
        <v>205</v>
      </c>
      <c r="D41" s="126" t="s">
        <v>370</v>
      </c>
      <c r="E41" s="114">
        <v>64.0</v>
      </c>
      <c r="F41" s="118">
        <v>30.0</v>
      </c>
      <c r="G41" s="119">
        <f t="shared" si="32"/>
        <v>0.46875</v>
      </c>
      <c r="H41" s="113" t="str">
        <f t="shared" si="33"/>
        <v>30 (47%)</v>
      </c>
      <c r="I41" s="118">
        <v>28.0</v>
      </c>
      <c r="J41" s="119">
        <f t="shared" si="34"/>
        <v>0.4375</v>
      </c>
      <c r="K41" s="113" t="str">
        <f t="shared" si="35"/>
        <v>28 (44%)</v>
      </c>
      <c r="L41" s="118">
        <v>4.0</v>
      </c>
      <c r="M41" s="119">
        <f t="shared" si="3"/>
        <v>0.0625</v>
      </c>
      <c r="N41" s="113" t="str">
        <f t="shared" si="36"/>
        <v>4 (6%)</v>
      </c>
      <c r="O41" s="118">
        <v>2.0</v>
      </c>
      <c r="P41" s="119">
        <f t="shared" si="4"/>
        <v>0.03125</v>
      </c>
      <c r="Q41" s="113" t="s">
        <v>567</v>
      </c>
      <c r="R41" s="127">
        <f t="shared" si="37"/>
        <v>34.5</v>
      </c>
      <c r="S41" s="127">
        <f t="shared" si="38"/>
        <v>6.0625</v>
      </c>
      <c r="T41" s="118">
        <f t="shared" si="7"/>
        <v>34.5</v>
      </c>
      <c r="U41" s="128">
        <f t="shared" si="8"/>
        <v>0.5426356589</v>
      </c>
      <c r="V41" s="129">
        <v>0.8965517241379309</v>
      </c>
      <c r="W41" s="130"/>
      <c r="X41" s="130"/>
      <c r="Y41" s="130"/>
      <c r="Z41" s="130"/>
      <c r="AA41" s="130"/>
      <c r="AB41" s="130"/>
      <c r="AC41" s="130"/>
      <c r="AD41" s="130"/>
      <c r="AE41" s="130"/>
      <c r="AF41" s="130"/>
      <c r="AG41" s="130"/>
      <c r="AH41" s="130"/>
      <c r="AI41" s="130"/>
      <c r="AJ41" s="130"/>
      <c r="AK41" s="130"/>
    </row>
    <row r="42">
      <c r="A42" s="15">
        <v>2.0</v>
      </c>
      <c r="B42" s="17" t="str">
        <f t="shared" ref="B42:B43" si="41">HYPERLINK("https://github.com/d-wkim/phd/blob/main/data/pdf/aglietti_2004.pdf","Aglietti et al., 2004")</f>
        <v>Aglietti et al., 2004</v>
      </c>
      <c r="C42" s="114" t="s">
        <v>42</v>
      </c>
      <c r="D42" s="131" t="s">
        <v>385</v>
      </c>
      <c r="E42" s="118">
        <v>60.0</v>
      </c>
      <c r="F42" s="118">
        <v>50.0</v>
      </c>
      <c r="G42" s="119">
        <f t="shared" ref="G42:G79" si="42">F42/$E42</f>
        <v>0.8333333333</v>
      </c>
      <c r="H42" s="113" t="str">
        <f t="shared" si="33"/>
        <v>50 (83%)</v>
      </c>
      <c r="I42" s="118">
        <v>10.0</v>
      </c>
      <c r="J42" s="119">
        <f t="shared" si="34"/>
        <v>0.1666666667</v>
      </c>
      <c r="K42" s="113" t="str">
        <f t="shared" si="35"/>
        <v>10 (17%)</v>
      </c>
      <c r="L42" s="118">
        <v>0.0</v>
      </c>
      <c r="M42" s="119">
        <f t="shared" si="3"/>
        <v>0</v>
      </c>
      <c r="N42" s="113" t="str">
        <f t="shared" si="36"/>
        <v>0 (0%)</v>
      </c>
      <c r="O42" s="118">
        <v>0.0</v>
      </c>
      <c r="P42" s="119">
        <f t="shared" si="4"/>
        <v>0</v>
      </c>
      <c r="Q42" s="113" t="s">
        <v>477</v>
      </c>
      <c r="R42" s="127">
        <f t="shared" si="37"/>
        <v>10.16666667</v>
      </c>
      <c r="S42" s="127">
        <f t="shared" si="38"/>
        <v>0</v>
      </c>
      <c r="T42" s="118">
        <f t="shared" si="7"/>
        <v>10.16666667</v>
      </c>
      <c r="U42" s="128">
        <f t="shared" si="8"/>
        <v>0.1763085399</v>
      </c>
      <c r="V42" s="129">
        <v>0.06454972243679029</v>
      </c>
      <c r="W42" s="130"/>
      <c r="X42" s="130"/>
      <c r="Y42" s="130"/>
      <c r="Z42" s="130"/>
      <c r="AA42" s="130"/>
      <c r="AB42" s="130"/>
      <c r="AC42" s="130"/>
      <c r="AD42" s="130"/>
      <c r="AE42" s="130"/>
      <c r="AF42" s="130"/>
      <c r="AG42" s="130"/>
      <c r="AH42" s="130"/>
      <c r="AI42" s="130"/>
      <c r="AJ42" s="130"/>
      <c r="AK42" s="130"/>
    </row>
    <row r="43">
      <c r="A43" s="15">
        <v>2.0</v>
      </c>
      <c r="B43" s="17" t="str">
        <f t="shared" si="41"/>
        <v>Aglietti et al., 2004</v>
      </c>
      <c r="C43" s="114" t="s">
        <v>84</v>
      </c>
      <c r="D43" s="131" t="s">
        <v>385</v>
      </c>
      <c r="E43" s="118">
        <v>60.0</v>
      </c>
      <c r="F43" s="118">
        <v>49.0</v>
      </c>
      <c r="G43" s="119">
        <f t="shared" si="42"/>
        <v>0.8166666667</v>
      </c>
      <c r="H43" s="113" t="str">
        <f t="shared" si="33"/>
        <v>49 (82%)</v>
      </c>
      <c r="I43" s="118">
        <v>11.0</v>
      </c>
      <c r="J43" s="119">
        <f t="shared" si="34"/>
        <v>0.1833333333</v>
      </c>
      <c r="K43" s="113" t="str">
        <f t="shared" si="35"/>
        <v>11 (18%)</v>
      </c>
      <c r="L43" s="118">
        <v>0.0</v>
      </c>
      <c r="M43" s="119">
        <f t="shared" si="3"/>
        <v>0</v>
      </c>
      <c r="N43" s="113" t="str">
        <f t="shared" si="36"/>
        <v>0 (0%)</v>
      </c>
      <c r="O43" s="118">
        <v>0.0</v>
      </c>
      <c r="P43" s="119">
        <f t="shared" si="4"/>
        <v>0</v>
      </c>
      <c r="Q43" s="113" t="s">
        <v>477</v>
      </c>
      <c r="R43" s="127">
        <f t="shared" si="37"/>
        <v>11.18333333</v>
      </c>
      <c r="S43" s="127">
        <f t="shared" si="38"/>
        <v>0</v>
      </c>
      <c r="T43" s="118">
        <f t="shared" si="7"/>
        <v>11.18333333</v>
      </c>
      <c r="U43" s="128">
        <f t="shared" si="8"/>
        <v>0.1931129477</v>
      </c>
      <c r="V43" s="129">
        <v>0.06454972243679029</v>
      </c>
      <c r="W43" s="130"/>
      <c r="X43" s="130"/>
      <c r="Y43" s="130"/>
      <c r="Z43" s="130"/>
      <c r="AA43" s="130"/>
      <c r="AB43" s="130"/>
      <c r="AC43" s="130"/>
      <c r="AD43" s="130"/>
      <c r="AE43" s="130"/>
      <c r="AF43" s="130"/>
      <c r="AG43" s="130"/>
      <c r="AH43" s="130"/>
      <c r="AI43" s="130"/>
      <c r="AJ43" s="130"/>
      <c r="AK43" s="130"/>
    </row>
    <row r="44">
      <c r="A44" s="15">
        <v>5.0</v>
      </c>
      <c r="B44" s="17" t="str">
        <f t="shared" ref="B44:B45" si="43">HYPERLINK("https://github.com/d-wkim/phd/blob/main/data/pdf/anderson_2001.pdf","Anderson et al., 2001")</f>
        <v>Anderson et al., 2001</v>
      </c>
      <c r="C44" s="114" t="s">
        <v>42</v>
      </c>
      <c r="D44" s="131" t="s">
        <v>385</v>
      </c>
      <c r="E44" s="118">
        <v>35.0</v>
      </c>
      <c r="F44" s="118">
        <v>17.0</v>
      </c>
      <c r="G44" s="119">
        <f t="shared" si="42"/>
        <v>0.4857142857</v>
      </c>
      <c r="H44" s="113" t="str">
        <f t="shared" si="33"/>
        <v>17 (49%)</v>
      </c>
      <c r="I44" s="118">
        <v>3.0</v>
      </c>
      <c r="J44" s="119">
        <f t="shared" si="34"/>
        <v>0.08571428571</v>
      </c>
      <c r="K44" s="113" t="str">
        <f t="shared" si="35"/>
        <v>3 (9%)</v>
      </c>
      <c r="L44" s="118">
        <v>8.0</v>
      </c>
      <c r="M44" s="119">
        <f t="shared" si="3"/>
        <v>0.2285714286</v>
      </c>
      <c r="N44" s="113" t="str">
        <f t="shared" si="36"/>
        <v>8 (23%)</v>
      </c>
      <c r="O44" s="118">
        <v>7.0</v>
      </c>
      <c r="P44" s="119">
        <f t="shared" si="4"/>
        <v>0.2</v>
      </c>
      <c r="Q44" s="113" t="s">
        <v>483</v>
      </c>
      <c r="R44" s="127">
        <f t="shared" si="37"/>
        <v>18.31428571</v>
      </c>
      <c r="S44" s="127">
        <f t="shared" si="38"/>
        <v>15.22857143</v>
      </c>
      <c r="T44" s="118">
        <f t="shared" si="7"/>
        <v>18.31428571</v>
      </c>
      <c r="U44" s="128">
        <f t="shared" si="8"/>
        <v>0.5299798793</v>
      </c>
      <c r="V44" s="129">
        <v>1.5846642276159686</v>
      </c>
      <c r="W44" s="130"/>
      <c r="X44" s="130"/>
      <c r="Y44" s="130"/>
      <c r="Z44" s="130"/>
      <c r="AA44" s="130"/>
      <c r="AB44" s="130"/>
      <c r="AC44" s="130"/>
      <c r="AD44" s="130"/>
      <c r="AE44" s="130"/>
      <c r="AF44" s="130"/>
      <c r="AG44" s="130"/>
      <c r="AH44" s="130"/>
      <c r="AI44" s="130"/>
      <c r="AJ44" s="130"/>
      <c r="AK44" s="130"/>
    </row>
    <row r="45">
      <c r="A45" s="15">
        <v>5.0</v>
      </c>
      <c r="B45" s="17" t="str">
        <f t="shared" si="43"/>
        <v>Anderson et al., 2001</v>
      </c>
      <c r="C45" s="114" t="s">
        <v>84</v>
      </c>
      <c r="D45" s="131" t="s">
        <v>385</v>
      </c>
      <c r="E45" s="118">
        <v>70.0</v>
      </c>
      <c r="F45" s="118">
        <v>34.0</v>
      </c>
      <c r="G45" s="119">
        <f t="shared" si="42"/>
        <v>0.4857142857</v>
      </c>
      <c r="H45" s="113" t="str">
        <f t="shared" si="33"/>
        <v>34 (49%)</v>
      </c>
      <c r="I45" s="118">
        <v>9.0</v>
      </c>
      <c r="J45" s="119">
        <f t="shared" si="34"/>
        <v>0.1285714286</v>
      </c>
      <c r="K45" s="113" t="str">
        <f t="shared" si="35"/>
        <v>9 (13%)</v>
      </c>
      <c r="L45" s="118">
        <v>16.0</v>
      </c>
      <c r="M45" s="119">
        <f t="shared" si="3"/>
        <v>0.2285714286</v>
      </c>
      <c r="N45" s="113" t="str">
        <f t="shared" si="36"/>
        <v>16 (23%)</v>
      </c>
      <c r="O45" s="118">
        <v>11.0</v>
      </c>
      <c r="P45" s="119">
        <f t="shared" si="4"/>
        <v>0.1571428571</v>
      </c>
      <c r="Q45" s="113" t="s">
        <v>487</v>
      </c>
      <c r="R45" s="127">
        <f t="shared" si="37"/>
        <v>36.35714286</v>
      </c>
      <c r="S45" s="127">
        <f t="shared" si="38"/>
        <v>27.22857143</v>
      </c>
      <c r="T45" s="118">
        <f t="shared" si="7"/>
        <v>36.35714286</v>
      </c>
      <c r="U45" s="128">
        <f t="shared" si="8"/>
        <v>0.5227963526</v>
      </c>
      <c r="V45" s="129">
        <v>1.95315129982293</v>
      </c>
      <c r="W45" s="130"/>
      <c r="X45" s="130"/>
      <c r="Y45" s="130"/>
      <c r="Z45" s="130"/>
      <c r="AA45" s="130"/>
      <c r="AB45" s="130"/>
      <c r="AC45" s="130"/>
      <c r="AD45" s="130"/>
      <c r="AE45" s="130"/>
      <c r="AF45" s="130"/>
      <c r="AG45" s="130"/>
      <c r="AH45" s="130"/>
      <c r="AI45" s="130"/>
      <c r="AJ45" s="130"/>
      <c r="AK45" s="130"/>
    </row>
    <row r="46">
      <c r="A46" s="15">
        <v>11.0</v>
      </c>
      <c r="B46" s="17" t="str">
        <f t="shared" ref="B46:B47" si="44">HYPERLINK("https://github.com/d-wkim/phd/blob/main/data/pdf/beynnon_2002.pdf","Beynnon et al., 2002")</f>
        <v>Beynnon et al., 2002</v>
      </c>
      <c r="C46" s="114" t="s">
        <v>42</v>
      </c>
      <c r="D46" s="131" t="s">
        <v>385</v>
      </c>
      <c r="E46" s="118">
        <v>22.0</v>
      </c>
      <c r="F46" s="118">
        <v>19.0</v>
      </c>
      <c r="G46" s="119">
        <f t="shared" si="42"/>
        <v>0.8636363636</v>
      </c>
      <c r="H46" s="113" t="str">
        <f t="shared" si="33"/>
        <v>19 (86%)</v>
      </c>
      <c r="I46" s="118">
        <v>3.0</v>
      </c>
      <c r="J46" s="119">
        <f t="shared" si="34"/>
        <v>0.1363636364</v>
      </c>
      <c r="K46" s="113" t="str">
        <f t="shared" si="35"/>
        <v>3 (14%)</v>
      </c>
      <c r="L46" s="118">
        <v>0.0</v>
      </c>
      <c r="M46" s="119">
        <f t="shared" si="3"/>
        <v>0</v>
      </c>
      <c r="N46" s="113" t="str">
        <f t="shared" si="36"/>
        <v>0 (0%)</v>
      </c>
      <c r="O46" s="118">
        <v>0.0</v>
      </c>
      <c r="P46" s="119">
        <f t="shared" si="4"/>
        <v>0</v>
      </c>
      <c r="Q46" s="113" t="s">
        <v>477</v>
      </c>
      <c r="R46" s="127">
        <f t="shared" si="37"/>
        <v>3.136363636</v>
      </c>
      <c r="S46" s="127">
        <f t="shared" ref="S46:S47" si="45">sum(L47:O47)</f>
        <v>6.272727273</v>
      </c>
      <c r="T46" s="118">
        <f t="shared" si="7"/>
        <v>3.136363636</v>
      </c>
      <c r="U46" s="128">
        <f t="shared" si="8"/>
        <v>0.1616161616</v>
      </c>
      <c r="V46" s="129">
        <v>0.10660035817780522</v>
      </c>
      <c r="W46" s="130"/>
      <c r="X46" s="130"/>
      <c r="Y46" s="130"/>
      <c r="Z46" s="130"/>
      <c r="AA46" s="130"/>
      <c r="AB46" s="130"/>
      <c r="AC46" s="130"/>
      <c r="AD46" s="130"/>
      <c r="AE46" s="130"/>
      <c r="AF46" s="130"/>
      <c r="AG46" s="130"/>
      <c r="AH46" s="130"/>
      <c r="AI46" s="130"/>
      <c r="AJ46" s="130"/>
      <c r="AK46" s="130"/>
    </row>
    <row r="47">
      <c r="A47" s="15">
        <v>11.0</v>
      </c>
      <c r="B47" s="17" t="str">
        <f t="shared" si="44"/>
        <v>Beynnon et al., 2002</v>
      </c>
      <c r="C47" s="114" t="s">
        <v>84</v>
      </c>
      <c r="D47" s="131" t="s">
        <v>385</v>
      </c>
      <c r="E47" s="114">
        <v>22.0</v>
      </c>
      <c r="F47" s="114">
        <v>13.0</v>
      </c>
      <c r="G47" s="119">
        <f t="shared" si="42"/>
        <v>0.5909090909</v>
      </c>
      <c r="H47" s="113" t="str">
        <f t="shared" si="33"/>
        <v>13 (59%)</v>
      </c>
      <c r="I47" s="114">
        <v>3.0</v>
      </c>
      <c r="J47" s="142">
        <f t="shared" si="34"/>
        <v>0.1363636364</v>
      </c>
      <c r="K47" s="113" t="str">
        <f t="shared" si="35"/>
        <v>3 (14%)</v>
      </c>
      <c r="L47" s="114">
        <v>6.0</v>
      </c>
      <c r="M47" s="119">
        <f t="shared" si="3"/>
        <v>0.2727272727</v>
      </c>
      <c r="N47" s="113" t="str">
        <f t="shared" si="36"/>
        <v>6 (27%)</v>
      </c>
      <c r="O47" s="114">
        <v>0.0</v>
      </c>
      <c r="P47" s="119">
        <f t="shared" si="4"/>
        <v>0</v>
      </c>
      <c r="Q47" s="113" t="s">
        <v>477</v>
      </c>
      <c r="R47" s="127">
        <f t="shared" si="37"/>
        <v>9.409090909</v>
      </c>
      <c r="S47" s="127">
        <f t="shared" si="45"/>
        <v>1.016129032</v>
      </c>
      <c r="T47" s="118">
        <f t="shared" si="7"/>
        <v>9.409090909</v>
      </c>
      <c r="U47" s="128">
        <f t="shared" si="8"/>
        <v>0.4404040404</v>
      </c>
      <c r="V47" s="129">
        <v>1.905481402428268</v>
      </c>
      <c r="W47" s="130"/>
      <c r="X47" s="130"/>
      <c r="Y47" s="130"/>
      <c r="Z47" s="130"/>
      <c r="AA47" s="130"/>
      <c r="AB47" s="130"/>
      <c r="AC47" s="130"/>
      <c r="AD47" s="130"/>
      <c r="AE47" s="130"/>
      <c r="AF47" s="130"/>
      <c r="AG47" s="130"/>
      <c r="AH47" s="130"/>
      <c r="AI47" s="130"/>
      <c r="AJ47" s="130"/>
      <c r="AK47" s="130"/>
    </row>
    <row r="48">
      <c r="A48" s="15">
        <v>12.0</v>
      </c>
      <c r="B48" s="17" t="str">
        <f t="shared" ref="B48:B49" si="46">HYPERLINK("https://github.com/d-wkim/phd/blob/main/data/pdf/bi_2018.pdf","Bi et al., 2018")</f>
        <v>Bi et al., 2018</v>
      </c>
      <c r="C48" s="114" t="s">
        <v>84</v>
      </c>
      <c r="D48" s="131" t="s">
        <v>385</v>
      </c>
      <c r="E48" s="118">
        <v>62.0</v>
      </c>
      <c r="F48" s="118">
        <v>58.0</v>
      </c>
      <c r="G48" s="119">
        <f t="shared" si="42"/>
        <v>0.935483871</v>
      </c>
      <c r="H48" s="113" t="str">
        <f t="shared" si="33"/>
        <v>58 (94%)</v>
      </c>
      <c r="I48" s="118">
        <v>3.0</v>
      </c>
      <c r="J48" s="119">
        <f t="shared" si="34"/>
        <v>0.04838709677</v>
      </c>
      <c r="K48" s="113" t="str">
        <f t="shared" si="35"/>
        <v>3 (5%)</v>
      </c>
      <c r="L48" s="118">
        <v>1.0</v>
      </c>
      <c r="M48" s="119">
        <f t="shared" si="3"/>
        <v>0.01612903226</v>
      </c>
      <c r="N48" s="113" t="str">
        <f t="shared" si="36"/>
        <v>1 (2%)</v>
      </c>
      <c r="O48" s="118">
        <v>0.0</v>
      </c>
      <c r="P48" s="119">
        <f t="shared" si="4"/>
        <v>0</v>
      </c>
      <c r="Q48" s="113" t="s">
        <v>477</v>
      </c>
      <c r="R48" s="127">
        <f t="shared" si="37"/>
        <v>4.064516129</v>
      </c>
      <c r="S48" s="127">
        <f t="shared" ref="S48:S63" si="47">sum(L48:O48)</f>
        <v>1.016129032</v>
      </c>
      <c r="T48" s="118">
        <f t="shared" si="7"/>
        <v>4.064516129</v>
      </c>
      <c r="U48" s="128">
        <f t="shared" si="8"/>
        <v>0.07303225806</v>
      </c>
      <c r="V48" s="129">
        <v>0.06350006350009525</v>
      </c>
      <c r="W48" s="130"/>
      <c r="X48" s="130"/>
      <c r="Y48" s="130"/>
      <c r="Z48" s="130"/>
      <c r="AA48" s="130"/>
      <c r="AB48" s="130"/>
      <c r="AC48" s="130"/>
      <c r="AD48" s="130"/>
      <c r="AE48" s="130"/>
      <c r="AF48" s="130"/>
      <c r="AG48" s="130"/>
      <c r="AH48" s="130"/>
      <c r="AI48" s="130"/>
      <c r="AJ48" s="130"/>
      <c r="AK48" s="130"/>
    </row>
    <row r="49">
      <c r="A49" s="15">
        <v>12.0</v>
      </c>
      <c r="B49" s="17" t="str">
        <f t="shared" si="46"/>
        <v>Bi et al., 2018</v>
      </c>
      <c r="C49" s="114" t="s">
        <v>186</v>
      </c>
      <c r="D49" s="131" t="s">
        <v>385</v>
      </c>
      <c r="E49" s="118">
        <v>62.0</v>
      </c>
      <c r="F49" s="118">
        <v>57.0</v>
      </c>
      <c r="G49" s="119">
        <f t="shared" si="42"/>
        <v>0.9193548387</v>
      </c>
      <c r="H49" s="113" t="str">
        <f t="shared" si="33"/>
        <v>57 (92%)</v>
      </c>
      <c r="I49" s="118">
        <v>5.0</v>
      </c>
      <c r="J49" s="119">
        <f t="shared" si="34"/>
        <v>0.08064516129</v>
      </c>
      <c r="K49" s="113" t="str">
        <f t="shared" si="35"/>
        <v>5 (8%)</v>
      </c>
      <c r="L49" s="118">
        <v>0.0</v>
      </c>
      <c r="M49" s="119">
        <f t="shared" si="3"/>
        <v>0</v>
      </c>
      <c r="N49" s="113" t="str">
        <f t="shared" si="36"/>
        <v>0 (0%)</v>
      </c>
      <c r="O49" s="118">
        <v>0.0</v>
      </c>
      <c r="P49" s="119">
        <f t="shared" si="4"/>
        <v>0</v>
      </c>
      <c r="Q49" s="113" t="s">
        <v>477</v>
      </c>
      <c r="R49" s="127">
        <f t="shared" si="37"/>
        <v>5.080645161</v>
      </c>
      <c r="S49" s="127">
        <f t="shared" si="47"/>
        <v>0</v>
      </c>
      <c r="T49" s="118">
        <f t="shared" si="7"/>
        <v>5.080645161</v>
      </c>
      <c r="U49" s="128">
        <f t="shared" si="8"/>
        <v>0.08929032258</v>
      </c>
      <c r="V49" s="129">
        <v>0.06350006350009525</v>
      </c>
      <c r="W49" s="130"/>
      <c r="X49" s="130"/>
      <c r="Y49" s="130"/>
      <c r="Z49" s="130"/>
      <c r="AA49" s="130"/>
      <c r="AB49" s="130"/>
      <c r="AC49" s="130"/>
      <c r="AD49" s="130"/>
      <c r="AE49" s="130"/>
      <c r="AF49" s="130"/>
      <c r="AG49" s="130"/>
      <c r="AH49" s="130"/>
      <c r="AI49" s="130"/>
      <c r="AJ49" s="130"/>
      <c r="AK49" s="130"/>
    </row>
    <row r="50">
      <c r="A50" s="9">
        <v>13.0</v>
      </c>
      <c r="B50" s="17" t="str">
        <f t="shared" ref="B50:B51" si="48">HYPERLINK("https://github.com/d-wkim/phd/blob/main/data/pdf/björnsson_2016.pdf","Björnsson et al., 2016")</f>
        <v>Björnsson et al., 2016</v>
      </c>
      <c r="C50" s="114" t="s">
        <v>42</v>
      </c>
      <c r="D50" s="131" t="s">
        <v>385</v>
      </c>
      <c r="E50" s="118">
        <v>60.0</v>
      </c>
      <c r="F50" s="118">
        <v>34.0</v>
      </c>
      <c r="G50" s="119">
        <f t="shared" si="42"/>
        <v>0.5666666667</v>
      </c>
      <c r="H50" s="113" t="str">
        <f t="shared" si="33"/>
        <v>34 (57%)</v>
      </c>
      <c r="I50" s="118">
        <v>14.0</v>
      </c>
      <c r="J50" s="119">
        <f t="shared" si="34"/>
        <v>0.2333333333</v>
      </c>
      <c r="K50" s="113" t="str">
        <f t="shared" si="35"/>
        <v>14 (23%)</v>
      </c>
      <c r="L50" s="118">
        <v>12.0</v>
      </c>
      <c r="M50" s="119">
        <f t="shared" si="3"/>
        <v>0.2</v>
      </c>
      <c r="N50" s="113" t="str">
        <f t="shared" si="36"/>
        <v>12 (20%)</v>
      </c>
      <c r="O50" s="118">
        <v>0.0</v>
      </c>
      <c r="P50" s="119">
        <f t="shared" si="4"/>
        <v>0</v>
      </c>
      <c r="Q50" s="113" t="s">
        <v>477</v>
      </c>
      <c r="R50" s="127">
        <f t="shared" si="37"/>
        <v>26.43333333</v>
      </c>
      <c r="S50" s="127">
        <f t="shared" si="47"/>
        <v>12.2</v>
      </c>
      <c r="T50" s="118">
        <f t="shared" si="7"/>
        <v>26.43333333</v>
      </c>
      <c r="U50" s="128">
        <f t="shared" si="8"/>
        <v>0.4451790634</v>
      </c>
      <c r="V50" s="129">
        <v>1.9924106316088404</v>
      </c>
      <c r="W50" s="130"/>
      <c r="X50" s="130"/>
      <c r="Y50" s="130"/>
      <c r="Z50" s="130"/>
      <c r="AA50" s="130"/>
      <c r="AB50" s="130"/>
      <c r="AC50" s="130"/>
      <c r="AD50" s="130"/>
      <c r="AE50" s="130"/>
      <c r="AF50" s="130"/>
      <c r="AG50" s="130"/>
      <c r="AH50" s="130"/>
      <c r="AI50" s="130"/>
      <c r="AJ50" s="130"/>
      <c r="AK50" s="130"/>
    </row>
    <row r="51">
      <c r="A51" s="9">
        <v>13.0</v>
      </c>
      <c r="B51" s="17" t="str">
        <f t="shared" si="48"/>
        <v>Björnsson et al., 2016</v>
      </c>
      <c r="C51" s="114" t="s">
        <v>84</v>
      </c>
      <c r="D51" s="131" t="s">
        <v>385</v>
      </c>
      <c r="E51" s="118">
        <v>86.0</v>
      </c>
      <c r="F51" s="118">
        <v>58.0</v>
      </c>
      <c r="G51" s="119">
        <f t="shared" si="42"/>
        <v>0.6744186047</v>
      </c>
      <c r="H51" s="113" t="str">
        <f t="shared" si="33"/>
        <v>58 (67%)</v>
      </c>
      <c r="I51" s="118">
        <v>15.0</v>
      </c>
      <c r="J51" s="119">
        <f t="shared" si="34"/>
        <v>0.1744186047</v>
      </c>
      <c r="K51" s="113" t="str">
        <f t="shared" si="35"/>
        <v>15 (17%)</v>
      </c>
      <c r="L51" s="118">
        <v>12.0</v>
      </c>
      <c r="M51" s="119">
        <f t="shared" si="3"/>
        <v>0.1395348837</v>
      </c>
      <c r="N51" s="113" t="str">
        <f t="shared" si="36"/>
        <v>12 (14%)</v>
      </c>
      <c r="O51" s="118">
        <v>1.0</v>
      </c>
      <c r="P51" s="119">
        <f t="shared" si="4"/>
        <v>0.01162790698</v>
      </c>
      <c r="Q51" s="113" t="s">
        <v>503</v>
      </c>
      <c r="R51" s="127">
        <f t="shared" si="37"/>
        <v>28.31395349</v>
      </c>
      <c r="S51" s="127">
        <f t="shared" si="47"/>
        <v>13.13953488</v>
      </c>
      <c r="T51" s="118">
        <f t="shared" si="7"/>
        <v>28.31395349</v>
      </c>
      <c r="U51" s="128">
        <f t="shared" si="8"/>
        <v>0.3331092889</v>
      </c>
      <c r="V51" s="129">
        <v>1.7149842423176986</v>
      </c>
      <c r="W51" s="130"/>
      <c r="X51" s="130"/>
      <c r="Y51" s="130"/>
      <c r="Z51" s="130"/>
      <c r="AA51" s="130"/>
      <c r="AB51" s="130"/>
      <c r="AC51" s="130"/>
      <c r="AD51" s="130"/>
      <c r="AE51" s="130"/>
      <c r="AF51" s="130"/>
      <c r="AG51" s="130"/>
      <c r="AH51" s="130"/>
      <c r="AI51" s="130"/>
      <c r="AJ51" s="130"/>
      <c r="AK51" s="130"/>
    </row>
    <row r="52">
      <c r="A52" s="15">
        <v>25.0</v>
      </c>
      <c r="B52" s="17" t="str">
        <f t="shared" ref="B52:B53" si="49">HYPERLINK("https://github.com/d-wkim/phd/blob/main/data/pdf/eriksson_2006.pdf","Eriksson et al., 2001")</f>
        <v>Eriksson et al., 2001</v>
      </c>
      <c r="C52" s="114" t="s">
        <v>42</v>
      </c>
      <c r="D52" s="131" t="s">
        <v>385</v>
      </c>
      <c r="E52" s="118">
        <v>42.0</v>
      </c>
      <c r="F52" s="118">
        <v>36.0</v>
      </c>
      <c r="G52" s="119">
        <f t="shared" si="42"/>
        <v>0.8571428571</v>
      </c>
      <c r="H52" s="113" t="str">
        <f t="shared" si="33"/>
        <v>36 (86%)</v>
      </c>
      <c r="I52" s="118">
        <v>6.0</v>
      </c>
      <c r="J52" s="119">
        <f t="shared" si="34"/>
        <v>0.1428571429</v>
      </c>
      <c r="K52" s="113" t="str">
        <f t="shared" si="35"/>
        <v>6 (14%)</v>
      </c>
      <c r="L52" s="118">
        <v>0.0</v>
      </c>
      <c r="M52" s="119">
        <f t="shared" si="3"/>
        <v>0</v>
      </c>
      <c r="N52" s="113" t="str">
        <f t="shared" si="36"/>
        <v>0 (0%)</v>
      </c>
      <c r="O52" s="118">
        <v>0.0</v>
      </c>
      <c r="P52" s="119">
        <f t="shared" si="4"/>
        <v>0</v>
      </c>
      <c r="Q52" s="113" t="s">
        <v>477</v>
      </c>
      <c r="R52" s="127">
        <f t="shared" si="37"/>
        <v>6.142857143</v>
      </c>
      <c r="S52" s="127">
        <f t="shared" si="47"/>
        <v>0</v>
      </c>
      <c r="T52" s="118">
        <f t="shared" si="7"/>
        <v>6.142857143</v>
      </c>
      <c r="U52" s="128">
        <f t="shared" si="8"/>
        <v>0.156302521</v>
      </c>
      <c r="V52" s="129">
        <v>0.4050462936504913</v>
      </c>
      <c r="W52" s="130"/>
      <c r="X52" s="130"/>
      <c r="Y52" s="130"/>
      <c r="Z52" s="130"/>
      <c r="AA52" s="130"/>
      <c r="AB52" s="130"/>
      <c r="AC52" s="130"/>
      <c r="AD52" s="130"/>
      <c r="AE52" s="130"/>
      <c r="AF52" s="130"/>
      <c r="AG52" s="130"/>
      <c r="AH52" s="130"/>
      <c r="AI52" s="130"/>
      <c r="AJ52" s="130"/>
      <c r="AK52" s="130"/>
    </row>
    <row r="53">
      <c r="A53" s="15">
        <v>25.0</v>
      </c>
      <c r="B53" s="17" t="str">
        <f t="shared" si="49"/>
        <v>Eriksson et al., 2001</v>
      </c>
      <c r="C53" s="114" t="s">
        <v>84</v>
      </c>
      <c r="D53" s="131" t="s">
        <v>385</v>
      </c>
      <c r="E53" s="118">
        <v>47.0</v>
      </c>
      <c r="F53" s="118">
        <v>28.0</v>
      </c>
      <c r="G53" s="119">
        <f t="shared" si="42"/>
        <v>0.5957446809</v>
      </c>
      <c r="H53" s="113" t="str">
        <f t="shared" si="33"/>
        <v>28 (60%)</v>
      </c>
      <c r="I53" s="118">
        <v>19.0</v>
      </c>
      <c r="J53" s="119">
        <f t="shared" si="34"/>
        <v>0.4042553191</v>
      </c>
      <c r="K53" s="113" t="str">
        <f t="shared" si="35"/>
        <v>19 (40%)</v>
      </c>
      <c r="L53" s="118">
        <v>0.0</v>
      </c>
      <c r="M53" s="119">
        <f t="shared" si="3"/>
        <v>0</v>
      </c>
      <c r="N53" s="113" t="str">
        <f t="shared" si="36"/>
        <v>0 (0%)</v>
      </c>
      <c r="O53" s="118">
        <v>0.0</v>
      </c>
      <c r="P53" s="119">
        <f t="shared" si="4"/>
        <v>0</v>
      </c>
      <c r="Q53" s="113" t="s">
        <v>477</v>
      </c>
      <c r="R53" s="127">
        <f t="shared" si="37"/>
        <v>19.40425532</v>
      </c>
      <c r="S53" s="127">
        <f t="shared" si="47"/>
        <v>0</v>
      </c>
      <c r="T53" s="118">
        <f t="shared" si="7"/>
        <v>19.40425532</v>
      </c>
      <c r="U53" s="128">
        <f t="shared" si="8"/>
        <v>0.4190369541</v>
      </c>
      <c r="V53" s="129">
        <v>1.713913650100261</v>
      </c>
      <c r="W53" s="130"/>
      <c r="X53" s="130"/>
      <c r="Y53" s="130"/>
      <c r="Z53" s="130"/>
      <c r="AA53" s="130"/>
      <c r="AB53" s="130"/>
      <c r="AC53" s="130"/>
      <c r="AD53" s="130"/>
      <c r="AE53" s="130"/>
      <c r="AF53" s="130"/>
      <c r="AG53" s="130"/>
      <c r="AH53" s="130"/>
      <c r="AI53" s="130"/>
      <c r="AJ53" s="130"/>
      <c r="AK53" s="130"/>
    </row>
    <row r="54">
      <c r="A54" s="15">
        <v>26.0</v>
      </c>
      <c r="B54" s="17" t="str">
        <f t="shared" ref="B54:B55" si="50">HYPERLINK("https://github.com/d-wkim/phd/blob/main/data/pdf/feller_webster_2003.pdf","Feller &amp; Webster, 2003")</f>
        <v>Feller &amp; Webster, 2003</v>
      </c>
      <c r="C54" s="114" t="s">
        <v>42</v>
      </c>
      <c r="D54" s="131" t="s">
        <v>385</v>
      </c>
      <c r="E54" s="118">
        <v>42.0</v>
      </c>
      <c r="F54" s="118">
        <v>40.0</v>
      </c>
      <c r="G54" s="119">
        <f t="shared" si="42"/>
        <v>0.9523809524</v>
      </c>
      <c r="H54" s="113" t="str">
        <f t="shared" si="33"/>
        <v>40 (95%)</v>
      </c>
      <c r="I54" s="118">
        <v>2.0</v>
      </c>
      <c r="J54" s="119">
        <f t="shared" si="34"/>
        <v>0.04761904762</v>
      </c>
      <c r="K54" s="113" t="str">
        <f t="shared" si="35"/>
        <v>2 (5%)</v>
      </c>
      <c r="L54" s="118">
        <v>0.0</v>
      </c>
      <c r="M54" s="119">
        <f t="shared" si="3"/>
        <v>0</v>
      </c>
      <c r="N54" s="113" t="str">
        <f t="shared" si="36"/>
        <v>0 (0%)</v>
      </c>
      <c r="O54" s="118">
        <v>0.0</v>
      </c>
      <c r="P54" s="119">
        <f t="shared" si="4"/>
        <v>0</v>
      </c>
      <c r="Q54" s="113" t="s">
        <v>477</v>
      </c>
      <c r="R54" s="127">
        <f t="shared" si="37"/>
        <v>2.047619048</v>
      </c>
      <c r="S54" s="127">
        <f t="shared" si="47"/>
        <v>0</v>
      </c>
      <c r="T54" s="118">
        <f t="shared" si="7"/>
        <v>2.047619048</v>
      </c>
      <c r="U54" s="128">
        <f t="shared" si="8"/>
        <v>0.05994397759</v>
      </c>
      <c r="V54" s="129">
        <v>0.09622504486493763</v>
      </c>
      <c r="W54" s="130"/>
      <c r="X54" s="130"/>
      <c r="Y54" s="130"/>
      <c r="Z54" s="130"/>
      <c r="AA54" s="130"/>
      <c r="AB54" s="130"/>
      <c r="AC54" s="130"/>
      <c r="AD54" s="130"/>
      <c r="AE54" s="130"/>
      <c r="AF54" s="130"/>
      <c r="AG54" s="130"/>
      <c r="AH54" s="130"/>
      <c r="AI54" s="130"/>
      <c r="AJ54" s="130"/>
      <c r="AK54" s="130"/>
    </row>
    <row r="55">
      <c r="A55" s="15">
        <v>26.0</v>
      </c>
      <c r="B55" s="17" t="str">
        <f t="shared" si="50"/>
        <v>Feller &amp; Webster, 2003</v>
      </c>
      <c r="C55" s="114" t="s">
        <v>84</v>
      </c>
      <c r="D55" s="131" t="s">
        <v>385</v>
      </c>
      <c r="E55" s="118">
        <v>47.0</v>
      </c>
      <c r="F55" s="118">
        <v>38.0</v>
      </c>
      <c r="G55" s="119">
        <f t="shared" si="42"/>
        <v>0.8085106383</v>
      </c>
      <c r="H55" s="113" t="str">
        <f t="shared" si="33"/>
        <v>38 (81%)</v>
      </c>
      <c r="I55" s="118">
        <v>9.0</v>
      </c>
      <c r="J55" s="119">
        <f t="shared" si="34"/>
        <v>0.1914893617</v>
      </c>
      <c r="K55" s="113" t="str">
        <f t="shared" si="35"/>
        <v>9 (19%)</v>
      </c>
      <c r="L55" s="118">
        <v>0.0</v>
      </c>
      <c r="M55" s="119">
        <f t="shared" si="3"/>
        <v>0</v>
      </c>
      <c r="N55" s="113" t="str">
        <f t="shared" si="36"/>
        <v>0 (0%)</v>
      </c>
      <c r="O55" s="118">
        <v>0.0</v>
      </c>
      <c r="P55" s="119">
        <f t="shared" si="4"/>
        <v>0</v>
      </c>
      <c r="Q55" s="113" t="s">
        <v>477</v>
      </c>
      <c r="R55" s="127">
        <f t="shared" si="37"/>
        <v>9.191489362</v>
      </c>
      <c r="S55" s="127">
        <f t="shared" si="47"/>
        <v>0</v>
      </c>
      <c r="T55" s="118">
        <f t="shared" si="7"/>
        <v>9.191489362</v>
      </c>
      <c r="U55" s="128">
        <f t="shared" si="8"/>
        <v>0.204031355</v>
      </c>
      <c r="V55" s="129">
        <v>1.57526039514107</v>
      </c>
      <c r="W55" s="130"/>
      <c r="X55" s="130"/>
      <c r="Y55" s="130"/>
      <c r="Z55" s="130"/>
      <c r="AA55" s="130"/>
      <c r="AB55" s="130"/>
      <c r="AC55" s="130"/>
      <c r="AD55" s="130"/>
      <c r="AE55" s="130"/>
      <c r="AF55" s="130"/>
      <c r="AG55" s="130"/>
      <c r="AH55" s="130"/>
      <c r="AI55" s="130"/>
      <c r="AJ55" s="130"/>
      <c r="AK55" s="130"/>
    </row>
    <row r="56">
      <c r="A56" s="15">
        <v>32.0</v>
      </c>
      <c r="B56" s="17" t="str">
        <f t="shared" ref="B56:B57" si="51">HYPERLINK("https://github.com/d-wkim/phd/blob/main/data/pdf/guglielmetti_2021.pdf","Guglielmetti et al., 2021")</f>
        <v>Guglielmetti et al., 2021</v>
      </c>
      <c r="C56" s="114" t="s">
        <v>42</v>
      </c>
      <c r="D56" s="131" t="s">
        <v>385</v>
      </c>
      <c r="E56" s="118">
        <v>31.0</v>
      </c>
      <c r="F56" s="118">
        <v>24.0</v>
      </c>
      <c r="G56" s="119">
        <f t="shared" si="42"/>
        <v>0.7741935484</v>
      </c>
      <c r="H56" s="113" t="str">
        <f t="shared" si="33"/>
        <v>24 (77%)</v>
      </c>
      <c r="I56" s="118">
        <v>5.0</v>
      </c>
      <c r="J56" s="119">
        <f t="shared" si="34"/>
        <v>0.1612903226</v>
      </c>
      <c r="K56" s="113" t="str">
        <f t="shared" si="35"/>
        <v>5 (16%)</v>
      </c>
      <c r="L56" s="118">
        <v>0.0</v>
      </c>
      <c r="M56" s="119">
        <f t="shared" si="3"/>
        <v>0</v>
      </c>
      <c r="N56" s="113" t="str">
        <f t="shared" si="36"/>
        <v>0 (0%)</v>
      </c>
      <c r="O56" s="118">
        <v>2.0</v>
      </c>
      <c r="P56" s="119">
        <f t="shared" si="4"/>
        <v>0.06451612903</v>
      </c>
      <c r="Q56" s="113" t="s">
        <v>514</v>
      </c>
      <c r="R56" s="127">
        <f t="shared" si="37"/>
        <v>7.161290323</v>
      </c>
      <c r="S56" s="127">
        <f t="shared" si="47"/>
        <v>2</v>
      </c>
      <c r="T56" s="118">
        <f t="shared" si="7"/>
        <v>7.161290323</v>
      </c>
      <c r="U56" s="128">
        <f t="shared" si="8"/>
        <v>0.2432155658</v>
      </c>
      <c r="V56" s="129">
        <v>0.47997968645086386</v>
      </c>
      <c r="W56" s="130"/>
      <c r="X56" s="130"/>
      <c r="Y56" s="130"/>
      <c r="Z56" s="130"/>
      <c r="AA56" s="130"/>
      <c r="AB56" s="130"/>
      <c r="AC56" s="130"/>
      <c r="AD56" s="130"/>
      <c r="AE56" s="130"/>
      <c r="AF56" s="130"/>
      <c r="AG56" s="130"/>
      <c r="AH56" s="130"/>
      <c r="AI56" s="130"/>
      <c r="AJ56" s="130"/>
      <c r="AK56" s="130"/>
    </row>
    <row r="57">
      <c r="A57" s="15">
        <v>32.0</v>
      </c>
      <c r="B57" s="17" t="str">
        <f t="shared" si="51"/>
        <v>Guglielmetti et al., 2021</v>
      </c>
      <c r="C57" s="114" t="s">
        <v>84</v>
      </c>
      <c r="D57" s="131" t="s">
        <v>385</v>
      </c>
      <c r="E57" s="118">
        <v>31.0</v>
      </c>
      <c r="F57" s="118">
        <v>20.0</v>
      </c>
      <c r="G57" s="119">
        <f t="shared" si="42"/>
        <v>0.6451612903</v>
      </c>
      <c r="H57" s="113" t="str">
        <f t="shared" si="33"/>
        <v>20 (65%)</v>
      </c>
      <c r="I57" s="118">
        <v>8.0</v>
      </c>
      <c r="J57" s="119">
        <f t="shared" si="34"/>
        <v>0.2580645161</v>
      </c>
      <c r="K57" s="113" t="str">
        <f t="shared" si="35"/>
        <v>8 (26%)</v>
      </c>
      <c r="M57" s="119">
        <f>R43/$E57</f>
        <v>0.3607526882</v>
      </c>
      <c r="N57" s="113" t="str">
        <f>R43&amp;" ("&amp;round(M57*100,0)&amp;"%)"</f>
        <v>11.1833333333333 (36%)</v>
      </c>
      <c r="O57" s="118">
        <v>1.0</v>
      </c>
      <c r="P57" s="119">
        <f t="shared" si="4"/>
        <v>0.03225806452</v>
      </c>
      <c r="Q57" s="113" t="s">
        <v>517</v>
      </c>
      <c r="R57" s="127">
        <f t="shared" si="37"/>
        <v>9.618817204</v>
      </c>
      <c r="S57" s="127">
        <f t="shared" si="47"/>
        <v>1.360752688</v>
      </c>
      <c r="T57" s="118">
        <f t="shared" si="7"/>
        <v>9.618817204</v>
      </c>
      <c r="U57" s="128">
        <f t="shared" si="8"/>
        <v>0.3212322922</v>
      </c>
      <c r="V57" s="129">
        <v>0.6959705453537527</v>
      </c>
      <c r="W57" s="130"/>
      <c r="X57" s="130"/>
      <c r="Y57" s="130"/>
      <c r="Z57" s="130"/>
      <c r="AA57" s="130"/>
      <c r="AB57" s="130"/>
      <c r="AC57" s="130"/>
      <c r="AD57" s="130"/>
      <c r="AE57" s="130"/>
      <c r="AF57" s="130"/>
      <c r="AG57" s="130"/>
      <c r="AH57" s="130"/>
      <c r="AI57" s="130"/>
      <c r="AJ57" s="130"/>
      <c r="AK57" s="130"/>
    </row>
    <row r="58">
      <c r="A58" s="15">
        <v>33.0</v>
      </c>
      <c r="B58" s="17" t="str">
        <f t="shared" ref="B58:B59" si="52">HYPERLINK("https://github.com/d-wkim/phd/blob/main/data/pdf/harilainen_2006.pdf","Harilainen et al., 2006")</f>
        <v>Harilainen et al., 2006</v>
      </c>
      <c r="C58" s="114" t="s">
        <v>42</v>
      </c>
      <c r="D58" s="131" t="s">
        <v>385</v>
      </c>
      <c r="E58" s="118">
        <v>37.0</v>
      </c>
      <c r="F58" s="118">
        <v>33.0</v>
      </c>
      <c r="G58" s="119">
        <f t="shared" si="42"/>
        <v>0.8918918919</v>
      </c>
      <c r="H58" s="113" t="str">
        <f t="shared" si="33"/>
        <v>33 (89%)</v>
      </c>
      <c r="I58" s="118">
        <v>4.0</v>
      </c>
      <c r="J58" s="119">
        <f t="shared" si="34"/>
        <v>0.1081081081</v>
      </c>
      <c r="K58" s="113" t="str">
        <f t="shared" si="35"/>
        <v>4 (11%)</v>
      </c>
      <c r="L58" s="118">
        <v>0.0</v>
      </c>
      <c r="M58" s="119">
        <f t="shared" ref="M58:M87" si="53">L58/$E58</f>
        <v>0</v>
      </c>
      <c r="N58" s="113" t="str">
        <f t="shared" ref="N58:N87" si="54">L58&amp;" ("&amp;round(M58*100,0)&amp;"%)"</f>
        <v>0 (0%)</v>
      </c>
      <c r="O58" s="118">
        <v>0.0</v>
      </c>
      <c r="P58" s="119">
        <f t="shared" si="4"/>
        <v>0</v>
      </c>
      <c r="Q58" s="113" t="s">
        <v>477</v>
      </c>
      <c r="R58" s="127">
        <f t="shared" si="37"/>
        <v>4.108108108</v>
      </c>
      <c r="S58" s="127">
        <f t="shared" si="47"/>
        <v>0</v>
      </c>
      <c r="T58" s="118">
        <f t="shared" si="7"/>
        <v>4.108108108</v>
      </c>
      <c r="U58" s="128">
        <f t="shared" si="8"/>
        <v>0.1228828829</v>
      </c>
      <c r="V58" s="129">
        <v>0.08219949365267865</v>
      </c>
      <c r="W58" s="130"/>
      <c r="X58" s="130"/>
      <c r="Y58" s="130"/>
      <c r="Z58" s="130"/>
      <c r="AA58" s="130"/>
      <c r="AB58" s="130"/>
      <c r="AC58" s="130"/>
      <c r="AD58" s="130"/>
      <c r="AE58" s="130"/>
      <c r="AF58" s="130"/>
      <c r="AG58" s="130"/>
      <c r="AH58" s="130"/>
      <c r="AI58" s="130"/>
      <c r="AJ58" s="130"/>
      <c r="AK58" s="130"/>
    </row>
    <row r="59">
      <c r="A59" s="15">
        <v>33.0</v>
      </c>
      <c r="B59" s="17" t="str">
        <f t="shared" si="52"/>
        <v>Harilainen et al., 2006</v>
      </c>
      <c r="C59" s="114" t="s">
        <v>84</v>
      </c>
      <c r="D59" s="131" t="s">
        <v>385</v>
      </c>
      <c r="E59" s="118">
        <v>37.0</v>
      </c>
      <c r="F59" s="118">
        <v>33.0</v>
      </c>
      <c r="G59" s="119">
        <f t="shared" si="42"/>
        <v>0.8918918919</v>
      </c>
      <c r="H59" s="113" t="str">
        <f t="shared" si="33"/>
        <v>33 (89%)</v>
      </c>
      <c r="I59" s="118">
        <v>3.0</v>
      </c>
      <c r="J59" s="119">
        <f t="shared" si="34"/>
        <v>0.08108108108</v>
      </c>
      <c r="K59" s="113" t="str">
        <f t="shared" si="35"/>
        <v>3 (8%)</v>
      </c>
      <c r="L59" s="118">
        <v>1.0</v>
      </c>
      <c r="M59" s="119">
        <f t="shared" si="53"/>
        <v>0.02702702703</v>
      </c>
      <c r="N59" s="113" t="str">
        <f t="shared" si="54"/>
        <v>1 (3%)</v>
      </c>
      <c r="O59" s="118">
        <v>0.0</v>
      </c>
      <c r="P59" s="119">
        <f t="shared" si="4"/>
        <v>0</v>
      </c>
      <c r="Q59" s="113" t="s">
        <v>477</v>
      </c>
      <c r="R59" s="127">
        <f t="shared" si="37"/>
        <v>4.108108108</v>
      </c>
      <c r="S59" s="127">
        <f t="shared" si="47"/>
        <v>1.027027027</v>
      </c>
      <c r="T59" s="118">
        <f t="shared" si="7"/>
        <v>4.108108108</v>
      </c>
      <c r="U59" s="128">
        <f t="shared" si="8"/>
        <v>0.1228828829</v>
      </c>
      <c r="V59" s="129">
        <v>0.25344843876242584</v>
      </c>
      <c r="W59" s="130"/>
      <c r="X59" s="130"/>
      <c r="Y59" s="130"/>
      <c r="Z59" s="130"/>
      <c r="AA59" s="130"/>
      <c r="AB59" s="130"/>
      <c r="AC59" s="130"/>
      <c r="AD59" s="130"/>
      <c r="AE59" s="130"/>
      <c r="AF59" s="130"/>
      <c r="AG59" s="130"/>
      <c r="AH59" s="130"/>
      <c r="AI59" s="130"/>
      <c r="AJ59" s="130"/>
      <c r="AK59" s="130"/>
    </row>
    <row r="60">
      <c r="A60" s="15">
        <v>34.0</v>
      </c>
      <c r="B60" s="17" t="str">
        <f t="shared" ref="B60:B61" si="55">HYPERLINK("https://github.com/d-wkim/phd/blob/main/data/pdf/heijne_werner_2010.pdf","Heijne &amp; Werner, 2010")</f>
        <v>Heijne &amp; Werner, 2010</v>
      </c>
      <c r="C60" s="114" t="s">
        <v>42</v>
      </c>
      <c r="D60" s="131" t="s">
        <v>385</v>
      </c>
      <c r="E60" s="118">
        <v>30.0</v>
      </c>
      <c r="F60" s="118">
        <v>17.0</v>
      </c>
      <c r="G60" s="119">
        <f t="shared" si="42"/>
        <v>0.5666666667</v>
      </c>
      <c r="H60" s="113" t="str">
        <f t="shared" si="33"/>
        <v>17 (57%)</v>
      </c>
      <c r="I60" s="118">
        <v>10.0</v>
      </c>
      <c r="J60" s="119">
        <f t="shared" si="34"/>
        <v>0.3333333333</v>
      </c>
      <c r="K60" s="113" t="str">
        <f t="shared" si="35"/>
        <v>10 (33%)</v>
      </c>
      <c r="L60" s="118">
        <v>3.0</v>
      </c>
      <c r="M60" s="119">
        <f t="shared" si="53"/>
        <v>0.1</v>
      </c>
      <c r="N60" s="113" t="str">
        <f t="shared" si="54"/>
        <v>3 (10%)</v>
      </c>
      <c r="O60" s="118">
        <v>0.0</v>
      </c>
      <c r="P60" s="119">
        <f t="shared" si="4"/>
        <v>0</v>
      </c>
      <c r="Q60" s="113" t="s">
        <v>477</v>
      </c>
      <c r="R60" s="127">
        <f t="shared" si="37"/>
        <v>13.43333333</v>
      </c>
      <c r="S60" s="127">
        <f t="shared" si="47"/>
        <v>3.1</v>
      </c>
      <c r="T60" s="118">
        <f t="shared" si="7"/>
        <v>13.43333333</v>
      </c>
      <c r="U60" s="128">
        <f t="shared" si="8"/>
        <v>0.4568306011</v>
      </c>
      <c r="V60" s="129">
        <v>0.7100107226918819</v>
      </c>
      <c r="W60" s="130"/>
      <c r="X60" s="130"/>
      <c r="Y60" s="130"/>
      <c r="Z60" s="130"/>
      <c r="AA60" s="130"/>
      <c r="AB60" s="130"/>
      <c r="AC60" s="130"/>
      <c r="AD60" s="130"/>
      <c r="AE60" s="130"/>
      <c r="AF60" s="130"/>
      <c r="AG60" s="130"/>
      <c r="AH60" s="130"/>
      <c r="AI60" s="130"/>
      <c r="AJ60" s="130"/>
      <c r="AK60" s="130"/>
    </row>
    <row r="61">
      <c r="A61" s="15">
        <v>34.0</v>
      </c>
      <c r="B61" s="17" t="str">
        <f t="shared" si="55"/>
        <v>Heijne &amp; Werner, 2010</v>
      </c>
      <c r="C61" s="114" t="s">
        <v>84</v>
      </c>
      <c r="D61" s="131" t="s">
        <v>385</v>
      </c>
      <c r="E61" s="118">
        <v>29.0</v>
      </c>
      <c r="F61" s="118">
        <v>8.0</v>
      </c>
      <c r="G61" s="119">
        <f t="shared" si="42"/>
        <v>0.275862069</v>
      </c>
      <c r="H61" s="113" t="str">
        <f t="shared" si="33"/>
        <v>8 (28%)</v>
      </c>
      <c r="I61" s="118">
        <v>13.0</v>
      </c>
      <c r="J61" s="119">
        <f t="shared" si="34"/>
        <v>0.4482758621</v>
      </c>
      <c r="K61" s="113" t="str">
        <f t="shared" si="35"/>
        <v>13 (45%)</v>
      </c>
      <c r="L61" s="118">
        <v>7.0</v>
      </c>
      <c r="M61" s="119">
        <f t="shared" si="53"/>
        <v>0.2413793103</v>
      </c>
      <c r="N61" s="113" t="str">
        <f t="shared" si="54"/>
        <v>7 (24%)</v>
      </c>
      <c r="O61" s="118">
        <v>1.0</v>
      </c>
      <c r="P61" s="119">
        <f t="shared" si="4"/>
        <v>0.03448275862</v>
      </c>
      <c r="Q61" s="113" t="s">
        <v>517</v>
      </c>
      <c r="R61" s="127">
        <f t="shared" si="37"/>
        <v>21.68965517</v>
      </c>
      <c r="S61" s="127">
        <f t="shared" si="47"/>
        <v>8.24137931</v>
      </c>
      <c r="T61" s="118">
        <f t="shared" si="7"/>
        <v>21.68965517</v>
      </c>
      <c r="U61" s="128">
        <f t="shared" si="8"/>
        <v>0.7521917008</v>
      </c>
      <c r="V61" s="129">
        <v>2.179709564792537</v>
      </c>
      <c r="W61" s="130"/>
      <c r="X61" s="130"/>
      <c r="Y61" s="130"/>
      <c r="Z61" s="130"/>
      <c r="AA61" s="130"/>
      <c r="AB61" s="130"/>
      <c r="AC61" s="130"/>
      <c r="AD61" s="130"/>
      <c r="AE61" s="130"/>
      <c r="AF61" s="130"/>
      <c r="AG61" s="130"/>
      <c r="AH61" s="130"/>
      <c r="AI61" s="130"/>
      <c r="AJ61" s="130"/>
      <c r="AK61" s="130"/>
    </row>
    <row r="62">
      <c r="A62" s="15">
        <v>36.0</v>
      </c>
      <c r="B62" s="17" t="str">
        <f t="shared" ref="B62:B63" si="56">HYPERLINK("https://github.com/d-wkim/phd/blob/main/data/pdf/horstmann_2022.pdf","Horstmann et al., 2022")</f>
        <v>Horstmann et al., 2022</v>
      </c>
      <c r="C62" s="114" t="s">
        <v>84</v>
      </c>
      <c r="D62" s="131" t="s">
        <v>385</v>
      </c>
      <c r="E62" s="118">
        <v>26.0</v>
      </c>
      <c r="F62" s="118">
        <v>26.0</v>
      </c>
      <c r="G62" s="119">
        <f t="shared" si="42"/>
        <v>1</v>
      </c>
      <c r="H62" s="113" t="str">
        <f t="shared" si="33"/>
        <v>26 (100%)</v>
      </c>
      <c r="I62" s="118">
        <v>0.0</v>
      </c>
      <c r="J62" s="119">
        <f t="shared" si="34"/>
        <v>0</v>
      </c>
      <c r="K62" s="113" t="str">
        <f t="shared" si="35"/>
        <v>0 (0%)</v>
      </c>
      <c r="L62" s="118">
        <v>0.0</v>
      </c>
      <c r="M62" s="119">
        <f t="shared" si="53"/>
        <v>0</v>
      </c>
      <c r="N62" s="113" t="str">
        <f t="shared" si="54"/>
        <v>0 (0%)</v>
      </c>
      <c r="O62" s="118">
        <v>0.0</v>
      </c>
      <c r="P62" s="119">
        <f t="shared" si="4"/>
        <v>0</v>
      </c>
      <c r="Q62" s="113" t="s">
        <v>477</v>
      </c>
      <c r="R62" s="127">
        <f t="shared" si="37"/>
        <v>0</v>
      </c>
      <c r="S62" s="127">
        <f t="shared" si="47"/>
        <v>0</v>
      </c>
      <c r="T62" s="118">
        <f t="shared" si="7"/>
        <v>0</v>
      </c>
      <c r="U62" s="128">
        <f t="shared" si="8"/>
        <v>0.01886792453</v>
      </c>
      <c r="V62" s="129">
        <v>0.098058067569092</v>
      </c>
      <c r="W62" s="130"/>
      <c r="X62" s="130"/>
      <c r="Y62" s="130"/>
      <c r="Z62" s="130"/>
      <c r="AA62" s="130"/>
      <c r="AB62" s="130"/>
      <c r="AC62" s="130"/>
      <c r="AD62" s="130"/>
      <c r="AE62" s="130"/>
      <c r="AF62" s="130"/>
      <c r="AG62" s="130"/>
      <c r="AH62" s="130"/>
      <c r="AI62" s="130"/>
      <c r="AJ62" s="130"/>
      <c r="AK62" s="130"/>
    </row>
    <row r="63">
      <c r="A63" s="15">
        <v>36.0</v>
      </c>
      <c r="B63" s="17" t="str">
        <f t="shared" si="56"/>
        <v>Horstmann et al., 2022</v>
      </c>
      <c r="C63" s="114" t="s">
        <v>200</v>
      </c>
      <c r="D63" s="131" t="s">
        <v>385</v>
      </c>
      <c r="E63" s="118">
        <v>23.0</v>
      </c>
      <c r="F63" s="118">
        <v>23.0</v>
      </c>
      <c r="G63" s="119">
        <f t="shared" si="42"/>
        <v>1</v>
      </c>
      <c r="H63" s="113" t="str">
        <f t="shared" si="33"/>
        <v>23 (100%)</v>
      </c>
      <c r="I63" s="118">
        <v>0.0</v>
      </c>
      <c r="J63" s="119">
        <f t="shared" si="34"/>
        <v>0</v>
      </c>
      <c r="K63" s="113" t="str">
        <f t="shared" si="35"/>
        <v>0 (0%)</v>
      </c>
      <c r="L63" s="118">
        <v>0.0</v>
      </c>
      <c r="M63" s="119">
        <f t="shared" si="53"/>
        <v>0</v>
      </c>
      <c r="N63" s="113" t="str">
        <f t="shared" si="54"/>
        <v>0 (0%)</v>
      </c>
      <c r="O63" s="118">
        <v>0.0</v>
      </c>
      <c r="P63" s="119">
        <f t="shared" si="4"/>
        <v>0</v>
      </c>
      <c r="Q63" s="113" t="s">
        <v>477</v>
      </c>
      <c r="R63" s="127">
        <f t="shared" si="37"/>
        <v>0</v>
      </c>
      <c r="S63" s="127">
        <f t="shared" si="47"/>
        <v>0</v>
      </c>
      <c r="T63" s="118">
        <f t="shared" si="7"/>
        <v>0</v>
      </c>
      <c r="U63" s="128">
        <f t="shared" si="8"/>
        <v>0.02127659574</v>
      </c>
      <c r="V63" s="129">
        <v>0.10425720702853737</v>
      </c>
      <c r="W63" s="130"/>
      <c r="X63" s="130"/>
      <c r="Y63" s="130"/>
      <c r="Z63" s="130"/>
      <c r="AA63" s="130"/>
      <c r="AB63" s="130"/>
      <c r="AC63" s="130"/>
      <c r="AD63" s="130"/>
      <c r="AE63" s="130"/>
      <c r="AF63" s="130"/>
      <c r="AG63" s="130"/>
      <c r="AH63" s="130"/>
      <c r="AI63" s="130"/>
      <c r="AJ63" s="130"/>
      <c r="AK63" s="130"/>
    </row>
    <row r="64">
      <c r="A64" s="15">
        <v>37.0</v>
      </c>
      <c r="B64" s="17" t="str">
        <f t="shared" ref="B64:B65" si="57">HYPERLINK("https://github.com/d-wkim/phd/blob/main/data/pdf/ibrahim_2005.pdf","Ibrahim et al., 2005")</f>
        <v>Ibrahim et al., 2005</v>
      </c>
      <c r="C64" s="114" t="s">
        <v>42</v>
      </c>
      <c r="D64" s="131" t="s">
        <v>385</v>
      </c>
      <c r="E64" s="114">
        <v>40.0</v>
      </c>
      <c r="F64" s="114">
        <v>35.0</v>
      </c>
      <c r="G64" s="119">
        <f t="shared" si="42"/>
        <v>0.875</v>
      </c>
      <c r="H64" s="113" t="str">
        <f t="shared" si="33"/>
        <v>35 (88%)</v>
      </c>
      <c r="I64" s="114">
        <v>5.0</v>
      </c>
      <c r="J64" s="119">
        <f t="shared" si="34"/>
        <v>0.125</v>
      </c>
      <c r="K64" s="113" t="str">
        <f t="shared" si="35"/>
        <v>5 (13%)</v>
      </c>
      <c r="L64" s="114">
        <v>0.0</v>
      </c>
      <c r="M64" s="119">
        <f t="shared" si="53"/>
        <v>0</v>
      </c>
      <c r="N64" s="113" t="str">
        <f t="shared" si="54"/>
        <v>0 (0%)</v>
      </c>
      <c r="O64" s="114">
        <v>0.0</v>
      </c>
      <c r="P64" s="119">
        <f t="shared" si="4"/>
        <v>0</v>
      </c>
      <c r="Q64" s="113" t="s">
        <v>477</v>
      </c>
      <c r="R64" s="127">
        <f t="shared" si="37"/>
        <v>5.125</v>
      </c>
      <c r="S64" s="127">
        <f>sum(L65:O65)</f>
        <v>0</v>
      </c>
      <c r="T64" s="118">
        <f t="shared" si="7"/>
        <v>5.125</v>
      </c>
      <c r="U64" s="128">
        <f t="shared" si="8"/>
        <v>0.1388888889</v>
      </c>
      <c r="V64" s="129">
        <v>0.9938586931957762</v>
      </c>
      <c r="W64" s="130"/>
      <c r="X64" s="130"/>
      <c r="Y64" s="130"/>
      <c r="Z64" s="130"/>
      <c r="AA64" s="130"/>
      <c r="AB64" s="130"/>
      <c r="AC64" s="130"/>
      <c r="AD64" s="130"/>
      <c r="AE64" s="130"/>
      <c r="AF64" s="130"/>
      <c r="AG64" s="130"/>
      <c r="AH64" s="130"/>
      <c r="AI64" s="130"/>
      <c r="AJ64" s="130"/>
      <c r="AK64" s="130"/>
    </row>
    <row r="65">
      <c r="A65" s="15">
        <v>37.0</v>
      </c>
      <c r="B65" s="17" t="str">
        <f t="shared" si="57"/>
        <v>Ibrahim et al., 2005</v>
      </c>
      <c r="C65" s="114" t="s">
        <v>84</v>
      </c>
      <c r="D65" s="131" t="s">
        <v>385</v>
      </c>
      <c r="E65" s="118">
        <v>45.0</v>
      </c>
      <c r="F65" s="118">
        <v>37.0</v>
      </c>
      <c r="G65" s="119">
        <f t="shared" si="42"/>
        <v>0.8222222222</v>
      </c>
      <c r="H65" s="113" t="str">
        <f t="shared" si="33"/>
        <v>37 (82%)</v>
      </c>
      <c r="I65" s="118">
        <v>8.0</v>
      </c>
      <c r="J65" s="119">
        <f t="shared" si="34"/>
        <v>0.1777777778</v>
      </c>
      <c r="K65" s="113" t="str">
        <f t="shared" si="35"/>
        <v>8 (18%)</v>
      </c>
      <c r="L65" s="118">
        <v>0.0</v>
      </c>
      <c r="M65" s="119">
        <f t="shared" si="53"/>
        <v>0</v>
      </c>
      <c r="N65" s="113" t="str">
        <f t="shared" si="54"/>
        <v>0 (0%)</v>
      </c>
      <c r="O65" s="118">
        <v>0.0</v>
      </c>
      <c r="P65" s="119">
        <f t="shared" si="4"/>
        <v>0</v>
      </c>
      <c r="Q65" s="113" t="s">
        <v>477</v>
      </c>
      <c r="R65" s="127">
        <f t="shared" si="37"/>
        <v>8.177777778</v>
      </c>
      <c r="S65" s="127">
        <f t="shared" ref="S65:S79" si="58">sum(L65:O65)</f>
        <v>0</v>
      </c>
      <c r="T65" s="118">
        <f t="shared" si="7"/>
        <v>8.177777778</v>
      </c>
      <c r="U65" s="128">
        <f t="shared" si="8"/>
        <v>0.1907203907</v>
      </c>
      <c r="V65" s="129">
        <v>1.5410738763849903</v>
      </c>
      <c r="W65" s="130"/>
      <c r="X65" s="130"/>
      <c r="Y65" s="130"/>
      <c r="Z65" s="130"/>
      <c r="AA65" s="130"/>
      <c r="AB65" s="130"/>
      <c r="AC65" s="130"/>
      <c r="AD65" s="130"/>
      <c r="AE65" s="130"/>
      <c r="AF65" s="130"/>
      <c r="AG65" s="130"/>
      <c r="AH65" s="130"/>
      <c r="AI65" s="130"/>
      <c r="AJ65" s="130"/>
      <c r="AK65" s="130"/>
    </row>
    <row r="66">
      <c r="A66" s="15">
        <v>41.0</v>
      </c>
      <c r="B66" s="17" t="str">
        <f t="shared" ref="B66:B67" si="59">HYPERLINK("https://github.com/d-wkim/phd/blob/main/data/pdf/jansson_2003.pdf","Jansson et al., 2003")</f>
        <v>Jansson et al., 2003</v>
      </c>
      <c r="C66" s="114" t="s">
        <v>42</v>
      </c>
      <c r="D66" s="131" t="s">
        <v>385</v>
      </c>
      <c r="E66" s="118">
        <v>43.0</v>
      </c>
      <c r="F66" s="118">
        <v>40.0</v>
      </c>
      <c r="G66" s="119">
        <f t="shared" si="42"/>
        <v>0.9302325581</v>
      </c>
      <c r="H66" s="113" t="str">
        <f t="shared" si="33"/>
        <v>40 (93%)</v>
      </c>
      <c r="I66" s="118">
        <v>3.0</v>
      </c>
      <c r="J66" s="119">
        <f t="shared" si="34"/>
        <v>0.06976744186</v>
      </c>
      <c r="K66" s="113" t="str">
        <f t="shared" si="35"/>
        <v>3 (7%)</v>
      </c>
      <c r="L66" s="118">
        <v>0.0</v>
      </c>
      <c r="M66" s="119">
        <f t="shared" si="53"/>
        <v>0</v>
      </c>
      <c r="N66" s="113" t="str">
        <f t="shared" si="54"/>
        <v>0 (0%)</v>
      </c>
      <c r="O66" s="118">
        <v>0.0</v>
      </c>
      <c r="P66" s="119">
        <f t="shared" si="4"/>
        <v>0</v>
      </c>
      <c r="Q66" s="113" t="s">
        <v>477</v>
      </c>
      <c r="R66" s="127">
        <f t="shared" si="37"/>
        <v>3.069767442</v>
      </c>
      <c r="S66" s="127">
        <f t="shared" si="58"/>
        <v>0</v>
      </c>
      <c r="T66" s="118">
        <f t="shared" si="7"/>
        <v>3.069767442</v>
      </c>
      <c r="U66" s="128">
        <f t="shared" si="8"/>
        <v>0.08206361935</v>
      </c>
      <c r="V66" s="129">
        <v>0.573775870876425</v>
      </c>
      <c r="W66" s="130"/>
      <c r="X66" s="130"/>
      <c r="Y66" s="130"/>
      <c r="Z66" s="130"/>
      <c r="AA66" s="130"/>
      <c r="AB66" s="130"/>
      <c r="AC66" s="130"/>
      <c r="AD66" s="130"/>
      <c r="AE66" s="130"/>
      <c r="AF66" s="130"/>
      <c r="AG66" s="130"/>
      <c r="AH66" s="130"/>
      <c r="AI66" s="130"/>
      <c r="AJ66" s="130"/>
      <c r="AK66" s="130"/>
    </row>
    <row r="67">
      <c r="A67" s="15">
        <v>41.0</v>
      </c>
      <c r="B67" s="17" t="str">
        <f t="shared" si="59"/>
        <v>Jansson et al., 2003</v>
      </c>
      <c r="C67" s="114" t="s">
        <v>84</v>
      </c>
      <c r="D67" s="131" t="s">
        <v>385</v>
      </c>
      <c r="E67" s="118">
        <v>46.0</v>
      </c>
      <c r="F67" s="118">
        <v>43.0</v>
      </c>
      <c r="G67" s="119">
        <f t="shared" si="42"/>
        <v>0.9347826087</v>
      </c>
      <c r="H67" s="113" t="str">
        <f t="shared" si="33"/>
        <v>43 (93%)</v>
      </c>
      <c r="I67" s="118">
        <v>3.0</v>
      </c>
      <c r="J67" s="119">
        <f t="shared" si="34"/>
        <v>0.0652173913</v>
      </c>
      <c r="K67" s="113" t="str">
        <f t="shared" si="35"/>
        <v>3 (7%)</v>
      </c>
      <c r="L67" s="118">
        <v>0.0</v>
      </c>
      <c r="M67" s="119">
        <f t="shared" si="53"/>
        <v>0</v>
      </c>
      <c r="N67" s="113" t="str">
        <f t="shared" si="54"/>
        <v>0 (0%)</v>
      </c>
      <c r="O67" s="118">
        <v>0.0</v>
      </c>
      <c r="P67" s="119">
        <f t="shared" si="4"/>
        <v>0</v>
      </c>
      <c r="Q67" s="113" t="s">
        <v>477</v>
      </c>
      <c r="R67" s="127">
        <f t="shared" si="37"/>
        <v>3.065217391</v>
      </c>
      <c r="S67" s="127">
        <f t="shared" si="58"/>
        <v>0</v>
      </c>
      <c r="T67" s="118">
        <f t="shared" si="7"/>
        <v>3.065217391</v>
      </c>
      <c r="U67" s="128">
        <f t="shared" si="8"/>
        <v>0.07667134175</v>
      </c>
      <c r="V67" s="129">
        <v>0.5520501149055451</v>
      </c>
      <c r="W67" s="130"/>
      <c r="X67" s="130"/>
      <c r="Y67" s="130"/>
      <c r="Z67" s="130"/>
      <c r="AA67" s="130"/>
      <c r="AB67" s="130"/>
      <c r="AC67" s="130"/>
      <c r="AD67" s="130"/>
      <c r="AE67" s="130"/>
      <c r="AF67" s="130"/>
      <c r="AG67" s="130"/>
      <c r="AH67" s="130"/>
      <c r="AI67" s="130"/>
      <c r="AJ67" s="130"/>
      <c r="AK67" s="130"/>
    </row>
    <row r="68">
      <c r="A68" s="15">
        <v>46.0</v>
      </c>
      <c r="B68" s="17" t="str">
        <f t="shared" ref="B68:B69" si="60">HYPERLINK("https://github.com/d-wkim/phd/blob/main/data/pdf/laoruengthana_2009.pdf","Laoruengthana et al., 2009")</f>
        <v>Laoruengthana et al., 2009</v>
      </c>
      <c r="C68" s="114" t="s">
        <v>42</v>
      </c>
      <c r="D68" s="131" t="s">
        <v>385</v>
      </c>
      <c r="E68" s="118">
        <v>15.0</v>
      </c>
      <c r="F68" s="118">
        <v>13.0</v>
      </c>
      <c r="G68" s="119">
        <f t="shared" si="42"/>
        <v>0.8666666667</v>
      </c>
      <c r="H68" s="113" t="str">
        <f t="shared" si="33"/>
        <v>13 (87%)</v>
      </c>
      <c r="I68" s="118">
        <v>2.0</v>
      </c>
      <c r="J68" s="119">
        <f t="shared" si="34"/>
        <v>0.1333333333</v>
      </c>
      <c r="K68" s="113" t="str">
        <f t="shared" si="35"/>
        <v>2 (13%)</v>
      </c>
      <c r="L68" s="118">
        <v>0.0</v>
      </c>
      <c r="M68" s="119">
        <f t="shared" si="53"/>
        <v>0</v>
      </c>
      <c r="N68" s="113" t="str">
        <f t="shared" si="54"/>
        <v>0 (0%)</v>
      </c>
      <c r="O68" s="118">
        <v>0.0</v>
      </c>
      <c r="P68" s="119">
        <f t="shared" si="4"/>
        <v>0</v>
      </c>
      <c r="Q68" s="113" t="s">
        <v>477</v>
      </c>
      <c r="R68" s="127">
        <f t="shared" si="37"/>
        <v>2.133333333</v>
      </c>
      <c r="S68" s="127">
        <f t="shared" si="58"/>
        <v>0</v>
      </c>
      <c r="T68" s="118">
        <f t="shared" si="7"/>
        <v>2.133333333</v>
      </c>
      <c r="U68" s="128">
        <f t="shared" si="8"/>
        <v>0.1698924731</v>
      </c>
      <c r="V68" s="129">
        <v>0.7448044896552725</v>
      </c>
      <c r="W68" s="130"/>
      <c r="X68" s="130"/>
      <c r="Y68" s="130"/>
      <c r="Z68" s="130"/>
      <c r="AA68" s="130"/>
      <c r="AB68" s="130"/>
      <c r="AC68" s="130"/>
      <c r="AD68" s="130"/>
      <c r="AE68" s="130"/>
      <c r="AF68" s="130"/>
      <c r="AG68" s="130"/>
      <c r="AH68" s="130"/>
      <c r="AI68" s="130"/>
      <c r="AJ68" s="130"/>
      <c r="AK68" s="130"/>
    </row>
    <row r="69">
      <c r="A69" s="15">
        <v>46.0</v>
      </c>
      <c r="B69" s="17" t="str">
        <f t="shared" si="60"/>
        <v>Laoruengthana et al., 2009</v>
      </c>
      <c r="C69" s="114" t="s">
        <v>84</v>
      </c>
      <c r="D69" s="131" t="s">
        <v>385</v>
      </c>
      <c r="E69" s="118">
        <v>13.0</v>
      </c>
      <c r="F69" s="118">
        <v>11.0</v>
      </c>
      <c r="G69" s="119">
        <f t="shared" si="42"/>
        <v>0.8461538462</v>
      </c>
      <c r="H69" s="113" t="str">
        <f t="shared" si="33"/>
        <v>11 (85%)</v>
      </c>
      <c r="I69" s="118">
        <v>2.0</v>
      </c>
      <c r="J69" s="119">
        <f t="shared" si="34"/>
        <v>0.1538461538</v>
      </c>
      <c r="K69" s="113" t="str">
        <f t="shared" si="35"/>
        <v>2 (15%)</v>
      </c>
      <c r="L69" s="118">
        <v>0.0</v>
      </c>
      <c r="M69" s="119">
        <f t="shared" si="53"/>
        <v>0</v>
      </c>
      <c r="N69" s="113" t="str">
        <f t="shared" si="54"/>
        <v>0 (0%)</v>
      </c>
      <c r="O69" s="118">
        <v>0.0</v>
      </c>
      <c r="P69" s="119">
        <f t="shared" si="4"/>
        <v>0</v>
      </c>
      <c r="Q69" s="113" t="s">
        <v>477</v>
      </c>
      <c r="R69" s="127">
        <f t="shared" si="37"/>
        <v>2.153846154</v>
      </c>
      <c r="S69" s="127">
        <f t="shared" si="58"/>
        <v>0</v>
      </c>
      <c r="T69" s="118">
        <f t="shared" si="7"/>
        <v>2.153846154</v>
      </c>
      <c r="U69" s="128">
        <f t="shared" si="8"/>
        <v>0.1965811966</v>
      </c>
      <c r="V69" s="129">
        <v>0.819443471696361</v>
      </c>
      <c r="W69" s="130"/>
      <c r="X69" s="130"/>
      <c r="Y69" s="130"/>
      <c r="Z69" s="130"/>
      <c r="AA69" s="130"/>
      <c r="AB69" s="130"/>
      <c r="AC69" s="130"/>
      <c r="AD69" s="130"/>
      <c r="AE69" s="130"/>
      <c r="AF69" s="130"/>
      <c r="AG69" s="130"/>
      <c r="AH69" s="130"/>
      <c r="AI69" s="130"/>
      <c r="AJ69" s="130"/>
      <c r="AK69" s="130"/>
    </row>
    <row r="70">
      <c r="A70" s="15">
        <v>47.0</v>
      </c>
      <c r="B70" s="17" t="str">
        <f t="shared" ref="B70:B71" si="61">HYPERLINK("https://github.com/d-wkim/phd/blob/main/data/pdf/lawhorn_2012.pdf","Lawhorn et al., 2012")</f>
        <v>Lawhorn et al., 2012</v>
      </c>
      <c r="C70" s="114" t="s">
        <v>84</v>
      </c>
      <c r="D70" s="131" t="s">
        <v>385</v>
      </c>
      <c r="E70" s="118">
        <v>54.0</v>
      </c>
      <c r="F70" s="118">
        <v>48.0</v>
      </c>
      <c r="G70" s="119">
        <f t="shared" si="42"/>
        <v>0.8888888889</v>
      </c>
      <c r="H70" s="113" t="str">
        <f t="shared" si="33"/>
        <v>48 (89%)</v>
      </c>
      <c r="I70" s="118">
        <v>5.0</v>
      </c>
      <c r="J70" s="119">
        <f t="shared" si="34"/>
        <v>0.09259259259</v>
      </c>
      <c r="K70" s="113" t="str">
        <f t="shared" si="35"/>
        <v>5 (9%)</v>
      </c>
      <c r="L70" s="118">
        <v>0.0</v>
      </c>
      <c r="M70" s="119">
        <f t="shared" si="53"/>
        <v>0</v>
      </c>
      <c r="N70" s="113" t="str">
        <f t="shared" si="54"/>
        <v>0 (0%)</v>
      </c>
      <c r="O70" s="118">
        <v>1.0</v>
      </c>
      <c r="P70" s="119">
        <f t="shared" si="4"/>
        <v>0.01851851852</v>
      </c>
      <c r="Q70" s="113" t="s">
        <v>494</v>
      </c>
      <c r="R70" s="127">
        <f t="shared" si="37"/>
        <v>6.092592593</v>
      </c>
      <c r="S70" s="127">
        <f t="shared" si="58"/>
        <v>1</v>
      </c>
      <c r="T70" s="118">
        <f t="shared" si="7"/>
        <v>6.092592593</v>
      </c>
      <c r="U70" s="128">
        <f t="shared" si="8"/>
        <v>0.1209650017</v>
      </c>
      <c r="V70" s="129">
        <v>1.072221928495019</v>
      </c>
      <c r="W70" s="130"/>
      <c r="X70" s="130"/>
      <c r="Y70" s="130"/>
      <c r="Z70" s="130"/>
      <c r="AA70" s="130"/>
      <c r="AB70" s="130"/>
      <c r="AC70" s="130"/>
      <c r="AD70" s="130"/>
      <c r="AE70" s="130"/>
      <c r="AF70" s="130"/>
      <c r="AG70" s="130"/>
      <c r="AH70" s="130"/>
      <c r="AI70" s="130"/>
      <c r="AJ70" s="130"/>
      <c r="AK70" s="130"/>
    </row>
    <row r="71">
      <c r="A71" s="15">
        <v>47.0</v>
      </c>
      <c r="B71" s="17" t="str">
        <f t="shared" si="61"/>
        <v>Lawhorn et al., 2012</v>
      </c>
      <c r="C71" s="114" t="s">
        <v>205</v>
      </c>
      <c r="D71" s="131" t="s">
        <v>385</v>
      </c>
      <c r="E71" s="118">
        <v>48.0</v>
      </c>
      <c r="F71" s="118">
        <v>44.0</v>
      </c>
      <c r="G71" s="119">
        <f t="shared" si="42"/>
        <v>0.9166666667</v>
      </c>
      <c r="H71" s="113" t="str">
        <f t="shared" si="33"/>
        <v>44 (92%)</v>
      </c>
      <c r="I71" s="118">
        <v>4.0</v>
      </c>
      <c r="J71" s="119">
        <f t="shared" si="34"/>
        <v>0.08333333333</v>
      </c>
      <c r="K71" s="113" t="str">
        <f t="shared" si="35"/>
        <v>4 (8%)</v>
      </c>
      <c r="L71" s="118"/>
      <c r="M71" s="119">
        <f t="shared" si="53"/>
        <v>0</v>
      </c>
      <c r="N71" s="113" t="str">
        <f t="shared" si="54"/>
        <v> (0%)</v>
      </c>
      <c r="O71" s="118"/>
      <c r="P71" s="119">
        <f t="shared" si="4"/>
        <v>0</v>
      </c>
      <c r="Q71" s="113" t="s">
        <v>544</v>
      </c>
      <c r="R71" s="127">
        <f t="shared" si="37"/>
        <v>4.083333333</v>
      </c>
      <c r="S71" s="127">
        <f t="shared" si="58"/>
        <v>0</v>
      </c>
      <c r="T71" s="118">
        <f t="shared" si="7"/>
        <v>4.083333333</v>
      </c>
      <c r="U71" s="128">
        <f t="shared" si="8"/>
        <v>0.09450171821</v>
      </c>
      <c r="V71" s="129">
        <v>0.746240577829965</v>
      </c>
      <c r="W71" s="130"/>
      <c r="X71" s="130"/>
      <c r="Y71" s="130"/>
      <c r="Z71" s="130"/>
      <c r="AA71" s="130"/>
      <c r="AB71" s="130"/>
      <c r="AC71" s="130"/>
      <c r="AD71" s="130"/>
      <c r="AE71" s="130"/>
      <c r="AF71" s="130"/>
      <c r="AG71" s="130"/>
      <c r="AH71" s="130"/>
      <c r="AI71" s="130"/>
      <c r="AJ71" s="130"/>
      <c r="AK71" s="130"/>
    </row>
    <row r="72">
      <c r="A72" s="15">
        <v>51.0</v>
      </c>
      <c r="B72" s="17" t="str">
        <f t="shared" ref="B72:B73" si="62">HYPERLINK("https://github.com/d-wkim/phd/blob/main/data/pdf/li_2015.pdf","Li et al., 2015")</f>
        <v>Li et al., 2015</v>
      </c>
      <c r="C72" s="114" t="s">
        <v>84</v>
      </c>
      <c r="D72" s="131" t="s">
        <v>385</v>
      </c>
      <c r="E72" s="114">
        <v>32.0</v>
      </c>
      <c r="F72" s="118">
        <v>28.0</v>
      </c>
      <c r="G72" s="119">
        <f t="shared" si="42"/>
        <v>0.875</v>
      </c>
      <c r="H72" s="113" t="str">
        <f t="shared" si="33"/>
        <v>28 (88%)</v>
      </c>
      <c r="I72" s="118">
        <v>4.0</v>
      </c>
      <c r="J72" s="119">
        <f t="shared" si="34"/>
        <v>0.125</v>
      </c>
      <c r="K72" s="113" t="str">
        <f t="shared" si="35"/>
        <v>4 (13%)</v>
      </c>
      <c r="L72" s="118">
        <v>0.0</v>
      </c>
      <c r="M72" s="119">
        <f t="shared" si="53"/>
        <v>0</v>
      </c>
      <c r="N72" s="113" t="str">
        <f t="shared" si="54"/>
        <v>0 (0%)</v>
      </c>
      <c r="O72" s="118">
        <v>0.0</v>
      </c>
      <c r="P72" s="119">
        <f t="shared" si="4"/>
        <v>0</v>
      </c>
      <c r="Q72" s="113" t="s">
        <v>477</v>
      </c>
      <c r="R72" s="127">
        <f t="shared" si="37"/>
        <v>4.125</v>
      </c>
      <c r="S72" s="127">
        <f t="shared" si="58"/>
        <v>0</v>
      </c>
      <c r="T72" s="118">
        <f t="shared" si="7"/>
        <v>4.125</v>
      </c>
      <c r="U72" s="128">
        <f t="shared" si="8"/>
        <v>0.1423076923</v>
      </c>
      <c r="V72" s="129">
        <v>0.9091372900969898</v>
      </c>
      <c r="W72" s="130"/>
      <c r="X72" s="130"/>
      <c r="Y72" s="130"/>
      <c r="Z72" s="130"/>
      <c r="AA72" s="130"/>
      <c r="AB72" s="130"/>
      <c r="AC72" s="130"/>
      <c r="AD72" s="130"/>
      <c r="AE72" s="130"/>
      <c r="AF72" s="130"/>
      <c r="AG72" s="130"/>
      <c r="AH72" s="130"/>
      <c r="AI72" s="130"/>
      <c r="AJ72" s="130"/>
      <c r="AK72" s="130"/>
    </row>
    <row r="73">
      <c r="A73" s="15">
        <v>51.0</v>
      </c>
      <c r="B73" s="17" t="str">
        <f t="shared" si="62"/>
        <v>Li et al., 2015</v>
      </c>
      <c r="C73" s="114" t="s">
        <v>205</v>
      </c>
      <c r="D73" s="131" t="s">
        <v>385</v>
      </c>
      <c r="E73" s="114">
        <v>32.0</v>
      </c>
      <c r="F73" s="118">
        <v>23.0</v>
      </c>
      <c r="G73" s="119">
        <f t="shared" si="42"/>
        <v>0.71875</v>
      </c>
      <c r="H73" s="113" t="str">
        <f t="shared" si="33"/>
        <v>23 (72%)</v>
      </c>
      <c r="I73" s="118">
        <v>8.0</v>
      </c>
      <c r="J73" s="119">
        <f t="shared" si="34"/>
        <v>0.25</v>
      </c>
      <c r="K73" s="113" t="str">
        <f t="shared" si="35"/>
        <v>8 (25%)</v>
      </c>
      <c r="L73" s="118">
        <v>1.0</v>
      </c>
      <c r="M73" s="119">
        <f t="shared" si="53"/>
        <v>0.03125</v>
      </c>
      <c r="N73" s="113" t="str">
        <f t="shared" si="54"/>
        <v>1 (3%)</v>
      </c>
      <c r="O73" s="118">
        <v>0.0</v>
      </c>
      <c r="P73" s="119">
        <f t="shared" si="4"/>
        <v>0</v>
      </c>
      <c r="Q73" s="113" t="s">
        <v>477</v>
      </c>
      <c r="R73" s="127">
        <f t="shared" si="37"/>
        <v>9.28125</v>
      </c>
      <c r="S73" s="127">
        <f t="shared" si="58"/>
        <v>1.03125</v>
      </c>
      <c r="T73" s="118">
        <f t="shared" si="7"/>
        <v>9.28125</v>
      </c>
      <c r="U73" s="128">
        <f t="shared" si="8"/>
        <v>0.3009615385</v>
      </c>
      <c r="V73" s="129">
        <v>2.336526755225114</v>
      </c>
      <c r="W73" s="130"/>
      <c r="X73" s="130"/>
      <c r="Y73" s="130"/>
      <c r="Z73" s="130"/>
      <c r="AA73" s="130"/>
      <c r="AB73" s="130"/>
      <c r="AC73" s="130"/>
      <c r="AD73" s="130"/>
      <c r="AE73" s="130"/>
      <c r="AF73" s="130"/>
      <c r="AG73" s="130"/>
      <c r="AH73" s="130"/>
      <c r="AI73" s="130"/>
      <c r="AJ73" s="130"/>
      <c r="AK73" s="130"/>
    </row>
    <row r="74">
      <c r="A74" s="15">
        <v>53.0</v>
      </c>
      <c r="B74" s="17" t="str">
        <f t="shared" ref="B74:B75" si="63">HYPERLINK("https://github.com/d-wkim/phd/blob/main/data/pdf/lind_2020.pdf","Lind et al., 2020")</f>
        <v>Lind et al., 2020</v>
      </c>
      <c r="C74" s="114" t="s">
        <v>84</v>
      </c>
      <c r="D74" s="131" t="s">
        <v>385</v>
      </c>
      <c r="E74" s="114">
        <v>49.0</v>
      </c>
      <c r="F74" s="118">
        <v>38.0</v>
      </c>
      <c r="G74" s="119">
        <f t="shared" si="42"/>
        <v>0.7755102041</v>
      </c>
      <c r="H74" s="113" t="str">
        <f t="shared" si="33"/>
        <v>38 (78%)</v>
      </c>
      <c r="I74" s="118">
        <f t="shared" ref="I74:I75" si="64">E74-F74</f>
        <v>11</v>
      </c>
      <c r="J74" s="119">
        <f t="shared" si="34"/>
        <v>0.2244897959</v>
      </c>
      <c r="K74" s="113" t="str">
        <f t="shared" si="35"/>
        <v>11 (22%)</v>
      </c>
      <c r="L74" s="118">
        <v>0.0</v>
      </c>
      <c r="M74" s="119">
        <f t="shared" si="53"/>
        <v>0</v>
      </c>
      <c r="N74" s="113" t="str">
        <f t="shared" si="54"/>
        <v>0 (0%)</v>
      </c>
      <c r="O74" s="118">
        <v>0.0</v>
      </c>
      <c r="P74" s="119">
        <f t="shared" si="4"/>
        <v>0</v>
      </c>
      <c r="Q74" s="113" t="s">
        <v>477</v>
      </c>
      <c r="R74" s="127">
        <f t="shared" si="37"/>
        <v>11.2244898</v>
      </c>
      <c r="S74" s="127">
        <f t="shared" si="58"/>
        <v>0</v>
      </c>
      <c r="T74" s="118">
        <f t="shared" si="7"/>
        <v>11.2244898</v>
      </c>
      <c r="U74" s="128">
        <f t="shared" si="8"/>
        <v>0.2368583797</v>
      </c>
      <c r="V74" s="129">
        <v>2.1184210526315788</v>
      </c>
      <c r="W74" s="130"/>
      <c r="X74" s="130"/>
      <c r="Y74" s="130"/>
      <c r="Z74" s="130"/>
      <c r="AA74" s="130"/>
      <c r="AB74" s="130"/>
      <c r="AC74" s="130"/>
      <c r="AD74" s="130"/>
      <c r="AE74" s="130"/>
      <c r="AF74" s="130"/>
      <c r="AG74" s="130"/>
      <c r="AH74" s="130"/>
      <c r="AI74" s="130"/>
      <c r="AJ74" s="130"/>
      <c r="AK74" s="130"/>
    </row>
    <row r="75">
      <c r="A75" s="15">
        <v>53.0</v>
      </c>
      <c r="B75" s="17" t="str">
        <f t="shared" si="63"/>
        <v>Lind et al., 2020</v>
      </c>
      <c r="C75" s="114" t="s">
        <v>200</v>
      </c>
      <c r="D75" s="131" t="s">
        <v>385</v>
      </c>
      <c r="E75" s="114">
        <v>47.0</v>
      </c>
      <c r="F75" s="118">
        <v>39.0</v>
      </c>
      <c r="G75" s="119">
        <f t="shared" si="42"/>
        <v>0.829787234</v>
      </c>
      <c r="H75" s="113" t="str">
        <f t="shared" si="33"/>
        <v>39 (83%)</v>
      </c>
      <c r="I75" s="118">
        <f t="shared" si="64"/>
        <v>8</v>
      </c>
      <c r="J75" s="119">
        <f t="shared" si="34"/>
        <v>0.170212766</v>
      </c>
      <c r="K75" s="113" t="str">
        <f t="shared" si="35"/>
        <v>8 (17%)</v>
      </c>
      <c r="L75" s="118">
        <v>0.0</v>
      </c>
      <c r="M75" s="119">
        <f t="shared" si="53"/>
        <v>0</v>
      </c>
      <c r="N75" s="113" t="str">
        <f t="shared" si="54"/>
        <v>0 (0%)</v>
      </c>
      <c r="O75" s="118">
        <v>0.0</v>
      </c>
      <c r="P75" s="119">
        <f t="shared" si="4"/>
        <v>0</v>
      </c>
      <c r="Q75" s="113" t="s">
        <v>477</v>
      </c>
      <c r="R75" s="127">
        <f t="shared" si="37"/>
        <v>8.170212766</v>
      </c>
      <c r="S75" s="127">
        <f t="shared" si="58"/>
        <v>0</v>
      </c>
      <c r="T75" s="118">
        <f t="shared" si="7"/>
        <v>8.170212766</v>
      </c>
      <c r="U75" s="128">
        <f t="shared" si="8"/>
        <v>0.1825307951</v>
      </c>
      <c r="V75" s="129">
        <v>1.4941811308566377</v>
      </c>
      <c r="W75" s="130"/>
      <c r="X75" s="130"/>
      <c r="Y75" s="130"/>
      <c r="Z75" s="130"/>
      <c r="AA75" s="130"/>
      <c r="AB75" s="130"/>
      <c r="AC75" s="130"/>
      <c r="AD75" s="130"/>
      <c r="AE75" s="130"/>
      <c r="AF75" s="130"/>
      <c r="AG75" s="130"/>
      <c r="AH75" s="130"/>
      <c r="AI75" s="130"/>
      <c r="AJ75" s="130"/>
      <c r="AK75" s="130"/>
    </row>
    <row r="76">
      <c r="A76" s="15">
        <v>70.0</v>
      </c>
      <c r="B76" s="17" t="str">
        <f t="shared" ref="B76:B77" si="65">HYPERLINK("https://github.com/d-wkim/phd/blob/main/data/pdf/noh_2011.pdf","Noh et al., 2011")</f>
        <v>Noh et al., 2011</v>
      </c>
      <c r="C76" s="114" t="s">
        <v>84</v>
      </c>
      <c r="D76" s="131" t="s">
        <v>385</v>
      </c>
      <c r="E76" s="114">
        <v>33.0</v>
      </c>
      <c r="F76" s="118">
        <v>27.0</v>
      </c>
      <c r="G76" s="119">
        <f t="shared" si="42"/>
        <v>0.8181818182</v>
      </c>
      <c r="H76" s="113" t="str">
        <f t="shared" si="33"/>
        <v>27 (82%)</v>
      </c>
      <c r="I76" s="118">
        <v>5.0</v>
      </c>
      <c r="J76" s="119">
        <f t="shared" si="34"/>
        <v>0.1515151515</v>
      </c>
      <c r="K76" s="113" t="str">
        <f t="shared" si="35"/>
        <v>5 (15%)</v>
      </c>
      <c r="L76" s="118">
        <v>1.0</v>
      </c>
      <c r="M76" s="119">
        <f t="shared" si="53"/>
        <v>0.0303030303</v>
      </c>
      <c r="N76" s="113" t="str">
        <f t="shared" si="54"/>
        <v>1 (3%)</v>
      </c>
      <c r="O76" s="118">
        <v>0.0</v>
      </c>
      <c r="P76" s="119">
        <f t="shared" si="4"/>
        <v>0</v>
      </c>
      <c r="Q76" s="113" t="s">
        <v>477</v>
      </c>
      <c r="R76" s="127">
        <f t="shared" si="37"/>
        <v>6.181818182</v>
      </c>
      <c r="S76" s="127">
        <f t="shared" si="58"/>
        <v>1.03030303</v>
      </c>
      <c r="T76" s="118">
        <f t="shared" si="7"/>
        <v>6.181818182</v>
      </c>
      <c r="U76" s="128">
        <f t="shared" si="8"/>
        <v>0.1994572592</v>
      </c>
      <c r="V76" s="129">
        <v>1.3829502667591551</v>
      </c>
      <c r="W76" s="130"/>
      <c r="X76" s="130"/>
      <c r="Y76" s="130"/>
      <c r="Z76" s="130"/>
      <c r="AA76" s="130"/>
      <c r="AB76" s="130"/>
      <c r="AC76" s="130"/>
      <c r="AD76" s="130"/>
      <c r="AE76" s="130"/>
      <c r="AF76" s="130"/>
      <c r="AG76" s="130"/>
      <c r="AH76" s="130"/>
      <c r="AI76" s="130"/>
      <c r="AJ76" s="130"/>
      <c r="AK76" s="130"/>
    </row>
    <row r="77">
      <c r="A77" s="15">
        <v>70.0</v>
      </c>
      <c r="B77" s="17" t="str">
        <f t="shared" si="65"/>
        <v>Noh et al., 2011</v>
      </c>
      <c r="C77" s="114" t="s">
        <v>246</v>
      </c>
      <c r="D77" s="131" t="s">
        <v>385</v>
      </c>
      <c r="E77" s="114">
        <v>32.0</v>
      </c>
      <c r="F77" s="118">
        <v>21.0</v>
      </c>
      <c r="G77" s="119">
        <f t="shared" si="42"/>
        <v>0.65625</v>
      </c>
      <c r="H77" s="113" t="str">
        <f t="shared" si="33"/>
        <v>21 (66%)</v>
      </c>
      <c r="I77" s="118">
        <v>8.0</v>
      </c>
      <c r="J77" s="119">
        <f t="shared" si="34"/>
        <v>0.25</v>
      </c>
      <c r="K77" s="113" t="str">
        <f t="shared" si="35"/>
        <v>8 (25%)</v>
      </c>
      <c r="L77" s="118">
        <v>3.0</v>
      </c>
      <c r="M77" s="119">
        <f t="shared" si="53"/>
        <v>0.09375</v>
      </c>
      <c r="N77" s="113" t="str">
        <f t="shared" si="54"/>
        <v>3 (9%)</v>
      </c>
      <c r="O77" s="118">
        <v>0.0</v>
      </c>
      <c r="P77" s="119">
        <f t="shared" si="4"/>
        <v>0</v>
      </c>
      <c r="Q77" s="113" t="s">
        <v>477</v>
      </c>
      <c r="R77" s="127">
        <f t="shared" si="37"/>
        <v>11.34375</v>
      </c>
      <c r="S77" s="127">
        <f t="shared" si="58"/>
        <v>3.09375</v>
      </c>
      <c r="T77" s="118">
        <f t="shared" si="7"/>
        <v>11.34375</v>
      </c>
      <c r="U77" s="128">
        <f t="shared" si="8"/>
        <v>0.3644230769</v>
      </c>
      <c r="V77" s="129">
        <v>1.4142135623730951</v>
      </c>
      <c r="W77" s="130"/>
      <c r="X77" s="130"/>
      <c r="Y77" s="130"/>
      <c r="Z77" s="130"/>
      <c r="AA77" s="130"/>
      <c r="AB77" s="130"/>
      <c r="AC77" s="130"/>
      <c r="AD77" s="130"/>
      <c r="AE77" s="130"/>
      <c r="AF77" s="130"/>
      <c r="AG77" s="130"/>
      <c r="AH77" s="130"/>
      <c r="AI77" s="130"/>
      <c r="AJ77" s="130"/>
      <c r="AK77" s="130"/>
    </row>
    <row r="78">
      <c r="A78" s="15">
        <v>76.0</v>
      </c>
      <c r="B78" s="17" t="str">
        <f t="shared" ref="B78:B79" si="66">HYPERLINK("https://github.com/d-wkim/phd/blob/main/data/pdf/pinczewski_2007.pdf","Pinczewski et al., 2007")</f>
        <v>Pinczewski et al., 2007</v>
      </c>
      <c r="C78" s="114" t="s">
        <v>42</v>
      </c>
      <c r="D78" s="131" t="s">
        <v>385</v>
      </c>
      <c r="E78" s="114">
        <v>53.0</v>
      </c>
      <c r="F78" s="118">
        <v>48.0</v>
      </c>
      <c r="G78" s="119">
        <f t="shared" si="42"/>
        <v>0.9056603774</v>
      </c>
      <c r="H78" s="113" t="str">
        <f t="shared" si="33"/>
        <v>48 (91%)</v>
      </c>
      <c r="I78" s="118">
        <v>5.0</v>
      </c>
      <c r="J78" s="119">
        <f t="shared" si="34"/>
        <v>0.09433962264</v>
      </c>
      <c r="K78" s="113" t="str">
        <f t="shared" si="35"/>
        <v>5 (9%)</v>
      </c>
      <c r="L78" s="118">
        <v>0.0</v>
      </c>
      <c r="M78" s="119">
        <f t="shared" si="53"/>
        <v>0</v>
      </c>
      <c r="N78" s="113" t="str">
        <f t="shared" si="54"/>
        <v>0 (0%)</v>
      </c>
      <c r="O78" s="118">
        <v>0.0</v>
      </c>
      <c r="P78" s="119">
        <f t="shared" si="4"/>
        <v>0</v>
      </c>
      <c r="Q78" s="113" t="s">
        <v>477</v>
      </c>
      <c r="R78" s="127">
        <f t="shared" si="37"/>
        <v>5.094339623</v>
      </c>
      <c r="S78" s="127">
        <f t="shared" si="58"/>
        <v>0</v>
      </c>
      <c r="T78" s="118">
        <f t="shared" si="7"/>
        <v>5.094339623</v>
      </c>
      <c r="U78" s="128">
        <f t="shared" si="8"/>
        <v>0.1045670958</v>
      </c>
      <c r="V78" s="129">
        <v>0.834179258146726</v>
      </c>
      <c r="W78" s="130"/>
      <c r="X78" s="130"/>
      <c r="Y78" s="130"/>
      <c r="Z78" s="130"/>
      <c r="AA78" s="130"/>
      <c r="AB78" s="130"/>
      <c r="AC78" s="130"/>
      <c r="AD78" s="130"/>
      <c r="AE78" s="130"/>
      <c r="AF78" s="130"/>
      <c r="AG78" s="130"/>
      <c r="AH78" s="130"/>
      <c r="AI78" s="130"/>
      <c r="AJ78" s="130"/>
      <c r="AK78" s="130"/>
    </row>
    <row r="79">
      <c r="A79" s="15">
        <v>76.0</v>
      </c>
      <c r="B79" s="17" t="str">
        <f t="shared" si="66"/>
        <v>Pinczewski et al., 2007</v>
      </c>
      <c r="C79" s="114" t="s">
        <v>84</v>
      </c>
      <c r="D79" s="131" t="s">
        <v>385</v>
      </c>
      <c r="E79" s="114">
        <v>58.0</v>
      </c>
      <c r="F79" s="118">
        <v>50.0</v>
      </c>
      <c r="G79" s="119">
        <f t="shared" si="42"/>
        <v>0.8620689655</v>
      </c>
      <c r="H79" s="113" t="str">
        <f t="shared" si="33"/>
        <v>50 (86%)</v>
      </c>
      <c r="I79" s="118">
        <v>8.0</v>
      </c>
      <c r="J79" s="119">
        <f t="shared" si="34"/>
        <v>0.1379310345</v>
      </c>
      <c r="K79" s="113" t="str">
        <f t="shared" si="35"/>
        <v>8 (14%)</v>
      </c>
      <c r="L79" s="118">
        <v>0.0</v>
      </c>
      <c r="M79" s="119">
        <f t="shared" si="53"/>
        <v>0</v>
      </c>
      <c r="N79" s="113" t="str">
        <f t="shared" si="54"/>
        <v>0 (0%)</v>
      </c>
      <c r="O79" s="118">
        <v>0.0</v>
      </c>
      <c r="P79" s="119">
        <f t="shared" si="4"/>
        <v>0</v>
      </c>
      <c r="Q79" s="113" t="s">
        <v>477</v>
      </c>
      <c r="R79" s="127">
        <f t="shared" si="37"/>
        <v>8.137931034</v>
      </c>
      <c r="S79" s="127">
        <f t="shared" si="58"/>
        <v>0</v>
      </c>
      <c r="T79" s="118">
        <f t="shared" si="7"/>
        <v>8.137931034</v>
      </c>
      <c r="U79" s="128">
        <f t="shared" si="8"/>
        <v>0.1476569408</v>
      </c>
      <c r="V79" s="129">
        <v>1.2946814279968646</v>
      </c>
      <c r="W79" s="130"/>
      <c r="X79" s="130"/>
      <c r="Y79" s="130"/>
      <c r="Z79" s="130"/>
      <c r="AA79" s="130"/>
      <c r="AB79" s="130"/>
      <c r="AC79" s="130"/>
      <c r="AD79" s="130"/>
      <c r="AE79" s="130"/>
      <c r="AF79" s="130"/>
      <c r="AG79" s="130"/>
      <c r="AH79" s="130"/>
      <c r="AI79" s="130"/>
      <c r="AJ79" s="130"/>
      <c r="AK79" s="130"/>
    </row>
    <row r="80">
      <c r="A80" s="15">
        <v>77.0</v>
      </c>
      <c r="B80" s="17" t="str">
        <f t="shared" ref="B80:B81" si="67">HYPERLINK("https://github.com/d-wkim/phd/blob/main/data/pdf/popovic_2024.pdf","Popovic et al., 2024")</f>
        <v>Popovic et al., 2024</v>
      </c>
      <c r="C80" s="114" t="s">
        <v>42</v>
      </c>
      <c r="D80" s="131" t="s">
        <v>385</v>
      </c>
      <c r="E80" s="114">
        <v>38.0</v>
      </c>
      <c r="F80" s="118"/>
      <c r="G80" s="119"/>
      <c r="H80" s="113"/>
      <c r="I80" s="118"/>
      <c r="J80" s="119"/>
      <c r="K80" s="113"/>
      <c r="L80" s="118">
        <v>1.0</v>
      </c>
      <c r="M80" s="119">
        <f t="shared" si="53"/>
        <v>0.02631578947</v>
      </c>
      <c r="N80" s="113" t="str">
        <f t="shared" si="54"/>
        <v>1 (3%)</v>
      </c>
      <c r="O80" s="118">
        <v>0.0</v>
      </c>
      <c r="P80" s="119">
        <f t="shared" si="4"/>
        <v>0</v>
      </c>
      <c r="Q80" s="113" t="s">
        <v>477</v>
      </c>
      <c r="R80" s="136">
        <v>1.0</v>
      </c>
      <c r="S80" s="136">
        <v>1.0</v>
      </c>
      <c r="T80" s="118">
        <f t="shared" si="7"/>
        <v>1</v>
      </c>
      <c r="U80" s="128">
        <f t="shared" si="8"/>
        <v>0.03896103896</v>
      </c>
      <c r="V80" s="129">
        <v>0.6164414002968976</v>
      </c>
      <c r="W80" s="130"/>
      <c r="X80" s="130"/>
      <c r="Y80" s="130"/>
      <c r="Z80" s="130"/>
      <c r="AA80" s="130"/>
      <c r="AB80" s="130"/>
      <c r="AC80" s="130"/>
      <c r="AD80" s="130"/>
      <c r="AE80" s="130"/>
      <c r="AF80" s="130"/>
      <c r="AG80" s="130"/>
      <c r="AH80" s="130"/>
      <c r="AI80" s="130"/>
      <c r="AJ80" s="130"/>
      <c r="AK80" s="130"/>
    </row>
    <row r="81">
      <c r="A81" s="15">
        <v>77.0</v>
      </c>
      <c r="B81" s="17" t="str">
        <f t="shared" si="67"/>
        <v>Popovic et al., 2024</v>
      </c>
      <c r="C81" s="114" t="s">
        <v>84</v>
      </c>
      <c r="D81" s="131" t="s">
        <v>385</v>
      </c>
      <c r="E81" s="114">
        <v>33.0</v>
      </c>
      <c r="F81" s="120"/>
      <c r="G81" s="119"/>
      <c r="H81" s="113"/>
      <c r="I81" s="120"/>
      <c r="J81" s="119"/>
      <c r="K81" s="113"/>
      <c r="L81" s="118">
        <v>3.0</v>
      </c>
      <c r="M81" s="119">
        <f t="shared" si="53"/>
        <v>0.09090909091</v>
      </c>
      <c r="N81" s="113" t="str">
        <f t="shared" si="54"/>
        <v>3 (9%)</v>
      </c>
      <c r="O81" s="118">
        <v>0.0</v>
      </c>
      <c r="P81" s="119">
        <f t="shared" si="4"/>
        <v>0</v>
      </c>
      <c r="Q81" s="113" t="s">
        <v>477</v>
      </c>
      <c r="R81" s="136">
        <v>3.0</v>
      </c>
      <c r="S81" s="136">
        <v>3.0</v>
      </c>
      <c r="T81" s="118">
        <f t="shared" si="7"/>
        <v>3</v>
      </c>
      <c r="U81" s="128">
        <f t="shared" si="8"/>
        <v>0.1044776119</v>
      </c>
      <c r="V81" s="129">
        <v>0.08703882797784893</v>
      </c>
      <c r="W81" s="130"/>
      <c r="X81" s="130"/>
      <c r="Y81" s="130"/>
      <c r="Z81" s="130"/>
      <c r="AA81" s="130"/>
      <c r="AB81" s="130"/>
      <c r="AC81" s="130"/>
      <c r="AD81" s="130"/>
      <c r="AE81" s="130"/>
      <c r="AF81" s="130"/>
      <c r="AG81" s="130"/>
      <c r="AH81" s="130"/>
      <c r="AI81" s="130"/>
      <c r="AJ81" s="130"/>
      <c r="AK81" s="130"/>
    </row>
    <row r="82">
      <c r="A82" s="15">
        <v>82.0</v>
      </c>
      <c r="B82" s="17" t="str">
        <f t="shared" ref="B82:B83" si="68">HYPERLINK("https://github.com/d-wkim/phd/blob/main/data/pdf/sajovic_2018.pdf","Sajovic et al., 2018")</f>
        <v>Sajovic et al., 2018</v>
      </c>
      <c r="C82" s="114" t="s">
        <v>42</v>
      </c>
      <c r="D82" s="131" t="s">
        <v>385</v>
      </c>
      <c r="E82" s="114">
        <v>24.0</v>
      </c>
      <c r="F82" s="118">
        <v>19.0</v>
      </c>
      <c r="G82" s="119">
        <f t="shared" ref="G82:G87" si="69">F82/$E82</f>
        <v>0.7916666667</v>
      </c>
      <c r="H82" s="113" t="str">
        <f t="shared" ref="H82:H87" si="70">F82&amp;" ("&amp;round(G82*100,0)&amp;"%)"</f>
        <v>19 (79%)</v>
      </c>
      <c r="I82" s="118">
        <v>5.0</v>
      </c>
      <c r="J82" s="119">
        <f t="shared" ref="J82:J87" si="71">I82/$E82</f>
        <v>0.2083333333</v>
      </c>
      <c r="K82" s="113" t="str">
        <f t="shared" ref="K82:K87" si="72">I82&amp;" ("&amp;round(J82*100,0)&amp;"%)"</f>
        <v>5 (21%)</v>
      </c>
      <c r="L82" s="118">
        <v>0.0</v>
      </c>
      <c r="M82" s="119">
        <f t="shared" si="53"/>
        <v>0</v>
      </c>
      <c r="N82" s="113" t="str">
        <f t="shared" si="54"/>
        <v>0 (0%)</v>
      </c>
      <c r="O82" s="118">
        <v>0.0</v>
      </c>
      <c r="P82" s="119">
        <f t="shared" si="4"/>
        <v>0</v>
      </c>
      <c r="Q82" s="113" t="s">
        <v>477</v>
      </c>
      <c r="R82" s="127">
        <f t="shared" ref="R82:R87" si="73">sum(I82:O82)</f>
        <v>5.208333333</v>
      </c>
      <c r="S82" s="127">
        <f t="shared" ref="S82:S87" si="74">sum(L82:O82)</f>
        <v>0</v>
      </c>
      <c r="T82" s="118">
        <f t="shared" si="7"/>
        <v>5.208333333</v>
      </c>
      <c r="U82" s="128">
        <f t="shared" si="8"/>
        <v>0.2329931973</v>
      </c>
      <c r="V82" s="129">
        <v>1.7690759253434065</v>
      </c>
      <c r="W82" s="130"/>
      <c r="X82" s="130"/>
      <c r="Y82" s="130"/>
      <c r="Z82" s="130"/>
      <c r="AA82" s="130"/>
      <c r="AB82" s="130"/>
      <c r="AC82" s="130"/>
      <c r="AD82" s="130"/>
      <c r="AE82" s="130"/>
      <c r="AF82" s="130"/>
      <c r="AG82" s="130"/>
      <c r="AH82" s="130"/>
      <c r="AI82" s="130"/>
      <c r="AJ82" s="130"/>
      <c r="AK82" s="130"/>
    </row>
    <row r="83">
      <c r="A83" s="15">
        <v>82.0</v>
      </c>
      <c r="B83" s="17" t="str">
        <f t="shared" si="68"/>
        <v>Sajovic et al., 2018</v>
      </c>
      <c r="C83" s="114" t="s">
        <v>84</v>
      </c>
      <c r="D83" s="131" t="s">
        <v>385</v>
      </c>
      <c r="E83" s="114">
        <v>24.0</v>
      </c>
      <c r="F83" s="118">
        <v>18.0</v>
      </c>
      <c r="G83" s="119">
        <f t="shared" si="69"/>
        <v>0.75</v>
      </c>
      <c r="H83" s="113" t="str">
        <f t="shared" si="70"/>
        <v>18 (75%)</v>
      </c>
      <c r="I83" s="118">
        <v>6.0</v>
      </c>
      <c r="J83" s="119">
        <f t="shared" si="71"/>
        <v>0.25</v>
      </c>
      <c r="K83" s="113" t="str">
        <f t="shared" si="72"/>
        <v>6 (25%)</v>
      </c>
      <c r="L83" s="118">
        <v>0.0</v>
      </c>
      <c r="M83" s="119">
        <f t="shared" si="53"/>
        <v>0</v>
      </c>
      <c r="N83" s="113" t="str">
        <f t="shared" si="54"/>
        <v>0 (0%)</v>
      </c>
      <c r="O83" s="118">
        <v>0.0</v>
      </c>
      <c r="P83" s="119">
        <f t="shared" si="4"/>
        <v>0</v>
      </c>
      <c r="Q83" s="113" t="s">
        <v>477</v>
      </c>
      <c r="R83" s="127">
        <f t="shared" si="73"/>
        <v>6.25</v>
      </c>
      <c r="S83" s="127">
        <f t="shared" si="74"/>
        <v>0</v>
      </c>
      <c r="T83" s="118">
        <f t="shared" si="7"/>
        <v>6.25</v>
      </c>
      <c r="U83" s="128">
        <f t="shared" si="8"/>
        <v>0.2755102041</v>
      </c>
      <c r="V83" s="129">
        <v>1.418125640558682</v>
      </c>
      <c r="W83" s="130"/>
      <c r="X83" s="130"/>
      <c r="Y83" s="130"/>
      <c r="Z83" s="130"/>
      <c r="AA83" s="130"/>
      <c r="AB83" s="130"/>
      <c r="AC83" s="130"/>
      <c r="AD83" s="130"/>
      <c r="AE83" s="130"/>
      <c r="AF83" s="130"/>
      <c r="AG83" s="130"/>
      <c r="AH83" s="130"/>
      <c r="AI83" s="130"/>
      <c r="AJ83" s="130"/>
      <c r="AK83" s="130"/>
    </row>
    <row r="84">
      <c r="A84" s="15">
        <v>97.0</v>
      </c>
      <c r="B84" s="17" t="str">
        <f t="shared" ref="B84:B85" si="75">HYPERLINK("https://github.com/d-wkim/phd/blob/main/data/pdf/yadav_2025.pdf","Yadav et al., 2025")</f>
        <v>Yadav et al., 2025</v>
      </c>
      <c r="C84" s="114" t="s">
        <v>84</v>
      </c>
      <c r="D84" s="131" t="s">
        <v>385</v>
      </c>
      <c r="E84" s="114">
        <v>36.0</v>
      </c>
      <c r="F84" s="118">
        <v>31.0</v>
      </c>
      <c r="G84" s="119">
        <f t="shared" si="69"/>
        <v>0.8611111111</v>
      </c>
      <c r="H84" s="113" t="str">
        <f t="shared" si="70"/>
        <v>31 (86%)</v>
      </c>
      <c r="I84" s="118">
        <v>4.0</v>
      </c>
      <c r="J84" s="119">
        <f t="shared" si="71"/>
        <v>0.1111111111</v>
      </c>
      <c r="K84" s="113" t="str">
        <f t="shared" si="72"/>
        <v>4 (11%)</v>
      </c>
      <c r="L84" s="118">
        <v>1.0</v>
      </c>
      <c r="M84" s="119">
        <f t="shared" si="53"/>
        <v>0.02777777778</v>
      </c>
      <c r="N84" s="113" t="str">
        <f t="shared" si="54"/>
        <v>1 (3%)</v>
      </c>
      <c r="O84" s="118">
        <v>0.0</v>
      </c>
      <c r="P84" s="119">
        <f t="shared" si="4"/>
        <v>0</v>
      </c>
      <c r="Q84" s="113" t="s">
        <v>477</v>
      </c>
      <c r="R84" s="127">
        <f t="shared" si="73"/>
        <v>5.138888889</v>
      </c>
      <c r="S84" s="127">
        <f t="shared" si="74"/>
        <v>1.027777778</v>
      </c>
      <c r="T84" s="118">
        <f t="shared" si="7"/>
        <v>5.138888889</v>
      </c>
      <c r="U84" s="128">
        <f t="shared" si="8"/>
        <v>0.1544901065</v>
      </c>
      <c r="V84" s="129">
        <v>1.064516129032258</v>
      </c>
      <c r="W84" s="130"/>
      <c r="X84" s="130"/>
      <c r="Y84" s="130"/>
      <c r="Z84" s="130"/>
      <c r="AA84" s="130"/>
      <c r="AB84" s="130"/>
      <c r="AC84" s="130"/>
      <c r="AD84" s="130"/>
      <c r="AE84" s="130"/>
      <c r="AF84" s="130"/>
      <c r="AG84" s="130"/>
      <c r="AH84" s="130"/>
      <c r="AI84" s="130"/>
      <c r="AJ84" s="130"/>
      <c r="AK84" s="130"/>
    </row>
    <row r="85">
      <c r="A85" s="15">
        <v>97.0</v>
      </c>
      <c r="B85" s="17" t="str">
        <f t="shared" si="75"/>
        <v>Yadav et al., 2025</v>
      </c>
      <c r="C85" s="114" t="s">
        <v>200</v>
      </c>
      <c r="D85" s="131" t="s">
        <v>385</v>
      </c>
      <c r="E85" s="114">
        <v>33.0</v>
      </c>
      <c r="F85" s="118">
        <v>33.0</v>
      </c>
      <c r="G85" s="119">
        <f t="shared" si="69"/>
        <v>1</v>
      </c>
      <c r="H85" s="113" t="str">
        <f t="shared" si="70"/>
        <v>33 (100%)</v>
      </c>
      <c r="I85" s="118">
        <v>0.0</v>
      </c>
      <c r="J85" s="119">
        <f t="shared" si="71"/>
        <v>0</v>
      </c>
      <c r="K85" s="113" t="str">
        <f t="shared" si="72"/>
        <v>0 (0%)</v>
      </c>
      <c r="L85" s="118">
        <v>0.0</v>
      </c>
      <c r="M85" s="119">
        <f t="shared" si="53"/>
        <v>0</v>
      </c>
      <c r="N85" s="113" t="str">
        <f t="shared" si="54"/>
        <v>0 (0%)</v>
      </c>
      <c r="O85" s="118">
        <v>0.0</v>
      </c>
      <c r="P85" s="119">
        <f t="shared" si="4"/>
        <v>0</v>
      </c>
      <c r="Q85" s="113" t="s">
        <v>477</v>
      </c>
      <c r="R85" s="127">
        <f t="shared" si="73"/>
        <v>0</v>
      </c>
      <c r="S85" s="127">
        <f t="shared" si="74"/>
        <v>0</v>
      </c>
      <c r="T85" s="118">
        <f t="shared" si="7"/>
        <v>0</v>
      </c>
      <c r="U85" s="128">
        <f t="shared" si="8"/>
        <v>0.01492537313</v>
      </c>
      <c r="V85" s="129">
        <v>0.08703882797784893</v>
      </c>
      <c r="W85" s="130"/>
      <c r="X85" s="130"/>
      <c r="Y85" s="130"/>
      <c r="Z85" s="130"/>
      <c r="AA85" s="130"/>
      <c r="AB85" s="130"/>
      <c r="AC85" s="130"/>
      <c r="AD85" s="130"/>
      <c r="AE85" s="130"/>
      <c r="AF85" s="130"/>
      <c r="AG85" s="130"/>
      <c r="AH85" s="130"/>
      <c r="AI85" s="130"/>
      <c r="AJ85" s="130"/>
      <c r="AK85" s="130"/>
    </row>
    <row r="86">
      <c r="A86" s="15">
        <v>98.0</v>
      </c>
      <c r="B86" s="17" t="str">
        <f t="shared" ref="B86:B87" si="76">HYPERLINK("https://github.com/d-wkim/phd/blob/main/data/pdf/yoo_2017.pdf","Yoo et al., 2017")</f>
        <v>Yoo et al., 2017</v>
      </c>
      <c r="C86" s="114" t="s">
        <v>84</v>
      </c>
      <c r="D86" s="131" t="s">
        <v>385</v>
      </c>
      <c r="E86" s="114">
        <v>68.0</v>
      </c>
      <c r="F86" s="118">
        <v>42.0</v>
      </c>
      <c r="G86" s="119">
        <f t="shared" si="69"/>
        <v>0.6176470588</v>
      </c>
      <c r="H86" s="113" t="str">
        <f t="shared" si="70"/>
        <v>42 (62%)</v>
      </c>
      <c r="I86" s="118">
        <v>24.0</v>
      </c>
      <c r="J86" s="119">
        <f t="shared" si="71"/>
        <v>0.3529411765</v>
      </c>
      <c r="K86" s="113" t="str">
        <f t="shared" si="72"/>
        <v>24 (35%)</v>
      </c>
      <c r="L86" s="118">
        <v>2.0</v>
      </c>
      <c r="M86" s="119">
        <f t="shared" si="53"/>
        <v>0.02941176471</v>
      </c>
      <c r="N86" s="113" t="str">
        <f t="shared" si="54"/>
        <v>2 (3%)</v>
      </c>
      <c r="O86" s="118">
        <v>0.0</v>
      </c>
      <c r="P86" s="119">
        <f t="shared" si="4"/>
        <v>0</v>
      </c>
      <c r="Q86" s="113" t="s">
        <v>477</v>
      </c>
      <c r="R86" s="127">
        <f t="shared" si="73"/>
        <v>26.38235294</v>
      </c>
      <c r="S86" s="127">
        <f t="shared" si="74"/>
        <v>2.029411765</v>
      </c>
      <c r="T86" s="118">
        <f t="shared" si="7"/>
        <v>26.38235294</v>
      </c>
      <c r="U86" s="128">
        <f t="shared" si="8"/>
        <v>0.3924431086</v>
      </c>
      <c r="V86" s="129">
        <v>0.3123564867892167</v>
      </c>
      <c r="W86" s="130"/>
      <c r="X86" s="130"/>
      <c r="Y86" s="130"/>
      <c r="Z86" s="130"/>
      <c r="AA86" s="130"/>
      <c r="AB86" s="130"/>
      <c r="AC86" s="130"/>
      <c r="AD86" s="130"/>
      <c r="AE86" s="130"/>
      <c r="AF86" s="130"/>
      <c r="AG86" s="130"/>
      <c r="AH86" s="130"/>
      <c r="AI86" s="130"/>
      <c r="AJ86" s="130"/>
      <c r="AK86" s="130"/>
    </row>
    <row r="87">
      <c r="A87" s="15">
        <v>98.0</v>
      </c>
      <c r="B87" s="17" t="str">
        <f t="shared" si="76"/>
        <v>Yoo et al., 2017</v>
      </c>
      <c r="C87" s="114" t="s">
        <v>205</v>
      </c>
      <c r="D87" s="131" t="s">
        <v>385</v>
      </c>
      <c r="E87" s="114">
        <v>64.0</v>
      </c>
      <c r="F87" s="118">
        <v>31.0</v>
      </c>
      <c r="G87" s="119">
        <f t="shared" si="69"/>
        <v>0.484375</v>
      </c>
      <c r="H87" s="113" t="str">
        <f t="shared" si="70"/>
        <v>31 (48%)</v>
      </c>
      <c r="I87" s="118">
        <v>30.0</v>
      </c>
      <c r="J87" s="119">
        <f t="shared" si="71"/>
        <v>0.46875</v>
      </c>
      <c r="K87" s="113" t="str">
        <f t="shared" si="72"/>
        <v>30 (47%)</v>
      </c>
      <c r="L87" s="118">
        <v>1.0</v>
      </c>
      <c r="M87" s="119">
        <f t="shared" si="53"/>
        <v>0.015625</v>
      </c>
      <c r="N87" s="113" t="str">
        <f t="shared" si="54"/>
        <v>1 (2%)</v>
      </c>
      <c r="O87" s="118">
        <v>2.0</v>
      </c>
      <c r="P87" s="119">
        <f t="shared" si="4"/>
        <v>0.03125</v>
      </c>
      <c r="Q87" s="113" t="s">
        <v>567</v>
      </c>
      <c r="R87" s="127">
        <f t="shared" si="73"/>
        <v>33.484375</v>
      </c>
      <c r="S87" s="127">
        <f t="shared" si="74"/>
        <v>3.015625</v>
      </c>
      <c r="T87" s="118">
        <f t="shared" si="7"/>
        <v>33.484375</v>
      </c>
      <c r="U87" s="128">
        <f t="shared" si="8"/>
        <v>0.5268895349</v>
      </c>
      <c r="V87" s="129">
        <v>0.45901639344262296</v>
      </c>
      <c r="W87" s="130"/>
      <c r="X87" s="130"/>
      <c r="Y87" s="130"/>
      <c r="Z87" s="130"/>
      <c r="AA87" s="130"/>
      <c r="AB87" s="130"/>
      <c r="AC87" s="130"/>
      <c r="AD87" s="130"/>
      <c r="AE87" s="130"/>
      <c r="AF87" s="130"/>
      <c r="AG87" s="130"/>
      <c r="AH87" s="130"/>
      <c r="AI87" s="130"/>
      <c r="AJ87" s="130"/>
      <c r="AK87" s="130"/>
    </row>
    <row r="88">
      <c r="A88" s="130"/>
      <c r="B88" s="130"/>
      <c r="C88" s="143"/>
      <c r="D88" s="130"/>
      <c r="E88" s="143"/>
      <c r="F88" s="143"/>
      <c r="G88" s="143"/>
      <c r="H88" s="143"/>
      <c r="I88" s="143"/>
      <c r="J88" s="143"/>
      <c r="K88" s="143"/>
      <c r="L88" s="143"/>
      <c r="M88" s="143"/>
      <c r="N88" s="143"/>
      <c r="O88" s="143"/>
      <c r="P88" s="143"/>
      <c r="Q88" s="67"/>
      <c r="R88" s="144"/>
      <c r="S88" s="144"/>
      <c r="T88" s="143"/>
      <c r="U88" s="143"/>
      <c r="V88" s="143"/>
      <c r="W88" s="130"/>
      <c r="X88" s="130"/>
      <c r="Y88" s="130"/>
      <c r="Z88" s="130"/>
      <c r="AA88" s="130"/>
      <c r="AB88" s="130"/>
      <c r="AC88" s="130"/>
      <c r="AD88" s="130"/>
      <c r="AE88" s="130"/>
      <c r="AF88" s="130"/>
      <c r="AG88" s="130"/>
      <c r="AH88" s="130"/>
      <c r="AI88" s="130"/>
      <c r="AJ88" s="130"/>
      <c r="AK88" s="130"/>
    </row>
    <row r="89">
      <c r="A89" s="130"/>
      <c r="B89" s="130"/>
      <c r="C89" s="143"/>
      <c r="D89" s="130"/>
      <c r="E89" s="143"/>
      <c r="F89" s="143"/>
      <c r="G89" s="143"/>
      <c r="H89" s="143"/>
      <c r="I89" s="143"/>
      <c r="J89" s="143"/>
      <c r="K89" s="143"/>
      <c r="L89" s="143"/>
      <c r="M89" s="143"/>
      <c r="N89" s="143"/>
      <c r="O89" s="143"/>
      <c r="P89" s="143"/>
      <c r="Q89" s="67"/>
      <c r="R89" s="144"/>
      <c r="S89" s="144"/>
      <c r="T89" s="143"/>
      <c r="U89" s="143"/>
      <c r="V89" s="143"/>
      <c r="W89" s="130"/>
      <c r="X89" s="130"/>
      <c r="Y89" s="130"/>
      <c r="Z89" s="130"/>
      <c r="AA89" s="130"/>
      <c r="AB89" s="130"/>
      <c r="AC89" s="130"/>
      <c r="AD89" s="130"/>
      <c r="AE89" s="130"/>
      <c r="AF89" s="130"/>
      <c r="AG89" s="130"/>
      <c r="AH89" s="130"/>
      <c r="AI89" s="130"/>
      <c r="AJ89" s="130"/>
      <c r="AK89" s="130"/>
    </row>
    <row r="90">
      <c r="A90" s="130"/>
      <c r="B90" s="130"/>
      <c r="C90" s="143"/>
      <c r="D90" s="130"/>
      <c r="E90" s="143"/>
      <c r="F90" s="143"/>
      <c r="G90" s="143"/>
      <c r="H90" s="143"/>
      <c r="I90" s="143"/>
      <c r="J90" s="143"/>
      <c r="K90" s="143"/>
      <c r="L90" s="143"/>
      <c r="M90" s="143"/>
      <c r="N90" s="143"/>
      <c r="O90" s="143"/>
      <c r="P90" s="143"/>
      <c r="Q90" s="67"/>
      <c r="R90" s="144"/>
      <c r="S90" s="144"/>
      <c r="T90" s="143"/>
      <c r="U90" s="143"/>
      <c r="V90" s="143"/>
      <c r="W90" s="130"/>
      <c r="X90" s="130"/>
      <c r="Y90" s="130"/>
      <c r="Z90" s="130"/>
      <c r="AA90" s="130"/>
      <c r="AB90" s="130"/>
      <c r="AC90" s="130"/>
      <c r="AD90" s="130"/>
      <c r="AE90" s="130"/>
      <c r="AF90" s="130"/>
      <c r="AG90" s="130"/>
      <c r="AH90" s="130"/>
      <c r="AI90" s="130"/>
      <c r="AJ90" s="130"/>
      <c r="AK90" s="130"/>
    </row>
    <row r="91">
      <c r="A91" s="130"/>
      <c r="B91" s="130"/>
      <c r="C91" s="143"/>
      <c r="D91" s="130"/>
      <c r="E91" s="143"/>
      <c r="F91" s="143"/>
      <c r="G91" s="143"/>
      <c r="H91" s="143"/>
      <c r="I91" s="143"/>
      <c r="J91" s="143"/>
      <c r="K91" s="143"/>
      <c r="L91" s="143"/>
      <c r="M91" s="143"/>
      <c r="N91" s="143"/>
      <c r="O91" s="143"/>
      <c r="P91" s="143"/>
      <c r="Q91" s="67"/>
      <c r="R91" s="144"/>
      <c r="S91" s="144"/>
      <c r="T91" s="143"/>
      <c r="U91" s="143"/>
      <c r="V91" s="143"/>
      <c r="W91" s="130"/>
      <c r="X91" s="130"/>
      <c r="Y91" s="130"/>
      <c r="Z91" s="130"/>
      <c r="AA91" s="130"/>
      <c r="AB91" s="130"/>
      <c r="AC91" s="130"/>
      <c r="AD91" s="130"/>
      <c r="AE91" s="130"/>
      <c r="AF91" s="130"/>
      <c r="AG91" s="130"/>
      <c r="AH91" s="130"/>
      <c r="AI91" s="130"/>
      <c r="AJ91" s="130"/>
      <c r="AK91" s="130"/>
    </row>
    <row r="92">
      <c r="A92" s="130"/>
      <c r="B92" s="130"/>
      <c r="C92" s="143"/>
      <c r="D92" s="130"/>
      <c r="E92" s="143"/>
      <c r="F92" s="143"/>
      <c r="G92" s="143"/>
      <c r="H92" s="143"/>
      <c r="I92" s="143"/>
      <c r="J92" s="143"/>
      <c r="K92" s="143"/>
      <c r="L92" s="143"/>
      <c r="M92" s="143"/>
      <c r="N92" s="143"/>
      <c r="O92" s="143"/>
      <c r="P92" s="143"/>
      <c r="Q92" s="67"/>
      <c r="R92" s="144"/>
      <c r="S92" s="144"/>
      <c r="T92" s="143"/>
      <c r="U92" s="143"/>
      <c r="V92" s="143"/>
      <c r="W92" s="130"/>
      <c r="X92" s="130"/>
      <c r="Y92" s="130"/>
      <c r="Z92" s="130"/>
      <c r="AA92" s="130"/>
      <c r="AB92" s="130"/>
      <c r="AC92" s="130"/>
      <c r="AD92" s="130"/>
      <c r="AE92" s="130"/>
      <c r="AF92" s="130"/>
      <c r="AG92" s="130"/>
      <c r="AH92" s="130"/>
      <c r="AI92" s="130"/>
      <c r="AJ92" s="130"/>
      <c r="AK92" s="130"/>
    </row>
    <row r="93">
      <c r="A93" s="130"/>
      <c r="B93" s="130"/>
      <c r="C93" s="143"/>
      <c r="D93" s="130"/>
      <c r="E93" s="143"/>
      <c r="F93" s="143"/>
      <c r="G93" s="143"/>
      <c r="H93" s="143"/>
      <c r="I93" s="143"/>
      <c r="J93" s="143"/>
      <c r="K93" s="143"/>
      <c r="L93" s="143"/>
      <c r="M93" s="143"/>
      <c r="N93" s="143"/>
      <c r="O93" s="143"/>
      <c r="P93" s="143"/>
      <c r="Q93" s="67"/>
      <c r="R93" s="144"/>
      <c r="S93" s="144"/>
      <c r="T93" s="143"/>
      <c r="U93" s="143"/>
      <c r="V93" s="143"/>
      <c r="W93" s="130"/>
      <c r="X93" s="130"/>
      <c r="Y93" s="130"/>
      <c r="Z93" s="130"/>
      <c r="AA93" s="130"/>
      <c r="AB93" s="130"/>
      <c r="AC93" s="130"/>
      <c r="AD93" s="130"/>
      <c r="AE93" s="130"/>
      <c r="AF93" s="130"/>
      <c r="AG93" s="130"/>
      <c r="AH93" s="130"/>
      <c r="AI93" s="130"/>
      <c r="AJ93" s="130"/>
      <c r="AK93" s="130"/>
    </row>
    <row r="94">
      <c r="A94" s="130"/>
      <c r="B94" s="130"/>
      <c r="C94" s="143"/>
      <c r="D94" s="130"/>
      <c r="E94" s="143"/>
      <c r="F94" s="143"/>
      <c r="G94" s="143"/>
      <c r="H94" s="143"/>
      <c r="I94" s="143"/>
      <c r="J94" s="143"/>
      <c r="K94" s="143"/>
      <c r="L94" s="143"/>
      <c r="M94" s="143"/>
      <c r="N94" s="143"/>
      <c r="O94" s="143"/>
      <c r="P94" s="143"/>
      <c r="Q94" s="67"/>
      <c r="R94" s="144"/>
      <c r="S94" s="144"/>
      <c r="T94" s="143"/>
      <c r="U94" s="143"/>
      <c r="V94" s="143"/>
      <c r="W94" s="130"/>
      <c r="X94" s="130"/>
      <c r="Y94" s="130"/>
      <c r="Z94" s="130"/>
      <c r="AA94" s="130"/>
      <c r="AB94" s="130"/>
      <c r="AC94" s="130"/>
      <c r="AD94" s="130"/>
      <c r="AE94" s="130"/>
      <c r="AF94" s="130"/>
      <c r="AG94" s="130"/>
      <c r="AH94" s="130"/>
      <c r="AI94" s="130"/>
      <c r="AJ94" s="130"/>
      <c r="AK94" s="130"/>
    </row>
    <row r="95">
      <c r="A95" s="130"/>
      <c r="B95" s="130"/>
      <c r="C95" s="143"/>
      <c r="D95" s="130"/>
      <c r="E95" s="143"/>
      <c r="F95" s="143"/>
      <c r="G95" s="143"/>
      <c r="H95" s="143"/>
      <c r="I95" s="143"/>
      <c r="J95" s="143"/>
      <c r="K95" s="143"/>
      <c r="L95" s="143"/>
      <c r="M95" s="143"/>
      <c r="N95" s="143"/>
      <c r="O95" s="143"/>
      <c r="P95" s="143"/>
      <c r="Q95" s="67"/>
      <c r="R95" s="144"/>
      <c r="S95" s="144"/>
      <c r="T95" s="143"/>
      <c r="U95" s="143"/>
      <c r="V95" s="143"/>
      <c r="W95" s="130"/>
      <c r="X95" s="130"/>
      <c r="Y95" s="130"/>
      <c r="Z95" s="130"/>
      <c r="AA95" s="130"/>
      <c r="AB95" s="130"/>
      <c r="AC95" s="130"/>
      <c r="AD95" s="130"/>
      <c r="AE95" s="130"/>
      <c r="AF95" s="130"/>
      <c r="AG95" s="130"/>
      <c r="AH95" s="130"/>
      <c r="AI95" s="130"/>
      <c r="AJ95" s="130"/>
      <c r="AK95" s="130"/>
    </row>
    <row r="96">
      <c r="A96" s="130"/>
      <c r="B96" s="130"/>
      <c r="C96" s="143"/>
      <c r="D96" s="130"/>
      <c r="E96" s="143"/>
      <c r="F96" s="143"/>
      <c r="G96" s="143"/>
      <c r="H96" s="143"/>
      <c r="I96" s="143"/>
      <c r="J96" s="143"/>
      <c r="K96" s="143"/>
      <c r="L96" s="143"/>
      <c r="M96" s="143"/>
      <c r="N96" s="143"/>
      <c r="O96" s="143"/>
      <c r="P96" s="143"/>
      <c r="Q96" s="67"/>
      <c r="R96" s="144"/>
      <c r="S96" s="144"/>
      <c r="T96" s="143"/>
      <c r="U96" s="143"/>
      <c r="V96" s="143"/>
      <c r="W96" s="130"/>
      <c r="X96" s="130"/>
      <c r="Y96" s="130"/>
      <c r="Z96" s="130"/>
      <c r="AA96" s="130"/>
      <c r="AB96" s="130"/>
      <c r="AC96" s="130"/>
      <c r="AD96" s="130"/>
      <c r="AE96" s="130"/>
      <c r="AF96" s="130"/>
      <c r="AG96" s="130"/>
      <c r="AH96" s="130"/>
      <c r="AI96" s="130"/>
      <c r="AJ96" s="130"/>
      <c r="AK96" s="130"/>
    </row>
    <row r="97">
      <c r="A97" s="130"/>
      <c r="B97" s="130"/>
      <c r="C97" s="143"/>
      <c r="D97" s="130"/>
      <c r="E97" s="143"/>
      <c r="F97" s="143"/>
      <c r="G97" s="143"/>
      <c r="H97" s="143"/>
      <c r="I97" s="143"/>
      <c r="J97" s="143"/>
      <c r="K97" s="143"/>
      <c r="L97" s="143"/>
      <c r="M97" s="143"/>
      <c r="N97" s="143"/>
      <c r="O97" s="143"/>
      <c r="P97" s="143"/>
      <c r="Q97" s="67"/>
      <c r="R97" s="144"/>
      <c r="S97" s="144"/>
      <c r="T97" s="143"/>
      <c r="U97" s="143"/>
      <c r="V97" s="143"/>
      <c r="W97" s="130"/>
      <c r="X97" s="130"/>
      <c r="Y97" s="130"/>
      <c r="Z97" s="130"/>
      <c r="AA97" s="130"/>
      <c r="AB97" s="130"/>
      <c r="AC97" s="130"/>
      <c r="AD97" s="130"/>
      <c r="AE97" s="130"/>
      <c r="AF97" s="130"/>
      <c r="AG97" s="130"/>
      <c r="AH97" s="130"/>
      <c r="AI97" s="130"/>
      <c r="AJ97" s="130"/>
      <c r="AK97" s="130"/>
    </row>
    <row r="98">
      <c r="A98" s="130"/>
      <c r="B98" s="130"/>
      <c r="C98" s="143"/>
      <c r="D98" s="130"/>
      <c r="E98" s="143"/>
      <c r="F98" s="143"/>
      <c r="G98" s="143"/>
      <c r="H98" s="143"/>
      <c r="I98" s="143"/>
      <c r="J98" s="143"/>
      <c r="K98" s="143"/>
      <c r="L98" s="143"/>
      <c r="M98" s="143"/>
      <c r="N98" s="143"/>
      <c r="O98" s="143"/>
      <c r="P98" s="143"/>
      <c r="Q98" s="67"/>
      <c r="R98" s="144"/>
      <c r="S98" s="144"/>
      <c r="T98" s="143"/>
      <c r="U98" s="143"/>
      <c r="V98" s="143"/>
      <c r="W98" s="130"/>
      <c r="X98" s="130"/>
      <c r="Y98" s="130"/>
      <c r="Z98" s="130"/>
      <c r="AA98" s="130"/>
      <c r="AB98" s="130"/>
      <c r="AC98" s="130"/>
      <c r="AD98" s="130"/>
      <c r="AE98" s="130"/>
      <c r="AF98" s="130"/>
      <c r="AG98" s="130"/>
      <c r="AH98" s="130"/>
      <c r="AI98" s="130"/>
      <c r="AJ98" s="130"/>
      <c r="AK98" s="130"/>
    </row>
    <row r="99">
      <c r="A99" s="130"/>
      <c r="B99" s="130"/>
      <c r="C99" s="143"/>
      <c r="D99" s="130"/>
      <c r="E99" s="143"/>
      <c r="F99" s="143"/>
      <c r="G99" s="143"/>
      <c r="H99" s="143"/>
      <c r="I99" s="143"/>
      <c r="J99" s="143"/>
      <c r="K99" s="143"/>
      <c r="L99" s="143"/>
      <c r="M99" s="143"/>
      <c r="N99" s="143"/>
      <c r="O99" s="143"/>
      <c r="P99" s="143"/>
      <c r="Q99" s="67"/>
      <c r="R99" s="144"/>
      <c r="S99" s="144"/>
      <c r="T99" s="143"/>
      <c r="U99" s="143"/>
      <c r="V99" s="143"/>
      <c r="W99" s="130"/>
      <c r="X99" s="130"/>
      <c r="Y99" s="130"/>
      <c r="Z99" s="130"/>
      <c r="AA99" s="130"/>
      <c r="AB99" s="130"/>
      <c r="AC99" s="130"/>
      <c r="AD99" s="130"/>
      <c r="AE99" s="130"/>
      <c r="AF99" s="130"/>
      <c r="AG99" s="130"/>
      <c r="AH99" s="130"/>
      <c r="AI99" s="130"/>
      <c r="AJ99" s="130"/>
      <c r="AK99" s="130"/>
    </row>
    <row r="100">
      <c r="A100" s="130"/>
      <c r="B100" s="130"/>
      <c r="C100" s="143"/>
      <c r="D100" s="130"/>
      <c r="E100" s="143"/>
      <c r="F100" s="143"/>
      <c r="G100" s="143"/>
      <c r="H100" s="143"/>
      <c r="I100" s="143"/>
      <c r="J100" s="143"/>
      <c r="K100" s="143"/>
      <c r="L100" s="143"/>
      <c r="M100" s="143"/>
      <c r="N100" s="143"/>
      <c r="O100" s="143"/>
      <c r="P100" s="143"/>
      <c r="Q100" s="67"/>
      <c r="R100" s="144"/>
      <c r="S100" s="144"/>
      <c r="T100" s="143"/>
      <c r="U100" s="143"/>
      <c r="V100" s="143"/>
      <c r="W100" s="130"/>
      <c r="X100" s="130"/>
      <c r="Y100" s="130"/>
      <c r="Z100" s="130"/>
      <c r="AA100" s="130"/>
      <c r="AB100" s="130"/>
      <c r="AC100" s="130"/>
      <c r="AD100" s="130"/>
      <c r="AE100" s="130"/>
      <c r="AF100" s="130"/>
      <c r="AG100" s="130"/>
      <c r="AH100" s="130"/>
      <c r="AI100" s="130"/>
      <c r="AJ100" s="130"/>
      <c r="AK100" s="130"/>
    </row>
    <row r="101">
      <c r="A101" s="130"/>
      <c r="B101" s="130"/>
      <c r="C101" s="143"/>
      <c r="D101" s="130"/>
      <c r="E101" s="143"/>
      <c r="F101" s="143"/>
      <c r="G101" s="143"/>
      <c r="H101" s="143"/>
      <c r="I101" s="143"/>
      <c r="J101" s="143"/>
      <c r="K101" s="143"/>
      <c r="L101" s="143"/>
      <c r="M101" s="143"/>
      <c r="N101" s="143"/>
      <c r="O101" s="143"/>
      <c r="P101" s="143"/>
      <c r="Q101" s="67"/>
      <c r="R101" s="144"/>
      <c r="S101" s="144"/>
      <c r="T101" s="143"/>
      <c r="U101" s="143"/>
      <c r="V101" s="143"/>
      <c r="W101" s="130"/>
      <c r="X101" s="130"/>
      <c r="Y101" s="130"/>
      <c r="Z101" s="130"/>
      <c r="AA101" s="130"/>
      <c r="AB101" s="130"/>
      <c r="AC101" s="130"/>
      <c r="AD101" s="130"/>
      <c r="AE101" s="130"/>
      <c r="AF101" s="130"/>
      <c r="AG101" s="130"/>
      <c r="AH101" s="130"/>
      <c r="AI101" s="130"/>
      <c r="AJ101" s="130"/>
      <c r="AK101" s="130"/>
    </row>
    <row r="102">
      <c r="A102" s="130"/>
      <c r="B102" s="130"/>
      <c r="C102" s="143"/>
      <c r="D102" s="130"/>
      <c r="E102" s="143"/>
      <c r="F102" s="143"/>
      <c r="G102" s="143"/>
      <c r="H102" s="143"/>
      <c r="I102" s="143"/>
      <c r="J102" s="143"/>
      <c r="K102" s="143"/>
      <c r="L102" s="143"/>
      <c r="M102" s="143"/>
      <c r="N102" s="143"/>
      <c r="O102" s="143"/>
      <c r="P102" s="143"/>
      <c r="Q102" s="67"/>
      <c r="R102" s="144"/>
      <c r="S102" s="144"/>
      <c r="T102" s="143"/>
      <c r="U102" s="143"/>
      <c r="V102" s="143"/>
      <c r="W102" s="130"/>
      <c r="X102" s="130"/>
      <c r="Y102" s="130"/>
      <c r="Z102" s="130"/>
      <c r="AA102" s="130"/>
      <c r="AB102" s="130"/>
      <c r="AC102" s="130"/>
      <c r="AD102" s="130"/>
      <c r="AE102" s="130"/>
      <c r="AF102" s="130"/>
      <c r="AG102" s="130"/>
      <c r="AH102" s="130"/>
      <c r="AI102" s="130"/>
      <c r="AJ102" s="130"/>
      <c r="AK102" s="130"/>
    </row>
    <row r="103">
      <c r="A103" s="130"/>
      <c r="B103" s="130"/>
      <c r="C103" s="143"/>
      <c r="D103" s="130"/>
      <c r="E103" s="143"/>
      <c r="F103" s="143"/>
      <c r="G103" s="143"/>
      <c r="H103" s="143"/>
      <c r="I103" s="143"/>
      <c r="J103" s="143"/>
      <c r="K103" s="143"/>
      <c r="L103" s="143"/>
      <c r="M103" s="143"/>
      <c r="N103" s="143"/>
      <c r="O103" s="143"/>
      <c r="P103" s="143"/>
      <c r="Q103" s="67"/>
      <c r="R103" s="144"/>
      <c r="S103" s="144"/>
      <c r="T103" s="143"/>
      <c r="U103" s="143"/>
      <c r="V103" s="143"/>
      <c r="W103" s="130"/>
      <c r="X103" s="130"/>
      <c r="Y103" s="130"/>
      <c r="Z103" s="130"/>
      <c r="AA103" s="130"/>
      <c r="AB103" s="130"/>
      <c r="AC103" s="130"/>
      <c r="AD103" s="130"/>
      <c r="AE103" s="130"/>
      <c r="AF103" s="130"/>
      <c r="AG103" s="130"/>
      <c r="AH103" s="130"/>
      <c r="AI103" s="130"/>
      <c r="AJ103" s="130"/>
      <c r="AK103" s="130"/>
    </row>
    <row r="104">
      <c r="A104" s="130"/>
      <c r="B104" s="130"/>
      <c r="C104" s="143"/>
      <c r="D104" s="130"/>
      <c r="E104" s="143"/>
      <c r="F104" s="143"/>
      <c r="G104" s="143"/>
      <c r="H104" s="143"/>
      <c r="I104" s="143"/>
      <c r="J104" s="143"/>
      <c r="K104" s="143"/>
      <c r="L104" s="143"/>
      <c r="M104" s="143"/>
      <c r="N104" s="143"/>
      <c r="O104" s="143"/>
      <c r="P104" s="143"/>
      <c r="Q104" s="67"/>
      <c r="R104" s="144"/>
      <c r="S104" s="144"/>
      <c r="T104" s="143"/>
      <c r="U104" s="143"/>
      <c r="V104" s="143"/>
      <c r="W104" s="130"/>
      <c r="X104" s="130"/>
      <c r="Y104" s="130"/>
      <c r="Z104" s="130"/>
      <c r="AA104" s="130"/>
      <c r="AB104" s="130"/>
      <c r="AC104" s="130"/>
      <c r="AD104" s="130"/>
      <c r="AE104" s="130"/>
      <c r="AF104" s="130"/>
      <c r="AG104" s="130"/>
      <c r="AH104" s="130"/>
      <c r="AI104" s="130"/>
      <c r="AJ104" s="130"/>
      <c r="AK104" s="130"/>
    </row>
    <row r="105">
      <c r="A105" s="130"/>
      <c r="B105" s="130"/>
      <c r="C105" s="143"/>
      <c r="D105" s="130"/>
      <c r="E105" s="143"/>
      <c r="F105" s="143"/>
      <c r="G105" s="143"/>
      <c r="H105" s="143"/>
      <c r="I105" s="143"/>
      <c r="J105" s="143"/>
      <c r="K105" s="143"/>
      <c r="L105" s="143"/>
      <c r="M105" s="143"/>
      <c r="N105" s="143"/>
      <c r="O105" s="143"/>
      <c r="P105" s="143"/>
      <c r="Q105" s="67"/>
      <c r="R105" s="144"/>
      <c r="S105" s="144"/>
      <c r="T105" s="143"/>
      <c r="U105" s="143"/>
      <c r="V105" s="143"/>
      <c r="W105" s="130"/>
      <c r="X105" s="130"/>
      <c r="Y105" s="130"/>
      <c r="Z105" s="130"/>
      <c r="AA105" s="130"/>
      <c r="AB105" s="130"/>
      <c r="AC105" s="130"/>
      <c r="AD105" s="130"/>
      <c r="AE105" s="130"/>
      <c r="AF105" s="130"/>
      <c r="AG105" s="130"/>
      <c r="AH105" s="130"/>
      <c r="AI105" s="130"/>
      <c r="AJ105" s="130"/>
      <c r="AK105" s="130"/>
    </row>
    <row r="106">
      <c r="A106" s="130"/>
      <c r="B106" s="130"/>
      <c r="C106" s="143"/>
      <c r="D106" s="130"/>
      <c r="E106" s="143"/>
      <c r="F106" s="143"/>
      <c r="G106" s="143"/>
      <c r="H106" s="143"/>
      <c r="I106" s="143"/>
      <c r="J106" s="143"/>
      <c r="K106" s="143"/>
      <c r="L106" s="143"/>
      <c r="M106" s="143"/>
      <c r="N106" s="143"/>
      <c r="O106" s="143"/>
      <c r="P106" s="143"/>
      <c r="Q106" s="67"/>
      <c r="R106" s="144"/>
      <c r="S106" s="144"/>
      <c r="T106" s="143"/>
      <c r="U106" s="143"/>
      <c r="V106" s="143"/>
      <c r="W106" s="130"/>
      <c r="X106" s="130"/>
      <c r="Y106" s="130"/>
      <c r="Z106" s="130"/>
      <c r="AA106" s="130"/>
      <c r="AB106" s="130"/>
      <c r="AC106" s="130"/>
      <c r="AD106" s="130"/>
      <c r="AE106" s="130"/>
      <c r="AF106" s="130"/>
      <c r="AG106" s="130"/>
      <c r="AH106" s="130"/>
      <c r="AI106" s="130"/>
      <c r="AJ106" s="130"/>
      <c r="AK106" s="130"/>
    </row>
    <row r="107">
      <c r="A107" s="130"/>
      <c r="B107" s="130"/>
      <c r="C107" s="143"/>
      <c r="D107" s="130"/>
      <c r="E107" s="143"/>
      <c r="F107" s="143"/>
      <c r="G107" s="143"/>
      <c r="H107" s="143"/>
      <c r="I107" s="143"/>
      <c r="J107" s="143"/>
      <c r="K107" s="143"/>
      <c r="L107" s="143"/>
      <c r="M107" s="143"/>
      <c r="N107" s="143"/>
      <c r="O107" s="143"/>
      <c r="P107" s="143"/>
      <c r="Q107" s="67"/>
      <c r="R107" s="144"/>
      <c r="S107" s="144"/>
      <c r="T107" s="143"/>
      <c r="U107" s="143"/>
      <c r="V107" s="143"/>
      <c r="W107" s="130"/>
      <c r="X107" s="130"/>
      <c r="Y107" s="130"/>
      <c r="Z107" s="130"/>
      <c r="AA107" s="130"/>
      <c r="AB107" s="130"/>
      <c r="AC107" s="130"/>
      <c r="AD107" s="130"/>
      <c r="AE107" s="130"/>
      <c r="AF107" s="130"/>
      <c r="AG107" s="130"/>
      <c r="AH107" s="130"/>
      <c r="AI107" s="130"/>
      <c r="AJ107" s="130"/>
      <c r="AK107" s="130"/>
    </row>
    <row r="108">
      <c r="A108" s="130"/>
      <c r="B108" s="130"/>
      <c r="C108" s="143"/>
      <c r="D108" s="130"/>
      <c r="E108" s="143"/>
      <c r="F108" s="143"/>
      <c r="G108" s="143"/>
      <c r="H108" s="143"/>
      <c r="I108" s="143"/>
      <c r="J108" s="143"/>
      <c r="K108" s="143"/>
      <c r="L108" s="143"/>
      <c r="M108" s="143"/>
      <c r="N108" s="143"/>
      <c r="O108" s="143"/>
      <c r="P108" s="143"/>
      <c r="Q108" s="67"/>
      <c r="R108" s="144"/>
      <c r="S108" s="144"/>
      <c r="T108" s="143"/>
      <c r="U108" s="143"/>
      <c r="V108" s="143"/>
      <c r="W108" s="130"/>
      <c r="X108" s="130"/>
      <c r="Y108" s="130"/>
      <c r="Z108" s="130"/>
      <c r="AA108" s="130"/>
      <c r="AB108" s="130"/>
      <c r="AC108" s="130"/>
      <c r="AD108" s="130"/>
      <c r="AE108" s="130"/>
      <c r="AF108" s="130"/>
      <c r="AG108" s="130"/>
      <c r="AH108" s="130"/>
      <c r="AI108" s="130"/>
      <c r="AJ108" s="130"/>
      <c r="AK108" s="130"/>
    </row>
    <row r="109">
      <c r="A109" s="130"/>
      <c r="B109" s="130"/>
      <c r="C109" s="143"/>
      <c r="D109" s="130"/>
      <c r="E109" s="143"/>
      <c r="F109" s="143"/>
      <c r="G109" s="143"/>
      <c r="H109" s="143"/>
      <c r="I109" s="143"/>
      <c r="J109" s="143"/>
      <c r="K109" s="143"/>
      <c r="L109" s="143"/>
      <c r="M109" s="143"/>
      <c r="N109" s="143"/>
      <c r="O109" s="143"/>
      <c r="P109" s="143"/>
      <c r="Q109" s="67"/>
      <c r="R109" s="144"/>
      <c r="S109" s="144"/>
      <c r="T109" s="143"/>
      <c r="U109" s="143"/>
      <c r="V109" s="143"/>
      <c r="W109" s="130"/>
      <c r="X109" s="130"/>
      <c r="Y109" s="130"/>
      <c r="Z109" s="130"/>
      <c r="AA109" s="130"/>
      <c r="AB109" s="130"/>
      <c r="AC109" s="130"/>
      <c r="AD109" s="130"/>
      <c r="AE109" s="130"/>
      <c r="AF109" s="130"/>
      <c r="AG109" s="130"/>
      <c r="AH109" s="130"/>
      <c r="AI109" s="130"/>
      <c r="AJ109" s="130"/>
      <c r="AK109" s="130"/>
    </row>
    <row r="110">
      <c r="A110" s="130"/>
      <c r="B110" s="130"/>
      <c r="C110" s="143"/>
      <c r="D110" s="130"/>
      <c r="E110" s="143"/>
      <c r="F110" s="143"/>
      <c r="G110" s="143"/>
      <c r="H110" s="143"/>
      <c r="I110" s="143"/>
      <c r="J110" s="143"/>
      <c r="K110" s="143"/>
      <c r="L110" s="143"/>
      <c r="M110" s="143"/>
      <c r="N110" s="143"/>
      <c r="O110" s="143"/>
      <c r="P110" s="143"/>
      <c r="Q110" s="67"/>
      <c r="R110" s="144"/>
      <c r="S110" s="144"/>
      <c r="T110" s="143"/>
      <c r="U110" s="143"/>
      <c r="V110" s="143"/>
      <c r="W110" s="130"/>
      <c r="X110" s="130"/>
      <c r="Y110" s="130"/>
      <c r="Z110" s="130"/>
      <c r="AA110" s="130"/>
      <c r="AB110" s="130"/>
      <c r="AC110" s="130"/>
      <c r="AD110" s="130"/>
      <c r="AE110" s="130"/>
      <c r="AF110" s="130"/>
      <c r="AG110" s="130"/>
      <c r="AH110" s="130"/>
      <c r="AI110" s="130"/>
      <c r="AJ110" s="130"/>
      <c r="AK110" s="130"/>
    </row>
    <row r="111">
      <c r="A111" s="130"/>
      <c r="B111" s="130"/>
      <c r="C111" s="143"/>
      <c r="D111" s="130"/>
      <c r="E111" s="143"/>
      <c r="F111" s="143"/>
      <c r="G111" s="143"/>
      <c r="H111" s="143"/>
      <c r="I111" s="143"/>
      <c r="J111" s="143"/>
      <c r="K111" s="143"/>
      <c r="L111" s="143"/>
      <c r="M111" s="143"/>
      <c r="N111" s="143"/>
      <c r="O111" s="143"/>
      <c r="P111" s="143"/>
      <c r="Q111" s="67"/>
      <c r="R111" s="144"/>
      <c r="S111" s="144"/>
      <c r="T111" s="143"/>
      <c r="U111" s="143"/>
      <c r="V111" s="143"/>
      <c r="W111" s="130"/>
      <c r="X111" s="130"/>
      <c r="Y111" s="130"/>
      <c r="Z111" s="130"/>
      <c r="AA111" s="130"/>
      <c r="AB111" s="130"/>
      <c r="AC111" s="130"/>
      <c r="AD111" s="130"/>
      <c r="AE111" s="130"/>
      <c r="AF111" s="130"/>
      <c r="AG111" s="130"/>
      <c r="AH111" s="130"/>
      <c r="AI111" s="130"/>
      <c r="AJ111" s="130"/>
      <c r="AK111" s="130"/>
    </row>
    <row r="112">
      <c r="A112" s="130"/>
      <c r="B112" s="130"/>
      <c r="C112" s="143"/>
      <c r="D112" s="130"/>
      <c r="E112" s="143"/>
      <c r="F112" s="143"/>
      <c r="G112" s="143"/>
      <c r="H112" s="143"/>
      <c r="I112" s="143"/>
      <c r="J112" s="143"/>
      <c r="K112" s="143"/>
      <c r="L112" s="143"/>
      <c r="M112" s="143"/>
      <c r="N112" s="143"/>
      <c r="O112" s="143"/>
      <c r="P112" s="143"/>
      <c r="Q112" s="67"/>
      <c r="R112" s="144"/>
      <c r="S112" s="144"/>
      <c r="T112" s="143"/>
      <c r="U112" s="143"/>
      <c r="V112" s="143"/>
      <c r="W112" s="130"/>
      <c r="X112" s="130"/>
      <c r="Y112" s="130"/>
      <c r="Z112" s="130"/>
      <c r="AA112" s="130"/>
      <c r="AB112" s="130"/>
      <c r="AC112" s="130"/>
      <c r="AD112" s="130"/>
      <c r="AE112" s="130"/>
      <c r="AF112" s="130"/>
      <c r="AG112" s="130"/>
      <c r="AH112" s="130"/>
      <c r="AI112" s="130"/>
      <c r="AJ112" s="130"/>
      <c r="AK112" s="130"/>
    </row>
    <row r="113">
      <c r="A113" s="130"/>
      <c r="B113" s="130"/>
      <c r="C113" s="143"/>
      <c r="D113" s="130"/>
      <c r="E113" s="143"/>
      <c r="F113" s="143"/>
      <c r="G113" s="143"/>
      <c r="H113" s="143"/>
      <c r="I113" s="143"/>
      <c r="J113" s="143"/>
      <c r="K113" s="143"/>
      <c r="L113" s="143"/>
      <c r="M113" s="143"/>
      <c r="N113" s="143"/>
      <c r="O113" s="143"/>
      <c r="P113" s="143"/>
      <c r="Q113" s="67"/>
      <c r="R113" s="144"/>
      <c r="S113" s="144"/>
      <c r="T113" s="143"/>
      <c r="U113" s="143"/>
      <c r="V113" s="143"/>
      <c r="W113" s="130"/>
      <c r="X113" s="130"/>
      <c r="Y113" s="130"/>
      <c r="Z113" s="130"/>
      <c r="AA113" s="130"/>
      <c r="AB113" s="130"/>
      <c r="AC113" s="130"/>
      <c r="AD113" s="130"/>
      <c r="AE113" s="130"/>
      <c r="AF113" s="130"/>
      <c r="AG113" s="130"/>
      <c r="AH113" s="130"/>
      <c r="AI113" s="130"/>
      <c r="AJ113" s="130"/>
      <c r="AK113" s="130"/>
    </row>
    <row r="114">
      <c r="A114" s="130"/>
      <c r="B114" s="130"/>
      <c r="C114" s="143"/>
      <c r="D114" s="130"/>
      <c r="E114" s="143"/>
      <c r="F114" s="143"/>
      <c r="G114" s="143"/>
      <c r="H114" s="143"/>
      <c r="I114" s="143"/>
      <c r="J114" s="143"/>
      <c r="K114" s="143"/>
      <c r="L114" s="143"/>
      <c r="M114" s="143"/>
      <c r="N114" s="143"/>
      <c r="O114" s="143"/>
      <c r="P114" s="143"/>
      <c r="Q114" s="67"/>
      <c r="R114" s="144"/>
      <c r="S114" s="144"/>
      <c r="T114" s="143"/>
      <c r="U114" s="143"/>
      <c r="V114" s="143"/>
      <c r="W114" s="130"/>
      <c r="X114" s="130"/>
      <c r="Y114" s="130"/>
      <c r="Z114" s="130"/>
      <c r="AA114" s="130"/>
      <c r="AB114" s="130"/>
      <c r="AC114" s="130"/>
      <c r="AD114" s="130"/>
      <c r="AE114" s="130"/>
      <c r="AF114" s="130"/>
      <c r="AG114" s="130"/>
      <c r="AH114" s="130"/>
      <c r="AI114" s="130"/>
      <c r="AJ114" s="130"/>
      <c r="AK114" s="130"/>
    </row>
    <row r="115">
      <c r="A115" s="130"/>
      <c r="B115" s="130"/>
      <c r="C115" s="143"/>
      <c r="D115" s="130"/>
      <c r="E115" s="143"/>
      <c r="F115" s="143"/>
      <c r="G115" s="143"/>
      <c r="H115" s="143"/>
      <c r="I115" s="143"/>
      <c r="J115" s="143"/>
      <c r="K115" s="143"/>
      <c r="L115" s="143"/>
      <c r="M115" s="143"/>
      <c r="N115" s="143"/>
      <c r="O115" s="143"/>
      <c r="P115" s="143"/>
      <c r="Q115" s="67"/>
      <c r="R115" s="144"/>
      <c r="S115" s="144"/>
      <c r="T115" s="143"/>
      <c r="U115" s="143"/>
      <c r="V115" s="143"/>
      <c r="W115" s="130"/>
      <c r="X115" s="130"/>
      <c r="Y115" s="130"/>
      <c r="Z115" s="130"/>
      <c r="AA115" s="130"/>
      <c r="AB115" s="130"/>
      <c r="AC115" s="130"/>
      <c r="AD115" s="130"/>
      <c r="AE115" s="130"/>
      <c r="AF115" s="130"/>
      <c r="AG115" s="130"/>
      <c r="AH115" s="130"/>
      <c r="AI115" s="130"/>
      <c r="AJ115" s="130"/>
      <c r="AK115" s="130"/>
    </row>
    <row r="116">
      <c r="A116" s="130"/>
      <c r="B116" s="130"/>
      <c r="C116" s="143"/>
      <c r="D116" s="130"/>
      <c r="E116" s="143"/>
      <c r="F116" s="143"/>
      <c r="G116" s="143"/>
      <c r="H116" s="143"/>
      <c r="I116" s="143"/>
      <c r="J116" s="143"/>
      <c r="K116" s="143"/>
      <c r="L116" s="143"/>
      <c r="M116" s="143"/>
      <c r="N116" s="143"/>
      <c r="O116" s="143"/>
      <c r="P116" s="143"/>
      <c r="Q116" s="67"/>
      <c r="R116" s="144"/>
      <c r="S116" s="144"/>
      <c r="T116" s="143"/>
      <c r="U116" s="143"/>
      <c r="V116" s="143"/>
      <c r="W116" s="130"/>
      <c r="X116" s="130"/>
      <c r="Y116" s="130"/>
      <c r="Z116" s="130"/>
      <c r="AA116" s="130"/>
      <c r="AB116" s="130"/>
      <c r="AC116" s="130"/>
      <c r="AD116" s="130"/>
      <c r="AE116" s="130"/>
      <c r="AF116" s="130"/>
      <c r="AG116" s="130"/>
      <c r="AH116" s="130"/>
      <c r="AI116" s="130"/>
      <c r="AJ116" s="130"/>
      <c r="AK116" s="130"/>
    </row>
    <row r="117">
      <c r="A117" s="130"/>
      <c r="B117" s="130"/>
      <c r="C117" s="143"/>
      <c r="D117" s="130"/>
      <c r="E117" s="143"/>
      <c r="F117" s="143"/>
      <c r="G117" s="143"/>
      <c r="H117" s="143"/>
      <c r="I117" s="143"/>
      <c r="J117" s="143"/>
      <c r="K117" s="143"/>
      <c r="L117" s="143"/>
      <c r="M117" s="143"/>
      <c r="N117" s="143"/>
      <c r="O117" s="143"/>
      <c r="P117" s="143"/>
      <c r="Q117" s="67"/>
      <c r="R117" s="144"/>
      <c r="S117" s="144"/>
      <c r="T117" s="143"/>
      <c r="U117" s="143"/>
      <c r="V117" s="143"/>
      <c r="W117" s="130"/>
      <c r="X117" s="130"/>
      <c r="Y117" s="130"/>
      <c r="Z117" s="130"/>
      <c r="AA117" s="130"/>
      <c r="AB117" s="130"/>
      <c r="AC117" s="130"/>
      <c r="AD117" s="130"/>
      <c r="AE117" s="130"/>
      <c r="AF117" s="130"/>
      <c r="AG117" s="130"/>
      <c r="AH117" s="130"/>
      <c r="AI117" s="130"/>
      <c r="AJ117" s="130"/>
      <c r="AK117" s="130"/>
    </row>
    <row r="118">
      <c r="A118" s="130"/>
      <c r="B118" s="130"/>
      <c r="C118" s="143"/>
      <c r="D118" s="130"/>
      <c r="E118" s="143"/>
      <c r="F118" s="143"/>
      <c r="G118" s="143"/>
      <c r="H118" s="143"/>
      <c r="I118" s="143"/>
      <c r="J118" s="143"/>
      <c r="K118" s="143"/>
      <c r="L118" s="143"/>
      <c r="M118" s="143"/>
      <c r="N118" s="143"/>
      <c r="O118" s="143"/>
      <c r="P118" s="143"/>
      <c r="Q118" s="67"/>
      <c r="R118" s="144"/>
      <c r="S118" s="144"/>
      <c r="T118" s="143"/>
      <c r="U118" s="143"/>
      <c r="V118" s="143"/>
      <c r="W118" s="130"/>
      <c r="X118" s="130"/>
      <c r="Y118" s="130"/>
      <c r="Z118" s="130"/>
      <c r="AA118" s="130"/>
      <c r="AB118" s="130"/>
      <c r="AC118" s="130"/>
      <c r="AD118" s="130"/>
      <c r="AE118" s="130"/>
      <c r="AF118" s="130"/>
      <c r="AG118" s="130"/>
      <c r="AH118" s="130"/>
      <c r="AI118" s="130"/>
      <c r="AJ118" s="130"/>
      <c r="AK118" s="130"/>
    </row>
    <row r="119">
      <c r="A119" s="130"/>
      <c r="B119" s="130"/>
      <c r="C119" s="143"/>
      <c r="D119" s="130"/>
      <c r="E119" s="143"/>
      <c r="F119" s="143"/>
      <c r="G119" s="143"/>
      <c r="H119" s="143"/>
      <c r="I119" s="143"/>
      <c r="J119" s="143"/>
      <c r="K119" s="143"/>
      <c r="L119" s="143"/>
      <c r="M119" s="143"/>
      <c r="N119" s="143"/>
      <c r="O119" s="143"/>
      <c r="P119" s="143"/>
      <c r="Q119" s="67"/>
      <c r="R119" s="144"/>
      <c r="S119" s="144"/>
      <c r="T119" s="143"/>
      <c r="U119" s="143"/>
      <c r="V119" s="143"/>
      <c r="W119" s="130"/>
      <c r="X119" s="130"/>
      <c r="Y119" s="130"/>
      <c r="Z119" s="130"/>
      <c r="AA119" s="130"/>
      <c r="AB119" s="130"/>
      <c r="AC119" s="130"/>
      <c r="AD119" s="130"/>
      <c r="AE119" s="130"/>
      <c r="AF119" s="130"/>
      <c r="AG119" s="130"/>
      <c r="AH119" s="130"/>
      <c r="AI119" s="130"/>
      <c r="AJ119" s="130"/>
      <c r="AK119" s="130"/>
    </row>
    <row r="120">
      <c r="A120" s="130"/>
      <c r="B120" s="130"/>
      <c r="C120" s="143"/>
      <c r="D120" s="130"/>
      <c r="E120" s="143"/>
      <c r="F120" s="143"/>
      <c r="G120" s="143"/>
      <c r="H120" s="143"/>
      <c r="I120" s="143"/>
      <c r="J120" s="143"/>
      <c r="K120" s="143"/>
      <c r="L120" s="143"/>
      <c r="M120" s="143"/>
      <c r="N120" s="143"/>
      <c r="O120" s="143"/>
      <c r="P120" s="143"/>
      <c r="Q120" s="67"/>
      <c r="R120" s="144"/>
      <c r="S120" s="144"/>
      <c r="T120" s="143"/>
      <c r="U120" s="143"/>
      <c r="V120" s="143"/>
      <c r="W120" s="130"/>
      <c r="X120" s="130"/>
      <c r="Y120" s="130"/>
      <c r="Z120" s="130"/>
      <c r="AA120" s="130"/>
      <c r="AB120" s="130"/>
      <c r="AC120" s="130"/>
      <c r="AD120" s="130"/>
      <c r="AE120" s="130"/>
      <c r="AF120" s="130"/>
      <c r="AG120" s="130"/>
      <c r="AH120" s="130"/>
      <c r="AI120" s="130"/>
      <c r="AJ120" s="130"/>
      <c r="AK120" s="130"/>
    </row>
    <row r="121">
      <c r="A121" s="130"/>
      <c r="B121" s="130"/>
      <c r="C121" s="143"/>
      <c r="D121" s="130"/>
      <c r="E121" s="143"/>
      <c r="F121" s="143"/>
      <c r="G121" s="143"/>
      <c r="H121" s="143"/>
      <c r="I121" s="143"/>
      <c r="J121" s="143"/>
      <c r="K121" s="143"/>
      <c r="L121" s="143"/>
      <c r="M121" s="143"/>
      <c r="N121" s="143"/>
      <c r="O121" s="143"/>
      <c r="P121" s="143"/>
      <c r="Q121" s="67"/>
      <c r="R121" s="144"/>
      <c r="S121" s="144"/>
      <c r="T121" s="143"/>
      <c r="U121" s="143"/>
      <c r="V121" s="143"/>
      <c r="W121" s="130"/>
      <c r="X121" s="130"/>
      <c r="Y121" s="130"/>
      <c r="Z121" s="130"/>
      <c r="AA121" s="130"/>
      <c r="AB121" s="130"/>
      <c r="AC121" s="130"/>
      <c r="AD121" s="130"/>
      <c r="AE121" s="130"/>
      <c r="AF121" s="130"/>
      <c r="AG121" s="130"/>
      <c r="AH121" s="130"/>
      <c r="AI121" s="130"/>
      <c r="AJ121" s="130"/>
      <c r="AK121" s="130"/>
    </row>
    <row r="122">
      <c r="A122" s="130"/>
      <c r="B122" s="130"/>
      <c r="C122" s="143"/>
      <c r="D122" s="130"/>
      <c r="E122" s="143"/>
      <c r="F122" s="143"/>
      <c r="G122" s="143"/>
      <c r="H122" s="143"/>
      <c r="I122" s="143"/>
      <c r="J122" s="143"/>
      <c r="K122" s="143"/>
      <c r="L122" s="143"/>
      <c r="M122" s="143"/>
      <c r="N122" s="143"/>
      <c r="O122" s="143"/>
      <c r="P122" s="143"/>
      <c r="Q122" s="67"/>
      <c r="R122" s="144"/>
      <c r="S122" s="144"/>
      <c r="T122" s="143"/>
      <c r="U122" s="143"/>
      <c r="V122" s="143"/>
      <c r="W122" s="130"/>
      <c r="X122" s="130"/>
      <c r="Y122" s="130"/>
      <c r="Z122" s="130"/>
      <c r="AA122" s="130"/>
      <c r="AB122" s="130"/>
      <c r="AC122" s="130"/>
      <c r="AD122" s="130"/>
      <c r="AE122" s="130"/>
      <c r="AF122" s="130"/>
      <c r="AG122" s="130"/>
      <c r="AH122" s="130"/>
      <c r="AI122" s="130"/>
      <c r="AJ122" s="130"/>
      <c r="AK122" s="130"/>
    </row>
    <row r="123">
      <c r="A123" s="130"/>
      <c r="B123" s="130"/>
      <c r="C123" s="143"/>
      <c r="D123" s="130"/>
      <c r="E123" s="143"/>
      <c r="F123" s="143"/>
      <c r="G123" s="143"/>
      <c r="H123" s="143"/>
      <c r="I123" s="143"/>
      <c r="J123" s="143"/>
      <c r="K123" s="143"/>
      <c r="L123" s="143"/>
      <c r="M123" s="143"/>
      <c r="N123" s="143"/>
      <c r="O123" s="143"/>
      <c r="P123" s="143"/>
      <c r="Q123" s="67"/>
      <c r="R123" s="144"/>
      <c r="S123" s="144"/>
      <c r="T123" s="143"/>
      <c r="U123" s="143"/>
      <c r="V123" s="143"/>
      <c r="W123" s="130"/>
      <c r="X123" s="130"/>
      <c r="Y123" s="130"/>
      <c r="Z123" s="130"/>
      <c r="AA123" s="130"/>
      <c r="AB123" s="130"/>
      <c r="AC123" s="130"/>
      <c r="AD123" s="130"/>
      <c r="AE123" s="130"/>
      <c r="AF123" s="130"/>
      <c r="AG123" s="130"/>
      <c r="AH123" s="130"/>
      <c r="AI123" s="130"/>
      <c r="AJ123" s="130"/>
      <c r="AK123" s="130"/>
    </row>
    <row r="124">
      <c r="A124" s="130"/>
      <c r="B124" s="130"/>
      <c r="C124" s="143"/>
      <c r="D124" s="130"/>
      <c r="E124" s="143"/>
      <c r="F124" s="143"/>
      <c r="G124" s="143"/>
      <c r="H124" s="143"/>
      <c r="I124" s="143"/>
      <c r="J124" s="143"/>
      <c r="K124" s="143"/>
      <c r="L124" s="143"/>
      <c r="M124" s="143"/>
      <c r="N124" s="143"/>
      <c r="O124" s="143"/>
      <c r="P124" s="143"/>
      <c r="Q124" s="67"/>
      <c r="R124" s="144"/>
      <c r="S124" s="144"/>
      <c r="T124" s="143"/>
      <c r="U124" s="143"/>
      <c r="V124" s="143"/>
      <c r="W124" s="130"/>
      <c r="X124" s="130"/>
      <c r="Y124" s="130"/>
      <c r="Z124" s="130"/>
      <c r="AA124" s="130"/>
      <c r="AB124" s="130"/>
      <c r="AC124" s="130"/>
      <c r="AD124" s="130"/>
      <c r="AE124" s="130"/>
      <c r="AF124" s="130"/>
      <c r="AG124" s="130"/>
      <c r="AH124" s="130"/>
      <c r="AI124" s="130"/>
      <c r="AJ124" s="130"/>
      <c r="AK124" s="130"/>
    </row>
    <row r="125">
      <c r="A125" s="130"/>
      <c r="B125" s="130"/>
      <c r="C125" s="143"/>
      <c r="D125" s="130"/>
      <c r="E125" s="143"/>
      <c r="F125" s="143"/>
      <c r="G125" s="143"/>
      <c r="H125" s="143"/>
      <c r="I125" s="143"/>
      <c r="J125" s="143"/>
      <c r="K125" s="143"/>
      <c r="L125" s="143"/>
      <c r="M125" s="143"/>
      <c r="N125" s="143"/>
      <c r="O125" s="143"/>
      <c r="P125" s="143"/>
      <c r="Q125" s="67"/>
      <c r="R125" s="144"/>
      <c r="S125" s="144"/>
      <c r="T125" s="143"/>
      <c r="U125" s="143"/>
      <c r="V125" s="143"/>
      <c r="W125" s="130"/>
      <c r="X125" s="130"/>
      <c r="Y125" s="130"/>
      <c r="Z125" s="130"/>
      <c r="AA125" s="130"/>
      <c r="AB125" s="130"/>
      <c r="AC125" s="130"/>
      <c r="AD125" s="130"/>
      <c r="AE125" s="130"/>
      <c r="AF125" s="130"/>
      <c r="AG125" s="130"/>
      <c r="AH125" s="130"/>
      <c r="AI125" s="130"/>
      <c r="AJ125" s="130"/>
      <c r="AK125" s="130"/>
    </row>
    <row r="126">
      <c r="A126" s="130"/>
      <c r="B126" s="130"/>
      <c r="C126" s="143"/>
      <c r="D126" s="130"/>
      <c r="E126" s="143"/>
      <c r="F126" s="143"/>
      <c r="G126" s="143"/>
      <c r="H126" s="143"/>
      <c r="I126" s="143"/>
      <c r="J126" s="143"/>
      <c r="K126" s="143"/>
      <c r="L126" s="143"/>
      <c r="M126" s="143"/>
      <c r="N126" s="143"/>
      <c r="O126" s="143"/>
      <c r="P126" s="143"/>
      <c r="Q126" s="67"/>
      <c r="R126" s="144"/>
      <c r="S126" s="144"/>
      <c r="T126" s="143"/>
      <c r="U126" s="143"/>
      <c r="V126" s="143"/>
      <c r="W126" s="130"/>
      <c r="X126" s="130"/>
      <c r="Y126" s="130"/>
      <c r="Z126" s="130"/>
      <c r="AA126" s="130"/>
      <c r="AB126" s="130"/>
      <c r="AC126" s="130"/>
      <c r="AD126" s="130"/>
      <c r="AE126" s="130"/>
      <c r="AF126" s="130"/>
      <c r="AG126" s="130"/>
      <c r="AH126" s="130"/>
      <c r="AI126" s="130"/>
      <c r="AJ126" s="130"/>
      <c r="AK126" s="130"/>
    </row>
    <row r="127">
      <c r="A127" s="130"/>
      <c r="B127" s="130"/>
      <c r="C127" s="143"/>
      <c r="D127" s="130"/>
      <c r="E127" s="143"/>
      <c r="F127" s="143"/>
      <c r="G127" s="143"/>
      <c r="H127" s="143"/>
      <c r="I127" s="143"/>
      <c r="J127" s="143"/>
      <c r="K127" s="143"/>
      <c r="L127" s="143"/>
      <c r="M127" s="143"/>
      <c r="N127" s="143"/>
      <c r="O127" s="143"/>
      <c r="P127" s="143"/>
      <c r="Q127" s="67"/>
      <c r="R127" s="144"/>
      <c r="S127" s="144"/>
      <c r="T127" s="143"/>
      <c r="U127" s="143"/>
      <c r="V127" s="143"/>
      <c r="W127" s="130"/>
      <c r="X127" s="130"/>
      <c r="Y127" s="130"/>
      <c r="Z127" s="130"/>
      <c r="AA127" s="130"/>
      <c r="AB127" s="130"/>
      <c r="AC127" s="130"/>
      <c r="AD127" s="130"/>
      <c r="AE127" s="130"/>
      <c r="AF127" s="130"/>
      <c r="AG127" s="130"/>
      <c r="AH127" s="130"/>
      <c r="AI127" s="130"/>
      <c r="AJ127" s="130"/>
      <c r="AK127" s="130"/>
    </row>
    <row r="128">
      <c r="A128" s="130"/>
      <c r="B128" s="130"/>
      <c r="C128" s="143"/>
      <c r="D128" s="130"/>
      <c r="E128" s="143"/>
      <c r="F128" s="143"/>
      <c r="G128" s="143"/>
      <c r="H128" s="143"/>
      <c r="I128" s="143"/>
      <c r="J128" s="143"/>
      <c r="K128" s="143"/>
      <c r="L128" s="143"/>
      <c r="M128" s="143"/>
      <c r="N128" s="143"/>
      <c r="O128" s="143"/>
      <c r="P128" s="143"/>
      <c r="Q128" s="67"/>
      <c r="R128" s="144"/>
      <c r="S128" s="144"/>
      <c r="T128" s="143"/>
      <c r="U128" s="143"/>
      <c r="V128" s="143"/>
      <c r="W128" s="130"/>
      <c r="X128" s="130"/>
      <c r="Y128" s="130"/>
      <c r="Z128" s="130"/>
      <c r="AA128" s="130"/>
      <c r="AB128" s="130"/>
      <c r="AC128" s="130"/>
      <c r="AD128" s="130"/>
      <c r="AE128" s="130"/>
      <c r="AF128" s="130"/>
      <c r="AG128" s="130"/>
      <c r="AH128" s="130"/>
      <c r="AI128" s="130"/>
      <c r="AJ128" s="130"/>
      <c r="AK128" s="130"/>
    </row>
    <row r="129">
      <c r="A129" s="130"/>
      <c r="B129" s="130"/>
      <c r="C129" s="143"/>
      <c r="D129" s="130"/>
      <c r="E129" s="143"/>
      <c r="F129" s="143"/>
      <c r="G129" s="143"/>
      <c r="H129" s="143"/>
      <c r="I129" s="143"/>
      <c r="J129" s="143"/>
      <c r="K129" s="143"/>
      <c r="L129" s="143"/>
      <c r="M129" s="143"/>
      <c r="N129" s="143"/>
      <c r="O129" s="143"/>
      <c r="P129" s="143"/>
      <c r="Q129" s="67"/>
      <c r="R129" s="144"/>
      <c r="S129" s="144"/>
      <c r="T129" s="143"/>
      <c r="U129" s="143"/>
      <c r="V129" s="143"/>
      <c r="W129" s="130"/>
      <c r="X129" s="130"/>
      <c r="Y129" s="130"/>
      <c r="Z129" s="130"/>
      <c r="AA129" s="130"/>
      <c r="AB129" s="130"/>
      <c r="AC129" s="130"/>
      <c r="AD129" s="130"/>
      <c r="AE129" s="130"/>
      <c r="AF129" s="130"/>
      <c r="AG129" s="130"/>
      <c r="AH129" s="130"/>
      <c r="AI129" s="130"/>
      <c r="AJ129" s="130"/>
      <c r="AK129" s="130"/>
    </row>
    <row r="130">
      <c r="A130" s="130"/>
      <c r="B130" s="130"/>
      <c r="C130" s="143"/>
      <c r="D130" s="130"/>
      <c r="E130" s="143"/>
      <c r="F130" s="143"/>
      <c r="G130" s="143"/>
      <c r="H130" s="143"/>
      <c r="I130" s="143"/>
      <c r="J130" s="143"/>
      <c r="K130" s="143"/>
      <c r="L130" s="143"/>
      <c r="M130" s="143"/>
      <c r="N130" s="143"/>
      <c r="O130" s="143"/>
      <c r="P130" s="143"/>
      <c r="Q130" s="67"/>
      <c r="R130" s="144"/>
      <c r="S130" s="144"/>
      <c r="T130" s="143"/>
      <c r="U130" s="143"/>
      <c r="V130" s="143"/>
      <c r="W130" s="130"/>
      <c r="X130" s="130"/>
      <c r="Y130" s="130"/>
      <c r="Z130" s="130"/>
      <c r="AA130" s="130"/>
      <c r="AB130" s="130"/>
      <c r="AC130" s="130"/>
      <c r="AD130" s="130"/>
      <c r="AE130" s="130"/>
      <c r="AF130" s="130"/>
      <c r="AG130" s="130"/>
      <c r="AH130" s="130"/>
      <c r="AI130" s="130"/>
      <c r="AJ130" s="130"/>
      <c r="AK130" s="130"/>
    </row>
    <row r="131">
      <c r="A131" s="130"/>
      <c r="B131" s="130"/>
      <c r="C131" s="143"/>
      <c r="D131" s="130"/>
      <c r="E131" s="143"/>
      <c r="F131" s="143"/>
      <c r="G131" s="143"/>
      <c r="H131" s="143"/>
      <c r="I131" s="143"/>
      <c r="J131" s="143"/>
      <c r="K131" s="143"/>
      <c r="L131" s="143"/>
      <c r="M131" s="143"/>
      <c r="N131" s="143"/>
      <c r="O131" s="143"/>
      <c r="P131" s="143"/>
      <c r="Q131" s="67"/>
      <c r="R131" s="144"/>
      <c r="S131" s="144"/>
      <c r="T131" s="143"/>
      <c r="U131" s="143"/>
      <c r="V131" s="143"/>
      <c r="W131" s="130"/>
      <c r="X131" s="130"/>
      <c r="Y131" s="130"/>
      <c r="Z131" s="130"/>
      <c r="AA131" s="130"/>
      <c r="AB131" s="130"/>
      <c r="AC131" s="130"/>
      <c r="AD131" s="130"/>
      <c r="AE131" s="130"/>
      <c r="AF131" s="130"/>
      <c r="AG131" s="130"/>
      <c r="AH131" s="130"/>
      <c r="AI131" s="130"/>
      <c r="AJ131" s="130"/>
      <c r="AK131" s="130"/>
    </row>
    <row r="132">
      <c r="A132" s="130"/>
      <c r="B132" s="130"/>
      <c r="C132" s="143"/>
      <c r="D132" s="130"/>
      <c r="E132" s="143"/>
      <c r="F132" s="143"/>
      <c r="G132" s="143"/>
      <c r="H132" s="143"/>
      <c r="I132" s="143"/>
      <c r="J132" s="143"/>
      <c r="K132" s="143"/>
      <c r="L132" s="143"/>
      <c r="M132" s="143"/>
      <c r="N132" s="143"/>
      <c r="O132" s="143"/>
      <c r="P132" s="143"/>
      <c r="Q132" s="67"/>
      <c r="R132" s="144"/>
      <c r="S132" s="144"/>
      <c r="T132" s="143"/>
      <c r="U132" s="143"/>
      <c r="V132" s="143"/>
      <c r="W132" s="130"/>
      <c r="X132" s="130"/>
      <c r="Y132" s="130"/>
      <c r="Z132" s="130"/>
      <c r="AA132" s="130"/>
      <c r="AB132" s="130"/>
      <c r="AC132" s="130"/>
      <c r="AD132" s="130"/>
      <c r="AE132" s="130"/>
      <c r="AF132" s="130"/>
      <c r="AG132" s="130"/>
      <c r="AH132" s="130"/>
      <c r="AI132" s="130"/>
      <c r="AJ132" s="130"/>
      <c r="AK132" s="130"/>
    </row>
    <row r="133">
      <c r="A133" s="130"/>
      <c r="B133" s="130"/>
      <c r="C133" s="143"/>
      <c r="D133" s="130"/>
      <c r="E133" s="143"/>
      <c r="F133" s="143"/>
      <c r="G133" s="143"/>
      <c r="H133" s="143"/>
      <c r="I133" s="143"/>
      <c r="J133" s="143"/>
      <c r="K133" s="143"/>
      <c r="L133" s="143"/>
      <c r="M133" s="143"/>
      <c r="N133" s="143"/>
      <c r="O133" s="143"/>
      <c r="P133" s="143"/>
      <c r="Q133" s="67"/>
      <c r="R133" s="144"/>
      <c r="S133" s="144"/>
      <c r="T133" s="143"/>
      <c r="U133" s="143"/>
      <c r="V133" s="143"/>
      <c r="W133" s="130"/>
      <c r="X133" s="130"/>
      <c r="Y133" s="130"/>
      <c r="Z133" s="130"/>
      <c r="AA133" s="130"/>
      <c r="AB133" s="130"/>
      <c r="AC133" s="130"/>
      <c r="AD133" s="130"/>
      <c r="AE133" s="130"/>
      <c r="AF133" s="130"/>
      <c r="AG133" s="130"/>
      <c r="AH133" s="130"/>
      <c r="AI133" s="130"/>
      <c r="AJ133" s="130"/>
      <c r="AK133" s="130"/>
    </row>
    <row r="134">
      <c r="A134" s="130"/>
      <c r="B134" s="130"/>
      <c r="C134" s="143"/>
      <c r="D134" s="130"/>
      <c r="E134" s="143"/>
      <c r="F134" s="143"/>
      <c r="G134" s="143"/>
      <c r="H134" s="143"/>
      <c r="I134" s="143"/>
      <c r="J134" s="143"/>
      <c r="K134" s="143"/>
      <c r="L134" s="143"/>
      <c r="M134" s="143"/>
      <c r="N134" s="143"/>
      <c r="O134" s="143"/>
      <c r="P134" s="143"/>
      <c r="Q134" s="67"/>
      <c r="R134" s="144"/>
      <c r="S134" s="144"/>
      <c r="T134" s="143"/>
      <c r="U134" s="143"/>
      <c r="V134" s="143"/>
      <c r="W134" s="130"/>
      <c r="X134" s="130"/>
      <c r="Y134" s="130"/>
      <c r="Z134" s="130"/>
      <c r="AA134" s="130"/>
      <c r="AB134" s="130"/>
      <c r="AC134" s="130"/>
      <c r="AD134" s="130"/>
      <c r="AE134" s="130"/>
      <c r="AF134" s="130"/>
      <c r="AG134" s="130"/>
      <c r="AH134" s="130"/>
      <c r="AI134" s="130"/>
      <c r="AJ134" s="130"/>
      <c r="AK134" s="130"/>
    </row>
    <row r="135">
      <c r="A135" s="130"/>
      <c r="B135" s="130"/>
      <c r="C135" s="143"/>
      <c r="D135" s="130"/>
      <c r="E135" s="143"/>
      <c r="F135" s="143"/>
      <c r="G135" s="143"/>
      <c r="H135" s="143"/>
      <c r="I135" s="143"/>
      <c r="J135" s="143"/>
      <c r="K135" s="143"/>
      <c r="L135" s="143"/>
      <c r="M135" s="143"/>
      <c r="N135" s="143"/>
      <c r="O135" s="143"/>
      <c r="P135" s="143"/>
      <c r="Q135" s="67"/>
      <c r="R135" s="144"/>
      <c r="S135" s="144"/>
      <c r="T135" s="143"/>
      <c r="U135" s="143"/>
      <c r="V135" s="143"/>
      <c r="W135" s="130"/>
      <c r="X135" s="130"/>
      <c r="Y135" s="130"/>
      <c r="Z135" s="130"/>
      <c r="AA135" s="130"/>
      <c r="AB135" s="130"/>
      <c r="AC135" s="130"/>
      <c r="AD135" s="130"/>
      <c r="AE135" s="130"/>
      <c r="AF135" s="130"/>
      <c r="AG135" s="130"/>
      <c r="AH135" s="130"/>
      <c r="AI135" s="130"/>
      <c r="AJ135" s="130"/>
      <c r="AK135" s="130"/>
    </row>
    <row r="136">
      <c r="A136" s="130"/>
      <c r="B136" s="130"/>
      <c r="C136" s="143"/>
      <c r="D136" s="130"/>
      <c r="E136" s="143"/>
      <c r="F136" s="143"/>
      <c r="G136" s="143"/>
      <c r="H136" s="143"/>
      <c r="I136" s="143"/>
      <c r="J136" s="143"/>
      <c r="K136" s="143"/>
      <c r="L136" s="143"/>
      <c r="M136" s="143"/>
      <c r="N136" s="143"/>
      <c r="O136" s="143"/>
      <c r="P136" s="143"/>
      <c r="Q136" s="67"/>
      <c r="R136" s="144"/>
      <c r="S136" s="144"/>
      <c r="T136" s="143"/>
      <c r="U136" s="143"/>
      <c r="V136" s="143"/>
      <c r="W136" s="130"/>
      <c r="X136" s="130"/>
      <c r="Y136" s="130"/>
      <c r="Z136" s="130"/>
      <c r="AA136" s="130"/>
      <c r="AB136" s="130"/>
      <c r="AC136" s="130"/>
      <c r="AD136" s="130"/>
      <c r="AE136" s="130"/>
      <c r="AF136" s="130"/>
      <c r="AG136" s="130"/>
      <c r="AH136" s="130"/>
      <c r="AI136" s="130"/>
      <c r="AJ136" s="130"/>
      <c r="AK136" s="130"/>
    </row>
    <row r="137">
      <c r="A137" s="130"/>
      <c r="B137" s="130"/>
      <c r="C137" s="143"/>
      <c r="D137" s="130"/>
      <c r="E137" s="143"/>
      <c r="F137" s="143"/>
      <c r="G137" s="143"/>
      <c r="H137" s="143"/>
      <c r="I137" s="143"/>
      <c r="J137" s="143"/>
      <c r="K137" s="143"/>
      <c r="L137" s="143"/>
      <c r="M137" s="143"/>
      <c r="N137" s="143"/>
      <c r="O137" s="143"/>
      <c r="P137" s="143"/>
      <c r="Q137" s="67"/>
      <c r="R137" s="144"/>
      <c r="S137" s="144"/>
      <c r="T137" s="143"/>
      <c r="U137" s="143"/>
      <c r="V137" s="143"/>
      <c r="W137" s="130"/>
      <c r="X137" s="130"/>
      <c r="Y137" s="130"/>
      <c r="Z137" s="130"/>
      <c r="AA137" s="130"/>
      <c r="AB137" s="130"/>
      <c r="AC137" s="130"/>
      <c r="AD137" s="130"/>
      <c r="AE137" s="130"/>
      <c r="AF137" s="130"/>
      <c r="AG137" s="130"/>
      <c r="AH137" s="130"/>
      <c r="AI137" s="130"/>
      <c r="AJ137" s="130"/>
      <c r="AK137" s="130"/>
    </row>
    <row r="138">
      <c r="A138" s="130"/>
      <c r="B138" s="130"/>
      <c r="C138" s="143"/>
      <c r="D138" s="130"/>
      <c r="E138" s="143"/>
      <c r="F138" s="143"/>
      <c r="G138" s="143"/>
      <c r="H138" s="143"/>
      <c r="I138" s="143"/>
      <c r="J138" s="143"/>
      <c r="K138" s="143"/>
      <c r="L138" s="143"/>
      <c r="M138" s="143"/>
      <c r="N138" s="143"/>
      <c r="O138" s="143"/>
      <c r="P138" s="143"/>
      <c r="Q138" s="67"/>
      <c r="R138" s="144"/>
      <c r="S138" s="144"/>
      <c r="T138" s="143"/>
      <c r="U138" s="143"/>
      <c r="V138" s="143"/>
      <c r="W138" s="130"/>
      <c r="X138" s="130"/>
      <c r="Y138" s="130"/>
      <c r="Z138" s="130"/>
      <c r="AA138" s="130"/>
      <c r="AB138" s="130"/>
      <c r="AC138" s="130"/>
      <c r="AD138" s="130"/>
      <c r="AE138" s="130"/>
      <c r="AF138" s="130"/>
      <c r="AG138" s="130"/>
      <c r="AH138" s="130"/>
      <c r="AI138" s="130"/>
      <c r="AJ138" s="130"/>
      <c r="AK138" s="130"/>
    </row>
    <row r="139">
      <c r="A139" s="130"/>
      <c r="B139" s="130"/>
      <c r="C139" s="143"/>
      <c r="D139" s="130"/>
      <c r="E139" s="143"/>
      <c r="F139" s="143"/>
      <c r="G139" s="143"/>
      <c r="H139" s="143"/>
      <c r="I139" s="143"/>
      <c r="J139" s="143"/>
      <c r="K139" s="143"/>
      <c r="L139" s="143"/>
      <c r="M139" s="143"/>
      <c r="N139" s="143"/>
      <c r="O139" s="143"/>
      <c r="P139" s="143"/>
      <c r="Q139" s="67"/>
      <c r="R139" s="144"/>
      <c r="S139" s="144"/>
      <c r="T139" s="143"/>
      <c r="U139" s="143"/>
      <c r="V139" s="143"/>
      <c r="W139" s="130"/>
      <c r="X139" s="130"/>
      <c r="Y139" s="130"/>
      <c r="Z139" s="130"/>
      <c r="AA139" s="130"/>
      <c r="AB139" s="130"/>
      <c r="AC139" s="130"/>
      <c r="AD139" s="130"/>
      <c r="AE139" s="130"/>
      <c r="AF139" s="130"/>
      <c r="AG139" s="130"/>
      <c r="AH139" s="130"/>
      <c r="AI139" s="130"/>
      <c r="AJ139" s="130"/>
      <c r="AK139" s="130"/>
    </row>
    <row r="140">
      <c r="A140" s="130"/>
      <c r="B140" s="130"/>
      <c r="C140" s="143"/>
      <c r="D140" s="130"/>
      <c r="E140" s="143"/>
      <c r="F140" s="143"/>
      <c r="G140" s="143"/>
      <c r="H140" s="143"/>
      <c r="I140" s="143"/>
      <c r="J140" s="143"/>
      <c r="K140" s="143"/>
      <c r="L140" s="143"/>
      <c r="M140" s="143"/>
      <c r="N140" s="143"/>
      <c r="O140" s="143"/>
      <c r="P140" s="143"/>
      <c r="Q140" s="67"/>
      <c r="R140" s="144"/>
      <c r="S140" s="144"/>
      <c r="T140" s="143"/>
      <c r="U140" s="143"/>
      <c r="V140" s="143"/>
      <c r="W140" s="130"/>
      <c r="X140" s="130"/>
      <c r="Y140" s="130"/>
      <c r="Z140" s="130"/>
      <c r="AA140" s="130"/>
      <c r="AB140" s="130"/>
      <c r="AC140" s="130"/>
      <c r="AD140" s="130"/>
      <c r="AE140" s="130"/>
      <c r="AF140" s="130"/>
      <c r="AG140" s="130"/>
      <c r="AH140" s="130"/>
      <c r="AI140" s="130"/>
      <c r="AJ140" s="130"/>
      <c r="AK140" s="130"/>
    </row>
    <row r="141">
      <c r="A141" s="130"/>
      <c r="B141" s="130"/>
      <c r="C141" s="143"/>
      <c r="D141" s="130"/>
      <c r="E141" s="143"/>
      <c r="F141" s="143"/>
      <c r="G141" s="143"/>
      <c r="H141" s="143"/>
      <c r="I141" s="143"/>
      <c r="J141" s="143"/>
      <c r="K141" s="143"/>
      <c r="L141" s="143"/>
      <c r="M141" s="143"/>
      <c r="N141" s="143"/>
      <c r="O141" s="143"/>
      <c r="P141" s="143"/>
      <c r="Q141" s="67"/>
      <c r="R141" s="144"/>
      <c r="S141" s="144"/>
      <c r="T141" s="143"/>
      <c r="U141" s="143"/>
      <c r="V141" s="143"/>
      <c r="W141" s="130"/>
      <c r="X141" s="130"/>
      <c r="Y141" s="130"/>
      <c r="Z141" s="130"/>
      <c r="AA141" s="130"/>
      <c r="AB141" s="130"/>
      <c r="AC141" s="130"/>
      <c r="AD141" s="130"/>
      <c r="AE141" s="130"/>
      <c r="AF141" s="130"/>
      <c r="AG141" s="130"/>
      <c r="AH141" s="130"/>
      <c r="AI141" s="130"/>
      <c r="AJ141" s="130"/>
      <c r="AK141" s="130"/>
    </row>
    <row r="142">
      <c r="A142" s="130"/>
      <c r="B142" s="130"/>
      <c r="C142" s="143"/>
      <c r="D142" s="130"/>
      <c r="E142" s="143"/>
      <c r="F142" s="143"/>
      <c r="G142" s="143"/>
      <c r="H142" s="143"/>
      <c r="I142" s="143"/>
      <c r="J142" s="143"/>
      <c r="K142" s="143"/>
      <c r="L142" s="143"/>
      <c r="M142" s="143"/>
      <c r="N142" s="143"/>
      <c r="O142" s="143"/>
      <c r="P142" s="143"/>
      <c r="Q142" s="67"/>
      <c r="R142" s="144"/>
      <c r="S142" s="144"/>
      <c r="T142" s="143"/>
      <c r="U142" s="143"/>
      <c r="V142" s="143"/>
      <c r="W142" s="130"/>
      <c r="X142" s="130"/>
      <c r="Y142" s="130"/>
      <c r="Z142" s="130"/>
      <c r="AA142" s="130"/>
      <c r="AB142" s="130"/>
      <c r="AC142" s="130"/>
      <c r="AD142" s="130"/>
      <c r="AE142" s="130"/>
      <c r="AF142" s="130"/>
      <c r="AG142" s="130"/>
      <c r="AH142" s="130"/>
      <c r="AI142" s="130"/>
      <c r="AJ142" s="130"/>
      <c r="AK142" s="130"/>
    </row>
    <row r="143">
      <c r="A143" s="130"/>
      <c r="B143" s="130"/>
      <c r="C143" s="143"/>
      <c r="D143" s="130"/>
      <c r="E143" s="143"/>
      <c r="F143" s="143"/>
      <c r="G143" s="143"/>
      <c r="H143" s="143"/>
      <c r="I143" s="143"/>
      <c r="J143" s="143"/>
      <c r="K143" s="143"/>
      <c r="L143" s="143"/>
      <c r="M143" s="143"/>
      <c r="N143" s="143"/>
      <c r="O143" s="143"/>
      <c r="P143" s="143"/>
      <c r="Q143" s="67"/>
      <c r="R143" s="144"/>
      <c r="S143" s="144"/>
      <c r="T143" s="143"/>
      <c r="U143" s="143"/>
      <c r="V143" s="143"/>
      <c r="W143" s="130"/>
      <c r="X143" s="130"/>
      <c r="Y143" s="130"/>
      <c r="Z143" s="130"/>
      <c r="AA143" s="130"/>
      <c r="AB143" s="130"/>
      <c r="AC143" s="130"/>
      <c r="AD143" s="130"/>
      <c r="AE143" s="130"/>
      <c r="AF143" s="130"/>
      <c r="AG143" s="130"/>
      <c r="AH143" s="130"/>
      <c r="AI143" s="130"/>
      <c r="AJ143" s="130"/>
      <c r="AK143" s="130"/>
    </row>
    <row r="144">
      <c r="A144" s="130"/>
      <c r="B144" s="130"/>
      <c r="C144" s="143"/>
      <c r="D144" s="130"/>
      <c r="E144" s="143"/>
      <c r="F144" s="143"/>
      <c r="G144" s="143"/>
      <c r="H144" s="143"/>
      <c r="I144" s="143"/>
      <c r="J144" s="143"/>
      <c r="K144" s="143"/>
      <c r="L144" s="143"/>
      <c r="M144" s="143"/>
      <c r="N144" s="143"/>
      <c r="O144" s="143"/>
      <c r="P144" s="143"/>
      <c r="Q144" s="67"/>
      <c r="R144" s="144"/>
      <c r="S144" s="144"/>
      <c r="T144" s="143"/>
      <c r="U144" s="143"/>
      <c r="V144" s="143"/>
      <c r="W144" s="130"/>
      <c r="X144" s="130"/>
      <c r="Y144" s="130"/>
      <c r="Z144" s="130"/>
      <c r="AA144" s="130"/>
      <c r="AB144" s="130"/>
      <c r="AC144" s="130"/>
      <c r="AD144" s="130"/>
      <c r="AE144" s="130"/>
      <c r="AF144" s="130"/>
      <c r="AG144" s="130"/>
      <c r="AH144" s="130"/>
      <c r="AI144" s="130"/>
      <c r="AJ144" s="130"/>
      <c r="AK144" s="130"/>
    </row>
    <row r="145">
      <c r="A145" s="130"/>
      <c r="B145" s="130"/>
      <c r="C145" s="143"/>
      <c r="D145" s="130"/>
      <c r="E145" s="143"/>
      <c r="F145" s="143"/>
      <c r="G145" s="143"/>
      <c r="H145" s="143"/>
      <c r="I145" s="143"/>
      <c r="J145" s="143"/>
      <c r="K145" s="143"/>
      <c r="L145" s="143"/>
      <c r="M145" s="143"/>
      <c r="N145" s="143"/>
      <c r="O145" s="143"/>
      <c r="P145" s="143"/>
      <c r="Q145" s="67"/>
      <c r="R145" s="144"/>
      <c r="S145" s="144"/>
      <c r="T145" s="143"/>
      <c r="U145" s="143"/>
      <c r="V145" s="143"/>
      <c r="W145" s="130"/>
      <c r="X145" s="130"/>
      <c r="Y145" s="130"/>
      <c r="Z145" s="130"/>
      <c r="AA145" s="130"/>
      <c r="AB145" s="130"/>
      <c r="AC145" s="130"/>
      <c r="AD145" s="130"/>
      <c r="AE145" s="130"/>
      <c r="AF145" s="130"/>
      <c r="AG145" s="130"/>
      <c r="AH145" s="130"/>
      <c r="AI145" s="130"/>
      <c r="AJ145" s="130"/>
      <c r="AK145" s="130"/>
    </row>
    <row r="146">
      <c r="A146" s="130"/>
      <c r="B146" s="130"/>
      <c r="C146" s="143"/>
      <c r="D146" s="130"/>
      <c r="E146" s="143"/>
      <c r="F146" s="143"/>
      <c r="G146" s="143"/>
      <c r="H146" s="143"/>
      <c r="I146" s="143"/>
      <c r="J146" s="143"/>
      <c r="K146" s="143"/>
      <c r="L146" s="143"/>
      <c r="M146" s="143"/>
      <c r="N146" s="143"/>
      <c r="O146" s="143"/>
      <c r="P146" s="143"/>
      <c r="Q146" s="67"/>
      <c r="R146" s="144"/>
      <c r="S146" s="144"/>
      <c r="T146" s="143"/>
      <c r="U146" s="143"/>
      <c r="V146" s="143"/>
      <c r="W146" s="130"/>
      <c r="X146" s="130"/>
      <c r="Y146" s="130"/>
      <c r="Z146" s="130"/>
      <c r="AA146" s="130"/>
      <c r="AB146" s="130"/>
      <c r="AC146" s="130"/>
      <c r="AD146" s="130"/>
      <c r="AE146" s="130"/>
      <c r="AF146" s="130"/>
      <c r="AG146" s="130"/>
      <c r="AH146" s="130"/>
      <c r="AI146" s="130"/>
      <c r="AJ146" s="130"/>
      <c r="AK146" s="130"/>
    </row>
    <row r="147">
      <c r="A147" s="130"/>
      <c r="B147" s="130"/>
      <c r="C147" s="143"/>
      <c r="D147" s="130"/>
      <c r="E147" s="143"/>
      <c r="F147" s="143"/>
      <c r="G147" s="143"/>
      <c r="H147" s="143"/>
      <c r="I147" s="143"/>
      <c r="J147" s="143"/>
      <c r="K147" s="143"/>
      <c r="L147" s="143"/>
      <c r="M147" s="143"/>
      <c r="N147" s="143"/>
      <c r="O147" s="143"/>
      <c r="P147" s="143"/>
      <c r="Q147" s="67"/>
      <c r="R147" s="144"/>
      <c r="S147" s="144"/>
      <c r="T147" s="143"/>
      <c r="U147" s="143"/>
      <c r="V147" s="143"/>
      <c r="W147" s="130"/>
      <c r="X147" s="130"/>
      <c r="Y147" s="130"/>
      <c r="Z147" s="130"/>
      <c r="AA147" s="130"/>
      <c r="AB147" s="130"/>
      <c r="AC147" s="130"/>
      <c r="AD147" s="130"/>
      <c r="AE147" s="130"/>
      <c r="AF147" s="130"/>
      <c r="AG147" s="130"/>
      <c r="AH147" s="130"/>
      <c r="AI147" s="130"/>
      <c r="AJ147" s="130"/>
      <c r="AK147" s="130"/>
    </row>
    <row r="148">
      <c r="A148" s="130"/>
      <c r="B148" s="130"/>
      <c r="C148" s="143"/>
      <c r="D148" s="130"/>
      <c r="E148" s="143"/>
      <c r="F148" s="143"/>
      <c r="G148" s="143"/>
      <c r="H148" s="143"/>
      <c r="I148" s="143"/>
      <c r="J148" s="143"/>
      <c r="K148" s="143"/>
      <c r="L148" s="143"/>
      <c r="M148" s="143"/>
      <c r="N148" s="143"/>
      <c r="O148" s="143"/>
      <c r="P148" s="143"/>
      <c r="Q148" s="67"/>
      <c r="R148" s="144"/>
      <c r="S148" s="144"/>
      <c r="T148" s="143"/>
      <c r="U148" s="143"/>
      <c r="V148" s="143"/>
      <c r="W148" s="130"/>
      <c r="X148" s="130"/>
      <c r="Y148" s="130"/>
      <c r="Z148" s="130"/>
      <c r="AA148" s="130"/>
      <c r="AB148" s="130"/>
      <c r="AC148" s="130"/>
      <c r="AD148" s="130"/>
      <c r="AE148" s="130"/>
      <c r="AF148" s="130"/>
      <c r="AG148" s="130"/>
      <c r="AH148" s="130"/>
      <c r="AI148" s="130"/>
      <c r="AJ148" s="130"/>
      <c r="AK148" s="130"/>
    </row>
    <row r="149">
      <c r="A149" s="130"/>
      <c r="B149" s="130"/>
      <c r="C149" s="143"/>
      <c r="D149" s="130"/>
      <c r="E149" s="143"/>
      <c r="F149" s="143"/>
      <c r="G149" s="143"/>
      <c r="H149" s="143"/>
      <c r="I149" s="143"/>
      <c r="J149" s="143"/>
      <c r="K149" s="143"/>
      <c r="L149" s="143"/>
      <c r="M149" s="143"/>
      <c r="N149" s="143"/>
      <c r="O149" s="143"/>
      <c r="P149" s="143"/>
      <c r="Q149" s="67"/>
      <c r="R149" s="144"/>
      <c r="S149" s="144"/>
      <c r="T149" s="143"/>
      <c r="U149" s="143"/>
      <c r="V149" s="143"/>
      <c r="W149" s="130"/>
      <c r="X149" s="130"/>
      <c r="Y149" s="130"/>
      <c r="Z149" s="130"/>
      <c r="AA149" s="130"/>
      <c r="AB149" s="130"/>
      <c r="AC149" s="130"/>
      <c r="AD149" s="130"/>
      <c r="AE149" s="130"/>
      <c r="AF149" s="130"/>
      <c r="AG149" s="130"/>
      <c r="AH149" s="130"/>
      <c r="AI149" s="130"/>
      <c r="AJ149" s="130"/>
      <c r="AK149" s="130"/>
    </row>
    <row r="150">
      <c r="A150" s="130"/>
      <c r="B150" s="130"/>
      <c r="C150" s="143"/>
      <c r="D150" s="130"/>
      <c r="E150" s="143"/>
      <c r="F150" s="143"/>
      <c r="G150" s="143"/>
      <c r="H150" s="143"/>
      <c r="I150" s="143"/>
      <c r="J150" s="143"/>
      <c r="K150" s="143"/>
      <c r="L150" s="143"/>
      <c r="M150" s="143"/>
      <c r="N150" s="143"/>
      <c r="O150" s="143"/>
      <c r="P150" s="143"/>
      <c r="Q150" s="67"/>
      <c r="R150" s="144"/>
      <c r="S150" s="144"/>
      <c r="T150" s="143"/>
      <c r="U150" s="143"/>
      <c r="V150" s="143"/>
      <c r="W150" s="130"/>
      <c r="X150" s="130"/>
      <c r="Y150" s="130"/>
      <c r="Z150" s="130"/>
      <c r="AA150" s="130"/>
      <c r="AB150" s="130"/>
      <c r="AC150" s="130"/>
      <c r="AD150" s="130"/>
      <c r="AE150" s="130"/>
      <c r="AF150" s="130"/>
      <c r="AG150" s="130"/>
      <c r="AH150" s="130"/>
      <c r="AI150" s="130"/>
      <c r="AJ150" s="130"/>
      <c r="AK150" s="130"/>
    </row>
    <row r="151">
      <c r="A151" s="130"/>
      <c r="B151" s="130"/>
      <c r="C151" s="143"/>
      <c r="D151" s="130"/>
      <c r="E151" s="143"/>
      <c r="F151" s="143"/>
      <c r="G151" s="143"/>
      <c r="H151" s="143"/>
      <c r="I151" s="143"/>
      <c r="J151" s="143"/>
      <c r="K151" s="143"/>
      <c r="L151" s="143"/>
      <c r="M151" s="143"/>
      <c r="N151" s="143"/>
      <c r="O151" s="143"/>
      <c r="P151" s="143"/>
      <c r="Q151" s="67"/>
      <c r="R151" s="144"/>
      <c r="S151" s="144"/>
      <c r="T151" s="143"/>
      <c r="U151" s="143"/>
      <c r="V151" s="143"/>
      <c r="W151" s="130"/>
      <c r="X151" s="130"/>
      <c r="Y151" s="130"/>
      <c r="Z151" s="130"/>
      <c r="AA151" s="130"/>
      <c r="AB151" s="130"/>
      <c r="AC151" s="130"/>
      <c r="AD151" s="130"/>
      <c r="AE151" s="130"/>
      <c r="AF151" s="130"/>
      <c r="AG151" s="130"/>
      <c r="AH151" s="130"/>
      <c r="AI151" s="130"/>
      <c r="AJ151" s="130"/>
      <c r="AK151" s="130"/>
    </row>
    <row r="152">
      <c r="A152" s="130"/>
      <c r="B152" s="130"/>
      <c r="C152" s="143"/>
      <c r="D152" s="130"/>
      <c r="E152" s="143"/>
      <c r="F152" s="143"/>
      <c r="G152" s="143"/>
      <c r="H152" s="143"/>
      <c r="I152" s="143"/>
      <c r="J152" s="143"/>
      <c r="K152" s="143"/>
      <c r="L152" s="143"/>
      <c r="M152" s="143"/>
      <c r="N152" s="143"/>
      <c r="O152" s="143"/>
      <c r="P152" s="143"/>
      <c r="Q152" s="67"/>
      <c r="R152" s="144"/>
      <c r="S152" s="144"/>
      <c r="T152" s="143"/>
      <c r="U152" s="143"/>
      <c r="V152" s="143"/>
      <c r="W152" s="130"/>
      <c r="X152" s="130"/>
      <c r="Y152" s="130"/>
      <c r="Z152" s="130"/>
      <c r="AA152" s="130"/>
      <c r="AB152" s="130"/>
      <c r="AC152" s="130"/>
      <c r="AD152" s="130"/>
      <c r="AE152" s="130"/>
      <c r="AF152" s="130"/>
      <c r="AG152" s="130"/>
      <c r="AH152" s="130"/>
      <c r="AI152" s="130"/>
      <c r="AJ152" s="130"/>
      <c r="AK152" s="130"/>
    </row>
    <row r="153">
      <c r="A153" s="130"/>
      <c r="B153" s="130"/>
      <c r="C153" s="143"/>
      <c r="D153" s="130"/>
      <c r="E153" s="143"/>
      <c r="F153" s="143"/>
      <c r="G153" s="143"/>
      <c r="H153" s="143"/>
      <c r="I153" s="143"/>
      <c r="J153" s="143"/>
      <c r="K153" s="143"/>
      <c r="L153" s="143"/>
      <c r="M153" s="143"/>
      <c r="N153" s="143"/>
      <c r="O153" s="143"/>
      <c r="P153" s="143"/>
      <c r="Q153" s="67"/>
      <c r="R153" s="144"/>
      <c r="S153" s="144"/>
      <c r="T153" s="143"/>
      <c r="U153" s="143"/>
      <c r="V153" s="143"/>
      <c r="W153" s="130"/>
      <c r="X153" s="130"/>
      <c r="Y153" s="130"/>
      <c r="Z153" s="130"/>
      <c r="AA153" s="130"/>
      <c r="AB153" s="130"/>
      <c r="AC153" s="130"/>
      <c r="AD153" s="130"/>
      <c r="AE153" s="130"/>
      <c r="AF153" s="130"/>
      <c r="AG153" s="130"/>
      <c r="AH153" s="130"/>
      <c r="AI153" s="130"/>
      <c r="AJ153" s="130"/>
      <c r="AK153" s="130"/>
    </row>
    <row r="154">
      <c r="A154" s="130"/>
      <c r="B154" s="130"/>
      <c r="C154" s="143"/>
      <c r="D154" s="130"/>
      <c r="E154" s="143"/>
      <c r="F154" s="143"/>
      <c r="G154" s="143"/>
      <c r="H154" s="143"/>
      <c r="I154" s="143"/>
      <c r="J154" s="143"/>
      <c r="K154" s="143"/>
      <c r="L154" s="143"/>
      <c r="M154" s="143"/>
      <c r="N154" s="143"/>
      <c r="O154" s="143"/>
      <c r="P154" s="143"/>
      <c r="Q154" s="67"/>
      <c r="R154" s="144"/>
      <c r="S154" s="144"/>
      <c r="T154" s="143"/>
      <c r="U154" s="143"/>
      <c r="V154" s="143"/>
      <c r="W154" s="130"/>
      <c r="X154" s="130"/>
      <c r="Y154" s="130"/>
      <c r="Z154" s="130"/>
      <c r="AA154" s="130"/>
      <c r="AB154" s="130"/>
      <c r="AC154" s="130"/>
      <c r="AD154" s="130"/>
      <c r="AE154" s="130"/>
      <c r="AF154" s="130"/>
      <c r="AG154" s="130"/>
      <c r="AH154" s="130"/>
      <c r="AI154" s="130"/>
      <c r="AJ154" s="130"/>
      <c r="AK154" s="130"/>
    </row>
    <row r="155">
      <c r="A155" s="130"/>
      <c r="B155" s="130"/>
      <c r="C155" s="143"/>
      <c r="D155" s="130"/>
      <c r="E155" s="143"/>
      <c r="F155" s="143"/>
      <c r="G155" s="143"/>
      <c r="H155" s="143"/>
      <c r="I155" s="143"/>
      <c r="J155" s="143"/>
      <c r="K155" s="143"/>
      <c r="L155" s="143"/>
      <c r="M155" s="143"/>
      <c r="N155" s="143"/>
      <c r="O155" s="143"/>
      <c r="P155" s="143"/>
      <c r="Q155" s="67"/>
      <c r="R155" s="144"/>
      <c r="S155" s="144"/>
      <c r="T155" s="143"/>
      <c r="U155" s="143"/>
      <c r="V155" s="143"/>
      <c r="W155" s="130"/>
      <c r="X155" s="130"/>
      <c r="Y155" s="130"/>
      <c r="Z155" s="130"/>
      <c r="AA155" s="130"/>
      <c r="AB155" s="130"/>
      <c r="AC155" s="130"/>
      <c r="AD155" s="130"/>
      <c r="AE155" s="130"/>
      <c r="AF155" s="130"/>
      <c r="AG155" s="130"/>
      <c r="AH155" s="130"/>
      <c r="AI155" s="130"/>
      <c r="AJ155" s="130"/>
      <c r="AK155" s="130"/>
    </row>
    <row r="156">
      <c r="A156" s="130"/>
      <c r="B156" s="130"/>
      <c r="C156" s="143"/>
      <c r="D156" s="130"/>
      <c r="E156" s="143"/>
      <c r="F156" s="143"/>
      <c r="G156" s="143"/>
      <c r="H156" s="143"/>
      <c r="I156" s="143"/>
      <c r="J156" s="143"/>
      <c r="K156" s="143"/>
      <c r="L156" s="143"/>
      <c r="M156" s="143"/>
      <c r="N156" s="143"/>
      <c r="O156" s="143"/>
      <c r="P156" s="143"/>
      <c r="Q156" s="67"/>
      <c r="R156" s="144"/>
      <c r="S156" s="144"/>
      <c r="T156" s="143"/>
      <c r="U156" s="143"/>
      <c r="V156" s="143"/>
      <c r="W156" s="130"/>
      <c r="X156" s="130"/>
      <c r="Y156" s="130"/>
      <c r="Z156" s="130"/>
      <c r="AA156" s="130"/>
      <c r="AB156" s="130"/>
      <c r="AC156" s="130"/>
      <c r="AD156" s="130"/>
      <c r="AE156" s="130"/>
      <c r="AF156" s="130"/>
      <c r="AG156" s="130"/>
      <c r="AH156" s="130"/>
      <c r="AI156" s="130"/>
      <c r="AJ156" s="130"/>
      <c r="AK156" s="130"/>
    </row>
    <row r="157">
      <c r="A157" s="130"/>
      <c r="B157" s="130"/>
      <c r="C157" s="143"/>
      <c r="D157" s="130"/>
      <c r="E157" s="143"/>
      <c r="F157" s="143"/>
      <c r="G157" s="143"/>
      <c r="H157" s="143"/>
      <c r="I157" s="143"/>
      <c r="J157" s="143"/>
      <c r="K157" s="143"/>
      <c r="L157" s="143"/>
      <c r="M157" s="143"/>
      <c r="N157" s="143"/>
      <c r="O157" s="143"/>
      <c r="P157" s="143"/>
      <c r="Q157" s="67"/>
      <c r="R157" s="144"/>
      <c r="S157" s="144"/>
      <c r="T157" s="143"/>
      <c r="U157" s="143"/>
      <c r="V157" s="143"/>
      <c r="W157" s="130"/>
      <c r="X157" s="130"/>
      <c r="Y157" s="130"/>
      <c r="Z157" s="130"/>
      <c r="AA157" s="130"/>
      <c r="AB157" s="130"/>
      <c r="AC157" s="130"/>
      <c r="AD157" s="130"/>
      <c r="AE157" s="130"/>
      <c r="AF157" s="130"/>
      <c r="AG157" s="130"/>
      <c r="AH157" s="130"/>
      <c r="AI157" s="130"/>
      <c r="AJ157" s="130"/>
      <c r="AK157" s="130"/>
    </row>
    <row r="158">
      <c r="A158" s="130"/>
      <c r="B158" s="130"/>
      <c r="C158" s="143"/>
      <c r="D158" s="130"/>
      <c r="E158" s="143"/>
      <c r="F158" s="143"/>
      <c r="G158" s="143"/>
      <c r="H158" s="143"/>
      <c r="I158" s="143"/>
      <c r="J158" s="143"/>
      <c r="K158" s="143"/>
      <c r="L158" s="143"/>
      <c r="M158" s="143"/>
      <c r="N158" s="143"/>
      <c r="O158" s="143"/>
      <c r="P158" s="143"/>
      <c r="Q158" s="67"/>
      <c r="R158" s="144"/>
      <c r="S158" s="144"/>
      <c r="T158" s="143"/>
      <c r="U158" s="143"/>
      <c r="V158" s="143"/>
      <c r="W158" s="130"/>
      <c r="X158" s="130"/>
      <c r="Y158" s="130"/>
      <c r="Z158" s="130"/>
      <c r="AA158" s="130"/>
      <c r="AB158" s="130"/>
      <c r="AC158" s="130"/>
      <c r="AD158" s="130"/>
      <c r="AE158" s="130"/>
      <c r="AF158" s="130"/>
      <c r="AG158" s="130"/>
      <c r="AH158" s="130"/>
      <c r="AI158" s="130"/>
      <c r="AJ158" s="130"/>
      <c r="AK158" s="130"/>
    </row>
    <row r="159">
      <c r="A159" s="130"/>
      <c r="B159" s="130"/>
      <c r="C159" s="143"/>
      <c r="D159" s="130"/>
      <c r="E159" s="143"/>
      <c r="F159" s="143"/>
      <c r="G159" s="143"/>
      <c r="H159" s="143"/>
      <c r="I159" s="143"/>
      <c r="J159" s="143"/>
      <c r="K159" s="143"/>
      <c r="L159" s="143"/>
      <c r="M159" s="143"/>
      <c r="N159" s="143"/>
      <c r="O159" s="143"/>
      <c r="P159" s="143"/>
      <c r="Q159" s="67"/>
      <c r="R159" s="144"/>
      <c r="S159" s="144"/>
      <c r="T159" s="143"/>
      <c r="U159" s="143"/>
      <c r="V159" s="143"/>
      <c r="W159" s="130"/>
      <c r="X159" s="130"/>
      <c r="Y159" s="130"/>
      <c r="Z159" s="130"/>
      <c r="AA159" s="130"/>
      <c r="AB159" s="130"/>
      <c r="AC159" s="130"/>
      <c r="AD159" s="130"/>
      <c r="AE159" s="130"/>
      <c r="AF159" s="130"/>
      <c r="AG159" s="130"/>
      <c r="AH159" s="130"/>
      <c r="AI159" s="130"/>
      <c r="AJ159" s="130"/>
      <c r="AK159" s="130"/>
    </row>
    <row r="160">
      <c r="A160" s="130"/>
      <c r="B160" s="130"/>
      <c r="C160" s="143"/>
      <c r="D160" s="130"/>
      <c r="E160" s="143"/>
      <c r="F160" s="143"/>
      <c r="G160" s="143"/>
      <c r="H160" s="143"/>
      <c r="I160" s="143"/>
      <c r="J160" s="143"/>
      <c r="K160" s="143"/>
      <c r="L160" s="143"/>
      <c r="M160" s="143"/>
      <c r="N160" s="143"/>
      <c r="O160" s="143"/>
      <c r="P160" s="143"/>
      <c r="Q160" s="67"/>
      <c r="R160" s="144"/>
      <c r="S160" s="144"/>
      <c r="T160" s="143"/>
      <c r="U160" s="143"/>
      <c r="V160" s="143"/>
      <c r="W160" s="130"/>
      <c r="X160" s="130"/>
      <c r="Y160" s="130"/>
      <c r="Z160" s="130"/>
      <c r="AA160" s="130"/>
      <c r="AB160" s="130"/>
      <c r="AC160" s="130"/>
      <c r="AD160" s="130"/>
      <c r="AE160" s="130"/>
      <c r="AF160" s="130"/>
      <c r="AG160" s="130"/>
      <c r="AH160" s="130"/>
      <c r="AI160" s="130"/>
      <c r="AJ160" s="130"/>
      <c r="AK160" s="130"/>
    </row>
    <row r="161">
      <c r="A161" s="130"/>
      <c r="B161" s="130"/>
      <c r="C161" s="143"/>
      <c r="D161" s="130"/>
      <c r="E161" s="143"/>
      <c r="F161" s="143"/>
      <c r="G161" s="143"/>
      <c r="H161" s="143"/>
      <c r="I161" s="143"/>
      <c r="J161" s="143"/>
      <c r="K161" s="143"/>
      <c r="L161" s="143"/>
      <c r="M161" s="143"/>
      <c r="N161" s="143"/>
      <c r="O161" s="143"/>
      <c r="P161" s="143"/>
      <c r="Q161" s="67"/>
      <c r="R161" s="144"/>
      <c r="S161" s="144"/>
      <c r="T161" s="143"/>
      <c r="U161" s="143"/>
      <c r="V161" s="143"/>
      <c r="W161" s="130"/>
      <c r="X161" s="130"/>
      <c r="Y161" s="130"/>
      <c r="Z161" s="130"/>
      <c r="AA161" s="130"/>
      <c r="AB161" s="130"/>
      <c r="AC161" s="130"/>
      <c r="AD161" s="130"/>
      <c r="AE161" s="130"/>
      <c r="AF161" s="130"/>
      <c r="AG161" s="130"/>
      <c r="AH161" s="130"/>
      <c r="AI161" s="130"/>
      <c r="AJ161" s="130"/>
      <c r="AK161" s="130"/>
    </row>
    <row r="162">
      <c r="A162" s="130"/>
      <c r="B162" s="130"/>
      <c r="C162" s="143"/>
      <c r="D162" s="130"/>
      <c r="E162" s="143"/>
      <c r="F162" s="143"/>
      <c r="G162" s="143"/>
      <c r="H162" s="143"/>
      <c r="I162" s="143"/>
      <c r="J162" s="143"/>
      <c r="K162" s="143"/>
      <c r="L162" s="143"/>
      <c r="M162" s="143"/>
      <c r="N162" s="143"/>
      <c r="O162" s="143"/>
      <c r="P162" s="143"/>
      <c r="Q162" s="67"/>
      <c r="R162" s="144"/>
      <c r="S162" s="144"/>
      <c r="T162" s="143"/>
      <c r="U162" s="143"/>
      <c r="V162" s="143"/>
      <c r="W162" s="130"/>
      <c r="X162" s="130"/>
      <c r="Y162" s="130"/>
      <c r="Z162" s="130"/>
      <c r="AA162" s="130"/>
      <c r="AB162" s="130"/>
      <c r="AC162" s="130"/>
      <c r="AD162" s="130"/>
      <c r="AE162" s="130"/>
      <c r="AF162" s="130"/>
      <c r="AG162" s="130"/>
      <c r="AH162" s="130"/>
      <c r="AI162" s="130"/>
      <c r="AJ162" s="130"/>
      <c r="AK162" s="130"/>
    </row>
    <row r="163">
      <c r="A163" s="130"/>
      <c r="B163" s="130"/>
      <c r="C163" s="143"/>
      <c r="D163" s="130"/>
      <c r="E163" s="143"/>
      <c r="F163" s="143"/>
      <c r="G163" s="143"/>
      <c r="H163" s="143"/>
      <c r="I163" s="143"/>
      <c r="J163" s="143"/>
      <c r="K163" s="143"/>
      <c r="L163" s="143"/>
      <c r="M163" s="143"/>
      <c r="N163" s="143"/>
      <c r="O163" s="143"/>
      <c r="P163" s="143"/>
      <c r="Q163" s="67"/>
      <c r="R163" s="144"/>
      <c r="S163" s="144"/>
      <c r="T163" s="143"/>
      <c r="U163" s="143"/>
      <c r="V163" s="143"/>
      <c r="W163" s="130"/>
      <c r="X163" s="130"/>
      <c r="Y163" s="130"/>
      <c r="Z163" s="130"/>
      <c r="AA163" s="130"/>
      <c r="AB163" s="130"/>
      <c r="AC163" s="130"/>
      <c r="AD163" s="130"/>
      <c r="AE163" s="130"/>
      <c r="AF163" s="130"/>
      <c r="AG163" s="130"/>
      <c r="AH163" s="130"/>
      <c r="AI163" s="130"/>
      <c r="AJ163" s="130"/>
      <c r="AK163" s="130"/>
    </row>
    <row r="164">
      <c r="A164" s="130"/>
      <c r="B164" s="130"/>
      <c r="C164" s="143"/>
      <c r="D164" s="130"/>
      <c r="E164" s="143"/>
      <c r="F164" s="143"/>
      <c r="G164" s="143"/>
      <c r="H164" s="143"/>
      <c r="I164" s="143"/>
      <c r="J164" s="143"/>
      <c r="K164" s="143"/>
      <c r="L164" s="143"/>
      <c r="M164" s="143"/>
      <c r="N164" s="143"/>
      <c r="O164" s="143"/>
      <c r="P164" s="143"/>
      <c r="Q164" s="67"/>
      <c r="R164" s="144"/>
      <c r="S164" s="144"/>
      <c r="T164" s="143"/>
      <c r="U164" s="143"/>
      <c r="V164" s="143"/>
      <c r="W164" s="130"/>
      <c r="X164" s="130"/>
      <c r="Y164" s="130"/>
      <c r="Z164" s="130"/>
      <c r="AA164" s="130"/>
      <c r="AB164" s="130"/>
      <c r="AC164" s="130"/>
      <c r="AD164" s="130"/>
      <c r="AE164" s="130"/>
      <c r="AF164" s="130"/>
      <c r="AG164" s="130"/>
      <c r="AH164" s="130"/>
      <c r="AI164" s="130"/>
      <c r="AJ164" s="130"/>
      <c r="AK164" s="130"/>
    </row>
    <row r="165">
      <c r="A165" s="130"/>
      <c r="B165" s="130"/>
      <c r="C165" s="143"/>
      <c r="D165" s="130"/>
      <c r="E165" s="143"/>
      <c r="F165" s="143"/>
      <c r="G165" s="143"/>
      <c r="H165" s="143"/>
      <c r="I165" s="143"/>
      <c r="J165" s="143"/>
      <c r="K165" s="143"/>
      <c r="L165" s="143"/>
      <c r="M165" s="143"/>
      <c r="N165" s="143"/>
      <c r="O165" s="143"/>
      <c r="P165" s="143"/>
      <c r="Q165" s="67"/>
      <c r="R165" s="144"/>
      <c r="S165" s="144"/>
      <c r="T165" s="143"/>
      <c r="U165" s="143"/>
      <c r="V165" s="143"/>
      <c r="W165" s="130"/>
      <c r="X165" s="130"/>
      <c r="Y165" s="130"/>
      <c r="Z165" s="130"/>
      <c r="AA165" s="130"/>
      <c r="AB165" s="130"/>
      <c r="AC165" s="130"/>
      <c r="AD165" s="130"/>
      <c r="AE165" s="130"/>
      <c r="AF165" s="130"/>
      <c r="AG165" s="130"/>
      <c r="AH165" s="130"/>
      <c r="AI165" s="130"/>
      <c r="AJ165" s="130"/>
      <c r="AK165" s="130"/>
    </row>
    <row r="166">
      <c r="A166" s="130"/>
      <c r="B166" s="130"/>
      <c r="C166" s="143"/>
      <c r="D166" s="130"/>
      <c r="E166" s="143"/>
      <c r="F166" s="143"/>
      <c r="G166" s="143"/>
      <c r="H166" s="143"/>
      <c r="I166" s="143"/>
      <c r="J166" s="143"/>
      <c r="K166" s="143"/>
      <c r="L166" s="143"/>
      <c r="M166" s="143"/>
      <c r="N166" s="143"/>
      <c r="O166" s="143"/>
      <c r="P166" s="143"/>
      <c r="Q166" s="67"/>
      <c r="R166" s="144"/>
      <c r="S166" s="144"/>
      <c r="T166" s="143"/>
      <c r="U166" s="143"/>
      <c r="V166" s="143"/>
      <c r="W166" s="130"/>
      <c r="X166" s="130"/>
      <c r="Y166" s="130"/>
      <c r="Z166" s="130"/>
      <c r="AA166" s="130"/>
      <c r="AB166" s="130"/>
      <c r="AC166" s="130"/>
      <c r="AD166" s="130"/>
      <c r="AE166" s="130"/>
      <c r="AF166" s="130"/>
      <c r="AG166" s="130"/>
      <c r="AH166" s="130"/>
      <c r="AI166" s="130"/>
      <c r="AJ166" s="130"/>
      <c r="AK166" s="130"/>
    </row>
    <row r="167">
      <c r="A167" s="130"/>
      <c r="B167" s="130"/>
      <c r="C167" s="143"/>
      <c r="D167" s="130"/>
      <c r="E167" s="143"/>
      <c r="F167" s="143"/>
      <c r="G167" s="143"/>
      <c r="H167" s="143"/>
      <c r="I167" s="143"/>
      <c r="J167" s="143"/>
      <c r="K167" s="143"/>
      <c r="L167" s="143"/>
      <c r="M167" s="143"/>
      <c r="N167" s="143"/>
      <c r="O167" s="143"/>
      <c r="P167" s="143"/>
      <c r="Q167" s="67"/>
      <c r="R167" s="144"/>
      <c r="S167" s="144"/>
      <c r="T167" s="143"/>
      <c r="U167" s="143"/>
      <c r="V167" s="143"/>
      <c r="W167" s="130"/>
      <c r="X167" s="130"/>
      <c r="Y167" s="130"/>
      <c r="Z167" s="130"/>
      <c r="AA167" s="130"/>
      <c r="AB167" s="130"/>
      <c r="AC167" s="130"/>
      <c r="AD167" s="130"/>
      <c r="AE167" s="130"/>
      <c r="AF167" s="130"/>
      <c r="AG167" s="130"/>
      <c r="AH167" s="130"/>
      <c r="AI167" s="130"/>
      <c r="AJ167" s="130"/>
      <c r="AK167" s="130"/>
    </row>
    <row r="168">
      <c r="A168" s="130"/>
      <c r="B168" s="130"/>
      <c r="C168" s="143"/>
      <c r="D168" s="130"/>
      <c r="E168" s="143"/>
      <c r="F168" s="143"/>
      <c r="G168" s="143"/>
      <c r="H168" s="143"/>
      <c r="I168" s="143"/>
      <c r="J168" s="143"/>
      <c r="K168" s="143"/>
      <c r="L168" s="143"/>
      <c r="M168" s="143"/>
      <c r="N168" s="143"/>
      <c r="O168" s="143"/>
      <c r="P168" s="143"/>
      <c r="Q168" s="67"/>
      <c r="R168" s="144"/>
      <c r="S168" s="144"/>
      <c r="T168" s="143"/>
      <c r="U168" s="143"/>
      <c r="V168" s="143"/>
      <c r="W168" s="130"/>
      <c r="X168" s="130"/>
      <c r="Y168" s="130"/>
      <c r="Z168" s="130"/>
      <c r="AA168" s="130"/>
      <c r="AB168" s="130"/>
      <c r="AC168" s="130"/>
      <c r="AD168" s="130"/>
      <c r="AE168" s="130"/>
      <c r="AF168" s="130"/>
      <c r="AG168" s="130"/>
      <c r="AH168" s="130"/>
      <c r="AI168" s="130"/>
      <c r="AJ168" s="130"/>
      <c r="AK168" s="130"/>
    </row>
    <row r="169">
      <c r="A169" s="130"/>
      <c r="B169" s="130"/>
      <c r="C169" s="143"/>
      <c r="D169" s="130"/>
      <c r="E169" s="143"/>
      <c r="F169" s="143"/>
      <c r="G169" s="143"/>
      <c r="H169" s="143"/>
      <c r="I169" s="143"/>
      <c r="J169" s="143"/>
      <c r="K169" s="143"/>
      <c r="L169" s="143"/>
      <c r="M169" s="143"/>
      <c r="N169" s="143"/>
      <c r="O169" s="143"/>
      <c r="P169" s="143"/>
      <c r="Q169" s="67"/>
      <c r="R169" s="144"/>
      <c r="S169" s="144"/>
      <c r="T169" s="143"/>
      <c r="U169" s="143"/>
      <c r="V169" s="143"/>
      <c r="W169" s="130"/>
      <c r="X169" s="130"/>
      <c r="Y169" s="130"/>
      <c r="Z169" s="130"/>
      <c r="AA169" s="130"/>
      <c r="AB169" s="130"/>
      <c r="AC169" s="130"/>
      <c r="AD169" s="130"/>
      <c r="AE169" s="130"/>
      <c r="AF169" s="130"/>
      <c r="AG169" s="130"/>
      <c r="AH169" s="130"/>
      <c r="AI169" s="130"/>
      <c r="AJ169" s="130"/>
      <c r="AK169" s="130"/>
    </row>
    <row r="170">
      <c r="A170" s="130"/>
      <c r="B170" s="130"/>
      <c r="C170" s="143"/>
      <c r="D170" s="130"/>
      <c r="E170" s="143"/>
      <c r="F170" s="143"/>
      <c r="G170" s="143"/>
      <c r="H170" s="143"/>
      <c r="I170" s="143"/>
      <c r="J170" s="143"/>
      <c r="K170" s="143"/>
      <c r="L170" s="143"/>
      <c r="M170" s="143"/>
      <c r="N170" s="143"/>
      <c r="O170" s="143"/>
      <c r="P170" s="143"/>
      <c r="Q170" s="67"/>
      <c r="R170" s="144"/>
      <c r="S170" s="144"/>
      <c r="T170" s="143"/>
      <c r="U170" s="143"/>
      <c r="V170" s="143"/>
      <c r="W170" s="130"/>
      <c r="X170" s="130"/>
      <c r="Y170" s="130"/>
      <c r="Z170" s="130"/>
      <c r="AA170" s="130"/>
      <c r="AB170" s="130"/>
      <c r="AC170" s="130"/>
      <c r="AD170" s="130"/>
      <c r="AE170" s="130"/>
      <c r="AF170" s="130"/>
      <c r="AG170" s="130"/>
      <c r="AH170" s="130"/>
      <c r="AI170" s="130"/>
      <c r="AJ170" s="130"/>
      <c r="AK170" s="130"/>
    </row>
    <row r="171">
      <c r="A171" s="130"/>
      <c r="B171" s="130"/>
      <c r="C171" s="143"/>
      <c r="D171" s="130"/>
      <c r="E171" s="143"/>
      <c r="F171" s="143"/>
      <c r="G171" s="143"/>
      <c r="H171" s="143"/>
      <c r="I171" s="143"/>
      <c r="J171" s="143"/>
      <c r="K171" s="143"/>
      <c r="L171" s="143"/>
      <c r="M171" s="143"/>
      <c r="N171" s="143"/>
      <c r="O171" s="143"/>
      <c r="P171" s="143"/>
      <c r="Q171" s="67"/>
      <c r="R171" s="144"/>
      <c r="S171" s="144"/>
      <c r="T171" s="143"/>
      <c r="U171" s="143"/>
      <c r="V171" s="143"/>
      <c r="W171" s="130"/>
      <c r="X171" s="130"/>
      <c r="Y171" s="130"/>
      <c r="Z171" s="130"/>
      <c r="AA171" s="130"/>
      <c r="AB171" s="130"/>
      <c r="AC171" s="130"/>
      <c r="AD171" s="130"/>
      <c r="AE171" s="130"/>
      <c r="AF171" s="130"/>
      <c r="AG171" s="130"/>
      <c r="AH171" s="130"/>
      <c r="AI171" s="130"/>
      <c r="AJ171" s="130"/>
      <c r="AK171" s="130"/>
    </row>
    <row r="172">
      <c r="A172" s="130"/>
      <c r="B172" s="130"/>
      <c r="C172" s="143"/>
      <c r="D172" s="130"/>
      <c r="E172" s="143"/>
      <c r="F172" s="143"/>
      <c r="G172" s="143"/>
      <c r="H172" s="143"/>
      <c r="I172" s="143"/>
      <c r="J172" s="143"/>
      <c r="K172" s="143"/>
      <c r="L172" s="143"/>
      <c r="M172" s="143"/>
      <c r="N172" s="143"/>
      <c r="O172" s="143"/>
      <c r="P172" s="143"/>
      <c r="Q172" s="67"/>
      <c r="R172" s="144"/>
      <c r="S172" s="144"/>
      <c r="T172" s="143"/>
      <c r="U172" s="143"/>
      <c r="V172" s="143"/>
      <c r="W172" s="130"/>
      <c r="X172" s="130"/>
      <c r="Y172" s="130"/>
      <c r="Z172" s="130"/>
      <c r="AA172" s="130"/>
      <c r="AB172" s="130"/>
      <c r="AC172" s="130"/>
      <c r="AD172" s="130"/>
      <c r="AE172" s="130"/>
      <c r="AF172" s="130"/>
      <c r="AG172" s="130"/>
      <c r="AH172" s="130"/>
      <c r="AI172" s="130"/>
      <c r="AJ172" s="130"/>
      <c r="AK172" s="130"/>
    </row>
    <row r="173">
      <c r="A173" s="130"/>
      <c r="B173" s="130"/>
      <c r="C173" s="143"/>
      <c r="D173" s="130"/>
      <c r="E173" s="143"/>
      <c r="F173" s="143"/>
      <c r="G173" s="143"/>
      <c r="H173" s="143"/>
      <c r="I173" s="143"/>
      <c r="J173" s="143"/>
      <c r="K173" s="143"/>
      <c r="L173" s="143"/>
      <c r="M173" s="143"/>
      <c r="N173" s="143"/>
      <c r="O173" s="143"/>
      <c r="P173" s="143"/>
      <c r="Q173" s="67"/>
      <c r="R173" s="144"/>
      <c r="S173" s="144"/>
      <c r="T173" s="143"/>
      <c r="U173" s="143"/>
      <c r="V173" s="143"/>
      <c r="W173" s="130"/>
      <c r="X173" s="130"/>
      <c r="Y173" s="130"/>
      <c r="Z173" s="130"/>
      <c r="AA173" s="130"/>
      <c r="AB173" s="130"/>
      <c r="AC173" s="130"/>
      <c r="AD173" s="130"/>
      <c r="AE173" s="130"/>
      <c r="AF173" s="130"/>
      <c r="AG173" s="130"/>
      <c r="AH173" s="130"/>
      <c r="AI173" s="130"/>
      <c r="AJ173" s="130"/>
      <c r="AK173" s="130"/>
    </row>
    <row r="174">
      <c r="A174" s="130"/>
      <c r="B174" s="130"/>
      <c r="C174" s="143"/>
      <c r="D174" s="130"/>
      <c r="E174" s="143"/>
      <c r="F174" s="143"/>
      <c r="G174" s="143"/>
      <c r="H174" s="143"/>
      <c r="I174" s="143"/>
      <c r="J174" s="143"/>
      <c r="K174" s="143"/>
      <c r="L174" s="143"/>
      <c r="M174" s="143"/>
      <c r="N174" s="143"/>
      <c r="O174" s="143"/>
      <c r="P174" s="143"/>
      <c r="Q174" s="67"/>
      <c r="R174" s="144"/>
      <c r="S174" s="144"/>
      <c r="T174" s="143"/>
      <c r="U174" s="143"/>
      <c r="V174" s="143"/>
      <c r="W174" s="130"/>
      <c r="X174" s="130"/>
      <c r="Y174" s="130"/>
      <c r="Z174" s="130"/>
      <c r="AA174" s="130"/>
      <c r="AB174" s="130"/>
      <c r="AC174" s="130"/>
      <c r="AD174" s="130"/>
      <c r="AE174" s="130"/>
      <c r="AF174" s="130"/>
      <c r="AG174" s="130"/>
      <c r="AH174" s="130"/>
      <c r="AI174" s="130"/>
      <c r="AJ174" s="130"/>
      <c r="AK174" s="130"/>
    </row>
    <row r="175">
      <c r="A175" s="130"/>
      <c r="B175" s="130"/>
      <c r="C175" s="143"/>
      <c r="D175" s="130"/>
      <c r="E175" s="143"/>
      <c r="F175" s="143"/>
      <c r="G175" s="143"/>
      <c r="H175" s="143"/>
      <c r="I175" s="143"/>
      <c r="J175" s="143"/>
      <c r="K175" s="143"/>
      <c r="L175" s="143"/>
      <c r="M175" s="143"/>
      <c r="N175" s="143"/>
      <c r="O175" s="143"/>
      <c r="P175" s="143"/>
      <c r="Q175" s="67"/>
      <c r="R175" s="144"/>
      <c r="S175" s="144"/>
      <c r="T175" s="143"/>
      <c r="U175" s="143"/>
      <c r="V175" s="143"/>
      <c r="W175" s="130"/>
      <c r="X175" s="130"/>
      <c r="Y175" s="130"/>
      <c r="Z175" s="130"/>
      <c r="AA175" s="130"/>
      <c r="AB175" s="130"/>
      <c r="AC175" s="130"/>
      <c r="AD175" s="130"/>
      <c r="AE175" s="130"/>
      <c r="AF175" s="130"/>
      <c r="AG175" s="130"/>
      <c r="AH175" s="130"/>
      <c r="AI175" s="130"/>
      <c r="AJ175" s="130"/>
      <c r="AK175" s="130"/>
    </row>
    <row r="176">
      <c r="A176" s="130"/>
      <c r="B176" s="130"/>
      <c r="C176" s="143"/>
      <c r="D176" s="130"/>
      <c r="E176" s="143"/>
      <c r="F176" s="143"/>
      <c r="G176" s="143"/>
      <c r="H176" s="143"/>
      <c r="I176" s="143"/>
      <c r="J176" s="143"/>
      <c r="K176" s="143"/>
      <c r="L176" s="143"/>
      <c r="M176" s="143"/>
      <c r="N176" s="143"/>
      <c r="O176" s="143"/>
      <c r="P176" s="143"/>
      <c r="Q176" s="67"/>
      <c r="R176" s="144"/>
      <c r="S176" s="144"/>
      <c r="T176" s="143"/>
      <c r="U176" s="143"/>
      <c r="V176" s="143"/>
      <c r="W176" s="130"/>
      <c r="X176" s="130"/>
      <c r="Y176" s="130"/>
      <c r="Z176" s="130"/>
      <c r="AA176" s="130"/>
      <c r="AB176" s="130"/>
      <c r="AC176" s="130"/>
      <c r="AD176" s="130"/>
      <c r="AE176" s="130"/>
      <c r="AF176" s="130"/>
      <c r="AG176" s="130"/>
      <c r="AH176" s="130"/>
      <c r="AI176" s="130"/>
      <c r="AJ176" s="130"/>
      <c r="AK176" s="130"/>
    </row>
    <row r="177">
      <c r="A177" s="130"/>
      <c r="B177" s="130"/>
      <c r="C177" s="143"/>
      <c r="D177" s="130"/>
      <c r="E177" s="143"/>
      <c r="F177" s="143"/>
      <c r="G177" s="143"/>
      <c r="H177" s="143"/>
      <c r="I177" s="143"/>
      <c r="J177" s="143"/>
      <c r="K177" s="143"/>
      <c r="L177" s="143"/>
      <c r="M177" s="143"/>
      <c r="N177" s="143"/>
      <c r="O177" s="143"/>
      <c r="P177" s="143"/>
      <c r="Q177" s="67"/>
      <c r="R177" s="144"/>
      <c r="S177" s="144"/>
      <c r="T177" s="143"/>
      <c r="U177" s="143"/>
      <c r="V177" s="143"/>
      <c r="W177" s="130"/>
      <c r="X177" s="130"/>
      <c r="Y177" s="130"/>
      <c r="Z177" s="130"/>
      <c r="AA177" s="130"/>
      <c r="AB177" s="130"/>
      <c r="AC177" s="130"/>
      <c r="AD177" s="130"/>
      <c r="AE177" s="130"/>
      <c r="AF177" s="130"/>
      <c r="AG177" s="130"/>
      <c r="AH177" s="130"/>
      <c r="AI177" s="130"/>
      <c r="AJ177" s="130"/>
      <c r="AK177" s="130"/>
    </row>
    <row r="178">
      <c r="A178" s="130"/>
      <c r="B178" s="130"/>
      <c r="C178" s="143"/>
      <c r="D178" s="130"/>
      <c r="E178" s="143"/>
      <c r="F178" s="143"/>
      <c r="G178" s="143"/>
      <c r="H178" s="143"/>
      <c r="I178" s="143"/>
      <c r="J178" s="143"/>
      <c r="K178" s="143"/>
      <c r="L178" s="143"/>
      <c r="M178" s="143"/>
      <c r="N178" s="143"/>
      <c r="O178" s="143"/>
      <c r="P178" s="143"/>
      <c r="Q178" s="67"/>
      <c r="R178" s="144"/>
      <c r="S178" s="144"/>
      <c r="T178" s="143"/>
      <c r="U178" s="143"/>
      <c r="V178" s="143"/>
      <c r="W178" s="130"/>
      <c r="X178" s="130"/>
      <c r="Y178" s="130"/>
      <c r="Z178" s="130"/>
      <c r="AA178" s="130"/>
      <c r="AB178" s="130"/>
      <c r="AC178" s="130"/>
      <c r="AD178" s="130"/>
      <c r="AE178" s="130"/>
      <c r="AF178" s="130"/>
      <c r="AG178" s="130"/>
      <c r="AH178" s="130"/>
      <c r="AI178" s="130"/>
      <c r="AJ178" s="130"/>
      <c r="AK178" s="130"/>
    </row>
    <row r="179">
      <c r="A179" s="130"/>
      <c r="B179" s="130"/>
      <c r="C179" s="143"/>
      <c r="D179" s="130"/>
      <c r="E179" s="143"/>
      <c r="F179" s="143"/>
      <c r="G179" s="143"/>
      <c r="H179" s="143"/>
      <c r="I179" s="143"/>
      <c r="J179" s="143"/>
      <c r="K179" s="143"/>
      <c r="L179" s="143"/>
      <c r="M179" s="143"/>
      <c r="N179" s="143"/>
      <c r="O179" s="143"/>
      <c r="P179" s="143"/>
      <c r="Q179" s="67"/>
      <c r="R179" s="144"/>
      <c r="S179" s="144"/>
      <c r="T179" s="143"/>
      <c r="U179" s="143"/>
      <c r="V179" s="143"/>
      <c r="W179" s="130"/>
      <c r="X179" s="130"/>
      <c r="Y179" s="130"/>
      <c r="Z179" s="130"/>
      <c r="AA179" s="130"/>
      <c r="AB179" s="130"/>
      <c r="AC179" s="130"/>
      <c r="AD179" s="130"/>
      <c r="AE179" s="130"/>
      <c r="AF179" s="130"/>
      <c r="AG179" s="130"/>
      <c r="AH179" s="130"/>
      <c r="AI179" s="130"/>
      <c r="AJ179" s="130"/>
      <c r="AK179" s="130"/>
    </row>
    <row r="180">
      <c r="A180" s="130"/>
      <c r="B180" s="130"/>
      <c r="C180" s="143"/>
      <c r="D180" s="130"/>
      <c r="E180" s="143"/>
      <c r="F180" s="143"/>
      <c r="G180" s="143"/>
      <c r="H180" s="143"/>
      <c r="I180" s="143"/>
      <c r="J180" s="143"/>
      <c r="K180" s="143"/>
      <c r="L180" s="143"/>
      <c r="M180" s="143"/>
      <c r="N180" s="143"/>
      <c r="O180" s="143"/>
      <c r="P180" s="143"/>
      <c r="Q180" s="67"/>
      <c r="R180" s="144"/>
      <c r="S180" s="144"/>
      <c r="T180" s="143"/>
      <c r="U180" s="143"/>
      <c r="V180" s="143"/>
      <c r="W180" s="130"/>
      <c r="X180" s="130"/>
      <c r="Y180" s="130"/>
      <c r="Z180" s="130"/>
      <c r="AA180" s="130"/>
      <c r="AB180" s="130"/>
      <c r="AC180" s="130"/>
      <c r="AD180" s="130"/>
      <c r="AE180" s="130"/>
      <c r="AF180" s="130"/>
      <c r="AG180" s="130"/>
      <c r="AH180" s="130"/>
      <c r="AI180" s="130"/>
      <c r="AJ180" s="130"/>
      <c r="AK180" s="130"/>
    </row>
    <row r="181">
      <c r="A181" s="130"/>
      <c r="B181" s="130"/>
      <c r="C181" s="143"/>
      <c r="D181" s="130"/>
      <c r="E181" s="143"/>
      <c r="F181" s="143"/>
      <c r="G181" s="143"/>
      <c r="H181" s="143"/>
      <c r="I181" s="143"/>
      <c r="J181" s="143"/>
      <c r="K181" s="143"/>
      <c r="L181" s="143"/>
      <c r="M181" s="143"/>
      <c r="N181" s="143"/>
      <c r="O181" s="143"/>
      <c r="P181" s="143"/>
      <c r="Q181" s="67"/>
      <c r="R181" s="144"/>
      <c r="S181" s="144"/>
      <c r="T181" s="143"/>
      <c r="U181" s="143"/>
      <c r="V181" s="143"/>
      <c r="W181" s="130"/>
      <c r="X181" s="130"/>
      <c r="Y181" s="130"/>
      <c r="Z181" s="130"/>
      <c r="AA181" s="130"/>
      <c r="AB181" s="130"/>
      <c r="AC181" s="130"/>
      <c r="AD181" s="130"/>
      <c r="AE181" s="130"/>
      <c r="AF181" s="130"/>
      <c r="AG181" s="130"/>
      <c r="AH181" s="130"/>
      <c r="AI181" s="130"/>
      <c r="AJ181" s="130"/>
      <c r="AK181" s="130"/>
    </row>
    <row r="182">
      <c r="A182" s="130"/>
      <c r="B182" s="130"/>
      <c r="C182" s="143"/>
      <c r="D182" s="130"/>
      <c r="E182" s="143"/>
      <c r="F182" s="143"/>
      <c r="G182" s="143"/>
      <c r="H182" s="143"/>
      <c r="I182" s="143"/>
      <c r="J182" s="143"/>
      <c r="K182" s="143"/>
      <c r="L182" s="143"/>
      <c r="M182" s="143"/>
      <c r="N182" s="143"/>
      <c r="O182" s="143"/>
      <c r="P182" s="143"/>
      <c r="Q182" s="67"/>
      <c r="R182" s="144"/>
      <c r="S182" s="144"/>
      <c r="T182" s="143"/>
      <c r="U182" s="143"/>
      <c r="V182" s="143"/>
      <c r="W182" s="130"/>
      <c r="X182" s="130"/>
      <c r="Y182" s="130"/>
      <c r="Z182" s="130"/>
      <c r="AA182" s="130"/>
      <c r="AB182" s="130"/>
      <c r="AC182" s="130"/>
      <c r="AD182" s="130"/>
      <c r="AE182" s="130"/>
      <c r="AF182" s="130"/>
      <c r="AG182" s="130"/>
      <c r="AH182" s="130"/>
      <c r="AI182" s="130"/>
      <c r="AJ182" s="130"/>
      <c r="AK182" s="130"/>
    </row>
    <row r="183">
      <c r="A183" s="130"/>
      <c r="B183" s="130"/>
      <c r="C183" s="143"/>
      <c r="D183" s="130"/>
      <c r="E183" s="143"/>
      <c r="F183" s="143"/>
      <c r="G183" s="143"/>
      <c r="H183" s="143"/>
      <c r="I183" s="143"/>
      <c r="J183" s="143"/>
      <c r="K183" s="143"/>
      <c r="L183" s="143"/>
      <c r="M183" s="143"/>
      <c r="N183" s="143"/>
      <c r="O183" s="143"/>
      <c r="P183" s="143"/>
      <c r="Q183" s="67"/>
      <c r="R183" s="144"/>
      <c r="S183" s="144"/>
      <c r="T183" s="143"/>
      <c r="U183" s="143"/>
      <c r="V183" s="143"/>
      <c r="W183" s="130"/>
      <c r="X183" s="130"/>
      <c r="Y183" s="130"/>
      <c r="Z183" s="130"/>
      <c r="AA183" s="130"/>
      <c r="AB183" s="130"/>
      <c r="AC183" s="130"/>
      <c r="AD183" s="130"/>
      <c r="AE183" s="130"/>
      <c r="AF183" s="130"/>
      <c r="AG183" s="130"/>
      <c r="AH183" s="130"/>
      <c r="AI183" s="130"/>
      <c r="AJ183" s="130"/>
      <c r="AK183" s="130"/>
    </row>
    <row r="184">
      <c r="A184" s="130"/>
      <c r="B184" s="130"/>
      <c r="C184" s="143"/>
      <c r="D184" s="130"/>
      <c r="E184" s="143"/>
      <c r="F184" s="143"/>
      <c r="G184" s="143"/>
      <c r="H184" s="143"/>
      <c r="I184" s="143"/>
      <c r="J184" s="143"/>
      <c r="K184" s="143"/>
      <c r="L184" s="143"/>
      <c r="M184" s="143"/>
      <c r="N184" s="143"/>
      <c r="O184" s="143"/>
      <c r="P184" s="143"/>
      <c r="Q184" s="67"/>
      <c r="R184" s="144"/>
      <c r="S184" s="144"/>
      <c r="T184" s="143"/>
      <c r="U184" s="143"/>
      <c r="V184" s="143"/>
      <c r="W184" s="130"/>
      <c r="X184" s="130"/>
      <c r="Y184" s="130"/>
      <c r="Z184" s="130"/>
      <c r="AA184" s="130"/>
      <c r="AB184" s="130"/>
      <c r="AC184" s="130"/>
      <c r="AD184" s="130"/>
      <c r="AE184" s="130"/>
      <c r="AF184" s="130"/>
      <c r="AG184" s="130"/>
      <c r="AH184" s="130"/>
      <c r="AI184" s="130"/>
      <c r="AJ184" s="130"/>
      <c r="AK184" s="130"/>
    </row>
    <row r="185">
      <c r="A185" s="130"/>
      <c r="B185" s="130"/>
      <c r="C185" s="143"/>
      <c r="D185" s="130"/>
      <c r="E185" s="143"/>
      <c r="F185" s="143"/>
      <c r="G185" s="143"/>
      <c r="H185" s="143"/>
      <c r="I185" s="143"/>
      <c r="J185" s="143"/>
      <c r="K185" s="143"/>
      <c r="L185" s="143"/>
      <c r="M185" s="143"/>
      <c r="N185" s="143"/>
      <c r="O185" s="143"/>
      <c r="P185" s="143"/>
      <c r="Q185" s="67"/>
      <c r="R185" s="144"/>
      <c r="S185" s="144"/>
      <c r="T185" s="143"/>
      <c r="U185" s="143"/>
      <c r="V185" s="143"/>
      <c r="W185" s="130"/>
      <c r="X185" s="130"/>
      <c r="Y185" s="130"/>
      <c r="Z185" s="130"/>
      <c r="AA185" s="130"/>
      <c r="AB185" s="130"/>
      <c r="AC185" s="130"/>
      <c r="AD185" s="130"/>
      <c r="AE185" s="130"/>
      <c r="AF185" s="130"/>
      <c r="AG185" s="130"/>
      <c r="AH185" s="130"/>
      <c r="AI185" s="130"/>
      <c r="AJ185" s="130"/>
      <c r="AK185" s="130"/>
    </row>
    <row r="186">
      <c r="A186" s="130"/>
      <c r="B186" s="130"/>
      <c r="C186" s="143"/>
      <c r="D186" s="130"/>
      <c r="E186" s="143"/>
      <c r="F186" s="143"/>
      <c r="G186" s="143"/>
      <c r="H186" s="143"/>
      <c r="I186" s="143"/>
      <c r="J186" s="143"/>
      <c r="K186" s="143"/>
      <c r="L186" s="143"/>
      <c r="M186" s="143"/>
      <c r="N186" s="143"/>
      <c r="O186" s="143"/>
      <c r="P186" s="143"/>
      <c r="Q186" s="67"/>
      <c r="R186" s="144"/>
      <c r="S186" s="144"/>
      <c r="T186" s="143"/>
      <c r="U186" s="143"/>
      <c r="V186" s="143"/>
      <c r="W186" s="130"/>
      <c r="X186" s="130"/>
      <c r="Y186" s="130"/>
      <c r="Z186" s="130"/>
      <c r="AA186" s="130"/>
      <c r="AB186" s="130"/>
      <c r="AC186" s="130"/>
      <c r="AD186" s="130"/>
      <c r="AE186" s="130"/>
      <c r="AF186" s="130"/>
      <c r="AG186" s="130"/>
      <c r="AH186" s="130"/>
      <c r="AI186" s="130"/>
      <c r="AJ186" s="130"/>
      <c r="AK186" s="130"/>
    </row>
    <row r="187">
      <c r="A187" s="130"/>
      <c r="B187" s="130"/>
      <c r="C187" s="143"/>
      <c r="D187" s="130"/>
      <c r="E187" s="143"/>
      <c r="F187" s="143"/>
      <c r="G187" s="143"/>
      <c r="H187" s="143"/>
      <c r="I187" s="143"/>
      <c r="J187" s="143"/>
      <c r="K187" s="143"/>
      <c r="L187" s="143"/>
      <c r="M187" s="143"/>
      <c r="N187" s="143"/>
      <c r="O187" s="143"/>
      <c r="P187" s="143"/>
      <c r="Q187" s="67"/>
      <c r="R187" s="144"/>
      <c r="S187" s="144"/>
      <c r="T187" s="143"/>
      <c r="U187" s="143"/>
      <c r="V187" s="143"/>
      <c r="W187" s="130"/>
      <c r="X187" s="130"/>
      <c r="Y187" s="130"/>
      <c r="Z187" s="130"/>
      <c r="AA187" s="130"/>
      <c r="AB187" s="130"/>
      <c r="AC187" s="130"/>
      <c r="AD187" s="130"/>
      <c r="AE187" s="130"/>
      <c r="AF187" s="130"/>
      <c r="AG187" s="130"/>
      <c r="AH187" s="130"/>
      <c r="AI187" s="130"/>
      <c r="AJ187" s="130"/>
      <c r="AK187" s="130"/>
    </row>
    <row r="188">
      <c r="A188" s="130"/>
      <c r="B188" s="130"/>
      <c r="C188" s="143"/>
      <c r="D188" s="130"/>
      <c r="E188" s="143"/>
      <c r="F188" s="143"/>
      <c r="G188" s="143"/>
      <c r="H188" s="143"/>
      <c r="I188" s="143"/>
      <c r="J188" s="143"/>
      <c r="K188" s="143"/>
      <c r="L188" s="143"/>
      <c r="M188" s="143"/>
      <c r="N188" s="143"/>
      <c r="O188" s="143"/>
      <c r="P188" s="143"/>
      <c r="Q188" s="67"/>
      <c r="R188" s="144"/>
      <c r="S188" s="144"/>
      <c r="T188" s="143"/>
      <c r="U188" s="143"/>
      <c r="V188" s="143"/>
      <c r="W188" s="130"/>
      <c r="X188" s="130"/>
      <c r="Y188" s="130"/>
      <c r="Z188" s="130"/>
      <c r="AA188" s="130"/>
      <c r="AB188" s="130"/>
      <c r="AC188" s="130"/>
      <c r="AD188" s="130"/>
      <c r="AE188" s="130"/>
      <c r="AF188" s="130"/>
      <c r="AG188" s="130"/>
      <c r="AH188" s="130"/>
      <c r="AI188" s="130"/>
      <c r="AJ188" s="130"/>
      <c r="AK188" s="130"/>
    </row>
    <row r="189">
      <c r="A189" s="130"/>
      <c r="B189" s="130"/>
      <c r="C189" s="143"/>
      <c r="D189" s="130"/>
      <c r="E189" s="143"/>
      <c r="F189" s="143"/>
      <c r="G189" s="143"/>
      <c r="H189" s="143"/>
      <c r="I189" s="143"/>
      <c r="J189" s="143"/>
      <c r="K189" s="143"/>
      <c r="L189" s="143"/>
      <c r="M189" s="143"/>
      <c r="N189" s="143"/>
      <c r="O189" s="143"/>
      <c r="P189" s="143"/>
      <c r="Q189" s="67"/>
      <c r="R189" s="144"/>
      <c r="S189" s="144"/>
      <c r="T189" s="143"/>
      <c r="U189" s="143"/>
      <c r="V189" s="143"/>
      <c r="W189" s="130"/>
      <c r="X189" s="130"/>
      <c r="Y189" s="130"/>
      <c r="Z189" s="130"/>
      <c r="AA189" s="130"/>
      <c r="AB189" s="130"/>
      <c r="AC189" s="130"/>
      <c r="AD189" s="130"/>
      <c r="AE189" s="130"/>
      <c r="AF189" s="130"/>
      <c r="AG189" s="130"/>
      <c r="AH189" s="130"/>
      <c r="AI189" s="130"/>
      <c r="AJ189" s="130"/>
      <c r="AK189" s="130"/>
    </row>
    <row r="190">
      <c r="A190" s="130"/>
      <c r="B190" s="130"/>
      <c r="C190" s="143"/>
      <c r="D190" s="130"/>
      <c r="E190" s="143"/>
      <c r="F190" s="143"/>
      <c r="G190" s="143"/>
      <c r="H190" s="143"/>
      <c r="I190" s="143"/>
      <c r="J190" s="143"/>
      <c r="K190" s="143"/>
      <c r="L190" s="143"/>
      <c r="M190" s="143"/>
      <c r="N190" s="143"/>
      <c r="O190" s="143"/>
      <c r="P190" s="143"/>
      <c r="Q190" s="67"/>
      <c r="R190" s="144"/>
      <c r="S190" s="144"/>
      <c r="T190" s="143"/>
      <c r="U190" s="143"/>
      <c r="V190" s="143"/>
      <c r="W190" s="130"/>
      <c r="X190" s="130"/>
      <c r="Y190" s="130"/>
      <c r="Z190" s="130"/>
      <c r="AA190" s="130"/>
      <c r="AB190" s="130"/>
      <c r="AC190" s="130"/>
      <c r="AD190" s="130"/>
      <c r="AE190" s="130"/>
      <c r="AF190" s="130"/>
      <c r="AG190" s="130"/>
      <c r="AH190" s="130"/>
      <c r="AI190" s="130"/>
      <c r="AJ190" s="130"/>
      <c r="AK190" s="130"/>
    </row>
    <row r="191">
      <c r="A191" s="130"/>
      <c r="B191" s="130"/>
      <c r="C191" s="143"/>
      <c r="D191" s="130"/>
      <c r="E191" s="143"/>
      <c r="F191" s="143"/>
      <c r="G191" s="143"/>
      <c r="H191" s="143"/>
      <c r="I191" s="143"/>
      <c r="J191" s="143"/>
      <c r="K191" s="143"/>
      <c r="L191" s="143"/>
      <c r="M191" s="143"/>
      <c r="N191" s="143"/>
      <c r="O191" s="143"/>
      <c r="P191" s="143"/>
      <c r="Q191" s="67"/>
      <c r="R191" s="144"/>
      <c r="S191" s="144"/>
      <c r="T191" s="143"/>
      <c r="U191" s="143"/>
      <c r="V191" s="143"/>
      <c r="W191" s="130"/>
      <c r="X191" s="130"/>
      <c r="Y191" s="130"/>
      <c r="Z191" s="130"/>
      <c r="AA191" s="130"/>
      <c r="AB191" s="130"/>
      <c r="AC191" s="130"/>
      <c r="AD191" s="130"/>
      <c r="AE191" s="130"/>
      <c r="AF191" s="130"/>
      <c r="AG191" s="130"/>
      <c r="AH191" s="130"/>
      <c r="AI191" s="130"/>
      <c r="AJ191" s="130"/>
      <c r="AK191" s="130"/>
    </row>
    <row r="192">
      <c r="A192" s="130"/>
      <c r="B192" s="130"/>
      <c r="C192" s="143"/>
      <c r="D192" s="130"/>
      <c r="E192" s="143"/>
      <c r="F192" s="143"/>
      <c r="G192" s="143"/>
      <c r="H192" s="143"/>
      <c r="I192" s="143"/>
      <c r="J192" s="143"/>
      <c r="K192" s="143"/>
      <c r="L192" s="143"/>
      <c r="M192" s="143"/>
      <c r="N192" s="143"/>
      <c r="O192" s="143"/>
      <c r="P192" s="143"/>
      <c r="Q192" s="67"/>
      <c r="R192" s="144"/>
      <c r="S192" s="144"/>
      <c r="T192" s="143"/>
      <c r="U192" s="143"/>
      <c r="V192" s="143"/>
      <c r="W192" s="130"/>
      <c r="X192" s="130"/>
      <c r="Y192" s="130"/>
      <c r="Z192" s="130"/>
      <c r="AA192" s="130"/>
      <c r="AB192" s="130"/>
      <c r="AC192" s="130"/>
      <c r="AD192" s="130"/>
      <c r="AE192" s="130"/>
      <c r="AF192" s="130"/>
      <c r="AG192" s="130"/>
      <c r="AH192" s="130"/>
      <c r="AI192" s="130"/>
      <c r="AJ192" s="130"/>
      <c r="AK192" s="130"/>
    </row>
    <row r="193">
      <c r="A193" s="130"/>
      <c r="B193" s="130"/>
      <c r="C193" s="143"/>
      <c r="D193" s="130"/>
      <c r="E193" s="143"/>
      <c r="F193" s="143"/>
      <c r="G193" s="143"/>
      <c r="H193" s="143"/>
      <c r="I193" s="143"/>
      <c r="J193" s="143"/>
      <c r="K193" s="143"/>
      <c r="L193" s="143"/>
      <c r="M193" s="143"/>
      <c r="N193" s="143"/>
      <c r="O193" s="143"/>
      <c r="P193" s="143"/>
      <c r="Q193" s="67"/>
      <c r="R193" s="144"/>
      <c r="S193" s="144"/>
      <c r="T193" s="143"/>
      <c r="U193" s="143"/>
      <c r="V193" s="143"/>
      <c r="W193" s="130"/>
      <c r="X193" s="130"/>
      <c r="Y193" s="130"/>
      <c r="Z193" s="130"/>
      <c r="AA193" s="130"/>
      <c r="AB193" s="130"/>
      <c r="AC193" s="130"/>
      <c r="AD193" s="130"/>
      <c r="AE193" s="130"/>
      <c r="AF193" s="130"/>
      <c r="AG193" s="130"/>
      <c r="AH193" s="130"/>
      <c r="AI193" s="130"/>
      <c r="AJ193" s="130"/>
      <c r="AK193" s="130"/>
    </row>
    <row r="194">
      <c r="A194" s="130"/>
      <c r="B194" s="130"/>
      <c r="C194" s="143"/>
      <c r="D194" s="130"/>
      <c r="E194" s="143"/>
      <c r="F194" s="143"/>
      <c r="G194" s="143"/>
      <c r="H194" s="143"/>
      <c r="I194" s="143"/>
      <c r="J194" s="143"/>
      <c r="K194" s="143"/>
      <c r="L194" s="143"/>
      <c r="M194" s="143"/>
      <c r="N194" s="143"/>
      <c r="O194" s="143"/>
      <c r="P194" s="143"/>
      <c r="Q194" s="67"/>
      <c r="R194" s="144"/>
      <c r="S194" s="144"/>
      <c r="T194" s="143"/>
      <c r="U194" s="143"/>
      <c r="V194" s="143"/>
      <c r="W194" s="130"/>
      <c r="X194" s="130"/>
      <c r="Y194" s="130"/>
      <c r="Z194" s="130"/>
      <c r="AA194" s="130"/>
      <c r="AB194" s="130"/>
      <c r="AC194" s="130"/>
      <c r="AD194" s="130"/>
      <c r="AE194" s="130"/>
      <c r="AF194" s="130"/>
      <c r="AG194" s="130"/>
      <c r="AH194" s="130"/>
      <c r="AI194" s="130"/>
      <c r="AJ194" s="130"/>
      <c r="AK194" s="130"/>
    </row>
    <row r="195">
      <c r="A195" s="130"/>
      <c r="B195" s="130"/>
      <c r="C195" s="143"/>
      <c r="D195" s="130"/>
      <c r="E195" s="143"/>
      <c r="F195" s="143"/>
      <c r="G195" s="143"/>
      <c r="H195" s="143"/>
      <c r="I195" s="143"/>
      <c r="J195" s="143"/>
      <c r="K195" s="143"/>
      <c r="L195" s="143"/>
      <c r="M195" s="143"/>
      <c r="N195" s="143"/>
      <c r="O195" s="143"/>
      <c r="P195" s="143"/>
      <c r="Q195" s="67"/>
      <c r="R195" s="144"/>
      <c r="S195" s="144"/>
      <c r="T195" s="143"/>
      <c r="U195" s="143"/>
      <c r="V195" s="143"/>
      <c r="W195" s="130"/>
      <c r="X195" s="130"/>
      <c r="Y195" s="130"/>
      <c r="Z195" s="130"/>
      <c r="AA195" s="130"/>
      <c r="AB195" s="130"/>
      <c r="AC195" s="130"/>
      <c r="AD195" s="130"/>
      <c r="AE195" s="130"/>
      <c r="AF195" s="130"/>
      <c r="AG195" s="130"/>
      <c r="AH195" s="130"/>
      <c r="AI195" s="130"/>
      <c r="AJ195" s="130"/>
      <c r="AK195" s="130"/>
    </row>
    <row r="196">
      <c r="A196" s="130"/>
      <c r="B196" s="130"/>
      <c r="C196" s="143"/>
      <c r="D196" s="130"/>
      <c r="E196" s="143"/>
      <c r="F196" s="143"/>
      <c r="G196" s="143"/>
      <c r="H196" s="143"/>
      <c r="I196" s="143"/>
      <c r="J196" s="143"/>
      <c r="K196" s="143"/>
      <c r="L196" s="143"/>
      <c r="M196" s="143"/>
      <c r="N196" s="143"/>
      <c r="O196" s="143"/>
      <c r="P196" s="143"/>
      <c r="Q196" s="67"/>
      <c r="R196" s="144"/>
      <c r="S196" s="144"/>
      <c r="T196" s="143"/>
      <c r="U196" s="143"/>
      <c r="V196" s="143"/>
      <c r="W196" s="130"/>
      <c r="X196" s="130"/>
      <c r="Y196" s="130"/>
      <c r="Z196" s="130"/>
      <c r="AA196" s="130"/>
      <c r="AB196" s="130"/>
      <c r="AC196" s="130"/>
      <c r="AD196" s="130"/>
      <c r="AE196" s="130"/>
      <c r="AF196" s="130"/>
      <c r="AG196" s="130"/>
      <c r="AH196" s="130"/>
      <c r="AI196" s="130"/>
      <c r="AJ196" s="130"/>
      <c r="AK196" s="130"/>
    </row>
    <row r="197">
      <c r="A197" s="130"/>
      <c r="B197" s="130"/>
      <c r="C197" s="143"/>
      <c r="D197" s="130"/>
      <c r="E197" s="143"/>
      <c r="F197" s="143"/>
      <c r="G197" s="143"/>
      <c r="H197" s="143"/>
      <c r="I197" s="143"/>
      <c r="J197" s="143"/>
      <c r="K197" s="143"/>
      <c r="L197" s="143"/>
      <c r="M197" s="143"/>
      <c r="N197" s="143"/>
      <c r="O197" s="143"/>
      <c r="P197" s="143"/>
      <c r="Q197" s="67"/>
      <c r="R197" s="144"/>
      <c r="S197" s="144"/>
      <c r="T197" s="143"/>
      <c r="U197" s="143"/>
      <c r="V197" s="143"/>
      <c r="W197" s="130"/>
      <c r="X197" s="130"/>
      <c r="Y197" s="130"/>
      <c r="Z197" s="130"/>
      <c r="AA197" s="130"/>
      <c r="AB197" s="130"/>
      <c r="AC197" s="130"/>
      <c r="AD197" s="130"/>
      <c r="AE197" s="130"/>
      <c r="AF197" s="130"/>
      <c r="AG197" s="130"/>
      <c r="AH197" s="130"/>
      <c r="AI197" s="130"/>
      <c r="AJ197" s="130"/>
      <c r="AK197" s="130"/>
    </row>
    <row r="198">
      <c r="A198" s="130"/>
      <c r="B198" s="130"/>
      <c r="C198" s="143"/>
      <c r="D198" s="130"/>
      <c r="E198" s="143"/>
      <c r="F198" s="143"/>
      <c r="G198" s="143"/>
      <c r="H198" s="143"/>
      <c r="I198" s="143"/>
      <c r="J198" s="143"/>
      <c r="K198" s="143"/>
      <c r="L198" s="143"/>
      <c r="M198" s="143"/>
      <c r="N198" s="143"/>
      <c r="O198" s="143"/>
      <c r="P198" s="143"/>
      <c r="Q198" s="67"/>
      <c r="R198" s="144"/>
      <c r="S198" s="144"/>
      <c r="T198" s="143"/>
      <c r="U198" s="143"/>
      <c r="V198" s="143"/>
      <c r="W198" s="130"/>
      <c r="X198" s="130"/>
      <c r="Y198" s="130"/>
      <c r="Z198" s="130"/>
      <c r="AA198" s="130"/>
      <c r="AB198" s="130"/>
      <c r="AC198" s="130"/>
      <c r="AD198" s="130"/>
      <c r="AE198" s="130"/>
      <c r="AF198" s="130"/>
      <c r="AG198" s="130"/>
      <c r="AH198" s="130"/>
      <c r="AI198" s="130"/>
      <c r="AJ198" s="130"/>
      <c r="AK198" s="130"/>
    </row>
    <row r="199">
      <c r="A199" s="130"/>
      <c r="B199" s="130"/>
      <c r="C199" s="143"/>
      <c r="D199" s="130"/>
      <c r="E199" s="143"/>
      <c r="F199" s="143"/>
      <c r="G199" s="143"/>
      <c r="H199" s="143"/>
      <c r="I199" s="143"/>
      <c r="J199" s="143"/>
      <c r="K199" s="143"/>
      <c r="L199" s="143"/>
      <c r="M199" s="143"/>
      <c r="N199" s="143"/>
      <c r="O199" s="143"/>
      <c r="P199" s="143"/>
      <c r="Q199" s="67"/>
      <c r="R199" s="144"/>
      <c r="S199" s="144"/>
      <c r="T199" s="143"/>
      <c r="U199" s="143"/>
      <c r="V199" s="143"/>
      <c r="W199" s="130"/>
      <c r="X199" s="130"/>
      <c r="Y199" s="130"/>
      <c r="Z199" s="130"/>
      <c r="AA199" s="130"/>
      <c r="AB199" s="130"/>
      <c r="AC199" s="130"/>
      <c r="AD199" s="130"/>
      <c r="AE199" s="130"/>
      <c r="AF199" s="130"/>
      <c r="AG199" s="130"/>
      <c r="AH199" s="130"/>
      <c r="AI199" s="130"/>
      <c r="AJ199" s="130"/>
      <c r="AK199" s="130"/>
    </row>
    <row r="200">
      <c r="A200" s="130"/>
      <c r="B200" s="130"/>
      <c r="C200" s="143"/>
      <c r="D200" s="130"/>
      <c r="E200" s="143"/>
      <c r="F200" s="143"/>
      <c r="G200" s="143"/>
      <c r="H200" s="143"/>
      <c r="I200" s="143"/>
      <c r="J200" s="143"/>
      <c r="K200" s="143"/>
      <c r="L200" s="143"/>
      <c r="M200" s="143"/>
      <c r="N200" s="143"/>
      <c r="O200" s="143"/>
      <c r="P200" s="143"/>
      <c r="Q200" s="67"/>
      <c r="R200" s="144"/>
      <c r="S200" s="144"/>
      <c r="T200" s="143"/>
      <c r="U200" s="143"/>
      <c r="V200" s="143"/>
      <c r="W200" s="130"/>
      <c r="X200" s="130"/>
      <c r="Y200" s="130"/>
      <c r="Z200" s="130"/>
      <c r="AA200" s="130"/>
      <c r="AB200" s="130"/>
      <c r="AC200" s="130"/>
      <c r="AD200" s="130"/>
      <c r="AE200" s="130"/>
      <c r="AF200" s="130"/>
      <c r="AG200" s="130"/>
      <c r="AH200" s="130"/>
      <c r="AI200" s="130"/>
      <c r="AJ200" s="130"/>
      <c r="AK200" s="130"/>
    </row>
    <row r="201">
      <c r="A201" s="130"/>
      <c r="B201" s="130"/>
      <c r="C201" s="143"/>
      <c r="D201" s="130"/>
      <c r="E201" s="143"/>
      <c r="F201" s="143"/>
      <c r="G201" s="143"/>
      <c r="H201" s="143"/>
      <c r="I201" s="143"/>
      <c r="J201" s="143"/>
      <c r="K201" s="143"/>
      <c r="L201" s="143"/>
      <c r="M201" s="143"/>
      <c r="N201" s="143"/>
      <c r="O201" s="143"/>
      <c r="P201" s="143"/>
      <c r="Q201" s="67"/>
      <c r="R201" s="144"/>
      <c r="S201" s="144"/>
      <c r="T201" s="143"/>
      <c r="U201" s="143"/>
      <c r="V201" s="143"/>
      <c r="W201" s="130"/>
      <c r="X201" s="130"/>
      <c r="Y201" s="130"/>
      <c r="Z201" s="130"/>
      <c r="AA201" s="130"/>
      <c r="AB201" s="130"/>
      <c r="AC201" s="130"/>
      <c r="AD201" s="130"/>
      <c r="AE201" s="130"/>
      <c r="AF201" s="130"/>
      <c r="AG201" s="130"/>
      <c r="AH201" s="130"/>
      <c r="AI201" s="130"/>
      <c r="AJ201" s="130"/>
      <c r="AK201" s="130"/>
    </row>
    <row r="202">
      <c r="A202" s="130"/>
      <c r="B202" s="130"/>
      <c r="C202" s="143"/>
      <c r="D202" s="130"/>
      <c r="E202" s="143"/>
      <c r="F202" s="143"/>
      <c r="G202" s="143"/>
      <c r="H202" s="143"/>
      <c r="I202" s="143"/>
      <c r="J202" s="143"/>
      <c r="K202" s="143"/>
      <c r="L202" s="143"/>
      <c r="M202" s="143"/>
      <c r="N202" s="143"/>
      <c r="O202" s="143"/>
      <c r="P202" s="143"/>
      <c r="Q202" s="67"/>
      <c r="R202" s="144"/>
      <c r="S202" s="144"/>
      <c r="T202" s="143"/>
      <c r="U202" s="143"/>
      <c r="V202" s="143"/>
      <c r="W202" s="130"/>
      <c r="X202" s="130"/>
      <c r="Y202" s="130"/>
      <c r="Z202" s="130"/>
      <c r="AA202" s="130"/>
      <c r="AB202" s="130"/>
      <c r="AC202" s="130"/>
      <c r="AD202" s="130"/>
      <c r="AE202" s="130"/>
      <c r="AF202" s="130"/>
      <c r="AG202" s="130"/>
      <c r="AH202" s="130"/>
      <c r="AI202" s="130"/>
      <c r="AJ202" s="130"/>
      <c r="AK202" s="130"/>
    </row>
    <row r="203">
      <c r="A203" s="130"/>
      <c r="B203" s="130"/>
      <c r="C203" s="143"/>
      <c r="D203" s="130"/>
      <c r="E203" s="143"/>
      <c r="F203" s="143"/>
      <c r="G203" s="143"/>
      <c r="H203" s="143"/>
      <c r="I203" s="143"/>
      <c r="J203" s="143"/>
      <c r="K203" s="143"/>
      <c r="L203" s="143"/>
      <c r="M203" s="143"/>
      <c r="N203" s="143"/>
      <c r="O203" s="143"/>
      <c r="P203" s="143"/>
      <c r="Q203" s="67"/>
      <c r="R203" s="144"/>
      <c r="S203" s="144"/>
      <c r="T203" s="143"/>
      <c r="U203" s="143"/>
      <c r="V203" s="143"/>
      <c r="W203" s="130"/>
      <c r="X203" s="130"/>
      <c r="Y203" s="130"/>
      <c r="Z203" s="130"/>
      <c r="AA203" s="130"/>
      <c r="AB203" s="130"/>
      <c r="AC203" s="130"/>
      <c r="AD203" s="130"/>
      <c r="AE203" s="130"/>
      <c r="AF203" s="130"/>
      <c r="AG203" s="130"/>
      <c r="AH203" s="130"/>
      <c r="AI203" s="130"/>
      <c r="AJ203" s="130"/>
      <c r="AK203" s="130"/>
    </row>
    <row r="204">
      <c r="A204" s="130"/>
      <c r="B204" s="130"/>
      <c r="C204" s="143"/>
      <c r="D204" s="130"/>
      <c r="E204" s="143"/>
      <c r="F204" s="143"/>
      <c r="G204" s="143"/>
      <c r="H204" s="143"/>
      <c r="I204" s="143"/>
      <c r="J204" s="143"/>
      <c r="K204" s="143"/>
      <c r="L204" s="143"/>
      <c r="M204" s="143"/>
      <c r="N204" s="143"/>
      <c r="O204" s="143"/>
      <c r="P204" s="143"/>
      <c r="Q204" s="67"/>
      <c r="R204" s="144"/>
      <c r="S204" s="144"/>
      <c r="T204" s="143"/>
      <c r="U204" s="143"/>
      <c r="V204" s="143"/>
      <c r="W204" s="130"/>
      <c r="X204" s="130"/>
      <c r="Y204" s="130"/>
      <c r="Z204" s="130"/>
      <c r="AA204" s="130"/>
      <c r="AB204" s="130"/>
      <c r="AC204" s="130"/>
      <c r="AD204" s="130"/>
      <c r="AE204" s="130"/>
      <c r="AF204" s="130"/>
      <c r="AG204" s="130"/>
      <c r="AH204" s="130"/>
      <c r="AI204" s="130"/>
      <c r="AJ204" s="130"/>
      <c r="AK204" s="130"/>
    </row>
    <row r="205">
      <c r="A205" s="130"/>
      <c r="B205" s="130"/>
      <c r="C205" s="143"/>
      <c r="D205" s="130"/>
      <c r="E205" s="143"/>
      <c r="F205" s="143"/>
      <c r="G205" s="143"/>
      <c r="H205" s="143"/>
      <c r="I205" s="143"/>
      <c r="J205" s="143"/>
      <c r="K205" s="143"/>
      <c r="L205" s="143"/>
      <c r="M205" s="143"/>
      <c r="N205" s="143"/>
      <c r="O205" s="143"/>
      <c r="P205" s="143"/>
      <c r="Q205" s="67"/>
      <c r="R205" s="144"/>
      <c r="S205" s="144"/>
      <c r="T205" s="143"/>
      <c r="U205" s="143"/>
      <c r="V205" s="143"/>
      <c r="W205" s="130"/>
      <c r="X205" s="130"/>
      <c r="Y205" s="130"/>
      <c r="Z205" s="130"/>
      <c r="AA205" s="130"/>
      <c r="AB205" s="130"/>
      <c r="AC205" s="130"/>
      <c r="AD205" s="130"/>
      <c r="AE205" s="130"/>
      <c r="AF205" s="130"/>
      <c r="AG205" s="130"/>
      <c r="AH205" s="130"/>
      <c r="AI205" s="130"/>
      <c r="AJ205" s="130"/>
      <c r="AK205" s="130"/>
    </row>
    <row r="206">
      <c r="A206" s="130"/>
      <c r="B206" s="130"/>
      <c r="C206" s="143"/>
      <c r="D206" s="130"/>
      <c r="E206" s="143"/>
      <c r="F206" s="143"/>
      <c r="G206" s="143"/>
      <c r="H206" s="143"/>
      <c r="I206" s="143"/>
      <c r="J206" s="143"/>
      <c r="K206" s="143"/>
      <c r="L206" s="143"/>
      <c r="M206" s="143"/>
      <c r="N206" s="143"/>
      <c r="O206" s="143"/>
      <c r="P206" s="143"/>
      <c r="Q206" s="67"/>
      <c r="R206" s="144"/>
      <c r="S206" s="144"/>
      <c r="T206" s="143"/>
      <c r="U206" s="143"/>
      <c r="V206" s="143"/>
      <c r="W206" s="130"/>
      <c r="X206" s="130"/>
      <c r="Y206" s="130"/>
      <c r="Z206" s="130"/>
      <c r="AA206" s="130"/>
      <c r="AB206" s="130"/>
      <c r="AC206" s="130"/>
      <c r="AD206" s="130"/>
      <c r="AE206" s="130"/>
      <c r="AF206" s="130"/>
      <c r="AG206" s="130"/>
      <c r="AH206" s="130"/>
      <c r="AI206" s="130"/>
      <c r="AJ206" s="130"/>
      <c r="AK206" s="130"/>
    </row>
    <row r="207">
      <c r="A207" s="130"/>
      <c r="B207" s="130"/>
      <c r="C207" s="143"/>
      <c r="D207" s="130"/>
      <c r="E207" s="143"/>
      <c r="F207" s="143"/>
      <c r="G207" s="143"/>
      <c r="H207" s="143"/>
      <c r="I207" s="143"/>
      <c r="J207" s="143"/>
      <c r="K207" s="143"/>
      <c r="L207" s="143"/>
      <c r="M207" s="143"/>
      <c r="N207" s="143"/>
      <c r="O207" s="143"/>
      <c r="P207" s="143"/>
      <c r="Q207" s="67"/>
      <c r="R207" s="144"/>
      <c r="S207" s="144"/>
      <c r="T207" s="143"/>
      <c r="U207" s="143"/>
      <c r="V207" s="143"/>
      <c r="W207" s="130"/>
      <c r="X207" s="130"/>
      <c r="Y207" s="130"/>
      <c r="Z207" s="130"/>
      <c r="AA207" s="130"/>
      <c r="AB207" s="130"/>
      <c r="AC207" s="130"/>
      <c r="AD207" s="130"/>
      <c r="AE207" s="130"/>
      <c r="AF207" s="130"/>
      <c r="AG207" s="130"/>
      <c r="AH207" s="130"/>
      <c r="AI207" s="130"/>
      <c r="AJ207" s="130"/>
      <c r="AK207" s="130"/>
    </row>
    <row r="208">
      <c r="A208" s="130"/>
      <c r="B208" s="130"/>
      <c r="C208" s="143"/>
      <c r="D208" s="130"/>
      <c r="E208" s="143"/>
      <c r="F208" s="143"/>
      <c r="G208" s="143"/>
      <c r="H208" s="143"/>
      <c r="I208" s="143"/>
      <c r="J208" s="143"/>
      <c r="K208" s="143"/>
      <c r="L208" s="143"/>
      <c r="M208" s="143"/>
      <c r="N208" s="143"/>
      <c r="O208" s="143"/>
      <c r="P208" s="143"/>
      <c r="Q208" s="67"/>
      <c r="R208" s="144"/>
      <c r="S208" s="144"/>
      <c r="T208" s="143"/>
      <c r="U208" s="143"/>
      <c r="V208" s="143"/>
      <c r="W208" s="130"/>
      <c r="X208" s="130"/>
      <c r="Y208" s="130"/>
      <c r="Z208" s="130"/>
      <c r="AA208" s="130"/>
      <c r="AB208" s="130"/>
      <c r="AC208" s="130"/>
      <c r="AD208" s="130"/>
      <c r="AE208" s="130"/>
      <c r="AF208" s="130"/>
      <c r="AG208" s="130"/>
      <c r="AH208" s="130"/>
      <c r="AI208" s="130"/>
      <c r="AJ208" s="130"/>
      <c r="AK208" s="130"/>
    </row>
    <row r="209">
      <c r="A209" s="130"/>
      <c r="B209" s="130"/>
      <c r="C209" s="143"/>
      <c r="D209" s="130"/>
      <c r="E209" s="143"/>
      <c r="F209" s="143"/>
      <c r="G209" s="143"/>
      <c r="H209" s="143"/>
      <c r="I209" s="143"/>
      <c r="J209" s="143"/>
      <c r="K209" s="143"/>
      <c r="L209" s="143"/>
      <c r="M209" s="143"/>
      <c r="N209" s="143"/>
      <c r="O209" s="143"/>
      <c r="P209" s="143"/>
      <c r="Q209" s="67"/>
      <c r="R209" s="144"/>
      <c r="S209" s="144"/>
      <c r="T209" s="143"/>
      <c r="U209" s="143"/>
      <c r="V209" s="143"/>
      <c r="W209" s="130"/>
      <c r="X209" s="130"/>
      <c r="Y209" s="130"/>
      <c r="Z209" s="130"/>
      <c r="AA209" s="130"/>
      <c r="AB209" s="130"/>
      <c r="AC209" s="130"/>
      <c r="AD209" s="130"/>
      <c r="AE209" s="130"/>
      <c r="AF209" s="130"/>
      <c r="AG209" s="130"/>
      <c r="AH209" s="130"/>
      <c r="AI209" s="130"/>
      <c r="AJ209" s="130"/>
      <c r="AK209" s="130"/>
    </row>
    <row r="210">
      <c r="A210" s="130"/>
      <c r="B210" s="130"/>
      <c r="C210" s="143"/>
      <c r="D210" s="130"/>
      <c r="E210" s="143"/>
      <c r="F210" s="143"/>
      <c r="G210" s="143"/>
      <c r="H210" s="143"/>
      <c r="I210" s="143"/>
      <c r="J210" s="143"/>
      <c r="K210" s="143"/>
      <c r="L210" s="143"/>
      <c r="M210" s="143"/>
      <c r="N210" s="143"/>
      <c r="O210" s="143"/>
      <c r="P210" s="143"/>
      <c r="Q210" s="67"/>
      <c r="R210" s="144"/>
      <c r="S210" s="144"/>
      <c r="T210" s="143"/>
      <c r="U210" s="143"/>
      <c r="V210" s="143"/>
      <c r="W210" s="130"/>
      <c r="X210" s="130"/>
      <c r="Y210" s="130"/>
      <c r="Z210" s="130"/>
      <c r="AA210" s="130"/>
      <c r="AB210" s="130"/>
      <c r="AC210" s="130"/>
      <c r="AD210" s="130"/>
      <c r="AE210" s="130"/>
      <c r="AF210" s="130"/>
      <c r="AG210" s="130"/>
      <c r="AH210" s="130"/>
      <c r="AI210" s="130"/>
      <c r="AJ210" s="130"/>
      <c r="AK210" s="130"/>
    </row>
    <row r="211">
      <c r="A211" s="130"/>
      <c r="B211" s="130"/>
      <c r="C211" s="143"/>
      <c r="D211" s="130"/>
      <c r="E211" s="143"/>
      <c r="F211" s="143"/>
      <c r="G211" s="143"/>
      <c r="H211" s="143"/>
      <c r="I211" s="143"/>
      <c r="J211" s="143"/>
      <c r="K211" s="143"/>
      <c r="L211" s="143"/>
      <c r="M211" s="143"/>
      <c r="N211" s="143"/>
      <c r="O211" s="143"/>
      <c r="P211" s="143"/>
      <c r="Q211" s="67"/>
      <c r="R211" s="144"/>
      <c r="S211" s="144"/>
      <c r="T211" s="143"/>
      <c r="U211" s="143"/>
      <c r="V211" s="143"/>
      <c r="W211" s="130"/>
      <c r="X211" s="130"/>
      <c r="Y211" s="130"/>
      <c r="Z211" s="130"/>
      <c r="AA211" s="130"/>
      <c r="AB211" s="130"/>
      <c r="AC211" s="130"/>
      <c r="AD211" s="130"/>
      <c r="AE211" s="130"/>
      <c r="AF211" s="130"/>
      <c r="AG211" s="130"/>
      <c r="AH211" s="130"/>
      <c r="AI211" s="130"/>
      <c r="AJ211" s="130"/>
      <c r="AK211" s="130"/>
    </row>
    <row r="212">
      <c r="A212" s="130"/>
      <c r="B212" s="130"/>
      <c r="C212" s="143"/>
      <c r="D212" s="130"/>
      <c r="E212" s="143"/>
      <c r="F212" s="143"/>
      <c r="G212" s="143"/>
      <c r="H212" s="143"/>
      <c r="I212" s="143"/>
      <c r="J212" s="143"/>
      <c r="K212" s="143"/>
      <c r="L212" s="143"/>
      <c r="M212" s="143"/>
      <c r="N212" s="143"/>
      <c r="O212" s="143"/>
      <c r="P212" s="143"/>
      <c r="Q212" s="67"/>
      <c r="R212" s="144"/>
      <c r="S212" s="144"/>
      <c r="T212" s="143"/>
      <c r="U212" s="143"/>
      <c r="V212" s="143"/>
      <c r="W212" s="130"/>
      <c r="X212" s="130"/>
      <c r="Y212" s="130"/>
      <c r="Z212" s="130"/>
      <c r="AA212" s="130"/>
      <c r="AB212" s="130"/>
      <c r="AC212" s="130"/>
      <c r="AD212" s="130"/>
      <c r="AE212" s="130"/>
      <c r="AF212" s="130"/>
      <c r="AG212" s="130"/>
      <c r="AH212" s="130"/>
      <c r="AI212" s="130"/>
      <c r="AJ212" s="130"/>
      <c r="AK212" s="130"/>
    </row>
    <row r="213">
      <c r="A213" s="130"/>
      <c r="B213" s="130"/>
      <c r="C213" s="143"/>
      <c r="D213" s="130"/>
      <c r="E213" s="143"/>
      <c r="F213" s="143"/>
      <c r="G213" s="143"/>
      <c r="H213" s="143"/>
      <c r="I213" s="143"/>
      <c r="J213" s="143"/>
      <c r="K213" s="143"/>
      <c r="L213" s="143"/>
      <c r="M213" s="143"/>
      <c r="N213" s="143"/>
      <c r="O213" s="143"/>
      <c r="P213" s="143"/>
      <c r="Q213" s="67"/>
      <c r="R213" s="144"/>
      <c r="S213" s="144"/>
      <c r="T213" s="143"/>
      <c r="U213" s="143"/>
      <c r="V213" s="143"/>
      <c r="W213" s="130"/>
      <c r="X213" s="130"/>
      <c r="Y213" s="130"/>
      <c r="Z213" s="130"/>
      <c r="AA213" s="130"/>
      <c r="AB213" s="130"/>
      <c r="AC213" s="130"/>
      <c r="AD213" s="130"/>
      <c r="AE213" s="130"/>
      <c r="AF213" s="130"/>
      <c r="AG213" s="130"/>
      <c r="AH213" s="130"/>
      <c r="AI213" s="130"/>
      <c r="AJ213" s="130"/>
      <c r="AK213" s="130"/>
    </row>
    <row r="214">
      <c r="A214" s="130"/>
      <c r="B214" s="130"/>
      <c r="C214" s="143"/>
      <c r="D214" s="130"/>
      <c r="E214" s="143"/>
      <c r="F214" s="143"/>
      <c r="G214" s="143"/>
      <c r="H214" s="143"/>
      <c r="I214" s="143"/>
      <c r="J214" s="143"/>
      <c r="K214" s="143"/>
      <c r="L214" s="143"/>
      <c r="M214" s="143"/>
      <c r="N214" s="143"/>
      <c r="O214" s="143"/>
      <c r="P214" s="143"/>
      <c r="Q214" s="67"/>
      <c r="R214" s="144"/>
      <c r="S214" s="144"/>
      <c r="T214" s="143"/>
      <c r="U214" s="143"/>
      <c r="V214" s="143"/>
      <c r="W214" s="130"/>
      <c r="X214" s="130"/>
      <c r="Y214" s="130"/>
      <c r="Z214" s="130"/>
      <c r="AA214" s="130"/>
      <c r="AB214" s="130"/>
      <c r="AC214" s="130"/>
      <c r="AD214" s="130"/>
      <c r="AE214" s="130"/>
      <c r="AF214" s="130"/>
      <c r="AG214" s="130"/>
      <c r="AH214" s="130"/>
      <c r="AI214" s="130"/>
      <c r="AJ214" s="130"/>
      <c r="AK214" s="130"/>
    </row>
    <row r="215">
      <c r="A215" s="130"/>
      <c r="B215" s="130"/>
      <c r="C215" s="143"/>
      <c r="D215" s="130"/>
      <c r="E215" s="143"/>
      <c r="F215" s="143"/>
      <c r="G215" s="143"/>
      <c r="H215" s="143"/>
      <c r="I215" s="143"/>
      <c r="J215" s="143"/>
      <c r="K215" s="143"/>
      <c r="L215" s="143"/>
      <c r="M215" s="143"/>
      <c r="N215" s="143"/>
      <c r="O215" s="143"/>
      <c r="P215" s="143"/>
      <c r="Q215" s="67"/>
      <c r="R215" s="144"/>
      <c r="S215" s="144"/>
      <c r="T215" s="143"/>
      <c r="U215" s="143"/>
      <c r="V215" s="143"/>
      <c r="W215" s="130"/>
      <c r="X215" s="130"/>
      <c r="Y215" s="130"/>
      <c r="Z215" s="130"/>
      <c r="AA215" s="130"/>
      <c r="AB215" s="130"/>
      <c r="AC215" s="130"/>
      <c r="AD215" s="130"/>
      <c r="AE215" s="130"/>
      <c r="AF215" s="130"/>
      <c r="AG215" s="130"/>
      <c r="AH215" s="130"/>
      <c r="AI215" s="130"/>
      <c r="AJ215" s="130"/>
      <c r="AK215" s="130"/>
    </row>
    <row r="216">
      <c r="A216" s="130"/>
      <c r="B216" s="130"/>
      <c r="C216" s="143"/>
      <c r="D216" s="130"/>
      <c r="E216" s="143"/>
      <c r="F216" s="143"/>
      <c r="G216" s="143"/>
      <c r="H216" s="143"/>
      <c r="I216" s="143"/>
      <c r="J216" s="143"/>
      <c r="K216" s="143"/>
      <c r="L216" s="143"/>
      <c r="M216" s="143"/>
      <c r="N216" s="143"/>
      <c r="O216" s="143"/>
      <c r="P216" s="143"/>
      <c r="Q216" s="67"/>
      <c r="R216" s="144"/>
      <c r="S216" s="144"/>
      <c r="T216" s="143"/>
      <c r="U216" s="143"/>
      <c r="V216" s="143"/>
      <c r="W216" s="130"/>
      <c r="X216" s="130"/>
      <c r="Y216" s="130"/>
      <c r="Z216" s="130"/>
      <c r="AA216" s="130"/>
      <c r="AB216" s="130"/>
      <c r="AC216" s="130"/>
      <c r="AD216" s="130"/>
      <c r="AE216" s="130"/>
      <c r="AF216" s="130"/>
      <c r="AG216" s="130"/>
      <c r="AH216" s="130"/>
      <c r="AI216" s="130"/>
      <c r="AJ216" s="130"/>
      <c r="AK216" s="130"/>
    </row>
    <row r="217">
      <c r="A217" s="130"/>
      <c r="B217" s="130"/>
      <c r="C217" s="143"/>
      <c r="D217" s="130"/>
      <c r="E217" s="143"/>
      <c r="F217" s="143"/>
      <c r="G217" s="143"/>
      <c r="H217" s="143"/>
      <c r="I217" s="143"/>
      <c r="J217" s="143"/>
      <c r="K217" s="143"/>
      <c r="L217" s="143"/>
      <c r="M217" s="143"/>
      <c r="N217" s="143"/>
      <c r="O217" s="143"/>
      <c r="P217" s="143"/>
      <c r="Q217" s="67"/>
      <c r="R217" s="144"/>
      <c r="S217" s="144"/>
      <c r="T217" s="143"/>
      <c r="U217" s="143"/>
      <c r="V217" s="143"/>
      <c r="W217" s="130"/>
      <c r="X217" s="130"/>
      <c r="Y217" s="130"/>
      <c r="Z217" s="130"/>
      <c r="AA217" s="130"/>
      <c r="AB217" s="130"/>
      <c r="AC217" s="130"/>
      <c r="AD217" s="130"/>
      <c r="AE217" s="130"/>
      <c r="AF217" s="130"/>
      <c r="AG217" s="130"/>
      <c r="AH217" s="130"/>
      <c r="AI217" s="130"/>
      <c r="AJ217" s="130"/>
      <c r="AK217" s="130"/>
    </row>
    <row r="218">
      <c r="A218" s="130"/>
      <c r="B218" s="130"/>
      <c r="C218" s="143"/>
      <c r="D218" s="130"/>
      <c r="E218" s="143"/>
      <c r="F218" s="143"/>
      <c r="G218" s="143"/>
      <c r="H218" s="143"/>
      <c r="I218" s="143"/>
      <c r="J218" s="143"/>
      <c r="K218" s="143"/>
      <c r="L218" s="143"/>
      <c r="M218" s="143"/>
      <c r="N218" s="143"/>
      <c r="O218" s="143"/>
      <c r="P218" s="143"/>
      <c r="Q218" s="67"/>
      <c r="R218" s="144"/>
      <c r="S218" s="144"/>
      <c r="T218" s="143"/>
      <c r="U218" s="143"/>
      <c r="V218" s="143"/>
      <c r="W218" s="130"/>
      <c r="X218" s="130"/>
      <c r="Y218" s="130"/>
      <c r="Z218" s="130"/>
      <c r="AA218" s="130"/>
      <c r="AB218" s="130"/>
      <c r="AC218" s="130"/>
      <c r="AD218" s="130"/>
      <c r="AE218" s="130"/>
      <c r="AF218" s="130"/>
      <c r="AG218" s="130"/>
      <c r="AH218" s="130"/>
      <c r="AI218" s="130"/>
      <c r="AJ218" s="130"/>
      <c r="AK218" s="130"/>
    </row>
    <row r="219">
      <c r="A219" s="130"/>
      <c r="B219" s="130"/>
      <c r="C219" s="143"/>
      <c r="D219" s="130"/>
      <c r="E219" s="143"/>
      <c r="F219" s="143"/>
      <c r="G219" s="143"/>
      <c r="H219" s="143"/>
      <c r="I219" s="143"/>
      <c r="J219" s="143"/>
      <c r="K219" s="143"/>
      <c r="L219" s="143"/>
      <c r="M219" s="143"/>
      <c r="N219" s="143"/>
      <c r="O219" s="143"/>
      <c r="P219" s="143"/>
      <c r="Q219" s="67"/>
      <c r="R219" s="144"/>
      <c r="S219" s="144"/>
      <c r="T219" s="143"/>
      <c r="U219" s="143"/>
      <c r="V219" s="143"/>
      <c r="W219" s="130"/>
      <c r="X219" s="130"/>
      <c r="Y219" s="130"/>
      <c r="Z219" s="130"/>
      <c r="AA219" s="130"/>
      <c r="AB219" s="130"/>
      <c r="AC219" s="130"/>
      <c r="AD219" s="130"/>
      <c r="AE219" s="130"/>
      <c r="AF219" s="130"/>
      <c r="AG219" s="130"/>
      <c r="AH219" s="130"/>
      <c r="AI219" s="130"/>
      <c r="AJ219" s="130"/>
      <c r="AK219" s="130"/>
    </row>
    <row r="220">
      <c r="A220" s="130"/>
      <c r="B220" s="130"/>
      <c r="C220" s="143"/>
      <c r="D220" s="130"/>
      <c r="E220" s="143"/>
      <c r="F220" s="143"/>
      <c r="G220" s="143"/>
      <c r="H220" s="143"/>
      <c r="I220" s="143"/>
      <c r="J220" s="143"/>
      <c r="K220" s="143"/>
      <c r="L220" s="143"/>
      <c r="M220" s="143"/>
      <c r="N220" s="143"/>
      <c r="O220" s="143"/>
      <c r="P220" s="143"/>
      <c r="Q220" s="67"/>
      <c r="R220" s="144"/>
      <c r="S220" s="144"/>
      <c r="T220" s="143"/>
      <c r="U220" s="143"/>
      <c r="V220" s="143"/>
      <c r="W220" s="130"/>
      <c r="X220" s="130"/>
      <c r="Y220" s="130"/>
      <c r="Z220" s="130"/>
      <c r="AA220" s="130"/>
      <c r="AB220" s="130"/>
      <c r="AC220" s="130"/>
      <c r="AD220" s="130"/>
      <c r="AE220" s="130"/>
      <c r="AF220" s="130"/>
      <c r="AG220" s="130"/>
      <c r="AH220" s="130"/>
      <c r="AI220" s="130"/>
      <c r="AJ220" s="130"/>
      <c r="AK220" s="130"/>
    </row>
    <row r="221">
      <c r="A221" s="130"/>
      <c r="B221" s="130"/>
      <c r="C221" s="143"/>
      <c r="D221" s="130"/>
      <c r="E221" s="143"/>
      <c r="F221" s="143"/>
      <c r="G221" s="143"/>
      <c r="H221" s="143"/>
      <c r="I221" s="143"/>
      <c r="J221" s="143"/>
      <c r="K221" s="143"/>
      <c r="L221" s="143"/>
      <c r="M221" s="143"/>
      <c r="N221" s="143"/>
      <c r="O221" s="143"/>
      <c r="P221" s="143"/>
      <c r="Q221" s="67"/>
      <c r="R221" s="144"/>
      <c r="S221" s="144"/>
      <c r="T221" s="143"/>
      <c r="U221" s="143"/>
      <c r="V221" s="143"/>
      <c r="W221" s="130"/>
      <c r="X221" s="130"/>
      <c r="Y221" s="130"/>
      <c r="Z221" s="130"/>
      <c r="AA221" s="130"/>
      <c r="AB221" s="130"/>
      <c r="AC221" s="130"/>
      <c r="AD221" s="130"/>
      <c r="AE221" s="130"/>
      <c r="AF221" s="130"/>
      <c r="AG221" s="130"/>
      <c r="AH221" s="130"/>
      <c r="AI221" s="130"/>
      <c r="AJ221" s="130"/>
      <c r="AK221" s="130"/>
    </row>
    <row r="222">
      <c r="A222" s="130"/>
      <c r="B222" s="130"/>
      <c r="C222" s="143"/>
      <c r="D222" s="130"/>
      <c r="E222" s="143"/>
      <c r="F222" s="143"/>
      <c r="G222" s="143"/>
      <c r="H222" s="143"/>
      <c r="I222" s="143"/>
      <c r="J222" s="143"/>
      <c r="K222" s="143"/>
      <c r="L222" s="143"/>
      <c r="M222" s="143"/>
      <c r="N222" s="143"/>
      <c r="O222" s="143"/>
      <c r="P222" s="143"/>
      <c r="Q222" s="67"/>
      <c r="R222" s="144"/>
      <c r="S222" s="144"/>
      <c r="T222" s="143"/>
      <c r="U222" s="143"/>
      <c r="V222" s="143"/>
      <c r="W222" s="130"/>
      <c r="X222" s="130"/>
      <c r="Y222" s="130"/>
      <c r="Z222" s="130"/>
      <c r="AA222" s="130"/>
      <c r="AB222" s="130"/>
      <c r="AC222" s="130"/>
      <c r="AD222" s="130"/>
      <c r="AE222" s="130"/>
      <c r="AF222" s="130"/>
      <c r="AG222" s="130"/>
      <c r="AH222" s="130"/>
      <c r="AI222" s="130"/>
      <c r="AJ222" s="130"/>
      <c r="AK222" s="130"/>
    </row>
    <row r="223">
      <c r="A223" s="130"/>
      <c r="B223" s="130"/>
      <c r="C223" s="143"/>
      <c r="D223" s="130"/>
      <c r="E223" s="143"/>
      <c r="F223" s="143"/>
      <c r="G223" s="143"/>
      <c r="H223" s="143"/>
      <c r="I223" s="143"/>
      <c r="J223" s="143"/>
      <c r="K223" s="143"/>
      <c r="L223" s="143"/>
      <c r="M223" s="143"/>
      <c r="N223" s="143"/>
      <c r="O223" s="143"/>
      <c r="P223" s="143"/>
      <c r="Q223" s="67"/>
      <c r="R223" s="144"/>
      <c r="S223" s="144"/>
      <c r="T223" s="143"/>
      <c r="U223" s="143"/>
      <c r="V223" s="143"/>
      <c r="W223" s="130"/>
      <c r="X223" s="130"/>
      <c r="Y223" s="130"/>
      <c r="Z223" s="130"/>
      <c r="AA223" s="130"/>
      <c r="AB223" s="130"/>
      <c r="AC223" s="130"/>
      <c r="AD223" s="130"/>
      <c r="AE223" s="130"/>
      <c r="AF223" s="130"/>
      <c r="AG223" s="130"/>
      <c r="AH223" s="130"/>
      <c r="AI223" s="130"/>
      <c r="AJ223" s="130"/>
      <c r="AK223" s="130"/>
    </row>
    <row r="224">
      <c r="A224" s="130"/>
      <c r="B224" s="130"/>
      <c r="C224" s="143"/>
      <c r="D224" s="130"/>
      <c r="E224" s="143"/>
      <c r="F224" s="143"/>
      <c r="G224" s="143"/>
      <c r="H224" s="143"/>
      <c r="I224" s="143"/>
      <c r="J224" s="143"/>
      <c r="K224" s="143"/>
      <c r="L224" s="143"/>
      <c r="M224" s="143"/>
      <c r="N224" s="143"/>
      <c r="O224" s="143"/>
      <c r="P224" s="143"/>
      <c r="Q224" s="67"/>
      <c r="R224" s="144"/>
      <c r="S224" s="144"/>
      <c r="T224" s="143"/>
      <c r="U224" s="143"/>
      <c r="V224" s="143"/>
      <c r="W224" s="130"/>
      <c r="X224" s="130"/>
      <c r="Y224" s="130"/>
      <c r="Z224" s="130"/>
      <c r="AA224" s="130"/>
      <c r="AB224" s="130"/>
      <c r="AC224" s="130"/>
      <c r="AD224" s="130"/>
      <c r="AE224" s="130"/>
      <c r="AF224" s="130"/>
      <c r="AG224" s="130"/>
      <c r="AH224" s="130"/>
      <c r="AI224" s="130"/>
      <c r="AJ224" s="130"/>
      <c r="AK224" s="130"/>
    </row>
    <row r="225">
      <c r="A225" s="130"/>
      <c r="B225" s="130"/>
      <c r="C225" s="143"/>
      <c r="D225" s="130"/>
      <c r="E225" s="143"/>
      <c r="F225" s="143"/>
      <c r="G225" s="143"/>
      <c r="H225" s="143"/>
      <c r="I225" s="143"/>
      <c r="J225" s="143"/>
      <c r="K225" s="143"/>
      <c r="L225" s="143"/>
      <c r="M225" s="143"/>
      <c r="N225" s="143"/>
      <c r="O225" s="143"/>
      <c r="P225" s="143"/>
      <c r="Q225" s="67"/>
      <c r="R225" s="144"/>
      <c r="S225" s="144"/>
      <c r="T225" s="143"/>
      <c r="U225" s="143"/>
      <c r="V225" s="143"/>
      <c r="W225" s="130"/>
      <c r="X225" s="130"/>
      <c r="Y225" s="130"/>
      <c r="Z225" s="130"/>
      <c r="AA225" s="130"/>
      <c r="AB225" s="130"/>
      <c r="AC225" s="130"/>
      <c r="AD225" s="130"/>
      <c r="AE225" s="130"/>
      <c r="AF225" s="130"/>
      <c r="AG225" s="130"/>
      <c r="AH225" s="130"/>
      <c r="AI225" s="130"/>
      <c r="AJ225" s="130"/>
      <c r="AK225" s="130"/>
    </row>
    <row r="226">
      <c r="A226" s="130"/>
      <c r="B226" s="130"/>
      <c r="C226" s="143"/>
      <c r="D226" s="130"/>
      <c r="E226" s="143"/>
      <c r="F226" s="143"/>
      <c r="G226" s="143"/>
      <c r="H226" s="143"/>
      <c r="I226" s="143"/>
      <c r="J226" s="143"/>
      <c r="K226" s="143"/>
      <c r="L226" s="143"/>
      <c r="M226" s="143"/>
      <c r="N226" s="143"/>
      <c r="O226" s="143"/>
      <c r="P226" s="143"/>
      <c r="Q226" s="67"/>
      <c r="R226" s="144"/>
      <c r="S226" s="144"/>
      <c r="T226" s="143"/>
      <c r="U226" s="143"/>
      <c r="V226" s="143"/>
      <c r="W226" s="130"/>
      <c r="X226" s="130"/>
      <c r="Y226" s="130"/>
      <c r="Z226" s="130"/>
      <c r="AA226" s="130"/>
      <c r="AB226" s="130"/>
      <c r="AC226" s="130"/>
      <c r="AD226" s="130"/>
      <c r="AE226" s="130"/>
      <c r="AF226" s="130"/>
      <c r="AG226" s="130"/>
      <c r="AH226" s="130"/>
      <c r="AI226" s="130"/>
      <c r="AJ226" s="130"/>
      <c r="AK226" s="130"/>
    </row>
    <row r="227">
      <c r="A227" s="130"/>
      <c r="B227" s="130"/>
      <c r="C227" s="143"/>
      <c r="D227" s="130"/>
      <c r="E227" s="143"/>
      <c r="F227" s="143"/>
      <c r="G227" s="143"/>
      <c r="H227" s="143"/>
      <c r="I227" s="143"/>
      <c r="J227" s="143"/>
      <c r="K227" s="143"/>
      <c r="L227" s="143"/>
      <c r="M227" s="143"/>
      <c r="N227" s="143"/>
      <c r="O227" s="143"/>
      <c r="P227" s="143"/>
      <c r="Q227" s="67"/>
      <c r="R227" s="144"/>
      <c r="S227" s="144"/>
      <c r="T227" s="143"/>
      <c r="U227" s="143"/>
      <c r="V227" s="143"/>
      <c r="W227" s="130"/>
      <c r="X227" s="130"/>
      <c r="Y227" s="130"/>
      <c r="Z227" s="130"/>
      <c r="AA227" s="130"/>
      <c r="AB227" s="130"/>
      <c r="AC227" s="130"/>
      <c r="AD227" s="130"/>
      <c r="AE227" s="130"/>
      <c r="AF227" s="130"/>
      <c r="AG227" s="130"/>
      <c r="AH227" s="130"/>
      <c r="AI227" s="130"/>
      <c r="AJ227" s="130"/>
      <c r="AK227" s="130"/>
    </row>
    <row r="228">
      <c r="A228" s="130"/>
      <c r="B228" s="130"/>
      <c r="C228" s="143"/>
      <c r="D228" s="130"/>
      <c r="E228" s="143"/>
      <c r="F228" s="143"/>
      <c r="G228" s="143"/>
      <c r="H228" s="143"/>
      <c r="I228" s="143"/>
      <c r="J228" s="143"/>
      <c r="K228" s="143"/>
      <c r="L228" s="143"/>
      <c r="M228" s="143"/>
      <c r="N228" s="143"/>
      <c r="O228" s="143"/>
      <c r="P228" s="143"/>
      <c r="Q228" s="67"/>
      <c r="R228" s="144"/>
      <c r="S228" s="144"/>
      <c r="T228" s="143"/>
      <c r="U228" s="143"/>
      <c r="V228" s="143"/>
      <c r="W228" s="130"/>
      <c r="X228" s="130"/>
      <c r="Y228" s="130"/>
      <c r="Z228" s="130"/>
      <c r="AA228" s="130"/>
      <c r="AB228" s="130"/>
      <c r="AC228" s="130"/>
      <c r="AD228" s="130"/>
      <c r="AE228" s="130"/>
      <c r="AF228" s="130"/>
      <c r="AG228" s="130"/>
      <c r="AH228" s="130"/>
      <c r="AI228" s="130"/>
      <c r="AJ228" s="130"/>
      <c r="AK228" s="130"/>
    </row>
    <row r="229">
      <c r="A229" s="130"/>
      <c r="B229" s="130"/>
      <c r="C229" s="143"/>
      <c r="D229" s="130"/>
      <c r="E229" s="143"/>
      <c r="F229" s="143"/>
      <c r="G229" s="143"/>
      <c r="H229" s="143"/>
      <c r="I229" s="143"/>
      <c r="J229" s="143"/>
      <c r="K229" s="143"/>
      <c r="L229" s="143"/>
      <c r="M229" s="143"/>
      <c r="N229" s="143"/>
      <c r="O229" s="143"/>
      <c r="P229" s="143"/>
      <c r="Q229" s="67"/>
      <c r="R229" s="144"/>
      <c r="S229" s="144"/>
      <c r="T229" s="143"/>
      <c r="U229" s="143"/>
      <c r="V229" s="143"/>
      <c r="W229" s="130"/>
      <c r="X229" s="130"/>
      <c r="Y229" s="130"/>
      <c r="Z229" s="130"/>
      <c r="AA229" s="130"/>
      <c r="AB229" s="130"/>
      <c r="AC229" s="130"/>
      <c r="AD229" s="130"/>
      <c r="AE229" s="130"/>
      <c r="AF229" s="130"/>
      <c r="AG229" s="130"/>
      <c r="AH229" s="130"/>
      <c r="AI229" s="130"/>
      <c r="AJ229" s="130"/>
      <c r="AK229" s="130"/>
    </row>
    <row r="230">
      <c r="A230" s="130"/>
      <c r="B230" s="130"/>
      <c r="C230" s="143"/>
      <c r="D230" s="130"/>
      <c r="E230" s="143"/>
      <c r="F230" s="143"/>
      <c r="G230" s="143"/>
      <c r="H230" s="143"/>
      <c r="I230" s="143"/>
      <c r="J230" s="143"/>
      <c r="K230" s="143"/>
      <c r="L230" s="143"/>
      <c r="M230" s="143"/>
      <c r="N230" s="143"/>
      <c r="O230" s="143"/>
      <c r="P230" s="143"/>
      <c r="Q230" s="67"/>
      <c r="R230" s="144"/>
      <c r="S230" s="144"/>
      <c r="T230" s="143"/>
      <c r="U230" s="143"/>
      <c r="V230" s="143"/>
      <c r="W230" s="130"/>
      <c r="X230" s="130"/>
      <c r="Y230" s="130"/>
      <c r="Z230" s="130"/>
      <c r="AA230" s="130"/>
      <c r="AB230" s="130"/>
      <c r="AC230" s="130"/>
      <c r="AD230" s="130"/>
      <c r="AE230" s="130"/>
      <c r="AF230" s="130"/>
      <c r="AG230" s="130"/>
      <c r="AH230" s="130"/>
      <c r="AI230" s="130"/>
      <c r="AJ230" s="130"/>
      <c r="AK230" s="130"/>
    </row>
    <row r="231">
      <c r="A231" s="130"/>
      <c r="B231" s="130"/>
      <c r="C231" s="143"/>
      <c r="D231" s="130"/>
      <c r="E231" s="143"/>
      <c r="F231" s="143"/>
      <c r="G231" s="143"/>
      <c r="H231" s="143"/>
      <c r="I231" s="143"/>
      <c r="J231" s="143"/>
      <c r="K231" s="143"/>
      <c r="L231" s="143"/>
      <c r="M231" s="143"/>
      <c r="N231" s="143"/>
      <c r="O231" s="143"/>
      <c r="P231" s="143"/>
      <c r="Q231" s="67"/>
      <c r="R231" s="144"/>
      <c r="S231" s="144"/>
      <c r="T231" s="143"/>
      <c r="U231" s="143"/>
      <c r="V231" s="143"/>
      <c r="W231" s="130"/>
      <c r="X231" s="130"/>
      <c r="Y231" s="130"/>
      <c r="Z231" s="130"/>
      <c r="AA231" s="130"/>
      <c r="AB231" s="130"/>
      <c r="AC231" s="130"/>
      <c r="AD231" s="130"/>
      <c r="AE231" s="130"/>
      <c r="AF231" s="130"/>
      <c r="AG231" s="130"/>
      <c r="AH231" s="130"/>
      <c r="AI231" s="130"/>
      <c r="AJ231" s="130"/>
      <c r="AK231" s="130"/>
    </row>
    <row r="232">
      <c r="A232" s="130"/>
      <c r="B232" s="130"/>
      <c r="C232" s="143"/>
      <c r="D232" s="130"/>
      <c r="E232" s="143"/>
      <c r="F232" s="143"/>
      <c r="G232" s="143"/>
      <c r="H232" s="143"/>
      <c r="I232" s="143"/>
      <c r="J232" s="143"/>
      <c r="K232" s="143"/>
      <c r="L232" s="143"/>
      <c r="M232" s="143"/>
      <c r="N232" s="143"/>
      <c r="O232" s="143"/>
      <c r="P232" s="143"/>
      <c r="Q232" s="67"/>
      <c r="R232" s="144"/>
      <c r="S232" s="144"/>
      <c r="T232" s="143"/>
      <c r="U232" s="143"/>
      <c r="V232" s="143"/>
      <c r="W232" s="130"/>
      <c r="X232" s="130"/>
      <c r="Y232" s="130"/>
      <c r="Z232" s="130"/>
      <c r="AA232" s="130"/>
      <c r="AB232" s="130"/>
      <c r="AC232" s="130"/>
      <c r="AD232" s="130"/>
      <c r="AE232" s="130"/>
      <c r="AF232" s="130"/>
      <c r="AG232" s="130"/>
      <c r="AH232" s="130"/>
      <c r="AI232" s="130"/>
      <c r="AJ232" s="130"/>
      <c r="AK232" s="130"/>
    </row>
    <row r="233">
      <c r="A233" s="130"/>
      <c r="B233" s="130"/>
      <c r="C233" s="143"/>
      <c r="D233" s="130"/>
      <c r="E233" s="143"/>
      <c r="F233" s="143"/>
      <c r="G233" s="143"/>
      <c r="H233" s="143"/>
      <c r="I233" s="143"/>
      <c r="J233" s="143"/>
      <c r="K233" s="143"/>
      <c r="L233" s="143"/>
      <c r="M233" s="143"/>
      <c r="N233" s="143"/>
      <c r="O233" s="143"/>
      <c r="P233" s="143"/>
      <c r="Q233" s="67"/>
      <c r="R233" s="144"/>
      <c r="S233" s="144"/>
      <c r="T233" s="143"/>
      <c r="U233" s="143"/>
      <c r="V233" s="143"/>
      <c r="W233" s="130"/>
      <c r="X233" s="130"/>
      <c r="Y233" s="130"/>
      <c r="Z233" s="130"/>
      <c r="AA233" s="130"/>
      <c r="AB233" s="130"/>
      <c r="AC233" s="130"/>
      <c r="AD233" s="130"/>
      <c r="AE233" s="130"/>
      <c r="AF233" s="130"/>
      <c r="AG233" s="130"/>
      <c r="AH233" s="130"/>
      <c r="AI233" s="130"/>
      <c r="AJ233" s="130"/>
      <c r="AK233" s="130"/>
    </row>
    <row r="234">
      <c r="A234" s="130"/>
      <c r="B234" s="130"/>
      <c r="C234" s="143"/>
      <c r="D234" s="130"/>
      <c r="E234" s="143"/>
      <c r="F234" s="143"/>
      <c r="G234" s="143"/>
      <c r="H234" s="143"/>
      <c r="I234" s="143"/>
      <c r="J234" s="143"/>
      <c r="K234" s="143"/>
      <c r="L234" s="143"/>
      <c r="M234" s="143"/>
      <c r="N234" s="143"/>
      <c r="O234" s="143"/>
      <c r="P234" s="143"/>
      <c r="Q234" s="67"/>
      <c r="R234" s="144"/>
      <c r="S234" s="144"/>
      <c r="T234" s="143"/>
      <c r="U234" s="143"/>
      <c r="V234" s="143"/>
      <c r="W234" s="130"/>
      <c r="X234" s="130"/>
      <c r="Y234" s="130"/>
      <c r="Z234" s="130"/>
      <c r="AA234" s="130"/>
      <c r="AB234" s="130"/>
      <c r="AC234" s="130"/>
      <c r="AD234" s="130"/>
      <c r="AE234" s="130"/>
      <c r="AF234" s="130"/>
      <c r="AG234" s="130"/>
      <c r="AH234" s="130"/>
      <c r="AI234" s="130"/>
      <c r="AJ234" s="130"/>
      <c r="AK234" s="130"/>
    </row>
    <row r="235">
      <c r="A235" s="130"/>
      <c r="B235" s="130"/>
      <c r="C235" s="143"/>
      <c r="D235" s="130"/>
      <c r="E235" s="143"/>
      <c r="F235" s="143"/>
      <c r="G235" s="143"/>
      <c r="H235" s="143"/>
      <c r="I235" s="143"/>
      <c r="J235" s="143"/>
      <c r="K235" s="143"/>
      <c r="L235" s="143"/>
      <c r="M235" s="143"/>
      <c r="N235" s="143"/>
      <c r="O235" s="143"/>
      <c r="P235" s="143"/>
      <c r="Q235" s="67"/>
      <c r="R235" s="144"/>
      <c r="S235" s="144"/>
      <c r="T235" s="143"/>
      <c r="U235" s="143"/>
      <c r="V235" s="143"/>
      <c r="W235" s="130"/>
      <c r="X235" s="130"/>
      <c r="Y235" s="130"/>
      <c r="Z235" s="130"/>
      <c r="AA235" s="130"/>
      <c r="AB235" s="130"/>
      <c r="AC235" s="130"/>
      <c r="AD235" s="130"/>
      <c r="AE235" s="130"/>
      <c r="AF235" s="130"/>
      <c r="AG235" s="130"/>
      <c r="AH235" s="130"/>
      <c r="AI235" s="130"/>
      <c r="AJ235" s="130"/>
      <c r="AK235" s="130"/>
    </row>
    <row r="236">
      <c r="A236" s="130"/>
      <c r="B236" s="130"/>
      <c r="C236" s="143"/>
      <c r="D236" s="130"/>
      <c r="E236" s="143"/>
      <c r="F236" s="143"/>
      <c r="G236" s="143"/>
      <c r="H236" s="143"/>
      <c r="I236" s="143"/>
      <c r="J236" s="143"/>
      <c r="K236" s="143"/>
      <c r="L236" s="143"/>
      <c r="M236" s="143"/>
      <c r="N236" s="143"/>
      <c r="O236" s="143"/>
      <c r="P236" s="143"/>
      <c r="Q236" s="67"/>
      <c r="R236" s="144"/>
      <c r="S236" s="144"/>
      <c r="T236" s="143"/>
      <c r="U236" s="143"/>
      <c r="V236" s="143"/>
      <c r="W236" s="130"/>
      <c r="X236" s="130"/>
      <c r="Y236" s="130"/>
      <c r="Z236" s="130"/>
      <c r="AA236" s="130"/>
      <c r="AB236" s="130"/>
      <c r="AC236" s="130"/>
      <c r="AD236" s="130"/>
      <c r="AE236" s="130"/>
      <c r="AF236" s="130"/>
      <c r="AG236" s="130"/>
      <c r="AH236" s="130"/>
      <c r="AI236" s="130"/>
      <c r="AJ236" s="130"/>
      <c r="AK236" s="130"/>
    </row>
    <row r="237">
      <c r="A237" s="130"/>
      <c r="B237" s="130"/>
      <c r="C237" s="143"/>
      <c r="D237" s="130"/>
      <c r="E237" s="143"/>
      <c r="F237" s="143"/>
      <c r="G237" s="143"/>
      <c r="H237" s="143"/>
      <c r="I237" s="143"/>
      <c r="J237" s="143"/>
      <c r="K237" s="143"/>
      <c r="L237" s="143"/>
      <c r="M237" s="143"/>
      <c r="N237" s="143"/>
      <c r="O237" s="143"/>
      <c r="P237" s="143"/>
      <c r="Q237" s="67"/>
      <c r="R237" s="144"/>
      <c r="S237" s="144"/>
      <c r="T237" s="143"/>
      <c r="U237" s="143"/>
      <c r="V237" s="143"/>
      <c r="W237" s="130"/>
      <c r="X237" s="130"/>
      <c r="Y237" s="130"/>
      <c r="Z237" s="130"/>
      <c r="AA237" s="130"/>
      <c r="AB237" s="130"/>
      <c r="AC237" s="130"/>
      <c r="AD237" s="130"/>
      <c r="AE237" s="130"/>
      <c r="AF237" s="130"/>
      <c r="AG237" s="130"/>
      <c r="AH237" s="130"/>
      <c r="AI237" s="130"/>
      <c r="AJ237" s="130"/>
      <c r="AK237" s="130"/>
    </row>
    <row r="238">
      <c r="A238" s="130"/>
      <c r="B238" s="130"/>
      <c r="C238" s="143"/>
      <c r="D238" s="130"/>
      <c r="E238" s="143"/>
      <c r="F238" s="143"/>
      <c r="G238" s="143"/>
      <c r="H238" s="143"/>
      <c r="I238" s="143"/>
      <c r="J238" s="143"/>
      <c r="K238" s="143"/>
      <c r="L238" s="143"/>
      <c r="M238" s="143"/>
      <c r="N238" s="143"/>
      <c r="O238" s="143"/>
      <c r="P238" s="143"/>
      <c r="Q238" s="67"/>
      <c r="R238" s="144"/>
      <c r="S238" s="144"/>
      <c r="T238" s="143"/>
      <c r="U238" s="143"/>
      <c r="V238" s="143"/>
      <c r="W238" s="130"/>
      <c r="X238" s="130"/>
      <c r="Y238" s="130"/>
      <c r="Z238" s="130"/>
      <c r="AA238" s="130"/>
      <c r="AB238" s="130"/>
      <c r="AC238" s="130"/>
      <c r="AD238" s="130"/>
      <c r="AE238" s="130"/>
      <c r="AF238" s="130"/>
      <c r="AG238" s="130"/>
      <c r="AH238" s="130"/>
      <c r="AI238" s="130"/>
      <c r="AJ238" s="130"/>
      <c r="AK238" s="130"/>
    </row>
    <row r="239">
      <c r="A239" s="130"/>
      <c r="B239" s="130"/>
      <c r="C239" s="143"/>
      <c r="D239" s="130"/>
      <c r="E239" s="143"/>
      <c r="F239" s="143"/>
      <c r="G239" s="143"/>
      <c r="H239" s="143"/>
      <c r="I239" s="143"/>
      <c r="J239" s="143"/>
      <c r="K239" s="143"/>
      <c r="L239" s="143"/>
      <c r="M239" s="143"/>
      <c r="N239" s="143"/>
      <c r="O239" s="143"/>
      <c r="P239" s="143"/>
      <c r="Q239" s="67"/>
      <c r="R239" s="144"/>
      <c r="S239" s="144"/>
      <c r="T239" s="143"/>
      <c r="U239" s="143"/>
      <c r="V239" s="143"/>
      <c r="W239" s="130"/>
      <c r="X239" s="130"/>
      <c r="Y239" s="130"/>
      <c r="Z239" s="130"/>
      <c r="AA239" s="130"/>
      <c r="AB239" s="130"/>
      <c r="AC239" s="130"/>
      <c r="AD239" s="130"/>
      <c r="AE239" s="130"/>
      <c r="AF239" s="130"/>
      <c r="AG239" s="130"/>
      <c r="AH239" s="130"/>
      <c r="AI239" s="130"/>
      <c r="AJ239" s="130"/>
      <c r="AK239" s="130"/>
    </row>
    <row r="240">
      <c r="A240" s="130"/>
      <c r="B240" s="130"/>
      <c r="C240" s="143"/>
      <c r="D240" s="130"/>
      <c r="E240" s="143"/>
      <c r="F240" s="143"/>
      <c r="G240" s="143"/>
      <c r="H240" s="143"/>
      <c r="I240" s="143"/>
      <c r="J240" s="143"/>
      <c r="K240" s="143"/>
      <c r="L240" s="143"/>
      <c r="M240" s="143"/>
      <c r="N240" s="143"/>
      <c r="O240" s="143"/>
      <c r="P240" s="143"/>
      <c r="Q240" s="67"/>
      <c r="R240" s="144"/>
      <c r="S240" s="144"/>
      <c r="T240" s="143"/>
      <c r="U240" s="143"/>
      <c r="V240" s="143"/>
      <c r="W240" s="130"/>
      <c r="X240" s="130"/>
      <c r="Y240" s="130"/>
      <c r="Z240" s="130"/>
      <c r="AA240" s="130"/>
      <c r="AB240" s="130"/>
      <c r="AC240" s="130"/>
      <c r="AD240" s="130"/>
      <c r="AE240" s="130"/>
      <c r="AF240" s="130"/>
      <c r="AG240" s="130"/>
      <c r="AH240" s="130"/>
      <c r="AI240" s="130"/>
      <c r="AJ240" s="130"/>
      <c r="AK240" s="130"/>
    </row>
    <row r="241">
      <c r="A241" s="130"/>
      <c r="B241" s="130"/>
      <c r="C241" s="143"/>
      <c r="D241" s="130"/>
      <c r="E241" s="143"/>
      <c r="F241" s="143"/>
      <c r="G241" s="143"/>
      <c r="H241" s="143"/>
      <c r="I241" s="143"/>
      <c r="J241" s="143"/>
      <c r="K241" s="143"/>
      <c r="L241" s="143"/>
      <c r="M241" s="143"/>
      <c r="N241" s="143"/>
      <c r="O241" s="143"/>
      <c r="P241" s="143"/>
      <c r="Q241" s="67"/>
      <c r="R241" s="144"/>
      <c r="S241" s="144"/>
      <c r="T241" s="143"/>
      <c r="U241" s="143"/>
      <c r="V241" s="143"/>
      <c r="W241" s="130"/>
      <c r="X241" s="130"/>
      <c r="Y241" s="130"/>
      <c r="Z241" s="130"/>
      <c r="AA241" s="130"/>
      <c r="AB241" s="130"/>
      <c r="AC241" s="130"/>
      <c r="AD241" s="130"/>
      <c r="AE241" s="130"/>
      <c r="AF241" s="130"/>
      <c r="AG241" s="130"/>
      <c r="AH241" s="130"/>
      <c r="AI241" s="130"/>
      <c r="AJ241" s="130"/>
      <c r="AK241" s="130"/>
    </row>
    <row r="242">
      <c r="A242" s="130"/>
      <c r="B242" s="130"/>
      <c r="C242" s="143"/>
      <c r="D242" s="130"/>
      <c r="E242" s="143"/>
      <c r="F242" s="143"/>
      <c r="G242" s="143"/>
      <c r="H242" s="143"/>
      <c r="I242" s="143"/>
      <c r="J242" s="143"/>
      <c r="K242" s="143"/>
      <c r="L242" s="143"/>
      <c r="M242" s="143"/>
      <c r="N242" s="143"/>
      <c r="O242" s="143"/>
      <c r="P242" s="143"/>
      <c r="Q242" s="67"/>
      <c r="R242" s="144"/>
      <c r="S242" s="144"/>
      <c r="T242" s="143"/>
      <c r="U242" s="143"/>
      <c r="V242" s="143"/>
      <c r="W242" s="130"/>
      <c r="X242" s="130"/>
      <c r="Y242" s="130"/>
      <c r="Z242" s="130"/>
      <c r="AA242" s="130"/>
      <c r="AB242" s="130"/>
      <c r="AC242" s="130"/>
      <c r="AD242" s="130"/>
      <c r="AE242" s="130"/>
      <c r="AF242" s="130"/>
      <c r="AG242" s="130"/>
      <c r="AH242" s="130"/>
      <c r="AI242" s="130"/>
      <c r="AJ242" s="130"/>
      <c r="AK242" s="130"/>
    </row>
    <row r="243">
      <c r="A243" s="130"/>
      <c r="B243" s="130"/>
      <c r="C243" s="143"/>
      <c r="D243" s="130"/>
      <c r="E243" s="143"/>
      <c r="F243" s="143"/>
      <c r="G243" s="143"/>
      <c r="H243" s="143"/>
      <c r="I243" s="143"/>
      <c r="J243" s="143"/>
      <c r="K243" s="143"/>
      <c r="L243" s="143"/>
      <c r="M243" s="143"/>
      <c r="N243" s="143"/>
      <c r="O243" s="143"/>
      <c r="P243" s="143"/>
      <c r="Q243" s="67"/>
      <c r="R243" s="144"/>
      <c r="S243" s="144"/>
      <c r="T243" s="143"/>
      <c r="U243" s="143"/>
      <c r="V243" s="143"/>
      <c r="W243" s="130"/>
      <c r="X243" s="130"/>
      <c r="Y243" s="130"/>
      <c r="Z243" s="130"/>
      <c r="AA243" s="130"/>
      <c r="AB243" s="130"/>
      <c r="AC243" s="130"/>
      <c r="AD243" s="130"/>
      <c r="AE243" s="130"/>
      <c r="AF243" s="130"/>
      <c r="AG243" s="130"/>
      <c r="AH243" s="130"/>
      <c r="AI243" s="130"/>
      <c r="AJ243" s="130"/>
      <c r="AK243" s="130"/>
    </row>
    <row r="244">
      <c r="A244" s="130"/>
      <c r="B244" s="130"/>
      <c r="C244" s="143"/>
      <c r="D244" s="130"/>
      <c r="E244" s="143"/>
      <c r="F244" s="143"/>
      <c r="G244" s="143"/>
      <c r="H244" s="143"/>
      <c r="I244" s="143"/>
      <c r="J244" s="143"/>
      <c r="K244" s="143"/>
      <c r="L244" s="143"/>
      <c r="M244" s="143"/>
      <c r="N244" s="143"/>
      <c r="O244" s="143"/>
      <c r="P244" s="143"/>
      <c r="Q244" s="67"/>
      <c r="R244" s="144"/>
      <c r="S244" s="144"/>
      <c r="T244" s="143"/>
      <c r="U244" s="143"/>
      <c r="V244" s="143"/>
      <c r="W244" s="130"/>
      <c r="X244" s="130"/>
      <c r="Y244" s="130"/>
      <c r="Z244" s="130"/>
      <c r="AA244" s="130"/>
      <c r="AB244" s="130"/>
      <c r="AC244" s="130"/>
      <c r="AD244" s="130"/>
      <c r="AE244" s="130"/>
      <c r="AF244" s="130"/>
      <c r="AG244" s="130"/>
      <c r="AH244" s="130"/>
      <c r="AI244" s="130"/>
      <c r="AJ244" s="130"/>
      <c r="AK244" s="130"/>
    </row>
    <row r="245">
      <c r="A245" s="130"/>
      <c r="B245" s="130"/>
      <c r="C245" s="143"/>
      <c r="D245" s="130"/>
      <c r="E245" s="143"/>
      <c r="F245" s="143"/>
      <c r="G245" s="143"/>
      <c r="H245" s="143"/>
      <c r="I245" s="143"/>
      <c r="J245" s="143"/>
      <c r="K245" s="143"/>
      <c r="L245" s="143"/>
      <c r="M245" s="143"/>
      <c r="N245" s="143"/>
      <c r="O245" s="143"/>
      <c r="P245" s="143"/>
      <c r="Q245" s="67"/>
      <c r="R245" s="144"/>
      <c r="S245" s="144"/>
      <c r="T245" s="143"/>
      <c r="U245" s="143"/>
      <c r="V245" s="143"/>
      <c r="W245" s="130"/>
      <c r="X245" s="130"/>
      <c r="Y245" s="130"/>
      <c r="Z245" s="130"/>
      <c r="AA245" s="130"/>
      <c r="AB245" s="130"/>
      <c r="AC245" s="130"/>
      <c r="AD245" s="130"/>
      <c r="AE245" s="130"/>
      <c r="AF245" s="130"/>
      <c r="AG245" s="130"/>
      <c r="AH245" s="130"/>
      <c r="AI245" s="130"/>
      <c r="AJ245" s="130"/>
      <c r="AK245" s="130"/>
    </row>
    <row r="246">
      <c r="A246" s="130"/>
      <c r="B246" s="130"/>
      <c r="C246" s="143"/>
      <c r="D246" s="130"/>
      <c r="E246" s="143"/>
      <c r="F246" s="143"/>
      <c r="G246" s="143"/>
      <c r="H246" s="143"/>
      <c r="I246" s="143"/>
      <c r="J246" s="143"/>
      <c r="K246" s="143"/>
      <c r="L246" s="143"/>
      <c r="M246" s="143"/>
      <c r="N246" s="143"/>
      <c r="O246" s="143"/>
      <c r="P246" s="143"/>
      <c r="Q246" s="67"/>
      <c r="R246" s="144"/>
      <c r="S246" s="144"/>
      <c r="T246" s="143"/>
      <c r="U246" s="143"/>
      <c r="V246" s="143"/>
      <c r="W246" s="130"/>
      <c r="X246" s="130"/>
      <c r="Y246" s="130"/>
      <c r="Z246" s="130"/>
      <c r="AA246" s="130"/>
      <c r="AB246" s="130"/>
      <c r="AC246" s="130"/>
      <c r="AD246" s="130"/>
      <c r="AE246" s="130"/>
      <c r="AF246" s="130"/>
      <c r="AG246" s="130"/>
      <c r="AH246" s="130"/>
      <c r="AI246" s="130"/>
      <c r="AJ246" s="130"/>
      <c r="AK246" s="130"/>
    </row>
    <row r="247">
      <c r="A247" s="130"/>
      <c r="B247" s="130"/>
      <c r="C247" s="143"/>
      <c r="D247" s="130"/>
      <c r="E247" s="143"/>
      <c r="F247" s="143"/>
      <c r="G247" s="143"/>
      <c r="H247" s="143"/>
      <c r="I247" s="143"/>
      <c r="J247" s="143"/>
      <c r="K247" s="143"/>
      <c r="L247" s="143"/>
      <c r="M247" s="143"/>
      <c r="N247" s="143"/>
      <c r="O247" s="143"/>
      <c r="P247" s="143"/>
      <c r="Q247" s="67"/>
      <c r="R247" s="144"/>
      <c r="S247" s="144"/>
      <c r="T247" s="143"/>
      <c r="U247" s="143"/>
      <c r="V247" s="143"/>
      <c r="W247" s="130"/>
      <c r="X247" s="130"/>
      <c r="Y247" s="130"/>
      <c r="Z247" s="130"/>
      <c r="AA247" s="130"/>
      <c r="AB247" s="130"/>
      <c r="AC247" s="130"/>
      <c r="AD247" s="130"/>
      <c r="AE247" s="130"/>
      <c r="AF247" s="130"/>
      <c r="AG247" s="130"/>
      <c r="AH247" s="130"/>
      <c r="AI247" s="130"/>
      <c r="AJ247" s="130"/>
      <c r="AK247" s="130"/>
    </row>
    <row r="248">
      <c r="A248" s="130"/>
      <c r="B248" s="130"/>
      <c r="C248" s="143"/>
      <c r="D248" s="130"/>
      <c r="E248" s="143"/>
      <c r="F248" s="143"/>
      <c r="G248" s="143"/>
      <c r="H248" s="143"/>
      <c r="I248" s="143"/>
      <c r="J248" s="143"/>
      <c r="K248" s="143"/>
      <c r="L248" s="143"/>
      <c r="M248" s="143"/>
      <c r="N248" s="143"/>
      <c r="O248" s="143"/>
      <c r="P248" s="143"/>
      <c r="Q248" s="67"/>
      <c r="R248" s="144"/>
      <c r="S248" s="144"/>
      <c r="T248" s="143"/>
      <c r="U248" s="143"/>
      <c r="V248" s="143"/>
      <c r="W248" s="130"/>
      <c r="X248" s="130"/>
      <c r="Y248" s="130"/>
      <c r="Z248" s="130"/>
      <c r="AA248" s="130"/>
      <c r="AB248" s="130"/>
      <c r="AC248" s="130"/>
      <c r="AD248" s="130"/>
      <c r="AE248" s="130"/>
      <c r="AF248" s="130"/>
      <c r="AG248" s="130"/>
      <c r="AH248" s="130"/>
      <c r="AI248" s="130"/>
      <c r="AJ248" s="130"/>
      <c r="AK248" s="130"/>
    </row>
    <row r="249">
      <c r="A249" s="130"/>
      <c r="B249" s="130"/>
      <c r="C249" s="143"/>
      <c r="D249" s="130"/>
      <c r="E249" s="143"/>
      <c r="F249" s="143"/>
      <c r="G249" s="143"/>
      <c r="H249" s="143"/>
      <c r="I249" s="143"/>
      <c r="J249" s="143"/>
      <c r="K249" s="143"/>
      <c r="L249" s="143"/>
      <c r="M249" s="143"/>
      <c r="N249" s="143"/>
      <c r="O249" s="143"/>
      <c r="P249" s="143"/>
      <c r="Q249" s="67"/>
      <c r="R249" s="144"/>
      <c r="S249" s="144"/>
      <c r="T249" s="143"/>
      <c r="U249" s="143"/>
      <c r="V249" s="143"/>
      <c r="W249" s="130"/>
      <c r="X249" s="130"/>
      <c r="Y249" s="130"/>
      <c r="Z249" s="130"/>
      <c r="AA249" s="130"/>
      <c r="AB249" s="130"/>
      <c r="AC249" s="130"/>
      <c r="AD249" s="130"/>
      <c r="AE249" s="130"/>
      <c r="AF249" s="130"/>
      <c r="AG249" s="130"/>
      <c r="AH249" s="130"/>
      <c r="AI249" s="130"/>
      <c r="AJ249" s="130"/>
      <c r="AK249" s="130"/>
    </row>
    <row r="250">
      <c r="A250" s="130"/>
      <c r="B250" s="130"/>
      <c r="C250" s="143"/>
      <c r="D250" s="130"/>
      <c r="E250" s="143"/>
      <c r="F250" s="143"/>
      <c r="G250" s="143"/>
      <c r="H250" s="143"/>
      <c r="I250" s="143"/>
      <c r="J250" s="143"/>
      <c r="K250" s="143"/>
      <c r="L250" s="143"/>
      <c r="M250" s="143"/>
      <c r="N250" s="143"/>
      <c r="O250" s="143"/>
      <c r="P250" s="143"/>
      <c r="Q250" s="67"/>
      <c r="R250" s="144"/>
      <c r="S250" s="144"/>
      <c r="T250" s="143"/>
      <c r="U250" s="143"/>
      <c r="V250" s="143"/>
      <c r="W250" s="130"/>
      <c r="X250" s="130"/>
      <c r="Y250" s="130"/>
      <c r="Z250" s="130"/>
      <c r="AA250" s="130"/>
      <c r="AB250" s="130"/>
      <c r="AC250" s="130"/>
      <c r="AD250" s="130"/>
      <c r="AE250" s="130"/>
      <c r="AF250" s="130"/>
      <c r="AG250" s="130"/>
      <c r="AH250" s="130"/>
      <c r="AI250" s="130"/>
      <c r="AJ250" s="130"/>
      <c r="AK250" s="130"/>
    </row>
    <row r="251">
      <c r="A251" s="130"/>
      <c r="B251" s="130"/>
      <c r="C251" s="143"/>
      <c r="D251" s="130"/>
      <c r="E251" s="143"/>
      <c r="F251" s="143"/>
      <c r="G251" s="143"/>
      <c r="H251" s="143"/>
      <c r="I251" s="143"/>
      <c r="J251" s="143"/>
      <c r="K251" s="143"/>
      <c r="L251" s="143"/>
      <c r="M251" s="143"/>
      <c r="N251" s="143"/>
      <c r="O251" s="143"/>
      <c r="P251" s="143"/>
      <c r="Q251" s="67"/>
      <c r="R251" s="144"/>
      <c r="S251" s="144"/>
      <c r="T251" s="143"/>
      <c r="U251" s="143"/>
      <c r="V251" s="143"/>
      <c r="W251" s="130"/>
      <c r="X251" s="130"/>
      <c r="Y251" s="130"/>
      <c r="Z251" s="130"/>
      <c r="AA251" s="130"/>
      <c r="AB251" s="130"/>
      <c r="AC251" s="130"/>
      <c r="AD251" s="130"/>
      <c r="AE251" s="130"/>
      <c r="AF251" s="130"/>
      <c r="AG251" s="130"/>
      <c r="AH251" s="130"/>
      <c r="AI251" s="130"/>
      <c r="AJ251" s="130"/>
      <c r="AK251" s="130"/>
    </row>
    <row r="252">
      <c r="A252" s="130"/>
      <c r="B252" s="130"/>
      <c r="C252" s="143"/>
      <c r="D252" s="130"/>
      <c r="E252" s="143"/>
      <c r="F252" s="143"/>
      <c r="G252" s="143"/>
      <c r="H252" s="143"/>
      <c r="I252" s="143"/>
      <c r="J252" s="143"/>
      <c r="K252" s="143"/>
      <c r="L252" s="143"/>
      <c r="M252" s="143"/>
      <c r="N252" s="143"/>
      <c r="O252" s="143"/>
      <c r="P252" s="143"/>
      <c r="Q252" s="67"/>
      <c r="R252" s="144"/>
      <c r="S252" s="144"/>
      <c r="T252" s="143"/>
      <c r="U252" s="143"/>
      <c r="V252" s="143"/>
      <c r="W252" s="130"/>
      <c r="X252" s="130"/>
      <c r="Y252" s="130"/>
      <c r="Z252" s="130"/>
      <c r="AA252" s="130"/>
      <c r="AB252" s="130"/>
      <c r="AC252" s="130"/>
      <c r="AD252" s="130"/>
      <c r="AE252" s="130"/>
      <c r="AF252" s="130"/>
      <c r="AG252" s="130"/>
      <c r="AH252" s="130"/>
      <c r="AI252" s="130"/>
      <c r="AJ252" s="130"/>
      <c r="AK252" s="130"/>
    </row>
    <row r="253">
      <c r="A253" s="130"/>
      <c r="B253" s="130"/>
      <c r="C253" s="143"/>
      <c r="D253" s="130"/>
      <c r="E253" s="143"/>
      <c r="F253" s="143"/>
      <c r="G253" s="143"/>
      <c r="H253" s="143"/>
      <c r="I253" s="143"/>
      <c r="J253" s="143"/>
      <c r="K253" s="143"/>
      <c r="L253" s="143"/>
      <c r="M253" s="143"/>
      <c r="N253" s="143"/>
      <c r="O253" s="143"/>
      <c r="P253" s="143"/>
      <c r="Q253" s="67"/>
      <c r="R253" s="144"/>
      <c r="S253" s="144"/>
      <c r="T253" s="143"/>
      <c r="U253" s="143"/>
      <c r="V253" s="143"/>
      <c r="W253" s="130"/>
      <c r="X253" s="130"/>
      <c r="Y253" s="130"/>
      <c r="Z253" s="130"/>
      <c r="AA253" s="130"/>
      <c r="AB253" s="130"/>
      <c r="AC253" s="130"/>
      <c r="AD253" s="130"/>
      <c r="AE253" s="130"/>
      <c r="AF253" s="130"/>
      <c r="AG253" s="130"/>
      <c r="AH253" s="130"/>
      <c r="AI253" s="130"/>
      <c r="AJ253" s="130"/>
      <c r="AK253" s="130"/>
    </row>
    <row r="254">
      <c r="A254" s="130"/>
      <c r="B254" s="130"/>
      <c r="C254" s="143"/>
      <c r="D254" s="130"/>
      <c r="E254" s="143"/>
      <c r="F254" s="143"/>
      <c r="G254" s="143"/>
      <c r="H254" s="143"/>
      <c r="I254" s="143"/>
      <c r="J254" s="143"/>
      <c r="K254" s="143"/>
      <c r="L254" s="143"/>
      <c r="M254" s="143"/>
      <c r="N254" s="143"/>
      <c r="O254" s="143"/>
      <c r="P254" s="143"/>
      <c r="Q254" s="67"/>
      <c r="R254" s="144"/>
      <c r="S254" s="144"/>
      <c r="T254" s="143"/>
      <c r="U254" s="143"/>
      <c r="V254" s="143"/>
      <c r="W254" s="130"/>
      <c r="X254" s="130"/>
      <c r="Y254" s="130"/>
      <c r="Z254" s="130"/>
      <c r="AA254" s="130"/>
      <c r="AB254" s="130"/>
      <c r="AC254" s="130"/>
      <c r="AD254" s="130"/>
      <c r="AE254" s="130"/>
      <c r="AF254" s="130"/>
      <c r="AG254" s="130"/>
      <c r="AH254" s="130"/>
      <c r="AI254" s="130"/>
      <c r="AJ254" s="130"/>
      <c r="AK254" s="130"/>
    </row>
    <row r="255">
      <c r="A255" s="130"/>
      <c r="B255" s="130"/>
      <c r="C255" s="143"/>
      <c r="D255" s="130"/>
      <c r="E255" s="143"/>
      <c r="F255" s="143"/>
      <c r="G255" s="143"/>
      <c r="H255" s="143"/>
      <c r="I255" s="143"/>
      <c r="J255" s="143"/>
      <c r="K255" s="143"/>
      <c r="L255" s="143"/>
      <c r="M255" s="143"/>
      <c r="N255" s="143"/>
      <c r="O255" s="143"/>
      <c r="P255" s="143"/>
      <c r="Q255" s="67"/>
      <c r="R255" s="144"/>
      <c r="S255" s="144"/>
      <c r="T255" s="143"/>
      <c r="U255" s="143"/>
      <c r="V255" s="143"/>
      <c r="W255" s="130"/>
      <c r="X255" s="130"/>
      <c r="Y255" s="130"/>
      <c r="Z255" s="130"/>
      <c r="AA255" s="130"/>
      <c r="AB255" s="130"/>
      <c r="AC255" s="130"/>
      <c r="AD255" s="130"/>
      <c r="AE255" s="130"/>
      <c r="AF255" s="130"/>
      <c r="AG255" s="130"/>
      <c r="AH255" s="130"/>
      <c r="AI255" s="130"/>
      <c r="AJ255" s="130"/>
      <c r="AK255" s="130"/>
    </row>
    <row r="256">
      <c r="A256" s="130"/>
      <c r="B256" s="130"/>
      <c r="C256" s="143"/>
      <c r="D256" s="130"/>
      <c r="E256" s="143"/>
      <c r="F256" s="143"/>
      <c r="G256" s="143"/>
      <c r="H256" s="143"/>
      <c r="I256" s="143"/>
      <c r="J256" s="143"/>
      <c r="K256" s="143"/>
      <c r="L256" s="143"/>
      <c r="M256" s="143"/>
      <c r="N256" s="143"/>
      <c r="O256" s="143"/>
      <c r="P256" s="143"/>
      <c r="Q256" s="67"/>
      <c r="R256" s="144"/>
      <c r="S256" s="144"/>
      <c r="T256" s="143"/>
      <c r="U256" s="143"/>
      <c r="V256" s="143"/>
      <c r="W256" s="130"/>
      <c r="X256" s="130"/>
      <c r="Y256" s="130"/>
      <c r="Z256" s="130"/>
      <c r="AA256" s="130"/>
      <c r="AB256" s="130"/>
      <c r="AC256" s="130"/>
      <c r="AD256" s="130"/>
      <c r="AE256" s="130"/>
      <c r="AF256" s="130"/>
      <c r="AG256" s="130"/>
      <c r="AH256" s="130"/>
      <c r="AI256" s="130"/>
      <c r="AJ256" s="130"/>
      <c r="AK256" s="130"/>
    </row>
    <row r="257">
      <c r="A257" s="130"/>
      <c r="B257" s="130"/>
      <c r="C257" s="143"/>
      <c r="D257" s="130"/>
      <c r="E257" s="143"/>
      <c r="F257" s="143"/>
      <c r="G257" s="143"/>
      <c r="H257" s="143"/>
      <c r="I257" s="143"/>
      <c r="J257" s="143"/>
      <c r="K257" s="143"/>
      <c r="L257" s="143"/>
      <c r="M257" s="143"/>
      <c r="N257" s="143"/>
      <c r="O257" s="143"/>
      <c r="P257" s="143"/>
      <c r="Q257" s="67"/>
      <c r="R257" s="144"/>
      <c r="S257" s="144"/>
      <c r="T257" s="143"/>
      <c r="U257" s="143"/>
      <c r="V257" s="143"/>
      <c r="W257" s="130"/>
      <c r="X257" s="130"/>
      <c r="Y257" s="130"/>
      <c r="Z257" s="130"/>
      <c r="AA257" s="130"/>
      <c r="AB257" s="130"/>
      <c r="AC257" s="130"/>
      <c r="AD257" s="130"/>
      <c r="AE257" s="130"/>
      <c r="AF257" s="130"/>
      <c r="AG257" s="130"/>
      <c r="AH257" s="130"/>
      <c r="AI257" s="130"/>
      <c r="AJ257" s="130"/>
      <c r="AK257" s="130"/>
    </row>
    <row r="258">
      <c r="A258" s="130"/>
      <c r="B258" s="130"/>
      <c r="C258" s="143"/>
      <c r="D258" s="130"/>
      <c r="E258" s="143"/>
      <c r="F258" s="143"/>
      <c r="G258" s="143"/>
      <c r="H258" s="143"/>
      <c r="I258" s="143"/>
      <c r="J258" s="143"/>
      <c r="K258" s="143"/>
      <c r="L258" s="143"/>
      <c r="M258" s="143"/>
      <c r="N258" s="143"/>
      <c r="O258" s="143"/>
      <c r="P258" s="143"/>
      <c r="Q258" s="67"/>
      <c r="R258" s="144"/>
      <c r="S258" s="144"/>
      <c r="T258" s="143"/>
      <c r="U258" s="143"/>
      <c r="V258" s="143"/>
      <c r="W258" s="130"/>
      <c r="X258" s="130"/>
      <c r="Y258" s="130"/>
      <c r="Z258" s="130"/>
      <c r="AA258" s="130"/>
      <c r="AB258" s="130"/>
      <c r="AC258" s="130"/>
      <c r="AD258" s="130"/>
      <c r="AE258" s="130"/>
      <c r="AF258" s="130"/>
      <c r="AG258" s="130"/>
      <c r="AH258" s="130"/>
      <c r="AI258" s="130"/>
      <c r="AJ258" s="130"/>
      <c r="AK258" s="130"/>
    </row>
    <row r="259">
      <c r="A259" s="130"/>
      <c r="B259" s="130"/>
      <c r="C259" s="143"/>
      <c r="D259" s="130"/>
      <c r="E259" s="143"/>
      <c r="F259" s="143"/>
      <c r="G259" s="143"/>
      <c r="H259" s="143"/>
      <c r="I259" s="143"/>
      <c r="J259" s="143"/>
      <c r="K259" s="143"/>
      <c r="L259" s="143"/>
      <c r="M259" s="143"/>
      <c r="N259" s="143"/>
      <c r="O259" s="143"/>
      <c r="P259" s="143"/>
      <c r="Q259" s="67"/>
      <c r="R259" s="144"/>
      <c r="S259" s="144"/>
      <c r="T259" s="143"/>
      <c r="U259" s="143"/>
      <c r="V259" s="143"/>
      <c r="W259" s="130"/>
      <c r="X259" s="130"/>
      <c r="Y259" s="130"/>
      <c r="Z259" s="130"/>
      <c r="AA259" s="130"/>
      <c r="AB259" s="130"/>
      <c r="AC259" s="130"/>
      <c r="AD259" s="130"/>
      <c r="AE259" s="130"/>
      <c r="AF259" s="130"/>
      <c r="AG259" s="130"/>
      <c r="AH259" s="130"/>
      <c r="AI259" s="130"/>
      <c r="AJ259" s="130"/>
      <c r="AK259" s="130"/>
    </row>
    <row r="260">
      <c r="A260" s="130"/>
      <c r="B260" s="130"/>
      <c r="C260" s="143"/>
      <c r="D260" s="130"/>
      <c r="E260" s="143"/>
      <c r="F260" s="143"/>
      <c r="G260" s="143"/>
      <c r="H260" s="143"/>
      <c r="I260" s="143"/>
      <c r="J260" s="143"/>
      <c r="K260" s="143"/>
      <c r="L260" s="143"/>
      <c r="M260" s="143"/>
      <c r="N260" s="143"/>
      <c r="O260" s="143"/>
      <c r="P260" s="143"/>
      <c r="Q260" s="67"/>
      <c r="R260" s="144"/>
      <c r="S260" s="144"/>
      <c r="T260" s="143"/>
      <c r="U260" s="143"/>
      <c r="V260" s="143"/>
      <c r="W260" s="130"/>
      <c r="X260" s="130"/>
      <c r="Y260" s="130"/>
      <c r="Z260" s="130"/>
      <c r="AA260" s="130"/>
      <c r="AB260" s="130"/>
      <c r="AC260" s="130"/>
      <c r="AD260" s="130"/>
      <c r="AE260" s="130"/>
      <c r="AF260" s="130"/>
      <c r="AG260" s="130"/>
      <c r="AH260" s="130"/>
      <c r="AI260" s="130"/>
      <c r="AJ260" s="130"/>
      <c r="AK260" s="130"/>
    </row>
    <row r="261">
      <c r="A261" s="130"/>
      <c r="B261" s="130"/>
      <c r="C261" s="143"/>
      <c r="D261" s="130"/>
      <c r="E261" s="143"/>
      <c r="F261" s="143"/>
      <c r="G261" s="143"/>
      <c r="H261" s="143"/>
      <c r="I261" s="143"/>
      <c r="J261" s="143"/>
      <c r="K261" s="143"/>
      <c r="L261" s="143"/>
      <c r="M261" s="143"/>
      <c r="N261" s="143"/>
      <c r="O261" s="143"/>
      <c r="P261" s="143"/>
      <c r="Q261" s="67"/>
      <c r="R261" s="144"/>
      <c r="S261" s="144"/>
      <c r="T261" s="143"/>
      <c r="U261" s="143"/>
      <c r="V261" s="143"/>
      <c r="W261" s="130"/>
      <c r="X261" s="130"/>
      <c r="Y261" s="130"/>
      <c r="Z261" s="130"/>
      <c r="AA261" s="130"/>
      <c r="AB261" s="130"/>
      <c r="AC261" s="130"/>
      <c r="AD261" s="130"/>
      <c r="AE261" s="130"/>
      <c r="AF261" s="130"/>
      <c r="AG261" s="130"/>
      <c r="AH261" s="130"/>
      <c r="AI261" s="130"/>
      <c r="AJ261" s="130"/>
      <c r="AK261" s="130"/>
    </row>
    <row r="262">
      <c r="A262" s="130"/>
      <c r="B262" s="130"/>
      <c r="C262" s="143"/>
      <c r="D262" s="130"/>
      <c r="E262" s="143"/>
      <c r="F262" s="143"/>
      <c r="G262" s="143"/>
      <c r="H262" s="143"/>
      <c r="I262" s="143"/>
      <c r="J262" s="143"/>
      <c r="K262" s="143"/>
      <c r="L262" s="143"/>
      <c r="M262" s="143"/>
      <c r="N262" s="143"/>
      <c r="O262" s="143"/>
      <c r="P262" s="143"/>
      <c r="Q262" s="67"/>
      <c r="R262" s="144"/>
      <c r="S262" s="144"/>
      <c r="T262" s="143"/>
      <c r="U262" s="143"/>
      <c r="V262" s="143"/>
      <c r="W262" s="130"/>
      <c r="X262" s="130"/>
      <c r="Y262" s="130"/>
      <c r="Z262" s="130"/>
      <c r="AA262" s="130"/>
      <c r="AB262" s="130"/>
      <c r="AC262" s="130"/>
      <c r="AD262" s="130"/>
      <c r="AE262" s="130"/>
      <c r="AF262" s="130"/>
      <c r="AG262" s="130"/>
      <c r="AH262" s="130"/>
      <c r="AI262" s="130"/>
      <c r="AJ262" s="130"/>
      <c r="AK262" s="130"/>
    </row>
    <row r="263">
      <c r="A263" s="130"/>
      <c r="B263" s="130"/>
      <c r="C263" s="143"/>
      <c r="D263" s="130"/>
      <c r="E263" s="143"/>
      <c r="F263" s="143"/>
      <c r="G263" s="143"/>
      <c r="H263" s="143"/>
      <c r="I263" s="143"/>
      <c r="J263" s="143"/>
      <c r="K263" s="143"/>
      <c r="L263" s="143"/>
      <c r="M263" s="143"/>
      <c r="N263" s="143"/>
      <c r="O263" s="143"/>
      <c r="P263" s="143"/>
      <c r="Q263" s="67"/>
      <c r="R263" s="144"/>
      <c r="S263" s="144"/>
      <c r="T263" s="143"/>
      <c r="U263" s="143"/>
      <c r="V263" s="143"/>
      <c r="W263" s="130"/>
      <c r="X263" s="130"/>
      <c r="Y263" s="130"/>
      <c r="Z263" s="130"/>
      <c r="AA263" s="130"/>
      <c r="AB263" s="130"/>
      <c r="AC263" s="130"/>
      <c r="AD263" s="130"/>
      <c r="AE263" s="130"/>
      <c r="AF263" s="130"/>
      <c r="AG263" s="130"/>
      <c r="AH263" s="130"/>
      <c r="AI263" s="130"/>
      <c r="AJ263" s="130"/>
      <c r="AK263" s="130"/>
    </row>
    <row r="264">
      <c r="A264" s="130"/>
      <c r="B264" s="130"/>
      <c r="C264" s="143"/>
      <c r="D264" s="130"/>
      <c r="E264" s="143"/>
      <c r="F264" s="143"/>
      <c r="G264" s="143"/>
      <c r="H264" s="143"/>
      <c r="I264" s="143"/>
      <c r="J264" s="143"/>
      <c r="K264" s="143"/>
      <c r="L264" s="143"/>
      <c r="M264" s="143"/>
      <c r="N264" s="143"/>
      <c r="O264" s="143"/>
      <c r="P264" s="143"/>
      <c r="Q264" s="67"/>
      <c r="R264" s="144"/>
      <c r="S264" s="144"/>
      <c r="T264" s="143"/>
      <c r="U264" s="143"/>
      <c r="V264" s="143"/>
      <c r="W264" s="130"/>
      <c r="X264" s="130"/>
      <c r="Y264" s="130"/>
      <c r="Z264" s="130"/>
      <c r="AA264" s="130"/>
      <c r="AB264" s="130"/>
      <c r="AC264" s="130"/>
      <c r="AD264" s="130"/>
      <c r="AE264" s="130"/>
      <c r="AF264" s="130"/>
      <c r="AG264" s="130"/>
      <c r="AH264" s="130"/>
      <c r="AI264" s="130"/>
      <c r="AJ264" s="130"/>
      <c r="AK264" s="130"/>
    </row>
    <row r="265">
      <c r="A265" s="130"/>
      <c r="B265" s="130"/>
      <c r="C265" s="143"/>
      <c r="D265" s="130"/>
      <c r="E265" s="143"/>
      <c r="F265" s="143"/>
      <c r="G265" s="143"/>
      <c r="H265" s="143"/>
      <c r="I265" s="143"/>
      <c r="J265" s="143"/>
      <c r="K265" s="143"/>
      <c r="L265" s="143"/>
      <c r="M265" s="143"/>
      <c r="N265" s="143"/>
      <c r="O265" s="143"/>
      <c r="P265" s="143"/>
      <c r="Q265" s="67"/>
      <c r="R265" s="144"/>
      <c r="S265" s="144"/>
      <c r="T265" s="143"/>
      <c r="U265" s="143"/>
      <c r="V265" s="143"/>
      <c r="W265" s="130"/>
      <c r="X265" s="130"/>
      <c r="Y265" s="130"/>
      <c r="Z265" s="130"/>
      <c r="AA265" s="130"/>
      <c r="AB265" s="130"/>
      <c r="AC265" s="130"/>
      <c r="AD265" s="130"/>
      <c r="AE265" s="130"/>
      <c r="AF265" s="130"/>
      <c r="AG265" s="130"/>
      <c r="AH265" s="130"/>
      <c r="AI265" s="130"/>
      <c r="AJ265" s="130"/>
      <c r="AK265" s="130"/>
    </row>
    <row r="266">
      <c r="A266" s="130"/>
      <c r="B266" s="130"/>
      <c r="C266" s="143"/>
      <c r="D266" s="130"/>
      <c r="E266" s="143"/>
      <c r="F266" s="143"/>
      <c r="G266" s="143"/>
      <c r="H266" s="143"/>
      <c r="I266" s="143"/>
      <c r="J266" s="143"/>
      <c r="K266" s="143"/>
      <c r="L266" s="143"/>
      <c r="M266" s="143"/>
      <c r="N266" s="143"/>
      <c r="O266" s="143"/>
      <c r="P266" s="143"/>
      <c r="Q266" s="67"/>
      <c r="R266" s="144"/>
      <c r="S266" s="144"/>
      <c r="T266" s="143"/>
      <c r="U266" s="143"/>
      <c r="V266" s="143"/>
      <c r="W266" s="130"/>
      <c r="X266" s="130"/>
      <c r="Y266" s="130"/>
      <c r="Z266" s="130"/>
      <c r="AA266" s="130"/>
      <c r="AB266" s="130"/>
      <c r="AC266" s="130"/>
      <c r="AD266" s="130"/>
      <c r="AE266" s="130"/>
      <c r="AF266" s="130"/>
      <c r="AG266" s="130"/>
      <c r="AH266" s="130"/>
      <c r="AI266" s="130"/>
      <c r="AJ266" s="130"/>
      <c r="AK266" s="130"/>
    </row>
    <row r="267">
      <c r="A267" s="130"/>
      <c r="B267" s="130"/>
      <c r="C267" s="143"/>
      <c r="D267" s="130"/>
      <c r="E267" s="143"/>
      <c r="F267" s="143"/>
      <c r="G267" s="143"/>
      <c r="H267" s="143"/>
      <c r="I267" s="143"/>
      <c r="J267" s="143"/>
      <c r="K267" s="143"/>
      <c r="L267" s="143"/>
      <c r="M267" s="143"/>
      <c r="N267" s="143"/>
      <c r="O267" s="143"/>
      <c r="P267" s="143"/>
      <c r="Q267" s="67"/>
      <c r="R267" s="144"/>
      <c r="S267" s="144"/>
      <c r="T267" s="143"/>
      <c r="U267" s="143"/>
      <c r="V267" s="143"/>
      <c r="W267" s="130"/>
      <c r="X267" s="130"/>
      <c r="Y267" s="130"/>
      <c r="Z267" s="130"/>
      <c r="AA267" s="130"/>
      <c r="AB267" s="130"/>
      <c r="AC267" s="130"/>
      <c r="AD267" s="130"/>
      <c r="AE267" s="130"/>
      <c r="AF267" s="130"/>
      <c r="AG267" s="130"/>
      <c r="AH267" s="130"/>
      <c r="AI267" s="130"/>
      <c r="AJ267" s="130"/>
      <c r="AK267" s="130"/>
    </row>
    <row r="268">
      <c r="A268" s="130"/>
      <c r="B268" s="130"/>
      <c r="C268" s="143"/>
      <c r="D268" s="130"/>
      <c r="E268" s="143"/>
      <c r="F268" s="143"/>
      <c r="G268" s="143"/>
      <c r="H268" s="143"/>
      <c r="I268" s="143"/>
      <c r="J268" s="143"/>
      <c r="K268" s="143"/>
      <c r="L268" s="143"/>
      <c r="M268" s="143"/>
      <c r="N268" s="143"/>
      <c r="O268" s="143"/>
      <c r="P268" s="143"/>
      <c r="Q268" s="67"/>
      <c r="R268" s="144"/>
      <c r="S268" s="144"/>
      <c r="T268" s="143"/>
      <c r="U268" s="143"/>
      <c r="V268" s="143"/>
      <c r="W268" s="130"/>
      <c r="X268" s="130"/>
      <c r="Y268" s="130"/>
      <c r="Z268" s="130"/>
      <c r="AA268" s="130"/>
      <c r="AB268" s="130"/>
      <c r="AC268" s="130"/>
      <c r="AD268" s="130"/>
      <c r="AE268" s="130"/>
      <c r="AF268" s="130"/>
      <c r="AG268" s="130"/>
      <c r="AH268" s="130"/>
      <c r="AI268" s="130"/>
      <c r="AJ268" s="130"/>
      <c r="AK268" s="130"/>
    </row>
    <row r="269">
      <c r="A269" s="130"/>
      <c r="B269" s="130"/>
      <c r="C269" s="143"/>
      <c r="D269" s="130"/>
      <c r="E269" s="143"/>
      <c r="F269" s="143"/>
      <c r="G269" s="143"/>
      <c r="H269" s="143"/>
      <c r="I269" s="143"/>
      <c r="J269" s="143"/>
      <c r="K269" s="143"/>
      <c r="L269" s="143"/>
      <c r="M269" s="143"/>
      <c r="N269" s="143"/>
      <c r="O269" s="143"/>
      <c r="P269" s="143"/>
      <c r="Q269" s="67"/>
      <c r="R269" s="144"/>
      <c r="S269" s="144"/>
      <c r="T269" s="143"/>
      <c r="U269" s="143"/>
      <c r="V269" s="143"/>
      <c r="W269" s="130"/>
      <c r="X269" s="130"/>
      <c r="Y269" s="130"/>
      <c r="Z269" s="130"/>
      <c r="AA269" s="130"/>
      <c r="AB269" s="130"/>
      <c r="AC269" s="130"/>
      <c r="AD269" s="130"/>
      <c r="AE269" s="130"/>
      <c r="AF269" s="130"/>
      <c r="AG269" s="130"/>
      <c r="AH269" s="130"/>
      <c r="AI269" s="130"/>
      <c r="AJ269" s="130"/>
      <c r="AK269" s="130"/>
    </row>
    <row r="270">
      <c r="A270" s="130"/>
      <c r="B270" s="130"/>
      <c r="C270" s="143"/>
      <c r="D270" s="130"/>
      <c r="E270" s="143"/>
      <c r="F270" s="143"/>
      <c r="G270" s="143"/>
      <c r="H270" s="143"/>
      <c r="I270" s="143"/>
      <c r="J270" s="143"/>
      <c r="K270" s="143"/>
      <c r="L270" s="143"/>
      <c r="M270" s="143"/>
      <c r="N270" s="143"/>
      <c r="O270" s="143"/>
      <c r="P270" s="143"/>
      <c r="Q270" s="67"/>
      <c r="R270" s="144"/>
      <c r="S270" s="144"/>
      <c r="T270" s="143"/>
      <c r="U270" s="143"/>
      <c r="V270" s="143"/>
      <c r="W270" s="130"/>
      <c r="X270" s="130"/>
      <c r="Y270" s="130"/>
      <c r="Z270" s="130"/>
      <c r="AA270" s="130"/>
      <c r="AB270" s="130"/>
      <c r="AC270" s="130"/>
      <c r="AD270" s="130"/>
      <c r="AE270" s="130"/>
      <c r="AF270" s="130"/>
      <c r="AG270" s="130"/>
      <c r="AH270" s="130"/>
      <c r="AI270" s="130"/>
      <c r="AJ270" s="130"/>
      <c r="AK270" s="130"/>
    </row>
    <row r="271">
      <c r="A271" s="130"/>
      <c r="B271" s="130"/>
      <c r="C271" s="143"/>
      <c r="D271" s="130"/>
      <c r="E271" s="143"/>
      <c r="F271" s="143"/>
      <c r="G271" s="143"/>
      <c r="H271" s="143"/>
      <c r="I271" s="143"/>
      <c r="J271" s="143"/>
      <c r="K271" s="143"/>
      <c r="L271" s="143"/>
      <c r="M271" s="143"/>
      <c r="N271" s="143"/>
      <c r="O271" s="143"/>
      <c r="P271" s="143"/>
      <c r="Q271" s="67"/>
      <c r="R271" s="144"/>
      <c r="S271" s="144"/>
      <c r="T271" s="143"/>
      <c r="U271" s="143"/>
      <c r="V271" s="143"/>
      <c r="W271" s="130"/>
      <c r="X271" s="130"/>
      <c r="Y271" s="130"/>
      <c r="Z271" s="130"/>
      <c r="AA271" s="130"/>
      <c r="AB271" s="130"/>
      <c r="AC271" s="130"/>
      <c r="AD271" s="130"/>
      <c r="AE271" s="130"/>
      <c r="AF271" s="130"/>
      <c r="AG271" s="130"/>
      <c r="AH271" s="130"/>
      <c r="AI271" s="130"/>
      <c r="AJ271" s="130"/>
      <c r="AK271" s="130"/>
    </row>
    <row r="272">
      <c r="A272" s="130"/>
      <c r="B272" s="130"/>
      <c r="C272" s="143"/>
      <c r="D272" s="130"/>
      <c r="E272" s="143"/>
      <c r="F272" s="143"/>
      <c r="G272" s="143"/>
      <c r="H272" s="143"/>
      <c r="I272" s="143"/>
      <c r="J272" s="143"/>
      <c r="K272" s="143"/>
      <c r="L272" s="143"/>
      <c r="M272" s="143"/>
      <c r="N272" s="143"/>
      <c r="O272" s="143"/>
      <c r="P272" s="143"/>
      <c r="Q272" s="67"/>
      <c r="R272" s="144"/>
      <c r="S272" s="144"/>
      <c r="T272" s="143"/>
      <c r="U272" s="143"/>
      <c r="V272" s="143"/>
      <c r="W272" s="130"/>
      <c r="X272" s="130"/>
      <c r="Y272" s="130"/>
      <c r="Z272" s="130"/>
      <c r="AA272" s="130"/>
      <c r="AB272" s="130"/>
      <c r="AC272" s="130"/>
      <c r="AD272" s="130"/>
      <c r="AE272" s="130"/>
      <c r="AF272" s="130"/>
      <c r="AG272" s="130"/>
      <c r="AH272" s="130"/>
      <c r="AI272" s="130"/>
      <c r="AJ272" s="130"/>
      <c r="AK272" s="130"/>
    </row>
    <row r="273">
      <c r="A273" s="130"/>
      <c r="B273" s="130"/>
      <c r="C273" s="143"/>
      <c r="D273" s="130"/>
      <c r="E273" s="143"/>
      <c r="F273" s="143"/>
      <c r="G273" s="143"/>
      <c r="H273" s="143"/>
      <c r="I273" s="143"/>
      <c r="J273" s="143"/>
      <c r="K273" s="143"/>
      <c r="L273" s="143"/>
      <c r="M273" s="143"/>
      <c r="N273" s="143"/>
      <c r="O273" s="143"/>
      <c r="P273" s="143"/>
      <c r="Q273" s="67"/>
      <c r="R273" s="144"/>
      <c r="S273" s="144"/>
      <c r="T273" s="143"/>
      <c r="U273" s="143"/>
      <c r="V273" s="143"/>
      <c r="W273" s="130"/>
      <c r="X273" s="130"/>
      <c r="Y273" s="130"/>
      <c r="Z273" s="130"/>
      <c r="AA273" s="130"/>
      <c r="AB273" s="130"/>
      <c r="AC273" s="130"/>
      <c r="AD273" s="130"/>
      <c r="AE273" s="130"/>
      <c r="AF273" s="130"/>
      <c r="AG273" s="130"/>
      <c r="AH273" s="130"/>
      <c r="AI273" s="130"/>
      <c r="AJ273" s="130"/>
      <c r="AK273" s="130"/>
    </row>
    <row r="274">
      <c r="A274" s="130"/>
      <c r="B274" s="130"/>
      <c r="C274" s="143"/>
      <c r="D274" s="130"/>
      <c r="E274" s="143"/>
      <c r="F274" s="143"/>
      <c r="G274" s="143"/>
      <c r="H274" s="143"/>
      <c r="I274" s="143"/>
      <c r="J274" s="143"/>
      <c r="K274" s="143"/>
      <c r="L274" s="143"/>
      <c r="M274" s="143"/>
      <c r="N274" s="143"/>
      <c r="O274" s="143"/>
      <c r="P274" s="143"/>
      <c r="Q274" s="67"/>
      <c r="R274" s="144"/>
      <c r="S274" s="144"/>
      <c r="T274" s="143"/>
      <c r="U274" s="143"/>
      <c r="V274" s="143"/>
      <c r="W274" s="130"/>
      <c r="X274" s="130"/>
      <c r="Y274" s="130"/>
      <c r="Z274" s="130"/>
      <c r="AA274" s="130"/>
      <c r="AB274" s="130"/>
      <c r="AC274" s="130"/>
      <c r="AD274" s="130"/>
      <c r="AE274" s="130"/>
      <c r="AF274" s="130"/>
      <c r="AG274" s="130"/>
      <c r="AH274" s="130"/>
      <c r="AI274" s="130"/>
      <c r="AJ274" s="130"/>
      <c r="AK274" s="130"/>
    </row>
    <row r="275">
      <c r="A275" s="130"/>
      <c r="B275" s="130"/>
      <c r="C275" s="143"/>
      <c r="D275" s="130"/>
      <c r="E275" s="143"/>
      <c r="F275" s="143"/>
      <c r="G275" s="143"/>
      <c r="H275" s="143"/>
      <c r="I275" s="143"/>
      <c r="J275" s="143"/>
      <c r="K275" s="143"/>
      <c r="L275" s="143"/>
      <c r="M275" s="143"/>
      <c r="N275" s="143"/>
      <c r="O275" s="143"/>
      <c r="P275" s="143"/>
      <c r="Q275" s="67"/>
      <c r="R275" s="144"/>
      <c r="S275" s="144"/>
      <c r="T275" s="143"/>
      <c r="U275" s="143"/>
      <c r="V275" s="143"/>
      <c r="W275" s="130"/>
      <c r="X275" s="130"/>
      <c r="Y275" s="130"/>
      <c r="Z275" s="130"/>
      <c r="AA275" s="130"/>
      <c r="AB275" s="130"/>
      <c r="AC275" s="130"/>
      <c r="AD275" s="130"/>
      <c r="AE275" s="130"/>
      <c r="AF275" s="130"/>
      <c r="AG275" s="130"/>
      <c r="AH275" s="130"/>
      <c r="AI275" s="130"/>
      <c r="AJ275" s="130"/>
      <c r="AK275" s="130"/>
    </row>
    <row r="276">
      <c r="A276" s="130"/>
      <c r="B276" s="130"/>
      <c r="C276" s="143"/>
      <c r="D276" s="130"/>
      <c r="E276" s="143"/>
      <c r="F276" s="143"/>
      <c r="G276" s="143"/>
      <c r="H276" s="143"/>
      <c r="I276" s="143"/>
      <c r="J276" s="143"/>
      <c r="K276" s="143"/>
      <c r="L276" s="143"/>
      <c r="M276" s="143"/>
      <c r="N276" s="143"/>
      <c r="O276" s="143"/>
      <c r="P276" s="143"/>
      <c r="Q276" s="67"/>
      <c r="R276" s="144"/>
      <c r="S276" s="144"/>
      <c r="T276" s="143"/>
      <c r="U276" s="143"/>
      <c r="V276" s="143"/>
      <c r="W276" s="130"/>
      <c r="X276" s="130"/>
      <c r="Y276" s="130"/>
      <c r="Z276" s="130"/>
      <c r="AA276" s="130"/>
      <c r="AB276" s="130"/>
      <c r="AC276" s="130"/>
      <c r="AD276" s="130"/>
      <c r="AE276" s="130"/>
      <c r="AF276" s="130"/>
      <c r="AG276" s="130"/>
      <c r="AH276" s="130"/>
      <c r="AI276" s="130"/>
      <c r="AJ276" s="130"/>
      <c r="AK276" s="130"/>
    </row>
    <row r="277">
      <c r="A277" s="130"/>
      <c r="B277" s="130"/>
      <c r="C277" s="143"/>
      <c r="D277" s="130"/>
      <c r="E277" s="143"/>
      <c r="F277" s="143"/>
      <c r="G277" s="143"/>
      <c r="H277" s="143"/>
      <c r="I277" s="143"/>
      <c r="J277" s="143"/>
      <c r="K277" s="143"/>
      <c r="L277" s="143"/>
      <c r="M277" s="143"/>
      <c r="N277" s="143"/>
      <c r="O277" s="143"/>
      <c r="P277" s="143"/>
      <c r="Q277" s="67"/>
      <c r="R277" s="144"/>
      <c r="S277" s="144"/>
      <c r="T277" s="143"/>
      <c r="U277" s="143"/>
      <c r="V277" s="143"/>
      <c r="W277" s="130"/>
      <c r="X277" s="130"/>
      <c r="Y277" s="130"/>
      <c r="Z277" s="130"/>
      <c r="AA277" s="130"/>
      <c r="AB277" s="130"/>
      <c r="AC277" s="130"/>
      <c r="AD277" s="130"/>
      <c r="AE277" s="130"/>
      <c r="AF277" s="130"/>
      <c r="AG277" s="130"/>
      <c r="AH277" s="130"/>
      <c r="AI277" s="130"/>
      <c r="AJ277" s="130"/>
      <c r="AK277" s="130"/>
    </row>
    <row r="278">
      <c r="A278" s="130"/>
      <c r="B278" s="130"/>
      <c r="C278" s="143"/>
      <c r="D278" s="130"/>
      <c r="E278" s="143"/>
      <c r="F278" s="143"/>
      <c r="G278" s="143"/>
      <c r="H278" s="143"/>
      <c r="I278" s="143"/>
      <c r="J278" s="143"/>
      <c r="K278" s="143"/>
      <c r="L278" s="143"/>
      <c r="M278" s="143"/>
      <c r="N278" s="143"/>
      <c r="O278" s="143"/>
      <c r="P278" s="143"/>
      <c r="Q278" s="67"/>
      <c r="R278" s="144"/>
      <c r="S278" s="144"/>
      <c r="T278" s="143"/>
      <c r="U278" s="143"/>
      <c r="V278" s="143"/>
      <c r="W278" s="130"/>
      <c r="X278" s="130"/>
      <c r="Y278" s="130"/>
      <c r="Z278" s="130"/>
      <c r="AA278" s="130"/>
      <c r="AB278" s="130"/>
      <c r="AC278" s="130"/>
      <c r="AD278" s="130"/>
      <c r="AE278" s="130"/>
      <c r="AF278" s="130"/>
      <c r="AG278" s="130"/>
      <c r="AH278" s="130"/>
      <c r="AI278" s="130"/>
      <c r="AJ278" s="130"/>
      <c r="AK278" s="130"/>
    </row>
    <row r="279">
      <c r="A279" s="130"/>
      <c r="B279" s="130"/>
      <c r="C279" s="143"/>
      <c r="D279" s="130"/>
      <c r="E279" s="143"/>
      <c r="F279" s="143"/>
      <c r="G279" s="143"/>
      <c r="H279" s="143"/>
      <c r="I279" s="143"/>
      <c r="J279" s="143"/>
      <c r="K279" s="143"/>
      <c r="L279" s="143"/>
      <c r="M279" s="143"/>
      <c r="N279" s="143"/>
      <c r="O279" s="143"/>
      <c r="P279" s="143"/>
      <c r="Q279" s="67"/>
      <c r="R279" s="144"/>
      <c r="S279" s="144"/>
      <c r="T279" s="143"/>
      <c r="U279" s="143"/>
      <c r="V279" s="143"/>
      <c r="W279" s="130"/>
      <c r="X279" s="130"/>
      <c r="Y279" s="130"/>
      <c r="Z279" s="130"/>
      <c r="AA279" s="130"/>
      <c r="AB279" s="130"/>
      <c r="AC279" s="130"/>
      <c r="AD279" s="130"/>
      <c r="AE279" s="130"/>
      <c r="AF279" s="130"/>
      <c r="AG279" s="130"/>
      <c r="AH279" s="130"/>
      <c r="AI279" s="130"/>
      <c r="AJ279" s="130"/>
      <c r="AK279" s="130"/>
    </row>
    <row r="280">
      <c r="A280" s="130"/>
      <c r="B280" s="130"/>
      <c r="C280" s="143"/>
      <c r="D280" s="130"/>
      <c r="E280" s="143"/>
      <c r="F280" s="143"/>
      <c r="G280" s="143"/>
      <c r="H280" s="143"/>
      <c r="I280" s="143"/>
      <c r="J280" s="143"/>
      <c r="K280" s="143"/>
      <c r="L280" s="143"/>
      <c r="M280" s="143"/>
      <c r="N280" s="143"/>
      <c r="O280" s="143"/>
      <c r="P280" s="143"/>
      <c r="Q280" s="67"/>
      <c r="R280" s="144"/>
      <c r="S280" s="144"/>
      <c r="T280" s="143"/>
      <c r="U280" s="143"/>
      <c r="V280" s="143"/>
      <c r="W280" s="130"/>
      <c r="X280" s="130"/>
      <c r="Y280" s="130"/>
      <c r="Z280" s="130"/>
      <c r="AA280" s="130"/>
      <c r="AB280" s="130"/>
      <c r="AC280" s="130"/>
      <c r="AD280" s="130"/>
      <c r="AE280" s="130"/>
      <c r="AF280" s="130"/>
      <c r="AG280" s="130"/>
      <c r="AH280" s="130"/>
      <c r="AI280" s="130"/>
      <c r="AJ280" s="130"/>
      <c r="AK280" s="130"/>
    </row>
    <row r="281">
      <c r="A281" s="130"/>
      <c r="B281" s="130"/>
      <c r="C281" s="143"/>
      <c r="D281" s="130"/>
      <c r="E281" s="143"/>
      <c r="F281" s="143"/>
      <c r="G281" s="143"/>
      <c r="H281" s="143"/>
      <c r="I281" s="143"/>
      <c r="J281" s="143"/>
      <c r="K281" s="143"/>
      <c r="L281" s="143"/>
      <c r="M281" s="143"/>
      <c r="N281" s="143"/>
      <c r="O281" s="143"/>
      <c r="P281" s="143"/>
      <c r="Q281" s="67"/>
      <c r="R281" s="144"/>
      <c r="S281" s="144"/>
      <c r="T281" s="143"/>
      <c r="U281" s="143"/>
      <c r="V281" s="143"/>
      <c r="W281" s="130"/>
      <c r="X281" s="130"/>
      <c r="Y281" s="130"/>
      <c r="Z281" s="130"/>
      <c r="AA281" s="130"/>
      <c r="AB281" s="130"/>
      <c r="AC281" s="130"/>
      <c r="AD281" s="130"/>
      <c r="AE281" s="130"/>
      <c r="AF281" s="130"/>
      <c r="AG281" s="130"/>
      <c r="AH281" s="130"/>
      <c r="AI281" s="130"/>
      <c r="AJ281" s="130"/>
      <c r="AK281" s="130"/>
    </row>
    <row r="282">
      <c r="A282" s="130"/>
      <c r="B282" s="130"/>
      <c r="C282" s="143"/>
      <c r="D282" s="130"/>
      <c r="E282" s="143"/>
      <c r="F282" s="143"/>
      <c r="G282" s="143"/>
      <c r="H282" s="143"/>
      <c r="I282" s="143"/>
      <c r="J282" s="143"/>
      <c r="K282" s="143"/>
      <c r="L282" s="143"/>
      <c r="M282" s="143"/>
      <c r="N282" s="143"/>
      <c r="O282" s="143"/>
      <c r="P282" s="143"/>
      <c r="Q282" s="67"/>
      <c r="R282" s="144"/>
      <c r="S282" s="144"/>
      <c r="T282" s="143"/>
      <c r="U282" s="143"/>
      <c r="V282" s="143"/>
      <c r="W282" s="130"/>
      <c r="X282" s="130"/>
      <c r="Y282" s="130"/>
      <c r="Z282" s="130"/>
      <c r="AA282" s="130"/>
      <c r="AB282" s="130"/>
      <c r="AC282" s="130"/>
      <c r="AD282" s="130"/>
      <c r="AE282" s="130"/>
      <c r="AF282" s="130"/>
      <c r="AG282" s="130"/>
      <c r="AH282" s="130"/>
      <c r="AI282" s="130"/>
      <c r="AJ282" s="130"/>
      <c r="AK282" s="130"/>
    </row>
    <row r="283">
      <c r="A283" s="130"/>
      <c r="B283" s="130"/>
      <c r="C283" s="143"/>
      <c r="D283" s="130"/>
      <c r="E283" s="143"/>
      <c r="F283" s="143"/>
      <c r="G283" s="143"/>
      <c r="H283" s="143"/>
      <c r="I283" s="143"/>
      <c r="J283" s="143"/>
      <c r="K283" s="143"/>
      <c r="L283" s="143"/>
      <c r="M283" s="143"/>
      <c r="N283" s="143"/>
      <c r="O283" s="143"/>
      <c r="P283" s="143"/>
      <c r="Q283" s="67"/>
      <c r="R283" s="144"/>
      <c r="S283" s="144"/>
      <c r="T283" s="143"/>
      <c r="U283" s="143"/>
      <c r="V283" s="143"/>
      <c r="W283" s="130"/>
      <c r="X283" s="130"/>
      <c r="Y283" s="130"/>
      <c r="Z283" s="130"/>
      <c r="AA283" s="130"/>
      <c r="AB283" s="130"/>
      <c r="AC283" s="130"/>
      <c r="AD283" s="130"/>
      <c r="AE283" s="130"/>
      <c r="AF283" s="130"/>
      <c r="AG283" s="130"/>
      <c r="AH283" s="130"/>
      <c r="AI283" s="130"/>
      <c r="AJ283" s="130"/>
      <c r="AK283" s="130"/>
    </row>
    <row r="284">
      <c r="A284" s="130"/>
      <c r="B284" s="130"/>
      <c r="C284" s="143"/>
      <c r="D284" s="130"/>
      <c r="E284" s="143"/>
      <c r="F284" s="143"/>
      <c r="G284" s="143"/>
      <c r="H284" s="143"/>
      <c r="I284" s="143"/>
      <c r="J284" s="143"/>
      <c r="K284" s="143"/>
      <c r="L284" s="143"/>
      <c r="M284" s="143"/>
      <c r="N284" s="143"/>
      <c r="O284" s="143"/>
      <c r="P284" s="143"/>
      <c r="Q284" s="67"/>
      <c r="R284" s="144"/>
      <c r="S284" s="144"/>
      <c r="T284" s="143"/>
      <c r="U284" s="143"/>
      <c r="V284" s="143"/>
      <c r="W284" s="130"/>
      <c r="X284" s="130"/>
      <c r="Y284" s="130"/>
      <c r="Z284" s="130"/>
      <c r="AA284" s="130"/>
      <c r="AB284" s="130"/>
      <c r="AC284" s="130"/>
      <c r="AD284" s="130"/>
      <c r="AE284" s="130"/>
      <c r="AF284" s="130"/>
      <c r="AG284" s="130"/>
      <c r="AH284" s="130"/>
      <c r="AI284" s="130"/>
      <c r="AJ284" s="130"/>
      <c r="AK284" s="130"/>
    </row>
    <row r="285">
      <c r="A285" s="130"/>
      <c r="B285" s="130"/>
      <c r="C285" s="143"/>
      <c r="D285" s="130"/>
      <c r="E285" s="143"/>
      <c r="F285" s="143"/>
      <c r="G285" s="143"/>
      <c r="H285" s="143"/>
      <c r="I285" s="143"/>
      <c r="J285" s="143"/>
      <c r="K285" s="143"/>
      <c r="L285" s="143"/>
      <c r="M285" s="143"/>
      <c r="N285" s="143"/>
      <c r="O285" s="143"/>
      <c r="P285" s="143"/>
      <c r="Q285" s="67"/>
      <c r="R285" s="144"/>
      <c r="S285" s="144"/>
      <c r="T285" s="143"/>
      <c r="U285" s="143"/>
      <c r="V285" s="143"/>
      <c r="W285" s="130"/>
      <c r="X285" s="130"/>
      <c r="Y285" s="130"/>
      <c r="Z285" s="130"/>
      <c r="AA285" s="130"/>
      <c r="AB285" s="130"/>
      <c r="AC285" s="130"/>
      <c r="AD285" s="130"/>
      <c r="AE285" s="130"/>
      <c r="AF285" s="130"/>
      <c r="AG285" s="130"/>
      <c r="AH285" s="130"/>
      <c r="AI285" s="130"/>
      <c r="AJ285" s="130"/>
      <c r="AK285" s="130"/>
    </row>
    <row r="286">
      <c r="A286" s="130"/>
      <c r="B286" s="130"/>
      <c r="C286" s="143"/>
      <c r="D286" s="130"/>
      <c r="E286" s="143"/>
      <c r="F286" s="143"/>
      <c r="G286" s="143"/>
      <c r="H286" s="143"/>
      <c r="I286" s="143"/>
      <c r="J286" s="143"/>
      <c r="K286" s="143"/>
      <c r="L286" s="143"/>
      <c r="M286" s="143"/>
      <c r="N286" s="143"/>
      <c r="O286" s="143"/>
      <c r="P286" s="143"/>
      <c r="Q286" s="67"/>
      <c r="R286" s="144"/>
      <c r="S286" s="144"/>
      <c r="T286" s="143"/>
      <c r="U286" s="143"/>
      <c r="V286" s="143"/>
      <c r="W286" s="130"/>
      <c r="X286" s="130"/>
      <c r="Y286" s="130"/>
      <c r="Z286" s="130"/>
      <c r="AA286" s="130"/>
      <c r="AB286" s="130"/>
      <c r="AC286" s="130"/>
      <c r="AD286" s="130"/>
      <c r="AE286" s="130"/>
      <c r="AF286" s="130"/>
      <c r="AG286" s="130"/>
      <c r="AH286" s="130"/>
      <c r="AI286" s="130"/>
      <c r="AJ286" s="130"/>
      <c r="AK286" s="130"/>
    </row>
    <row r="287">
      <c r="A287" s="130"/>
      <c r="B287" s="130"/>
      <c r="C287" s="143"/>
      <c r="D287" s="130"/>
      <c r="E287" s="143"/>
      <c r="F287" s="143"/>
      <c r="G287" s="143"/>
      <c r="H287" s="143"/>
      <c r="I287" s="143"/>
      <c r="J287" s="143"/>
      <c r="K287" s="143"/>
      <c r="L287" s="143"/>
      <c r="M287" s="143"/>
      <c r="N287" s="143"/>
      <c r="O287" s="143"/>
      <c r="P287" s="143"/>
      <c r="Q287" s="67"/>
      <c r="R287" s="144"/>
      <c r="S287" s="144"/>
      <c r="T287" s="143"/>
      <c r="U287" s="143"/>
      <c r="V287" s="143"/>
      <c r="W287" s="130"/>
      <c r="X287" s="130"/>
      <c r="Y287" s="130"/>
      <c r="Z287" s="130"/>
      <c r="AA287" s="130"/>
      <c r="AB287" s="130"/>
      <c r="AC287" s="130"/>
      <c r="AD287" s="130"/>
      <c r="AE287" s="130"/>
      <c r="AF287" s="130"/>
      <c r="AG287" s="130"/>
      <c r="AH287" s="130"/>
      <c r="AI287" s="130"/>
      <c r="AJ287" s="130"/>
      <c r="AK287" s="130"/>
    </row>
    <row r="288">
      <c r="A288" s="130"/>
      <c r="B288" s="130"/>
      <c r="C288" s="143"/>
      <c r="D288" s="130"/>
      <c r="E288" s="143"/>
      <c r="F288" s="143"/>
      <c r="G288" s="143"/>
      <c r="H288" s="143"/>
      <c r="I288" s="143"/>
      <c r="J288" s="143"/>
      <c r="K288" s="143"/>
      <c r="L288" s="143"/>
      <c r="M288" s="143"/>
      <c r="N288" s="143"/>
      <c r="O288" s="143"/>
      <c r="P288" s="143"/>
      <c r="Q288" s="67"/>
      <c r="R288" s="144"/>
      <c r="S288" s="144"/>
      <c r="T288" s="143"/>
      <c r="U288" s="143"/>
      <c r="V288" s="143"/>
      <c r="W288" s="130"/>
      <c r="X288" s="130"/>
      <c r="Y288" s="130"/>
      <c r="Z288" s="130"/>
      <c r="AA288" s="130"/>
      <c r="AB288" s="130"/>
      <c r="AC288" s="130"/>
      <c r="AD288" s="130"/>
      <c r="AE288" s="130"/>
      <c r="AF288" s="130"/>
      <c r="AG288" s="130"/>
      <c r="AH288" s="130"/>
      <c r="AI288" s="130"/>
      <c r="AJ288" s="130"/>
      <c r="AK288" s="130"/>
    </row>
    <row r="289">
      <c r="A289" s="130"/>
      <c r="B289" s="130"/>
      <c r="C289" s="143"/>
      <c r="D289" s="130"/>
      <c r="E289" s="143"/>
      <c r="F289" s="143"/>
      <c r="G289" s="143"/>
      <c r="H289" s="143"/>
      <c r="I289" s="143"/>
      <c r="J289" s="143"/>
      <c r="K289" s="143"/>
      <c r="L289" s="143"/>
      <c r="M289" s="143"/>
      <c r="N289" s="143"/>
      <c r="O289" s="143"/>
      <c r="P289" s="143"/>
      <c r="Q289" s="67"/>
      <c r="R289" s="144"/>
      <c r="S289" s="144"/>
      <c r="T289" s="143"/>
      <c r="U289" s="143"/>
      <c r="V289" s="143"/>
      <c r="W289" s="130"/>
      <c r="X289" s="130"/>
      <c r="Y289" s="130"/>
      <c r="Z289" s="130"/>
      <c r="AA289" s="130"/>
      <c r="AB289" s="130"/>
      <c r="AC289" s="130"/>
      <c r="AD289" s="130"/>
      <c r="AE289" s="130"/>
      <c r="AF289" s="130"/>
      <c r="AG289" s="130"/>
      <c r="AH289" s="130"/>
      <c r="AI289" s="130"/>
      <c r="AJ289" s="130"/>
      <c r="AK289" s="130"/>
    </row>
    <row r="290">
      <c r="A290" s="130"/>
      <c r="B290" s="130"/>
      <c r="C290" s="143"/>
      <c r="D290" s="130"/>
      <c r="E290" s="143"/>
      <c r="F290" s="143"/>
      <c r="G290" s="143"/>
      <c r="H290" s="143"/>
      <c r="I290" s="143"/>
      <c r="J290" s="143"/>
      <c r="K290" s="143"/>
      <c r="L290" s="143"/>
      <c r="M290" s="143"/>
      <c r="N290" s="143"/>
      <c r="O290" s="143"/>
      <c r="P290" s="143"/>
      <c r="Q290" s="67"/>
      <c r="R290" s="144"/>
      <c r="S290" s="144"/>
      <c r="T290" s="143"/>
      <c r="U290" s="143"/>
      <c r="V290" s="143"/>
      <c r="W290" s="130"/>
      <c r="X290" s="130"/>
      <c r="Y290" s="130"/>
      <c r="Z290" s="130"/>
      <c r="AA290" s="130"/>
      <c r="AB290" s="130"/>
      <c r="AC290" s="130"/>
      <c r="AD290" s="130"/>
      <c r="AE290" s="130"/>
      <c r="AF290" s="130"/>
      <c r="AG290" s="130"/>
      <c r="AH290" s="130"/>
      <c r="AI290" s="130"/>
      <c r="AJ290" s="130"/>
      <c r="AK290" s="130"/>
    </row>
    <row r="291">
      <c r="A291" s="130"/>
      <c r="B291" s="130"/>
      <c r="C291" s="143"/>
      <c r="D291" s="130"/>
      <c r="E291" s="143"/>
      <c r="F291" s="143"/>
      <c r="G291" s="143"/>
      <c r="H291" s="143"/>
      <c r="I291" s="143"/>
      <c r="J291" s="143"/>
      <c r="K291" s="143"/>
      <c r="L291" s="143"/>
      <c r="M291" s="143"/>
      <c r="N291" s="143"/>
      <c r="O291" s="143"/>
      <c r="P291" s="143"/>
      <c r="Q291" s="67"/>
      <c r="R291" s="144"/>
      <c r="S291" s="144"/>
      <c r="T291" s="143"/>
      <c r="U291" s="143"/>
      <c r="V291" s="143"/>
      <c r="W291" s="130"/>
      <c r="X291" s="130"/>
      <c r="Y291" s="130"/>
      <c r="Z291" s="130"/>
      <c r="AA291" s="130"/>
      <c r="AB291" s="130"/>
      <c r="AC291" s="130"/>
      <c r="AD291" s="130"/>
      <c r="AE291" s="130"/>
      <c r="AF291" s="130"/>
      <c r="AG291" s="130"/>
      <c r="AH291" s="130"/>
      <c r="AI291" s="130"/>
      <c r="AJ291" s="130"/>
      <c r="AK291" s="130"/>
    </row>
    <row r="292">
      <c r="A292" s="130"/>
      <c r="B292" s="130"/>
      <c r="C292" s="143"/>
      <c r="D292" s="130"/>
      <c r="E292" s="143"/>
      <c r="F292" s="143"/>
      <c r="G292" s="143"/>
      <c r="H292" s="143"/>
      <c r="I292" s="143"/>
      <c r="J292" s="143"/>
      <c r="K292" s="143"/>
      <c r="L292" s="143"/>
      <c r="M292" s="143"/>
      <c r="N292" s="143"/>
      <c r="O292" s="143"/>
      <c r="P292" s="143"/>
      <c r="Q292" s="67"/>
      <c r="R292" s="144"/>
      <c r="S292" s="144"/>
      <c r="T292" s="143"/>
      <c r="U292" s="143"/>
      <c r="V292" s="143"/>
      <c r="W292" s="130"/>
      <c r="X292" s="130"/>
      <c r="Y292" s="130"/>
      <c r="Z292" s="130"/>
      <c r="AA292" s="130"/>
      <c r="AB292" s="130"/>
      <c r="AC292" s="130"/>
      <c r="AD292" s="130"/>
      <c r="AE292" s="130"/>
      <c r="AF292" s="130"/>
      <c r="AG292" s="130"/>
      <c r="AH292" s="130"/>
      <c r="AI292" s="130"/>
      <c r="AJ292" s="130"/>
      <c r="AK292" s="130"/>
    </row>
    <row r="293">
      <c r="A293" s="130"/>
      <c r="B293" s="130"/>
      <c r="C293" s="143"/>
      <c r="D293" s="130"/>
      <c r="E293" s="143"/>
      <c r="F293" s="143"/>
      <c r="G293" s="143"/>
      <c r="H293" s="143"/>
      <c r="I293" s="143"/>
      <c r="J293" s="143"/>
      <c r="K293" s="143"/>
      <c r="L293" s="143"/>
      <c r="M293" s="143"/>
      <c r="N293" s="143"/>
      <c r="O293" s="143"/>
      <c r="P293" s="143"/>
      <c r="Q293" s="67"/>
      <c r="R293" s="144"/>
      <c r="S293" s="144"/>
      <c r="T293" s="143"/>
      <c r="U293" s="143"/>
      <c r="V293" s="143"/>
      <c r="W293" s="130"/>
      <c r="X293" s="130"/>
      <c r="Y293" s="130"/>
      <c r="Z293" s="130"/>
      <c r="AA293" s="130"/>
      <c r="AB293" s="130"/>
      <c r="AC293" s="130"/>
      <c r="AD293" s="130"/>
      <c r="AE293" s="130"/>
      <c r="AF293" s="130"/>
      <c r="AG293" s="130"/>
      <c r="AH293" s="130"/>
      <c r="AI293" s="130"/>
      <c r="AJ293" s="130"/>
      <c r="AK293" s="130"/>
    </row>
    <row r="294">
      <c r="A294" s="130"/>
      <c r="B294" s="130"/>
      <c r="C294" s="143"/>
      <c r="D294" s="130"/>
      <c r="E294" s="143"/>
      <c r="F294" s="143"/>
      <c r="G294" s="143"/>
      <c r="H294" s="143"/>
      <c r="I294" s="143"/>
      <c r="J294" s="143"/>
      <c r="K294" s="143"/>
      <c r="L294" s="143"/>
      <c r="M294" s="143"/>
      <c r="N294" s="143"/>
      <c r="O294" s="143"/>
      <c r="P294" s="143"/>
      <c r="Q294" s="67"/>
      <c r="R294" s="144"/>
      <c r="S294" s="144"/>
      <c r="T294" s="143"/>
      <c r="U294" s="143"/>
      <c r="V294" s="143"/>
      <c r="W294" s="130"/>
      <c r="X294" s="130"/>
      <c r="Y294" s="130"/>
      <c r="Z294" s="130"/>
      <c r="AA294" s="130"/>
      <c r="AB294" s="130"/>
      <c r="AC294" s="130"/>
      <c r="AD294" s="130"/>
      <c r="AE294" s="130"/>
      <c r="AF294" s="130"/>
      <c r="AG294" s="130"/>
      <c r="AH294" s="130"/>
      <c r="AI294" s="130"/>
      <c r="AJ294" s="130"/>
      <c r="AK294" s="130"/>
    </row>
    <row r="295">
      <c r="A295" s="130"/>
      <c r="B295" s="130"/>
      <c r="C295" s="143"/>
      <c r="D295" s="130"/>
      <c r="E295" s="143"/>
      <c r="F295" s="143"/>
      <c r="G295" s="143"/>
      <c r="H295" s="143"/>
      <c r="I295" s="143"/>
      <c r="J295" s="143"/>
      <c r="K295" s="143"/>
      <c r="L295" s="143"/>
      <c r="M295" s="143"/>
      <c r="N295" s="143"/>
      <c r="O295" s="143"/>
      <c r="P295" s="143"/>
      <c r="Q295" s="67"/>
      <c r="R295" s="144"/>
      <c r="S295" s="144"/>
      <c r="T295" s="143"/>
      <c r="U295" s="143"/>
      <c r="V295" s="143"/>
      <c r="W295" s="130"/>
      <c r="X295" s="130"/>
      <c r="Y295" s="130"/>
      <c r="Z295" s="130"/>
      <c r="AA295" s="130"/>
      <c r="AB295" s="130"/>
      <c r="AC295" s="130"/>
      <c r="AD295" s="130"/>
      <c r="AE295" s="130"/>
      <c r="AF295" s="130"/>
      <c r="AG295" s="130"/>
      <c r="AH295" s="130"/>
      <c r="AI295" s="130"/>
      <c r="AJ295" s="130"/>
      <c r="AK295" s="130"/>
    </row>
    <row r="296">
      <c r="A296" s="130"/>
      <c r="B296" s="130"/>
      <c r="C296" s="143"/>
      <c r="D296" s="130"/>
      <c r="E296" s="143"/>
      <c r="F296" s="143"/>
      <c r="G296" s="143"/>
      <c r="H296" s="143"/>
      <c r="I296" s="143"/>
      <c r="J296" s="143"/>
      <c r="K296" s="143"/>
      <c r="L296" s="143"/>
      <c r="M296" s="143"/>
      <c r="N296" s="143"/>
      <c r="O296" s="143"/>
      <c r="P296" s="143"/>
      <c r="Q296" s="67"/>
      <c r="R296" s="144"/>
      <c r="S296" s="144"/>
      <c r="T296" s="143"/>
      <c r="U296" s="143"/>
      <c r="V296" s="143"/>
      <c r="W296" s="130"/>
      <c r="X296" s="130"/>
      <c r="Y296" s="130"/>
      <c r="Z296" s="130"/>
      <c r="AA296" s="130"/>
      <c r="AB296" s="130"/>
      <c r="AC296" s="130"/>
      <c r="AD296" s="130"/>
      <c r="AE296" s="130"/>
      <c r="AF296" s="130"/>
      <c r="AG296" s="130"/>
      <c r="AH296" s="130"/>
      <c r="AI296" s="130"/>
      <c r="AJ296" s="130"/>
      <c r="AK296" s="130"/>
    </row>
    <row r="297">
      <c r="A297" s="130"/>
      <c r="B297" s="130"/>
      <c r="C297" s="143"/>
      <c r="D297" s="130"/>
      <c r="E297" s="143"/>
      <c r="F297" s="143"/>
      <c r="G297" s="143"/>
      <c r="H297" s="143"/>
      <c r="I297" s="143"/>
      <c r="J297" s="143"/>
      <c r="K297" s="143"/>
      <c r="L297" s="143"/>
      <c r="M297" s="143"/>
      <c r="N297" s="143"/>
      <c r="O297" s="143"/>
      <c r="P297" s="143"/>
      <c r="Q297" s="67"/>
      <c r="R297" s="144"/>
      <c r="S297" s="144"/>
      <c r="T297" s="143"/>
      <c r="U297" s="143"/>
      <c r="V297" s="143"/>
      <c r="W297" s="130"/>
      <c r="X297" s="130"/>
      <c r="Y297" s="130"/>
      <c r="Z297" s="130"/>
      <c r="AA297" s="130"/>
      <c r="AB297" s="130"/>
      <c r="AC297" s="130"/>
      <c r="AD297" s="130"/>
      <c r="AE297" s="130"/>
      <c r="AF297" s="130"/>
      <c r="AG297" s="130"/>
      <c r="AH297" s="130"/>
      <c r="AI297" s="130"/>
      <c r="AJ297" s="130"/>
      <c r="AK297" s="130"/>
    </row>
    <row r="298">
      <c r="A298" s="130"/>
      <c r="B298" s="130"/>
      <c r="C298" s="143"/>
      <c r="D298" s="130"/>
      <c r="E298" s="143"/>
      <c r="F298" s="143"/>
      <c r="G298" s="143"/>
      <c r="H298" s="143"/>
      <c r="I298" s="143"/>
      <c r="J298" s="143"/>
      <c r="K298" s="143"/>
      <c r="L298" s="143"/>
      <c r="M298" s="143"/>
      <c r="N298" s="143"/>
      <c r="O298" s="143"/>
      <c r="P298" s="143"/>
      <c r="Q298" s="67"/>
      <c r="R298" s="144"/>
      <c r="S298" s="144"/>
      <c r="T298" s="143"/>
      <c r="U298" s="143"/>
      <c r="V298" s="143"/>
      <c r="W298" s="130"/>
      <c r="X298" s="130"/>
      <c r="Y298" s="130"/>
      <c r="Z298" s="130"/>
      <c r="AA298" s="130"/>
      <c r="AB298" s="130"/>
      <c r="AC298" s="130"/>
      <c r="AD298" s="130"/>
      <c r="AE298" s="130"/>
      <c r="AF298" s="130"/>
      <c r="AG298" s="130"/>
      <c r="AH298" s="130"/>
      <c r="AI298" s="130"/>
      <c r="AJ298" s="130"/>
      <c r="AK298" s="130"/>
    </row>
    <row r="299">
      <c r="A299" s="130"/>
      <c r="B299" s="130"/>
      <c r="C299" s="143"/>
      <c r="D299" s="130"/>
      <c r="E299" s="143"/>
      <c r="F299" s="143"/>
      <c r="G299" s="143"/>
      <c r="H299" s="143"/>
      <c r="I299" s="143"/>
      <c r="J299" s="143"/>
      <c r="K299" s="143"/>
      <c r="L299" s="143"/>
      <c r="M299" s="143"/>
      <c r="N299" s="143"/>
      <c r="O299" s="143"/>
      <c r="P299" s="143"/>
      <c r="Q299" s="67"/>
      <c r="R299" s="144"/>
      <c r="S299" s="144"/>
      <c r="T299" s="143"/>
      <c r="U299" s="143"/>
      <c r="V299" s="143"/>
      <c r="W299" s="130"/>
      <c r="X299" s="130"/>
      <c r="Y299" s="130"/>
      <c r="Z299" s="130"/>
      <c r="AA299" s="130"/>
      <c r="AB299" s="130"/>
      <c r="AC299" s="130"/>
      <c r="AD299" s="130"/>
      <c r="AE299" s="130"/>
      <c r="AF299" s="130"/>
      <c r="AG299" s="130"/>
      <c r="AH299" s="130"/>
      <c r="AI299" s="130"/>
      <c r="AJ299" s="130"/>
      <c r="AK299" s="130"/>
    </row>
    <row r="300">
      <c r="A300" s="130"/>
      <c r="B300" s="130"/>
      <c r="C300" s="143"/>
      <c r="D300" s="130"/>
      <c r="E300" s="143"/>
      <c r="F300" s="143"/>
      <c r="G300" s="143"/>
      <c r="H300" s="143"/>
      <c r="I300" s="143"/>
      <c r="J300" s="143"/>
      <c r="K300" s="143"/>
      <c r="L300" s="143"/>
      <c r="M300" s="143"/>
      <c r="N300" s="143"/>
      <c r="O300" s="143"/>
      <c r="P300" s="143"/>
      <c r="Q300" s="67"/>
      <c r="R300" s="144"/>
      <c r="S300" s="144"/>
      <c r="T300" s="143"/>
      <c r="U300" s="143"/>
      <c r="V300" s="143"/>
      <c r="W300" s="130"/>
      <c r="X300" s="130"/>
      <c r="Y300" s="130"/>
      <c r="Z300" s="130"/>
      <c r="AA300" s="130"/>
      <c r="AB300" s="130"/>
      <c r="AC300" s="130"/>
      <c r="AD300" s="130"/>
      <c r="AE300" s="130"/>
      <c r="AF300" s="130"/>
      <c r="AG300" s="130"/>
      <c r="AH300" s="130"/>
      <c r="AI300" s="130"/>
      <c r="AJ300" s="130"/>
      <c r="AK300" s="130"/>
    </row>
    <row r="301">
      <c r="A301" s="130"/>
      <c r="B301" s="130"/>
      <c r="C301" s="143"/>
      <c r="D301" s="130"/>
      <c r="E301" s="143"/>
      <c r="F301" s="143"/>
      <c r="G301" s="143"/>
      <c r="H301" s="143"/>
      <c r="I301" s="143"/>
      <c r="J301" s="143"/>
      <c r="K301" s="143"/>
      <c r="L301" s="143"/>
      <c r="M301" s="143"/>
      <c r="N301" s="143"/>
      <c r="O301" s="143"/>
      <c r="P301" s="143"/>
      <c r="Q301" s="67"/>
      <c r="R301" s="144"/>
      <c r="S301" s="144"/>
      <c r="T301" s="143"/>
      <c r="U301" s="143"/>
      <c r="V301" s="143"/>
      <c r="W301" s="130"/>
      <c r="X301" s="130"/>
      <c r="Y301" s="130"/>
      <c r="Z301" s="130"/>
      <c r="AA301" s="130"/>
      <c r="AB301" s="130"/>
      <c r="AC301" s="130"/>
      <c r="AD301" s="130"/>
      <c r="AE301" s="130"/>
      <c r="AF301" s="130"/>
      <c r="AG301" s="130"/>
      <c r="AH301" s="130"/>
      <c r="AI301" s="130"/>
      <c r="AJ301" s="130"/>
      <c r="AK301" s="130"/>
    </row>
    <row r="302">
      <c r="A302" s="130"/>
      <c r="B302" s="130"/>
      <c r="C302" s="143"/>
      <c r="D302" s="130"/>
      <c r="E302" s="143"/>
      <c r="F302" s="143"/>
      <c r="G302" s="143"/>
      <c r="H302" s="143"/>
      <c r="I302" s="143"/>
      <c r="J302" s="143"/>
      <c r="K302" s="143"/>
      <c r="L302" s="143"/>
      <c r="M302" s="143"/>
      <c r="N302" s="143"/>
      <c r="O302" s="143"/>
      <c r="P302" s="143"/>
      <c r="Q302" s="67"/>
      <c r="R302" s="144"/>
      <c r="S302" s="144"/>
      <c r="T302" s="143"/>
      <c r="U302" s="143"/>
      <c r="V302" s="143"/>
      <c r="W302" s="130"/>
      <c r="X302" s="130"/>
      <c r="Y302" s="130"/>
      <c r="Z302" s="130"/>
      <c r="AA302" s="130"/>
      <c r="AB302" s="130"/>
      <c r="AC302" s="130"/>
      <c r="AD302" s="130"/>
      <c r="AE302" s="130"/>
      <c r="AF302" s="130"/>
      <c r="AG302" s="130"/>
      <c r="AH302" s="130"/>
      <c r="AI302" s="130"/>
      <c r="AJ302" s="130"/>
      <c r="AK302" s="130"/>
    </row>
    <row r="303">
      <c r="A303" s="130"/>
      <c r="B303" s="130"/>
      <c r="C303" s="143"/>
      <c r="D303" s="130"/>
      <c r="E303" s="143"/>
      <c r="F303" s="143"/>
      <c r="G303" s="143"/>
      <c r="H303" s="143"/>
      <c r="I303" s="143"/>
      <c r="J303" s="143"/>
      <c r="K303" s="143"/>
      <c r="L303" s="143"/>
      <c r="M303" s="143"/>
      <c r="N303" s="143"/>
      <c r="O303" s="143"/>
      <c r="P303" s="143"/>
      <c r="Q303" s="67"/>
      <c r="R303" s="144"/>
      <c r="S303" s="144"/>
      <c r="T303" s="143"/>
      <c r="U303" s="143"/>
      <c r="V303" s="143"/>
      <c r="W303" s="130"/>
      <c r="X303" s="130"/>
      <c r="Y303" s="130"/>
      <c r="Z303" s="130"/>
      <c r="AA303" s="130"/>
      <c r="AB303" s="130"/>
      <c r="AC303" s="130"/>
      <c r="AD303" s="130"/>
      <c r="AE303" s="130"/>
      <c r="AF303" s="130"/>
      <c r="AG303" s="130"/>
      <c r="AH303" s="130"/>
      <c r="AI303" s="130"/>
      <c r="AJ303" s="130"/>
      <c r="AK303" s="130"/>
    </row>
    <row r="304">
      <c r="A304" s="130"/>
      <c r="B304" s="130"/>
      <c r="C304" s="143"/>
      <c r="D304" s="130"/>
      <c r="E304" s="143"/>
      <c r="F304" s="143"/>
      <c r="G304" s="143"/>
      <c r="H304" s="143"/>
      <c r="I304" s="143"/>
      <c r="J304" s="143"/>
      <c r="K304" s="143"/>
      <c r="L304" s="143"/>
      <c r="M304" s="143"/>
      <c r="N304" s="143"/>
      <c r="O304" s="143"/>
      <c r="P304" s="143"/>
      <c r="Q304" s="67"/>
      <c r="R304" s="144"/>
      <c r="S304" s="144"/>
      <c r="T304" s="143"/>
      <c r="U304" s="143"/>
      <c r="V304" s="143"/>
      <c r="W304" s="130"/>
      <c r="X304" s="130"/>
      <c r="Y304" s="130"/>
      <c r="Z304" s="130"/>
      <c r="AA304" s="130"/>
      <c r="AB304" s="130"/>
      <c r="AC304" s="130"/>
      <c r="AD304" s="130"/>
      <c r="AE304" s="130"/>
      <c r="AF304" s="130"/>
      <c r="AG304" s="130"/>
      <c r="AH304" s="130"/>
      <c r="AI304" s="130"/>
      <c r="AJ304" s="130"/>
      <c r="AK304" s="130"/>
    </row>
    <row r="305">
      <c r="A305" s="130"/>
      <c r="B305" s="130"/>
      <c r="C305" s="143"/>
      <c r="D305" s="130"/>
      <c r="E305" s="143"/>
      <c r="F305" s="143"/>
      <c r="G305" s="143"/>
      <c r="H305" s="143"/>
      <c r="I305" s="143"/>
      <c r="J305" s="143"/>
      <c r="K305" s="143"/>
      <c r="L305" s="143"/>
      <c r="M305" s="143"/>
      <c r="N305" s="143"/>
      <c r="O305" s="143"/>
      <c r="P305" s="143"/>
      <c r="Q305" s="67"/>
      <c r="R305" s="144"/>
      <c r="S305" s="144"/>
      <c r="T305" s="143"/>
      <c r="U305" s="143"/>
      <c r="V305" s="143"/>
      <c r="W305" s="130"/>
      <c r="X305" s="130"/>
      <c r="Y305" s="130"/>
      <c r="Z305" s="130"/>
      <c r="AA305" s="130"/>
      <c r="AB305" s="130"/>
      <c r="AC305" s="130"/>
      <c r="AD305" s="130"/>
      <c r="AE305" s="130"/>
      <c r="AF305" s="130"/>
      <c r="AG305" s="130"/>
      <c r="AH305" s="130"/>
      <c r="AI305" s="130"/>
      <c r="AJ305" s="130"/>
      <c r="AK305" s="130"/>
    </row>
    <row r="306">
      <c r="A306" s="130"/>
      <c r="B306" s="130"/>
      <c r="C306" s="143"/>
      <c r="D306" s="130"/>
      <c r="E306" s="143"/>
      <c r="F306" s="143"/>
      <c r="G306" s="143"/>
      <c r="H306" s="143"/>
      <c r="I306" s="143"/>
      <c r="J306" s="143"/>
      <c r="K306" s="143"/>
      <c r="L306" s="143"/>
      <c r="M306" s="143"/>
      <c r="N306" s="143"/>
      <c r="O306" s="143"/>
      <c r="P306" s="143"/>
      <c r="Q306" s="67"/>
      <c r="R306" s="144"/>
      <c r="S306" s="144"/>
      <c r="T306" s="143"/>
      <c r="U306" s="143"/>
      <c r="V306" s="143"/>
      <c r="W306" s="130"/>
      <c r="X306" s="130"/>
      <c r="Y306" s="130"/>
      <c r="Z306" s="130"/>
      <c r="AA306" s="130"/>
      <c r="AB306" s="130"/>
      <c r="AC306" s="130"/>
      <c r="AD306" s="130"/>
      <c r="AE306" s="130"/>
      <c r="AF306" s="130"/>
      <c r="AG306" s="130"/>
      <c r="AH306" s="130"/>
      <c r="AI306" s="130"/>
      <c r="AJ306" s="130"/>
      <c r="AK306" s="130"/>
    </row>
    <row r="307">
      <c r="A307" s="130"/>
      <c r="B307" s="130"/>
      <c r="C307" s="143"/>
      <c r="D307" s="130"/>
      <c r="E307" s="143"/>
      <c r="F307" s="143"/>
      <c r="G307" s="143"/>
      <c r="H307" s="143"/>
      <c r="I307" s="143"/>
      <c r="J307" s="143"/>
      <c r="K307" s="143"/>
      <c r="L307" s="143"/>
      <c r="M307" s="143"/>
      <c r="N307" s="143"/>
      <c r="O307" s="143"/>
      <c r="P307" s="143"/>
      <c r="Q307" s="67"/>
      <c r="R307" s="144"/>
      <c r="S307" s="144"/>
      <c r="T307" s="143"/>
      <c r="U307" s="143"/>
      <c r="V307" s="143"/>
      <c r="W307" s="130"/>
      <c r="X307" s="130"/>
      <c r="Y307" s="130"/>
      <c r="Z307" s="130"/>
      <c r="AA307" s="130"/>
      <c r="AB307" s="130"/>
      <c r="AC307" s="130"/>
      <c r="AD307" s="130"/>
      <c r="AE307" s="130"/>
      <c r="AF307" s="130"/>
      <c r="AG307" s="130"/>
      <c r="AH307" s="130"/>
      <c r="AI307" s="130"/>
      <c r="AJ307" s="130"/>
      <c r="AK307" s="130"/>
    </row>
    <row r="308">
      <c r="A308" s="130"/>
      <c r="B308" s="130"/>
      <c r="C308" s="143"/>
      <c r="D308" s="130"/>
      <c r="E308" s="143"/>
      <c r="F308" s="143"/>
      <c r="G308" s="143"/>
      <c r="H308" s="143"/>
      <c r="I308" s="143"/>
      <c r="J308" s="143"/>
      <c r="K308" s="143"/>
      <c r="L308" s="143"/>
      <c r="M308" s="143"/>
      <c r="N308" s="143"/>
      <c r="O308" s="143"/>
      <c r="P308" s="143"/>
      <c r="Q308" s="67"/>
      <c r="R308" s="144"/>
      <c r="S308" s="144"/>
      <c r="T308" s="143"/>
      <c r="U308" s="143"/>
      <c r="V308" s="143"/>
      <c r="W308" s="130"/>
      <c r="X308" s="130"/>
      <c r="Y308" s="130"/>
      <c r="Z308" s="130"/>
      <c r="AA308" s="130"/>
      <c r="AB308" s="130"/>
      <c r="AC308" s="130"/>
      <c r="AD308" s="130"/>
      <c r="AE308" s="130"/>
      <c r="AF308" s="130"/>
      <c r="AG308" s="130"/>
      <c r="AH308" s="130"/>
      <c r="AI308" s="130"/>
      <c r="AJ308" s="130"/>
      <c r="AK308" s="130"/>
    </row>
    <row r="309">
      <c r="A309" s="130"/>
      <c r="B309" s="130"/>
      <c r="C309" s="143"/>
      <c r="D309" s="130"/>
      <c r="E309" s="143"/>
      <c r="F309" s="143"/>
      <c r="G309" s="143"/>
      <c r="H309" s="143"/>
      <c r="I309" s="143"/>
      <c r="J309" s="143"/>
      <c r="K309" s="143"/>
      <c r="L309" s="143"/>
      <c r="M309" s="143"/>
      <c r="N309" s="143"/>
      <c r="O309" s="143"/>
      <c r="P309" s="143"/>
      <c r="Q309" s="67"/>
      <c r="R309" s="144"/>
      <c r="S309" s="144"/>
      <c r="T309" s="143"/>
      <c r="U309" s="143"/>
      <c r="V309" s="143"/>
      <c r="W309" s="130"/>
      <c r="X309" s="130"/>
      <c r="Y309" s="130"/>
      <c r="Z309" s="130"/>
      <c r="AA309" s="130"/>
      <c r="AB309" s="130"/>
      <c r="AC309" s="130"/>
      <c r="AD309" s="130"/>
      <c r="AE309" s="130"/>
      <c r="AF309" s="130"/>
      <c r="AG309" s="130"/>
      <c r="AH309" s="130"/>
      <c r="AI309" s="130"/>
      <c r="AJ309" s="130"/>
      <c r="AK309" s="130"/>
    </row>
    <row r="310">
      <c r="A310" s="130"/>
      <c r="B310" s="130"/>
      <c r="C310" s="143"/>
      <c r="D310" s="130"/>
      <c r="E310" s="143"/>
      <c r="F310" s="143"/>
      <c r="G310" s="143"/>
      <c r="H310" s="143"/>
      <c r="I310" s="143"/>
      <c r="J310" s="143"/>
      <c r="K310" s="143"/>
      <c r="L310" s="143"/>
      <c r="M310" s="143"/>
      <c r="N310" s="143"/>
      <c r="O310" s="143"/>
      <c r="P310" s="143"/>
      <c r="Q310" s="67"/>
      <c r="R310" s="144"/>
      <c r="S310" s="144"/>
      <c r="T310" s="143"/>
      <c r="U310" s="143"/>
      <c r="V310" s="143"/>
      <c r="W310" s="130"/>
      <c r="X310" s="130"/>
      <c r="Y310" s="130"/>
      <c r="Z310" s="130"/>
      <c r="AA310" s="130"/>
      <c r="AB310" s="130"/>
      <c r="AC310" s="130"/>
      <c r="AD310" s="130"/>
      <c r="AE310" s="130"/>
      <c r="AF310" s="130"/>
      <c r="AG310" s="130"/>
      <c r="AH310" s="130"/>
      <c r="AI310" s="130"/>
      <c r="AJ310" s="130"/>
      <c r="AK310" s="130"/>
    </row>
    <row r="311">
      <c r="A311" s="130"/>
      <c r="B311" s="130"/>
      <c r="C311" s="143"/>
      <c r="D311" s="130"/>
      <c r="E311" s="143"/>
      <c r="F311" s="143"/>
      <c r="G311" s="143"/>
      <c r="H311" s="143"/>
      <c r="I311" s="143"/>
      <c r="J311" s="143"/>
      <c r="K311" s="143"/>
      <c r="L311" s="143"/>
      <c r="M311" s="143"/>
      <c r="N311" s="143"/>
      <c r="O311" s="143"/>
      <c r="P311" s="143"/>
      <c r="Q311" s="67"/>
      <c r="R311" s="144"/>
      <c r="S311" s="144"/>
      <c r="T311" s="143"/>
      <c r="U311" s="143"/>
      <c r="V311" s="143"/>
      <c r="W311" s="130"/>
      <c r="X311" s="130"/>
      <c r="Y311" s="130"/>
      <c r="Z311" s="130"/>
      <c r="AA311" s="130"/>
      <c r="AB311" s="130"/>
      <c r="AC311" s="130"/>
      <c r="AD311" s="130"/>
      <c r="AE311" s="130"/>
      <c r="AF311" s="130"/>
      <c r="AG311" s="130"/>
      <c r="AH311" s="130"/>
      <c r="AI311" s="130"/>
      <c r="AJ311" s="130"/>
      <c r="AK311" s="130"/>
    </row>
    <row r="312">
      <c r="A312" s="130"/>
      <c r="B312" s="130"/>
      <c r="C312" s="143"/>
      <c r="D312" s="130"/>
      <c r="E312" s="143"/>
      <c r="F312" s="143"/>
      <c r="G312" s="143"/>
      <c r="H312" s="143"/>
      <c r="I312" s="143"/>
      <c r="J312" s="143"/>
      <c r="K312" s="143"/>
      <c r="L312" s="143"/>
      <c r="M312" s="143"/>
      <c r="N312" s="143"/>
      <c r="O312" s="143"/>
      <c r="P312" s="143"/>
      <c r="Q312" s="67"/>
      <c r="R312" s="144"/>
      <c r="S312" s="144"/>
      <c r="T312" s="143"/>
      <c r="U312" s="143"/>
      <c r="V312" s="143"/>
      <c r="W312" s="130"/>
      <c r="X312" s="130"/>
      <c r="Y312" s="130"/>
      <c r="Z312" s="130"/>
      <c r="AA312" s="130"/>
      <c r="AB312" s="130"/>
      <c r="AC312" s="130"/>
      <c r="AD312" s="130"/>
      <c r="AE312" s="130"/>
      <c r="AF312" s="130"/>
      <c r="AG312" s="130"/>
      <c r="AH312" s="130"/>
      <c r="AI312" s="130"/>
      <c r="AJ312" s="130"/>
      <c r="AK312" s="130"/>
    </row>
    <row r="313">
      <c r="A313" s="130"/>
      <c r="B313" s="130"/>
      <c r="C313" s="143"/>
      <c r="D313" s="130"/>
      <c r="E313" s="143"/>
      <c r="F313" s="143"/>
      <c r="G313" s="143"/>
      <c r="H313" s="143"/>
      <c r="I313" s="143"/>
      <c r="J313" s="143"/>
      <c r="K313" s="143"/>
      <c r="L313" s="143"/>
      <c r="M313" s="143"/>
      <c r="N313" s="143"/>
      <c r="O313" s="143"/>
      <c r="P313" s="143"/>
      <c r="Q313" s="67"/>
      <c r="R313" s="144"/>
      <c r="S313" s="144"/>
      <c r="T313" s="143"/>
      <c r="U313" s="143"/>
      <c r="V313" s="143"/>
      <c r="W313" s="130"/>
      <c r="X313" s="130"/>
      <c r="Y313" s="130"/>
      <c r="Z313" s="130"/>
      <c r="AA313" s="130"/>
      <c r="AB313" s="130"/>
      <c r="AC313" s="130"/>
      <c r="AD313" s="130"/>
      <c r="AE313" s="130"/>
      <c r="AF313" s="130"/>
      <c r="AG313" s="130"/>
      <c r="AH313" s="130"/>
      <c r="AI313" s="130"/>
      <c r="AJ313" s="130"/>
      <c r="AK313" s="130"/>
    </row>
    <row r="314">
      <c r="A314" s="130"/>
      <c r="B314" s="130"/>
      <c r="C314" s="143"/>
      <c r="D314" s="130"/>
      <c r="E314" s="143"/>
      <c r="F314" s="143"/>
      <c r="G314" s="143"/>
      <c r="H314" s="143"/>
      <c r="I314" s="143"/>
      <c r="J314" s="143"/>
      <c r="K314" s="143"/>
      <c r="L314" s="143"/>
      <c r="M314" s="143"/>
      <c r="N314" s="143"/>
      <c r="O314" s="143"/>
      <c r="P314" s="143"/>
      <c r="Q314" s="67"/>
      <c r="R314" s="144"/>
      <c r="S314" s="144"/>
      <c r="T314" s="143"/>
      <c r="U314" s="143"/>
      <c r="V314" s="143"/>
      <c r="W314" s="130"/>
      <c r="X314" s="130"/>
      <c r="Y314" s="130"/>
      <c r="Z314" s="130"/>
      <c r="AA314" s="130"/>
      <c r="AB314" s="130"/>
      <c r="AC314" s="130"/>
      <c r="AD314" s="130"/>
      <c r="AE314" s="130"/>
      <c r="AF314" s="130"/>
      <c r="AG314" s="130"/>
      <c r="AH314" s="130"/>
      <c r="AI314" s="130"/>
      <c r="AJ314" s="130"/>
      <c r="AK314" s="130"/>
    </row>
    <row r="315">
      <c r="A315" s="130"/>
      <c r="B315" s="130"/>
      <c r="C315" s="143"/>
      <c r="D315" s="130"/>
      <c r="E315" s="143"/>
      <c r="F315" s="143"/>
      <c r="G315" s="143"/>
      <c r="H315" s="143"/>
      <c r="I315" s="143"/>
      <c r="J315" s="143"/>
      <c r="K315" s="143"/>
      <c r="L315" s="143"/>
      <c r="M315" s="143"/>
      <c r="N315" s="143"/>
      <c r="O315" s="143"/>
      <c r="P315" s="143"/>
      <c r="Q315" s="67"/>
      <c r="R315" s="144"/>
      <c r="S315" s="144"/>
      <c r="T315" s="143"/>
      <c r="U315" s="143"/>
      <c r="V315" s="143"/>
      <c r="W315" s="130"/>
      <c r="X315" s="130"/>
      <c r="Y315" s="130"/>
      <c r="Z315" s="130"/>
      <c r="AA315" s="130"/>
      <c r="AB315" s="130"/>
      <c r="AC315" s="130"/>
      <c r="AD315" s="130"/>
      <c r="AE315" s="130"/>
      <c r="AF315" s="130"/>
      <c r="AG315" s="130"/>
      <c r="AH315" s="130"/>
      <c r="AI315" s="130"/>
      <c r="AJ315" s="130"/>
      <c r="AK315" s="130"/>
    </row>
    <row r="316">
      <c r="A316" s="130"/>
      <c r="B316" s="130"/>
      <c r="C316" s="143"/>
      <c r="D316" s="130"/>
      <c r="E316" s="143"/>
      <c r="F316" s="143"/>
      <c r="G316" s="143"/>
      <c r="H316" s="143"/>
      <c r="I316" s="143"/>
      <c r="J316" s="143"/>
      <c r="K316" s="143"/>
      <c r="L316" s="143"/>
      <c r="M316" s="143"/>
      <c r="N316" s="143"/>
      <c r="O316" s="143"/>
      <c r="P316" s="143"/>
      <c r="Q316" s="67"/>
      <c r="R316" s="144"/>
      <c r="S316" s="144"/>
      <c r="T316" s="143"/>
      <c r="U316" s="143"/>
      <c r="V316" s="143"/>
      <c r="W316" s="130"/>
      <c r="X316" s="130"/>
      <c r="Y316" s="130"/>
      <c r="Z316" s="130"/>
      <c r="AA316" s="130"/>
      <c r="AB316" s="130"/>
      <c r="AC316" s="130"/>
      <c r="AD316" s="130"/>
      <c r="AE316" s="130"/>
      <c r="AF316" s="130"/>
      <c r="AG316" s="130"/>
      <c r="AH316" s="130"/>
      <c r="AI316" s="130"/>
      <c r="AJ316" s="130"/>
      <c r="AK316" s="130"/>
    </row>
    <row r="317">
      <c r="A317" s="130"/>
      <c r="B317" s="130"/>
      <c r="C317" s="143"/>
      <c r="D317" s="130"/>
      <c r="E317" s="143"/>
      <c r="F317" s="143"/>
      <c r="G317" s="143"/>
      <c r="H317" s="143"/>
      <c r="I317" s="143"/>
      <c r="J317" s="143"/>
      <c r="K317" s="143"/>
      <c r="L317" s="143"/>
      <c r="M317" s="143"/>
      <c r="N317" s="143"/>
      <c r="O317" s="143"/>
      <c r="P317" s="143"/>
      <c r="Q317" s="67"/>
      <c r="R317" s="144"/>
      <c r="S317" s="144"/>
      <c r="T317" s="143"/>
      <c r="U317" s="143"/>
      <c r="V317" s="143"/>
      <c r="W317" s="130"/>
      <c r="X317" s="130"/>
      <c r="Y317" s="130"/>
      <c r="Z317" s="130"/>
      <c r="AA317" s="130"/>
      <c r="AB317" s="130"/>
      <c r="AC317" s="130"/>
      <c r="AD317" s="130"/>
      <c r="AE317" s="130"/>
      <c r="AF317" s="130"/>
      <c r="AG317" s="130"/>
      <c r="AH317" s="130"/>
      <c r="AI317" s="130"/>
      <c r="AJ317" s="130"/>
      <c r="AK317" s="130"/>
    </row>
    <row r="318">
      <c r="A318" s="130"/>
      <c r="B318" s="130"/>
      <c r="C318" s="143"/>
      <c r="D318" s="130"/>
      <c r="E318" s="143"/>
      <c r="F318" s="143"/>
      <c r="G318" s="143"/>
      <c r="H318" s="143"/>
      <c r="I318" s="143"/>
      <c r="J318" s="143"/>
      <c r="K318" s="143"/>
      <c r="L318" s="143"/>
      <c r="M318" s="143"/>
      <c r="N318" s="143"/>
      <c r="O318" s="143"/>
      <c r="P318" s="143"/>
      <c r="Q318" s="67"/>
      <c r="R318" s="144"/>
      <c r="S318" s="144"/>
      <c r="T318" s="143"/>
      <c r="U318" s="143"/>
      <c r="V318" s="143"/>
      <c r="W318" s="130"/>
      <c r="X318" s="130"/>
      <c r="Y318" s="130"/>
      <c r="Z318" s="130"/>
      <c r="AA318" s="130"/>
      <c r="AB318" s="130"/>
      <c r="AC318" s="130"/>
      <c r="AD318" s="130"/>
      <c r="AE318" s="130"/>
      <c r="AF318" s="130"/>
      <c r="AG318" s="130"/>
      <c r="AH318" s="130"/>
      <c r="AI318" s="130"/>
      <c r="AJ318" s="130"/>
      <c r="AK318" s="130"/>
    </row>
    <row r="319">
      <c r="A319" s="130"/>
      <c r="B319" s="130"/>
      <c r="C319" s="143"/>
      <c r="D319" s="130"/>
      <c r="E319" s="143"/>
      <c r="F319" s="143"/>
      <c r="G319" s="143"/>
      <c r="H319" s="143"/>
      <c r="I319" s="143"/>
      <c r="J319" s="143"/>
      <c r="K319" s="143"/>
      <c r="L319" s="143"/>
      <c r="M319" s="143"/>
      <c r="N319" s="143"/>
      <c r="O319" s="143"/>
      <c r="P319" s="143"/>
      <c r="Q319" s="67"/>
      <c r="R319" s="144"/>
      <c r="S319" s="144"/>
      <c r="T319" s="143"/>
      <c r="U319" s="143"/>
      <c r="V319" s="143"/>
      <c r="W319" s="130"/>
      <c r="X319" s="130"/>
      <c r="Y319" s="130"/>
      <c r="Z319" s="130"/>
      <c r="AA319" s="130"/>
      <c r="AB319" s="130"/>
      <c r="AC319" s="130"/>
      <c r="AD319" s="130"/>
      <c r="AE319" s="130"/>
      <c r="AF319" s="130"/>
      <c r="AG319" s="130"/>
      <c r="AH319" s="130"/>
      <c r="AI319" s="130"/>
      <c r="AJ319" s="130"/>
      <c r="AK319" s="130"/>
    </row>
    <row r="320">
      <c r="A320" s="130"/>
      <c r="B320" s="130"/>
      <c r="C320" s="143"/>
      <c r="D320" s="130"/>
      <c r="E320" s="143"/>
      <c r="F320" s="143"/>
      <c r="G320" s="143"/>
      <c r="H320" s="143"/>
      <c r="I320" s="143"/>
      <c r="J320" s="143"/>
      <c r="K320" s="143"/>
      <c r="L320" s="143"/>
      <c r="M320" s="143"/>
      <c r="N320" s="143"/>
      <c r="O320" s="143"/>
      <c r="P320" s="143"/>
      <c r="Q320" s="67"/>
      <c r="R320" s="144"/>
      <c r="S320" s="144"/>
      <c r="T320" s="143"/>
      <c r="U320" s="143"/>
      <c r="V320" s="143"/>
      <c r="W320" s="130"/>
      <c r="X320" s="130"/>
      <c r="Y320" s="130"/>
      <c r="Z320" s="130"/>
      <c r="AA320" s="130"/>
      <c r="AB320" s="130"/>
      <c r="AC320" s="130"/>
      <c r="AD320" s="130"/>
      <c r="AE320" s="130"/>
      <c r="AF320" s="130"/>
      <c r="AG320" s="130"/>
      <c r="AH320" s="130"/>
      <c r="AI320" s="130"/>
      <c r="AJ320" s="130"/>
      <c r="AK320" s="130"/>
    </row>
    <row r="321">
      <c r="A321" s="130"/>
      <c r="B321" s="130"/>
      <c r="C321" s="143"/>
      <c r="D321" s="130"/>
      <c r="E321" s="143"/>
      <c r="F321" s="143"/>
      <c r="G321" s="143"/>
      <c r="H321" s="143"/>
      <c r="I321" s="143"/>
      <c r="J321" s="143"/>
      <c r="K321" s="143"/>
      <c r="L321" s="143"/>
      <c r="M321" s="143"/>
      <c r="N321" s="143"/>
      <c r="O321" s="143"/>
      <c r="P321" s="143"/>
      <c r="Q321" s="67"/>
      <c r="R321" s="144"/>
      <c r="S321" s="144"/>
      <c r="T321" s="143"/>
      <c r="U321" s="143"/>
      <c r="V321" s="143"/>
      <c r="W321" s="130"/>
      <c r="X321" s="130"/>
      <c r="Y321" s="130"/>
      <c r="Z321" s="130"/>
      <c r="AA321" s="130"/>
      <c r="AB321" s="130"/>
      <c r="AC321" s="130"/>
      <c r="AD321" s="130"/>
      <c r="AE321" s="130"/>
      <c r="AF321" s="130"/>
      <c r="AG321" s="130"/>
      <c r="AH321" s="130"/>
      <c r="AI321" s="130"/>
      <c r="AJ321" s="130"/>
      <c r="AK321" s="130"/>
    </row>
    <row r="322">
      <c r="A322" s="130"/>
      <c r="B322" s="130"/>
      <c r="C322" s="143"/>
      <c r="D322" s="130"/>
      <c r="E322" s="143"/>
      <c r="F322" s="143"/>
      <c r="G322" s="143"/>
      <c r="H322" s="143"/>
      <c r="I322" s="143"/>
      <c r="J322" s="143"/>
      <c r="K322" s="143"/>
      <c r="L322" s="143"/>
      <c r="M322" s="143"/>
      <c r="N322" s="143"/>
      <c r="O322" s="143"/>
      <c r="P322" s="143"/>
      <c r="Q322" s="67"/>
      <c r="R322" s="144"/>
      <c r="S322" s="144"/>
      <c r="T322" s="143"/>
      <c r="U322" s="143"/>
      <c r="V322" s="143"/>
      <c r="W322" s="130"/>
      <c r="X322" s="130"/>
      <c r="Y322" s="130"/>
      <c r="Z322" s="130"/>
      <c r="AA322" s="130"/>
      <c r="AB322" s="130"/>
      <c r="AC322" s="130"/>
      <c r="AD322" s="130"/>
      <c r="AE322" s="130"/>
      <c r="AF322" s="130"/>
      <c r="AG322" s="130"/>
      <c r="AH322" s="130"/>
      <c r="AI322" s="130"/>
      <c r="AJ322" s="130"/>
      <c r="AK322" s="130"/>
    </row>
    <row r="323">
      <c r="A323" s="130"/>
      <c r="B323" s="130"/>
      <c r="C323" s="143"/>
      <c r="D323" s="130"/>
      <c r="E323" s="143"/>
      <c r="F323" s="143"/>
      <c r="G323" s="143"/>
      <c r="H323" s="143"/>
      <c r="I323" s="143"/>
      <c r="J323" s="143"/>
      <c r="K323" s="143"/>
      <c r="L323" s="143"/>
      <c r="M323" s="143"/>
      <c r="N323" s="143"/>
      <c r="O323" s="143"/>
      <c r="P323" s="143"/>
      <c r="Q323" s="67"/>
      <c r="R323" s="144"/>
      <c r="S323" s="144"/>
      <c r="T323" s="143"/>
      <c r="U323" s="143"/>
      <c r="V323" s="143"/>
      <c r="W323" s="130"/>
      <c r="X323" s="130"/>
      <c r="Y323" s="130"/>
      <c r="Z323" s="130"/>
      <c r="AA323" s="130"/>
      <c r="AB323" s="130"/>
      <c r="AC323" s="130"/>
      <c r="AD323" s="130"/>
      <c r="AE323" s="130"/>
      <c r="AF323" s="130"/>
      <c r="AG323" s="130"/>
      <c r="AH323" s="130"/>
      <c r="AI323" s="130"/>
      <c r="AJ323" s="130"/>
      <c r="AK323" s="130"/>
    </row>
    <row r="324">
      <c r="A324" s="130"/>
      <c r="B324" s="130"/>
      <c r="C324" s="143"/>
      <c r="D324" s="130"/>
      <c r="E324" s="143"/>
      <c r="F324" s="143"/>
      <c r="G324" s="143"/>
      <c r="H324" s="143"/>
      <c r="I324" s="143"/>
      <c r="J324" s="143"/>
      <c r="K324" s="143"/>
      <c r="L324" s="143"/>
      <c r="M324" s="143"/>
      <c r="N324" s="143"/>
      <c r="O324" s="143"/>
      <c r="P324" s="143"/>
      <c r="Q324" s="67"/>
      <c r="R324" s="144"/>
      <c r="S324" s="144"/>
      <c r="T324" s="143"/>
      <c r="U324" s="143"/>
      <c r="V324" s="143"/>
      <c r="W324" s="130"/>
      <c r="X324" s="130"/>
      <c r="Y324" s="130"/>
      <c r="Z324" s="130"/>
      <c r="AA324" s="130"/>
      <c r="AB324" s="130"/>
      <c r="AC324" s="130"/>
      <c r="AD324" s="130"/>
      <c r="AE324" s="130"/>
      <c r="AF324" s="130"/>
      <c r="AG324" s="130"/>
      <c r="AH324" s="130"/>
      <c r="AI324" s="130"/>
      <c r="AJ324" s="130"/>
      <c r="AK324" s="130"/>
    </row>
    <row r="325">
      <c r="A325" s="130"/>
      <c r="B325" s="130"/>
      <c r="C325" s="143"/>
      <c r="D325" s="130"/>
      <c r="E325" s="143"/>
      <c r="F325" s="143"/>
      <c r="G325" s="143"/>
      <c r="H325" s="143"/>
      <c r="I325" s="143"/>
      <c r="J325" s="143"/>
      <c r="K325" s="143"/>
      <c r="L325" s="143"/>
      <c r="M325" s="143"/>
      <c r="N325" s="143"/>
      <c r="O325" s="143"/>
      <c r="P325" s="143"/>
      <c r="Q325" s="67"/>
      <c r="R325" s="144"/>
      <c r="S325" s="144"/>
      <c r="T325" s="143"/>
      <c r="U325" s="143"/>
      <c r="V325" s="143"/>
      <c r="W325" s="130"/>
      <c r="X325" s="130"/>
      <c r="Y325" s="130"/>
      <c r="Z325" s="130"/>
      <c r="AA325" s="130"/>
      <c r="AB325" s="130"/>
      <c r="AC325" s="130"/>
      <c r="AD325" s="130"/>
      <c r="AE325" s="130"/>
      <c r="AF325" s="130"/>
      <c r="AG325" s="130"/>
      <c r="AH325" s="130"/>
      <c r="AI325" s="130"/>
      <c r="AJ325" s="130"/>
      <c r="AK325" s="130"/>
    </row>
    <row r="326">
      <c r="A326" s="130"/>
      <c r="B326" s="130"/>
      <c r="C326" s="143"/>
      <c r="D326" s="130"/>
      <c r="E326" s="143"/>
      <c r="F326" s="143"/>
      <c r="G326" s="143"/>
      <c r="H326" s="143"/>
      <c r="I326" s="143"/>
      <c r="J326" s="143"/>
      <c r="K326" s="143"/>
      <c r="L326" s="143"/>
      <c r="M326" s="143"/>
      <c r="N326" s="143"/>
      <c r="O326" s="143"/>
      <c r="P326" s="143"/>
      <c r="Q326" s="67"/>
      <c r="R326" s="144"/>
      <c r="S326" s="144"/>
      <c r="T326" s="143"/>
      <c r="U326" s="143"/>
      <c r="V326" s="143"/>
      <c r="W326" s="130"/>
      <c r="X326" s="130"/>
      <c r="Y326" s="130"/>
      <c r="Z326" s="130"/>
      <c r="AA326" s="130"/>
      <c r="AB326" s="130"/>
      <c r="AC326" s="130"/>
      <c r="AD326" s="130"/>
      <c r="AE326" s="130"/>
      <c r="AF326" s="130"/>
      <c r="AG326" s="130"/>
      <c r="AH326" s="130"/>
      <c r="AI326" s="130"/>
      <c r="AJ326" s="130"/>
      <c r="AK326" s="130"/>
    </row>
    <row r="327">
      <c r="A327" s="130"/>
      <c r="B327" s="130"/>
      <c r="C327" s="143"/>
      <c r="D327" s="130"/>
      <c r="E327" s="143"/>
      <c r="F327" s="143"/>
      <c r="G327" s="143"/>
      <c r="H327" s="143"/>
      <c r="I327" s="143"/>
      <c r="J327" s="143"/>
      <c r="K327" s="143"/>
      <c r="L327" s="143"/>
      <c r="M327" s="143"/>
      <c r="N327" s="143"/>
      <c r="O327" s="143"/>
      <c r="P327" s="143"/>
      <c r="Q327" s="67"/>
      <c r="R327" s="144"/>
      <c r="S327" s="144"/>
      <c r="T327" s="143"/>
      <c r="U327" s="143"/>
      <c r="V327" s="143"/>
      <c r="W327" s="130"/>
      <c r="X327" s="130"/>
      <c r="Y327" s="130"/>
      <c r="Z327" s="130"/>
      <c r="AA327" s="130"/>
      <c r="AB327" s="130"/>
      <c r="AC327" s="130"/>
      <c r="AD327" s="130"/>
      <c r="AE327" s="130"/>
      <c r="AF327" s="130"/>
      <c r="AG327" s="130"/>
      <c r="AH327" s="130"/>
      <c r="AI327" s="130"/>
      <c r="AJ327" s="130"/>
      <c r="AK327" s="130"/>
    </row>
    <row r="328">
      <c r="A328" s="130"/>
      <c r="B328" s="130"/>
      <c r="C328" s="143"/>
      <c r="D328" s="130"/>
      <c r="E328" s="143"/>
      <c r="F328" s="143"/>
      <c r="G328" s="143"/>
      <c r="H328" s="143"/>
      <c r="I328" s="143"/>
      <c r="J328" s="143"/>
      <c r="K328" s="143"/>
      <c r="L328" s="143"/>
      <c r="M328" s="143"/>
      <c r="N328" s="143"/>
      <c r="O328" s="143"/>
      <c r="P328" s="143"/>
      <c r="Q328" s="67"/>
      <c r="R328" s="144"/>
      <c r="S328" s="144"/>
      <c r="T328" s="143"/>
      <c r="U328" s="143"/>
      <c r="V328" s="143"/>
      <c r="W328" s="130"/>
      <c r="X328" s="130"/>
      <c r="Y328" s="130"/>
      <c r="Z328" s="130"/>
      <c r="AA328" s="130"/>
      <c r="AB328" s="130"/>
      <c r="AC328" s="130"/>
      <c r="AD328" s="130"/>
      <c r="AE328" s="130"/>
      <c r="AF328" s="130"/>
      <c r="AG328" s="130"/>
      <c r="AH328" s="130"/>
      <c r="AI328" s="130"/>
      <c r="AJ328" s="130"/>
      <c r="AK328" s="130"/>
    </row>
    <row r="329">
      <c r="A329" s="130"/>
      <c r="B329" s="130"/>
      <c r="C329" s="143"/>
      <c r="D329" s="130"/>
      <c r="E329" s="143"/>
      <c r="F329" s="143"/>
      <c r="G329" s="143"/>
      <c r="H329" s="143"/>
      <c r="I329" s="143"/>
      <c r="J329" s="143"/>
      <c r="K329" s="143"/>
      <c r="L329" s="143"/>
      <c r="M329" s="143"/>
      <c r="N329" s="143"/>
      <c r="O329" s="143"/>
      <c r="P329" s="143"/>
      <c r="Q329" s="67"/>
      <c r="R329" s="144"/>
      <c r="S329" s="144"/>
      <c r="T329" s="143"/>
      <c r="U329" s="143"/>
      <c r="V329" s="143"/>
      <c r="W329" s="130"/>
      <c r="X329" s="130"/>
      <c r="Y329" s="130"/>
      <c r="Z329" s="130"/>
      <c r="AA329" s="130"/>
      <c r="AB329" s="130"/>
      <c r="AC329" s="130"/>
      <c r="AD329" s="130"/>
      <c r="AE329" s="130"/>
      <c r="AF329" s="130"/>
      <c r="AG329" s="130"/>
      <c r="AH329" s="130"/>
      <c r="AI329" s="130"/>
      <c r="AJ329" s="130"/>
      <c r="AK329" s="130"/>
    </row>
    <row r="330">
      <c r="A330" s="130"/>
      <c r="B330" s="130"/>
      <c r="C330" s="143"/>
      <c r="D330" s="130"/>
      <c r="E330" s="143"/>
      <c r="F330" s="143"/>
      <c r="G330" s="143"/>
      <c r="H330" s="143"/>
      <c r="I330" s="143"/>
      <c r="J330" s="143"/>
      <c r="K330" s="143"/>
      <c r="L330" s="143"/>
      <c r="M330" s="143"/>
      <c r="N330" s="143"/>
      <c r="O330" s="143"/>
      <c r="P330" s="143"/>
      <c r="Q330" s="67"/>
      <c r="R330" s="144"/>
      <c r="S330" s="144"/>
      <c r="T330" s="143"/>
      <c r="U330" s="143"/>
      <c r="V330" s="143"/>
      <c r="W330" s="130"/>
      <c r="X330" s="130"/>
      <c r="Y330" s="130"/>
      <c r="Z330" s="130"/>
      <c r="AA330" s="130"/>
      <c r="AB330" s="130"/>
      <c r="AC330" s="130"/>
      <c r="AD330" s="130"/>
      <c r="AE330" s="130"/>
      <c r="AF330" s="130"/>
      <c r="AG330" s="130"/>
      <c r="AH330" s="130"/>
      <c r="AI330" s="130"/>
      <c r="AJ330" s="130"/>
      <c r="AK330" s="130"/>
    </row>
    <row r="331">
      <c r="A331" s="130"/>
      <c r="B331" s="130"/>
      <c r="C331" s="143"/>
      <c r="D331" s="130"/>
      <c r="E331" s="143"/>
      <c r="F331" s="143"/>
      <c r="G331" s="143"/>
      <c r="H331" s="143"/>
      <c r="I331" s="143"/>
      <c r="J331" s="143"/>
      <c r="K331" s="143"/>
      <c r="L331" s="143"/>
      <c r="M331" s="143"/>
      <c r="N331" s="143"/>
      <c r="O331" s="143"/>
      <c r="P331" s="143"/>
      <c r="Q331" s="67"/>
      <c r="R331" s="144"/>
      <c r="S331" s="144"/>
      <c r="T331" s="143"/>
      <c r="U331" s="143"/>
      <c r="V331" s="143"/>
      <c r="W331" s="130"/>
      <c r="X331" s="130"/>
      <c r="Y331" s="130"/>
      <c r="Z331" s="130"/>
      <c r="AA331" s="130"/>
      <c r="AB331" s="130"/>
      <c r="AC331" s="130"/>
      <c r="AD331" s="130"/>
      <c r="AE331" s="130"/>
      <c r="AF331" s="130"/>
      <c r="AG331" s="130"/>
      <c r="AH331" s="130"/>
      <c r="AI331" s="130"/>
      <c r="AJ331" s="130"/>
      <c r="AK331" s="130"/>
    </row>
    <row r="332">
      <c r="A332" s="130"/>
      <c r="B332" s="130"/>
      <c r="C332" s="143"/>
      <c r="D332" s="130"/>
      <c r="E332" s="143"/>
      <c r="F332" s="143"/>
      <c r="G332" s="143"/>
      <c r="H332" s="143"/>
      <c r="I332" s="143"/>
      <c r="J332" s="143"/>
      <c r="K332" s="143"/>
      <c r="L332" s="143"/>
      <c r="M332" s="143"/>
      <c r="N332" s="143"/>
      <c r="O332" s="143"/>
      <c r="P332" s="143"/>
      <c r="Q332" s="67"/>
      <c r="R332" s="144"/>
      <c r="S332" s="144"/>
      <c r="T332" s="143"/>
      <c r="U332" s="143"/>
      <c r="V332" s="143"/>
      <c r="W332" s="130"/>
      <c r="X332" s="130"/>
      <c r="Y332" s="130"/>
      <c r="Z332" s="130"/>
      <c r="AA332" s="130"/>
      <c r="AB332" s="130"/>
      <c r="AC332" s="130"/>
      <c r="AD332" s="130"/>
      <c r="AE332" s="130"/>
      <c r="AF332" s="130"/>
      <c r="AG332" s="130"/>
      <c r="AH332" s="130"/>
      <c r="AI332" s="130"/>
      <c r="AJ332" s="130"/>
      <c r="AK332" s="130"/>
    </row>
    <row r="333">
      <c r="A333" s="130"/>
      <c r="B333" s="130"/>
      <c r="C333" s="143"/>
      <c r="D333" s="130"/>
      <c r="E333" s="143"/>
      <c r="F333" s="143"/>
      <c r="G333" s="143"/>
      <c r="H333" s="143"/>
      <c r="I333" s="143"/>
      <c r="J333" s="143"/>
      <c r="K333" s="143"/>
      <c r="L333" s="143"/>
      <c r="M333" s="143"/>
      <c r="N333" s="143"/>
      <c r="O333" s="143"/>
      <c r="P333" s="143"/>
      <c r="Q333" s="67"/>
      <c r="R333" s="144"/>
      <c r="S333" s="144"/>
      <c r="T333" s="143"/>
      <c r="U333" s="143"/>
      <c r="V333" s="143"/>
      <c r="W333" s="130"/>
      <c r="X333" s="130"/>
      <c r="Y333" s="130"/>
      <c r="Z333" s="130"/>
      <c r="AA333" s="130"/>
      <c r="AB333" s="130"/>
      <c r="AC333" s="130"/>
      <c r="AD333" s="130"/>
      <c r="AE333" s="130"/>
      <c r="AF333" s="130"/>
      <c r="AG333" s="130"/>
      <c r="AH333" s="130"/>
      <c r="AI333" s="130"/>
      <c r="AJ333" s="130"/>
      <c r="AK333" s="130"/>
    </row>
    <row r="334">
      <c r="A334" s="130"/>
      <c r="B334" s="130"/>
      <c r="C334" s="143"/>
      <c r="D334" s="130"/>
      <c r="E334" s="143"/>
      <c r="F334" s="143"/>
      <c r="G334" s="143"/>
      <c r="H334" s="143"/>
      <c r="I334" s="143"/>
      <c r="J334" s="143"/>
      <c r="K334" s="143"/>
      <c r="L334" s="143"/>
      <c r="M334" s="143"/>
      <c r="N334" s="143"/>
      <c r="O334" s="143"/>
      <c r="P334" s="143"/>
      <c r="Q334" s="67"/>
      <c r="R334" s="144"/>
      <c r="S334" s="144"/>
      <c r="T334" s="143"/>
      <c r="U334" s="143"/>
      <c r="V334" s="143"/>
      <c r="W334" s="130"/>
      <c r="X334" s="130"/>
      <c r="Y334" s="130"/>
      <c r="Z334" s="130"/>
      <c r="AA334" s="130"/>
      <c r="AB334" s="130"/>
      <c r="AC334" s="130"/>
      <c r="AD334" s="130"/>
      <c r="AE334" s="130"/>
      <c r="AF334" s="130"/>
      <c r="AG334" s="130"/>
      <c r="AH334" s="130"/>
      <c r="AI334" s="130"/>
      <c r="AJ334" s="130"/>
      <c r="AK334" s="130"/>
    </row>
    <row r="335">
      <c r="A335" s="130"/>
      <c r="B335" s="130"/>
      <c r="C335" s="143"/>
      <c r="D335" s="130"/>
      <c r="E335" s="143"/>
      <c r="F335" s="143"/>
      <c r="G335" s="143"/>
      <c r="H335" s="143"/>
      <c r="I335" s="143"/>
      <c r="J335" s="143"/>
      <c r="K335" s="143"/>
      <c r="L335" s="143"/>
      <c r="M335" s="143"/>
      <c r="N335" s="143"/>
      <c r="O335" s="143"/>
      <c r="P335" s="143"/>
      <c r="Q335" s="67"/>
      <c r="R335" s="144"/>
      <c r="S335" s="144"/>
      <c r="T335" s="143"/>
      <c r="U335" s="143"/>
      <c r="V335" s="143"/>
      <c r="W335" s="130"/>
      <c r="X335" s="130"/>
      <c r="Y335" s="130"/>
      <c r="Z335" s="130"/>
      <c r="AA335" s="130"/>
      <c r="AB335" s="130"/>
      <c r="AC335" s="130"/>
      <c r="AD335" s="130"/>
      <c r="AE335" s="130"/>
      <c r="AF335" s="130"/>
      <c r="AG335" s="130"/>
      <c r="AH335" s="130"/>
      <c r="AI335" s="130"/>
      <c r="AJ335" s="130"/>
      <c r="AK335" s="130"/>
    </row>
    <row r="336">
      <c r="A336" s="130"/>
      <c r="B336" s="130"/>
      <c r="C336" s="143"/>
      <c r="D336" s="130"/>
      <c r="E336" s="143"/>
      <c r="F336" s="143"/>
      <c r="G336" s="143"/>
      <c r="H336" s="143"/>
      <c r="I336" s="143"/>
      <c r="J336" s="143"/>
      <c r="K336" s="143"/>
      <c r="L336" s="143"/>
      <c r="M336" s="143"/>
      <c r="N336" s="143"/>
      <c r="O336" s="143"/>
      <c r="P336" s="143"/>
      <c r="Q336" s="67"/>
      <c r="R336" s="144"/>
      <c r="S336" s="144"/>
      <c r="T336" s="143"/>
      <c r="U336" s="143"/>
      <c r="V336" s="143"/>
      <c r="W336" s="130"/>
      <c r="X336" s="130"/>
      <c r="Y336" s="130"/>
      <c r="Z336" s="130"/>
      <c r="AA336" s="130"/>
      <c r="AB336" s="130"/>
      <c r="AC336" s="130"/>
      <c r="AD336" s="130"/>
      <c r="AE336" s="130"/>
      <c r="AF336" s="130"/>
      <c r="AG336" s="130"/>
      <c r="AH336" s="130"/>
      <c r="AI336" s="130"/>
      <c r="AJ336" s="130"/>
      <c r="AK336" s="130"/>
    </row>
    <row r="337">
      <c r="A337" s="130"/>
      <c r="B337" s="130"/>
      <c r="C337" s="143"/>
      <c r="D337" s="130"/>
      <c r="E337" s="143"/>
      <c r="F337" s="143"/>
      <c r="G337" s="143"/>
      <c r="H337" s="143"/>
      <c r="I337" s="143"/>
      <c r="J337" s="143"/>
      <c r="K337" s="143"/>
      <c r="L337" s="143"/>
      <c r="M337" s="143"/>
      <c r="N337" s="143"/>
      <c r="O337" s="143"/>
      <c r="P337" s="143"/>
      <c r="Q337" s="67"/>
      <c r="R337" s="144"/>
      <c r="S337" s="144"/>
      <c r="T337" s="143"/>
      <c r="U337" s="143"/>
      <c r="V337" s="143"/>
      <c r="W337" s="130"/>
      <c r="X337" s="130"/>
      <c r="Y337" s="130"/>
      <c r="Z337" s="130"/>
      <c r="AA337" s="130"/>
      <c r="AB337" s="130"/>
      <c r="AC337" s="130"/>
      <c r="AD337" s="130"/>
      <c r="AE337" s="130"/>
      <c r="AF337" s="130"/>
      <c r="AG337" s="130"/>
      <c r="AH337" s="130"/>
      <c r="AI337" s="130"/>
      <c r="AJ337" s="130"/>
      <c r="AK337" s="130"/>
    </row>
    <row r="338">
      <c r="A338" s="130"/>
      <c r="B338" s="130"/>
      <c r="C338" s="143"/>
      <c r="D338" s="130"/>
      <c r="E338" s="143"/>
      <c r="F338" s="143"/>
      <c r="G338" s="143"/>
      <c r="H338" s="143"/>
      <c r="I338" s="143"/>
      <c r="J338" s="143"/>
      <c r="K338" s="143"/>
      <c r="L338" s="143"/>
      <c r="M338" s="143"/>
      <c r="N338" s="143"/>
      <c r="O338" s="143"/>
      <c r="P338" s="143"/>
      <c r="Q338" s="67"/>
      <c r="R338" s="144"/>
      <c r="S338" s="144"/>
      <c r="T338" s="143"/>
      <c r="U338" s="143"/>
      <c r="V338" s="143"/>
      <c r="W338" s="130"/>
      <c r="X338" s="130"/>
      <c r="Y338" s="130"/>
      <c r="Z338" s="130"/>
      <c r="AA338" s="130"/>
      <c r="AB338" s="130"/>
      <c r="AC338" s="130"/>
      <c r="AD338" s="130"/>
      <c r="AE338" s="130"/>
      <c r="AF338" s="130"/>
      <c r="AG338" s="130"/>
      <c r="AH338" s="130"/>
      <c r="AI338" s="130"/>
      <c r="AJ338" s="130"/>
      <c r="AK338" s="130"/>
    </row>
    <row r="339">
      <c r="A339" s="130"/>
      <c r="B339" s="130"/>
      <c r="C339" s="143"/>
      <c r="D339" s="130"/>
      <c r="E339" s="143"/>
      <c r="F339" s="143"/>
      <c r="G339" s="143"/>
      <c r="H339" s="143"/>
      <c r="I339" s="143"/>
      <c r="J339" s="143"/>
      <c r="K339" s="143"/>
      <c r="L339" s="143"/>
      <c r="M339" s="143"/>
      <c r="N339" s="143"/>
      <c r="O339" s="143"/>
      <c r="P339" s="143"/>
      <c r="Q339" s="67"/>
      <c r="R339" s="144"/>
      <c r="S339" s="144"/>
      <c r="T339" s="143"/>
      <c r="U339" s="143"/>
      <c r="V339" s="143"/>
      <c r="W339" s="130"/>
      <c r="X339" s="130"/>
      <c r="Y339" s="130"/>
      <c r="Z339" s="130"/>
      <c r="AA339" s="130"/>
      <c r="AB339" s="130"/>
      <c r="AC339" s="130"/>
      <c r="AD339" s="130"/>
      <c r="AE339" s="130"/>
      <c r="AF339" s="130"/>
      <c r="AG339" s="130"/>
      <c r="AH339" s="130"/>
      <c r="AI339" s="130"/>
      <c r="AJ339" s="130"/>
      <c r="AK339" s="130"/>
    </row>
    <row r="340">
      <c r="A340" s="130"/>
      <c r="B340" s="130"/>
      <c r="C340" s="143"/>
      <c r="D340" s="130"/>
      <c r="E340" s="143"/>
      <c r="F340" s="143"/>
      <c r="G340" s="143"/>
      <c r="H340" s="143"/>
      <c r="I340" s="143"/>
      <c r="J340" s="143"/>
      <c r="K340" s="143"/>
      <c r="L340" s="143"/>
      <c r="M340" s="143"/>
      <c r="N340" s="143"/>
      <c r="O340" s="143"/>
      <c r="P340" s="143"/>
      <c r="Q340" s="67"/>
      <c r="R340" s="144"/>
      <c r="S340" s="144"/>
      <c r="T340" s="143"/>
      <c r="U340" s="143"/>
      <c r="V340" s="143"/>
      <c r="W340" s="130"/>
      <c r="X340" s="130"/>
      <c r="Y340" s="130"/>
      <c r="Z340" s="130"/>
      <c r="AA340" s="130"/>
      <c r="AB340" s="130"/>
      <c r="AC340" s="130"/>
      <c r="AD340" s="130"/>
      <c r="AE340" s="130"/>
      <c r="AF340" s="130"/>
      <c r="AG340" s="130"/>
      <c r="AH340" s="130"/>
      <c r="AI340" s="130"/>
      <c r="AJ340" s="130"/>
      <c r="AK340" s="130"/>
    </row>
    <row r="341">
      <c r="A341" s="130"/>
      <c r="B341" s="130"/>
      <c r="C341" s="143"/>
      <c r="D341" s="130"/>
      <c r="E341" s="143"/>
      <c r="F341" s="143"/>
      <c r="G341" s="143"/>
      <c r="H341" s="143"/>
      <c r="I341" s="143"/>
      <c r="J341" s="143"/>
      <c r="K341" s="143"/>
      <c r="L341" s="143"/>
      <c r="M341" s="143"/>
      <c r="N341" s="143"/>
      <c r="O341" s="143"/>
      <c r="P341" s="143"/>
      <c r="Q341" s="67"/>
      <c r="R341" s="144"/>
      <c r="S341" s="144"/>
      <c r="T341" s="143"/>
      <c r="U341" s="143"/>
      <c r="V341" s="143"/>
      <c r="W341" s="130"/>
      <c r="X341" s="130"/>
      <c r="Y341" s="130"/>
      <c r="Z341" s="130"/>
      <c r="AA341" s="130"/>
      <c r="AB341" s="130"/>
      <c r="AC341" s="130"/>
      <c r="AD341" s="130"/>
      <c r="AE341" s="130"/>
      <c r="AF341" s="130"/>
      <c r="AG341" s="130"/>
      <c r="AH341" s="130"/>
      <c r="AI341" s="130"/>
      <c r="AJ341" s="130"/>
      <c r="AK341" s="130"/>
    </row>
    <row r="342">
      <c r="A342" s="130"/>
      <c r="B342" s="130"/>
      <c r="C342" s="143"/>
      <c r="D342" s="130"/>
      <c r="E342" s="143"/>
      <c r="F342" s="143"/>
      <c r="G342" s="143"/>
      <c r="H342" s="143"/>
      <c r="I342" s="143"/>
      <c r="J342" s="143"/>
      <c r="K342" s="143"/>
      <c r="L342" s="143"/>
      <c r="M342" s="143"/>
      <c r="N342" s="143"/>
      <c r="O342" s="143"/>
      <c r="P342" s="143"/>
      <c r="Q342" s="67"/>
      <c r="R342" s="144"/>
      <c r="S342" s="144"/>
      <c r="T342" s="143"/>
      <c r="U342" s="143"/>
      <c r="V342" s="143"/>
      <c r="W342" s="130"/>
      <c r="X342" s="130"/>
      <c r="Y342" s="130"/>
      <c r="Z342" s="130"/>
      <c r="AA342" s="130"/>
      <c r="AB342" s="130"/>
      <c r="AC342" s="130"/>
      <c r="AD342" s="130"/>
      <c r="AE342" s="130"/>
      <c r="AF342" s="130"/>
      <c r="AG342" s="130"/>
      <c r="AH342" s="130"/>
      <c r="AI342" s="130"/>
      <c r="AJ342" s="130"/>
      <c r="AK342" s="130"/>
    </row>
    <row r="343">
      <c r="A343" s="130"/>
      <c r="B343" s="130"/>
      <c r="C343" s="143"/>
      <c r="D343" s="130"/>
      <c r="E343" s="143"/>
      <c r="F343" s="143"/>
      <c r="G343" s="143"/>
      <c r="H343" s="143"/>
      <c r="I343" s="143"/>
      <c r="J343" s="143"/>
      <c r="K343" s="143"/>
      <c r="L343" s="143"/>
      <c r="M343" s="143"/>
      <c r="N343" s="143"/>
      <c r="O343" s="143"/>
      <c r="P343" s="143"/>
      <c r="Q343" s="67"/>
      <c r="R343" s="144"/>
      <c r="S343" s="144"/>
      <c r="T343" s="143"/>
      <c r="U343" s="143"/>
      <c r="V343" s="143"/>
      <c r="W343" s="130"/>
      <c r="X343" s="130"/>
      <c r="Y343" s="130"/>
      <c r="Z343" s="130"/>
      <c r="AA343" s="130"/>
      <c r="AB343" s="130"/>
      <c r="AC343" s="130"/>
      <c r="AD343" s="130"/>
      <c r="AE343" s="130"/>
      <c r="AF343" s="130"/>
      <c r="AG343" s="130"/>
      <c r="AH343" s="130"/>
      <c r="AI343" s="130"/>
      <c r="AJ343" s="130"/>
      <c r="AK343" s="130"/>
    </row>
    <row r="344">
      <c r="A344" s="130"/>
      <c r="B344" s="130"/>
      <c r="C344" s="143"/>
      <c r="D344" s="130"/>
      <c r="E344" s="143"/>
      <c r="F344" s="143"/>
      <c r="G344" s="143"/>
      <c r="H344" s="143"/>
      <c r="I344" s="143"/>
      <c r="J344" s="143"/>
      <c r="K344" s="143"/>
      <c r="L344" s="143"/>
      <c r="M344" s="143"/>
      <c r="N344" s="143"/>
      <c r="O344" s="143"/>
      <c r="P344" s="143"/>
      <c r="Q344" s="67"/>
      <c r="R344" s="144"/>
      <c r="S344" s="144"/>
      <c r="T344" s="143"/>
      <c r="U344" s="143"/>
      <c r="V344" s="143"/>
      <c r="W344" s="130"/>
      <c r="X344" s="130"/>
      <c r="Y344" s="130"/>
      <c r="Z344" s="130"/>
      <c r="AA344" s="130"/>
      <c r="AB344" s="130"/>
      <c r="AC344" s="130"/>
      <c r="AD344" s="130"/>
      <c r="AE344" s="130"/>
      <c r="AF344" s="130"/>
      <c r="AG344" s="130"/>
      <c r="AH344" s="130"/>
      <c r="AI344" s="130"/>
      <c r="AJ344" s="130"/>
      <c r="AK344" s="130"/>
    </row>
    <row r="345">
      <c r="A345" s="130"/>
      <c r="B345" s="130"/>
      <c r="C345" s="143"/>
      <c r="D345" s="130"/>
      <c r="E345" s="143"/>
      <c r="F345" s="143"/>
      <c r="G345" s="143"/>
      <c r="H345" s="143"/>
      <c r="I345" s="143"/>
      <c r="J345" s="143"/>
      <c r="K345" s="143"/>
      <c r="L345" s="143"/>
      <c r="M345" s="143"/>
      <c r="N345" s="143"/>
      <c r="O345" s="143"/>
      <c r="P345" s="143"/>
      <c r="Q345" s="67"/>
      <c r="R345" s="144"/>
      <c r="S345" s="144"/>
      <c r="T345" s="143"/>
      <c r="U345" s="143"/>
      <c r="V345" s="143"/>
      <c r="W345" s="130"/>
      <c r="X345" s="130"/>
      <c r="Y345" s="130"/>
      <c r="Z345" s="130"/>
      <c r="AA345" s="130"/>
      <c r="AB345" s="130"/>
      <c r="AC345" s="130"/>
      <c r="AD345" s="130"/>
      <c r="AE345" s="130"/>
      <c r="AF345" s="130"/>
      <c r="AG345" s="130"/>
      <c r="AH345" s="130"/>
      <c r="AI345" s="130"/>
      <c r="AJ345" s="130"/>
      <c r="AK345" s="130"/>
    </row>
    <row r="346">
      <c r="A346" s="130"/>
      <c r="B346" s="130"/>
      <c r="C346" s="143"/>
      <c r="D346" s="130"/>
      <c r="E346" s="143"/>
      <c r="F346" s="143"/>
      <c r="G346" s="143"/>
      <c r="H346" s="143"/>
      <c r="I346" s="143"/>
      <c r="J346" s="143"/>
      <c r="K346" s="143"/>
      <c r="L346" s="143"/>
      <c r="M346" s="143"/>
      <c r="N346" s="143"/>
      <c r="O346" s="143"/>
      <c r="P346" s="143"/>
      <c r="Q346" s="67"/>
      <c r="R346" s="144"/>
      <c r="S346" s="144"/>
      <c r="T346" s="143"/>
      <c r="U346" s="143"/>
      <c r="V346" s="143"/>
      <c r="W346" s="130"/>
      <c r="X346" s="130"/>
      <c r="Y346" s="130"/>
      <c r="Z346" s="130"/>
      <c r="AA346" s="130"/>
      <c r="AB346" s="130"/>
      <c r="AC346" s="130"/>
      <c r="AD346" s="130"/>
      <c r="AE346" s="130"/>
      <c r="AF346" s="130"/>
      <c r="AG346" s="130"/>
      <c r="AH346" s="130"/>
      <c r="AI346" s="130"/>
      <c r="AJ346" s="130"/>
      <c r="AK346" s="130"/>
    </row>
    <row r="347">
      <c r="A347" s="130"/>
      <c r="B347" s="130"/>
      <c r="C347" s="143"/>
      <c r="D347" s="130"/>
      <c r="E347" s="143"/>
      <c r="F347" s="143"/>
      <c r="G347" s="143"/>
      <c r="H347" s="143"/>
      <c r="I347" s="143"/>
      <c r="J347" s="143"/>
      <c r="K347" s="143"/>
      <c r="L347" s="143"/>
      <c r="M347" s="143"/>
      <c r="N347" s="143"/>
      <c r="O347" s="143"/>
      <c r="P347" s="143"/>
      <c r="Q347" s="67"/>
      <c r="R347" s="144"/>
      <c r="S347" s="144"/>
      <c r="T347" s="143"/>
      <c r="U347" s="143"/>
      <c r="V347" s="143"/>
      <c r="W347" s="130"/>
      <c r="X347" s="130"/>
      <c r="Y347" s="130"/>
      <c r="Z347" s="130"/>
      <c r="AA347" s="130"/>
      <c r="AB347" s="130"/>
      <c r="AC347" s="130"/>
      <c r="AD347" s="130"/>
      <c r="AE347" s="130"/>
      <c r="AF347" s="130"/>
      <c r="AG347" s="130"/>
      <c r="AH347" s="130"/>
      <c r="AI347" s="130"/>
      <c r="AJ347" s="130"/>
      <c r="AK347" s="130"/>
    </row>
    <row r="348">
      <c r="A348" s="130"/>
      <c r="B348" s="130"/>
      <c r="C348" s="143"/>
      <c r="D348" s="130"/>
      <c r="E348" s="143"/>
      <c r="F348" s="143"/>
      <c r="G348" s="143"/>
      <c r="H348" s="143"/>
      <c r="I348" s="143"/>
      <c r="J348" s="143"/>
      <c r="K348" s="143"/>
      <c r="L348" s="143"/>
      <c r="M348" s="143"/>
      <c r="N348" s="143"/>
      <c r="O348" s="143"/>
      <c r="P348" s="143"/>
      <c r="Q348" s="67"/>
      <c r="R348" s="144"/>
      <c r="S348" s="144"/>
      <c r="T348" s="143"/>
      <c r="U348" s="143"/>
      <c r="V348" s="143"/>
      <c r="W348" s="130"/>
      <c r="X348" s="130"/>
      <c r="Y348" s="130"/>
      <c r="Z348" s="130"/>
      <c r="AA348" s="130"/>
      <c r="AB348" s="130"/>
      <c r="AC348" s="130"/>
      <c r="AD348" s="130"/>
      <c r="AE348" s="130"/>
      <c r="AF348" s="130"/>
      <c r="AG348" s="130"/>
      <c r="AH348" s="130"/>
      <c r="AI348" s="130"/>
      <c r="AJ348" s="130"/>
      <c r="AK348" s="130"/>
    </row>
    <row r="349">
      <c r="A349" s="130"/>
      <c r="B349" s="130"/>
      <c r="C349" s="143"/>
      <c r="D349" s="130"/>
      <c r="E349" s="143"/>
      <c r="F349" s="143"/>
      <c r="G349" s="143"/>
      <c r="H349" s="143"/>
      <c r="I349" s="143"/>
      <c r="J349" s="143"/>
      <c r="K349" s="143"/>
      <c r="L349" s="143"/>
      <c r="M349" s="143"/>
      <c r="N349" s="143"/>
      <c r="O349" s="143"/>
      <c r="P349" s="143"/>
      <c r="Q349" s="67"/>
      <c r="R349" s="144"/>
      <c r="S349" s="144"/>
      <c r="T349" s="143"/>
      <c r="U349" s="143"/>
      <c r="V349" s="143"/>
      <c r="W349" s="130"/>
      <c r="X349" s="130"/>
      <c r="Y349" s="130"/>
      <c r="Z349" s="130"/>
      <c r="AA349" s="130"/>
      <c r="AB349" s="130"/>
      <c r="AC349" s="130"/>
      <c r="AD349" s="130"/>
      <c r="AE349" s="130"/>
      <c r="AF349" s="130"/>
      <c r="AG349" s="130"/>
      <c r="AH349" s="130"/>
      <c r="AI349" s="130"/>
      <c r="AJ349" s="130"/>
      <c r="AK349" s="130"/>
    </row>
    <row r="350">
      <c r="A350" s="130"/>
      <c r="B350" s="130"/>
      <c r="C350" s="143"/>
      <c r="D350" s="130"/>
      <c r="E350" s="143"/>
      <c r="F350" s="143"/>
      <c r="G350" s="143"/>
      <c r="H350" s="143"/>
      <c r="I350" s="143"/>
      <c r="J350" s="143"/>
      <c r="K350" s="143"/>
      <c r="L350" s="143"/>
      <c r="M350" s="143"/>
      <c r="N350" s="143"/>
      <c r="O350" s="143"/>
      <c r="P350" s="143"/>
      <c r="Q350" s="67"/>
      <c r="R350" s="144"/>
      <c r="S350" s="144"/>
      <c r="T350" s="143"/>
      <c r="U350" s="143"/>
      <c r="V350" s="143"/>
      <c r="W350" s="130"/>
      <c r="X350" s="130"/>
      <c r="Y350" s="130"/>
      <c r="Z350" s="130"/>
      <c r="AA350" s="130"/>
      <c r="AB350" s="130"/>
      <c r="AC350" s="130"/>
      <c r="AD350" s="130"/>
      <c r="AE350" s="130"/>
      <c r="AF350" s="130"/>
      <c r="AG350" s="130"/>
      <c r="AH350" s="130"/>
      <c r="AI350" s="130"/>
      <c r="AJ350" s="130"/>
      <c r="AK350" s="130"/>
    </row>
    <row r="351">
      <c r="A351" s="130"/>
      <c r="B351" s="130"/>
      <c r="C351" s="143"/>
      <c r="D351" s="130"/>
      <c r="E351" s="143"/>
      <c r="F351" s="143"/>
      <c r="G351" s="143"/>
      <c r="H351" s="143"/>
      <c r="I351" s="143"/>
      <c r="J351" s="143"/>
      <c r="K351" s="143"/>
      <c r="L351" s="143"/>
      <c r="M351" s="143"/>
      <c r="N351" s="143"/>
      <c r="O351" s="143"/>
      <c r="P351" s="143"/>
      <c r="Q351" s="67"/>
      <c r="R351" s="144"/>
      <c r="S351" s="144"/>
      <c r="T351" s="143"/>
      <c r="U351" s="143"/>
      <c r="V351" s="143"/>
      <c r="W351" s="130"/>
      <c r="X351" s="130"/>
      <c r="Y351" s="130"/>
      <c r="Z351" s="130"/>
      <c r="AA351" s="130"/>
      <c r="AB351" s="130"/>
      <c r="AC351" s="130"/>
      <c r="AD351" s="130"/>
      <c r="AE351" s="130"/>
      <c r="AF351" s="130"/>
      <c r="AG351" s="130"/>
      <c r="AH351" s="130"/>
      <c r="AI351" s="130"/>
      <c r="AJ351" s="130"/>
      <c r="AK351" s="130"/>
    </row>
    <row r="352">
      <c r="A352" s="130"/>
      <c r="B352" s="130"/>
      <c r="C352" s="143"/>
      <c r="D352" s="130"/>
      <c r="E352" s="143"/>
      <c r="F352" s="143"/>
      <c r="G352" s="143"/>
      <c r="H352" s="143"/>
      <c r="I352" s="143"/>
      <c r="J352" s="143"/>
      <c r="K352" s="143"/>
      <c r="L352" s="143"/>
      <c r="M352" s="143"/>
      <c r="N352" s="143"/>
      <c r="O352" s="143"/>
      <c r="P352" s="143"/>
      <c r="Q352" s="67"/>
      <c r="R352" s="144"/>
      <c r="S352" s="144"/>
      <c r="T352" s="143"/>
      <c r="U352" s="143"/>
      <c r="V352" s="143"/>
      <c r="W352" s="130"/>
      <c r="X352" s="130"/>
      <c r="Y352" s="130"/>
      <c r="Z352" s="130"/>
      <c r="AA352" s="130"/>
      <c r="AB352" s="130"/>
      <c r="AC352" s="130"/>
      <c r="AD352" s="130"/>
      <c r="AE352" s="130"/>
      <c r="AF352" s="130"/>
      <c r="AG352" s="130"/>
      <c r="AH352" s="130"/>
      <c r="AI352" s="130"/>
      <c r="AJ352" s="130"/>
      <c r="AK352" s="130"/>
    </row>
    <row r="353">
      <c r="A353" s="130"/>
      <c r="B353" s="130"/>
      <c r="C353" s="143"/>
      <c r="D353" s="130"/>
      <c r="E353" s="143"/>
      <c r="F353" s="143"/>
      <c r="G353" s="143"/>
      <c r="H353" s="143"/>
      <c r="I353" s="143"/>
      <c r="J353" s="143"/>
      <c r="K353" s="143"/>
      <c r="L353" s="143"/>
      <c r="M353" s="143"/>
      <c r="N353" s="143"/>
      <c r="O353" s="143"/>
      <c r="P353" s="143"/>
      <c r="Q353" s="67"/>
      <c r="R353" s="144"/>
      <c r="S353" s="144"/>
      <c r="T353" s="143"/>
      <c r="U353" s="143"/>
      <c r="V353" s="143"/>
      <c r="W353" s="130"/>
      <c r="X353" s="130"/>
      <c r="Y353" s="130"/>
      <c r="Z353" s="130"/>
      <c r="AA353" s="130"/>
      <c r="AB353" s="130"/>
      <c r="AC353" s="130"/>
      <c r="AD353" s="130"/>
      <c r="AE353" s="130"/>
      <c r="AF353" s="130"/>
      <c r="AG353" s="130"/>
      <c r="AH353" s="130"/>
      <c r="AI353" s="130"/>
      <c r="AJ353" s="130"/>
      <c r="AK353" s="130"/>
    </row>
    <row r="354">
      <c r="A354" s="130"/>
      <c r="B354" s="130"/>
      <c r="C354" s="143"/>
      <c r="D354" s="130"/>
      <c r="E354" s="143"/>
      <c r="F354" s="143"/>
      <c r="G354" s="143"/>
      <c r="H354" s="143"/>
      <c r="I354" s="143"/>
      <c r="J354" s="143"/>
      <c r="K354" s="143"/>
      <c r="L354" s="143"/>
      <c r="M354" s="143"/>
      <c r="N354" s="143"/>
      <c r="O354" s="143"/>
      <c r="P354" s="143"/>
      <c r="Q354" s="67"/>
      <c r="R354" s="144"/>
      <c r="S354" s="144"/>
      <c r="T354" s="143"/>
      <c r="U354" s="143"/>
      <c r="V354" s="143"/>
      <c r="W354" s="130"/>
      <c r="X354" s="130"/>
      <c r="Y354" s="130"/>
      <c r="Z354" s="130"/>
      <c r="AA354" s="130"/>
      <c r="AB354" s="130"/>
      <c r="AC354" s="130"/>
      <c r="AD354" s="130"/>
      <c r="AE354" s="130"/>
      <c r="AF354" s="130"/>
      <c r="AG354" s="130"/>
      <c r="AH354" s="130"/>
      <c r="AI354" s="130"/>
      <c r="AJ354" s="130"/>
      <c r="AK354" s="130"/>
    </row>
    <row r="355">
      <c r="A355" s="130"/>
      <c r="B355" s="130"/>
      <c r="C355" s="143"/>
      <c r="D355" s="130"/>
      <c r="E355" s="143"/>
      <c r="F355" s="143"/>
      <c r="G355" s="143"/>
      <c r="H355" s="143"/>
      <c r="I355" s="143"/>
      <c r="J355" s="143"/>
      <c r="K355" s="143"/>
      <c r="L355" s="143"/>
      <c r="M355" s="143"/>
      <c r="N355" s="143"/>
      <c r="O355" s="143"/>
      <c r="P355" s="143"/>
      <c r="Q355" s="67"/>
      <c r="R355" s="144"/>
      <c r="S355" s="144"/>
      <c r="T355" s="143"/>
      <c r="U355" s="143"/>
      <c r="V355" s="143"/>
      <c r="W355" s="130"/>
      <c r="X355" s="130"/>
      <c r="Y355" s="130"/>
      <c r="Z355" s="130"/>
      <c r="AA355" s="130"/>
      <c r="AB355" s="130"/>
      <c r="AC355" s="130"/>
      <c r="AD355" s="130"/>
      <c r="AE355" s="130"/>
      <c r="AF355" s="130"/>
      <c r="AG355" s="130"/>
      <c r="AH355" s="130"/>
      <c r="AI355" s="130"/>
      <c r="AJ355" s="130"/>
      <c r="AK355" s="130"/>
    </row>
    <row r="356">
      <c r="A356" s="130"/>
      <c r="B356" s="130"/>
      <c r="C356" s="143"/>
      <c r="D356" s="130"/>
      <c r="E356" s="143"/>
      <c r="F356" s="143"/>
      <c r="G356" s="143"/>
      <c r="H356" s="143"/>
      <c r="I356" s="143"/>
      <c r="J356" s="143"/>
      <c r="K356" s="143"/>
      <c r="L356" s="143"/>
      <c r="M356" s="143"/>
      <c r="N356" s="143"/>
      <c r="O356" s="143"/>
      <c r="P356" s="143"/>
      <c r="Q356" s="67"/>
      <c r="R356" s="144"/>
      <c r="S356" s="144"/>
      <c r="T356" s="143"/>
      <c r="U356" s="143"/>
      <c r="V356" s="143"/>
      <c r="W356" s="130"/>
      <c r="X356" s="130"/>
      <c r="Y356" s="130"/>
      <c r="Z356" s="130"/>
      <c r="AA356" s="130"/>
      <c r="AB356" s="130"/>
      <c r="AC356" s="130"/>
      <c r="AD356" s="130"/>
      <c r="AE356" s="130"/>
      <c r="AF356" s="130"/>
      <c r="AG356" s="130"/>
      <c r="AH356" s="130"/>
      <c r="AI356" s="130"/>
      <c r="AJ356" s="130"/>
      <c r="AK356" s="130"/>
    </row>
    <row r="357">
      <c r="A357" s="130"/>
      <c r="B357" s="130"/>
      <c r="C357" s="143"/>
      <c r="D357" s="130"/>
      <c r="E357" s="143"/>
      <c r="F357" s="143"/>
      <c r="G357" s="143"/>
      <c r="H357" s="143"/>
      <c r="I357" s="143"/>
      <c r="J357" s="143"/>
      <c r="K357" s="143"/>
      <c r="L357" s="143"/>
      <c r="M357" s="143"/>
      <c r="N357" s="143"/>
      <c r="O357" s="143"/>
      <c r="P357" s="143"/>
      <c r="Q357" s="67"/>
      <c r="R357" s="144"/>
      <c r="S357" s="144"/>
      <c r="T357" s="143"/>
      <c r="U357" s="143"/>
      <c r="V357" s="143"/>
      <c r="W357" s="130"/>
      <c r="X357" s="130"/>
      <c r="Y357" s="130"/>
      <c r="Z357" s="130"/>
      <c r="AA357" s="130"/>
      <c r="AB357" s="130"/>
      <c r="AC357" s="130"/>
      <c r="AD357" s="130"/>
      <c r="AE357" s="130"/>
      <c r="AF357" s="130"/>
      <c r="AG357" s="130"/>
      <c r="AH357" s="130"/>
      <c r="AI357" s="130"/>
      <c r="AJ357" s="130"/>
      <c r="AK357" s="130"/>
    </row>
    <row r="358">
      <c r="A358" s="130"/>
      <c r="B358" s="130"/>
      <c r="C358" s="143"/>
      <c r="D358" s="130"/>
      <c r="E358" s="143"/>
      <c r="F358" s="143"/>
      <c r="G358" s="143"/>
      <c r="H358" s="143"/>
      <c r="I358" s="143"/>
      <c r="J358" s="143"/>
      <c r="K358" s="143"/>
      <c r="L358" s="143"/>
      <c r="M358" s="143"/>
      <c r="N358" s="143"/>
      <c r="O358" s="143"/>
      <c r="P358" s="143"/>
      <c r="Q358" s="67"/>
      <c r="R358" s="144"/>
      <c r="S358" s="144"/>
      <c r="T358" s="143"/>
      <c r="U358" s="143"/>
      <c r="V358" s="143"/>
      <c r="W358" s="130"/>
      <c r="X358" s="130"/>
      <c r="Y358" s="130"/>
      <c r="Z358" s="130"/>
      <c r="AA358" s="130"/>
      <c r="AB358" s="130"/>
      <c r="AC358" s="130"/>
      <c r="AD358" s="130"/>
      <c r="AE358" s="130"/>
      <c r="AF358" s="130"/>
      <c r="AG358" s="130"/>
      <c r="AH358" s="130"/>
      <c r="AI358" s="130"/>
      <c r="AJ358" s="130"/>
      <c r="AK358" s="130"/>
    </row>
    <row r="359">
      <c r="A359" s="130"/>
      <c r="B359" s="130"/>
      <c r="C359" s="143"/>
      <c r="D359" s="130"/>
      <c r="E359" s="143"/>
      <c r="F359" s="143"/>
      <c r="G359" s="143"/>
      <c r="H359" s="143"/>
      <c r="I359" s="143"/>
      <c r="J359" s="143"/>
      <c r="K359" s="143"/>
      <c r="L359" s="143"/>
      <c r="M359" s="143"/>
      <c r="N359" s="143"/>
      <c r="O359" s="143"/>
      <c r="P359" s="143"/>
      <c r="Q359" s="67"/>
      <c r="R359" s="144"/>
      <c r="S359" s="144"/>
      <c r="T359" s="143"/>
      <c r="U359" s="143"/>
      <c r="V359" s="143"/>
      <c r="W359" s="130"/>
      <c r="X359" s="130"/>
      <c r="Y359" s="130"/>
      <c r="Z359" s="130"/>
      <c r="AA359" s="130"/>
      <c r="AB359" s="130"/>
      <c r="AC359" s="130"/>
      <c r="AD359" s="130"/>
      <c r="AE359" s="130"/>
      <c r="AF359" s="130"/>
      <c r="AG359" s="130"/>
      <c r="AH359" s="130"/>
      <c r="AI359" s="130"/>
      <c r="AJ359" s="130"/>
      <c r="AK359" s="130"/>
    </row>
    <row r="360">
      <c r="A360" s="130"/>
      <c r="B360" s="130"/>
      <c r="C360" s="143"/>
      <c r="D360" s="130"/>
      <c r="E360" s="143"/>
      <c r="F360" s="143"/>
      <c r="G360" s="143"/>
      <c r="H360" s="143"/>
      <c r="I360" s="143"/>
      <c r="J360" s="143"/>
      <c r="K360" s="143"/>
      <c r="L360" s="143"/>
      <c r="M360" s="143"/>
      <c r="N360" s="143"/>
      <c r="O360" s="143"/>
      <c r="P360" s="143"/>
      <c r="Q360" s="67"/>
      <c r="R360" s="144"/>
      <c r="S360" s="144"/>
      <c r="T360" s="143"/>
      <c r="U360" s="143"/>
      <c r="V360" s="143"/>
      <c r="W360" s="130"/>
      <c r="X360" s="130"/>
      <c r="Y360" s="130"/>
      <c r="Z360" s="130"/>
      <c r="AA360" s="130"/>
      <c r="AB360" s="130"/>
      <c r="AC360" s="130"/>
      <c r="AD360" s="130"/>
      <c r="AE360" s="130"/>
      <c r="AF360" s="130"/>
      <c r="AG360" s="130"/>
      <c r="AH360" s="130"/>
      <c r="AI360" s="130"/>
      <c r="AJ360" s="130"/>
      <c r="AK360" s="130"/>
    </row>
    <row r="361">
      <c r="A361" s="130"/>
      <c r="B361" s="130"/>
      <c r="C361" s="143"/>
      <c r="D361" s="130"/>
      <c r="E361" s="143"/>
      <c r="F361" s="143"/>
      <c r="G361" s="143"/>
      <c r="H361" s="143"/>
      <c r="I361" s="143"/>
      <c r="J361" s="143"/>
      <c r="K361" s="143"/>
      <c r="L361" s="143"/>
      <c r="M361" s="143"/>
      <c r="N361" s="143"/>
      <c r="O361" s="143"/>
      <c r="P361" s="143"/>
      <c r="Q361" s="67"/>
      <c r="R361" s="144"/>
      <c r="S361" s="144"/>
      <c r="T361" s="143"/>
      <c r="U361" s="143"/>
      <c r="V361" s="143"/>
      <c r="W361" s="130"/>
      <c r="X361" s="130"/>
      <c r="Y361" s="130"/>
      <c r="Z361" s="130"/>
      <c r="AA361" s="130"/>
      <c r="AB361" s="130"/>
      <c r="AC361" s="130"/>
      <c r="AD361" s="130"/>
      <c r="AE361" s="130"/>
      <c r="AF361" s="130"/>
      <c r="AG361" s="130"/>
      <c r="AH361" s="130"/>
      <c r="AI361" s="130"/>
      <c r="AJ361" s="130"/>
      <c r="AK361" s="130"/>
    </row>
    <row r="362">
      <c r="A362" s="130"/>
      <c r="B362" s="130"/>
      <c r="C362" s="143"/>
      <c r="D362" s="130"/>
      <c r="E362" s="143"/>
      <c r="F362" s="143"/>
      <c r="G362" s="143"/>
      <c r="H362" s="143"/>
      <c r="I362" s="143"/>
      <c r="J362" s="143"/>
      <c r="K362" s="143"/>
      <c r="L362" s="143"/>
      <c r="M362" s="143"/>
      <c r="N362" s="143"/>
      <c r="O362" s="143"/>
      <c r="P362" s="143"/>
      <c r="Q362" s="67"/>
      <c r="R362" s="144"/>
      <c r="S362" s="144"/>
      <c r="T362" s="143"/>
      <c r="U362" s="143"/>
      <c r="V362" s="143"/>
      <c r="W362" s="130"/>
      <c r="X362" s="130"/>
      <c r="Y362" s="130"/>
      <c r="Z362" s="130"/>
      <c r="AA362" s="130"/>
      <c r="AB362" s="130"/>
      <c r="AC362" s="130"/>
      <c r="AD362" s="130"/>
      <c r="AE362" s="130"/>
      <c r="AF362" s="130"/>
      <c r="AG362" s="130"/>
      <c r="AH362" s="130"/>
      <c r="AI362" s="130"/>
      <c r="AJ362" s="130"/>
      <c r="AK362" s="130"/>
    </row>
    <row r="363">
      <c r="A363" s="130"/>
      <c r="B363" s="130"/>
      <c r="C363" s="143"/>
      <c r="D363" s="130"/>
      <c r="E363" s="143"/>
      <c r="F363" s="143"/>
      <c r="G363" s="143"/>
      <c r="H363" s="143"/>
      <c r="I363" s="143"/>
      <c r="J363" s="143"/>
      <c r="K363" s="143"/>
      <c r="L363" s="143"/>
      <c r="M363" s="143"/>
      <c r="N363" s="143"/>
      <c r="O363" s="143"/>
      <c r="P363" s="143"/>
      <c r="Q363" s="67"/>
      <c r="R363" s="144"/>
      <c r="S363" s="144"/>
      <c r="T363" s="143"/>
      <c r="U363" s="143"/>
      <c r="V363" s="143"/>
      <c r="W363" s="130"/>
      <c r="X363" s="130"/>
      <c r="Y363" s="130"/>
      <c r="Z363" s="130"/>
      <c r="AA363" s="130"/>
      <c r="AB363" s="130"/>
      <c r="AC363" s="130"/>
      <c r="AD363" s="130"/>
      <c r="AE363" s="130"/>
      <c r="AF363" s="130"/>
      <c r="AG363" s="130"/>
      <c r="AH363" s="130"/>
      <c r="AI363" s="130"/>
      <c r="AJ363" s="130"/>
      <c r="AK363" s="130"/>
    </row>
    <row r="364">
      <c r="A364" s="130"/>
      <c r="B364" s="130"/>
      <c r="C364" s="143"/>
      <c r="D364" s="130"/>
      <c r="E364" s="143"/>
      <c r="F364" s="143"/>
      <c r="G364" s="143"/>
      <c r="H364" s="143"/>
      <c r="I364" s="143"/>
      <c r="J364" s="143"/>
      <c r="K364" s="143"/>
      <c r="L364" s="143"/>
      <c r="M364" s="143"/>
      <c r="N364" s="143"/>
      <c r="O364" s="143"/>
      <c r="P364" s="143"/>
      <c r="Q364" s="67"/>
      <c r="R364" s="144"/>
      <c r="S364" s="144"/>
      <c r="T364" s="143"/>
      <c r="U364" s="143"/>
      <c r="V364" s="143"/>
      <c r="W364" s="130"/>
      <c r="X364" s="130"/>
      <c r="Y364" s="130"/>
      <c r="Z364" s="130"/>
      <c r="AA364" s="130"/>
      <c r="AB364" s="130"/>
      <c r="AC364" s="130"/>
      <c r="AD364" s="130"/>
      <c r="AE364" s="130"/>
      <c r="AF364" s="130"/>
      <c r="AG364" s="130"/>
      <c r="AH364" s="130"/>
      <c r="AI364" s="130"/>
      <c r="AJ364" s="130"/>
      <c r="AK364" s="130"/>
    </row>
    <row r="365">
      <c r="A365" s="130"/>
      <c r="B365" s="130"/>
      <c r="C365" s="143"/>
      <c r="D365" s="130"/>
      <c r="E365" s="143"/>
      <c r="F365" s="143"/>
      <c r="G365" s="143"/>
      <c r="H365" s="143"/>
      <c r="I365" s="143"/>
      <c r="J365" s="143"/>
      <c r="K365" s="143"/>
      <c r="L365" s="143"/>
      <c r="M365" s="143"/>
      <c r="N365" s="143"/>
      <c r="O365" s="143"/>
      <c r="P365" s="143"/>
      <c r="Q365" s="67"/>
      <c r="R365" s="144"/>
      <c r="S365" s="144"/>
      <c r="T365" s="143"/>
      <c r="U365" s="143"/>
      <c r="V365" s="143"/>
      <c r="W365" s="130"/>
      <c r="X365" s="130"/>
      <c r="Y365" s="130"/>
      <c r="Z365" s="130"/>
      <c r="AA365" s="130"/>
      <c r="AB365" s="130"/>
      <c r="AC365" s="130"/>
      <c r="AD365" s="130"/>
      <c r="AE365" s="130"/>
      <c r="AF365" s="130"/>
      <c r="AG365" s="130"/>
      <c r="AH365" s="130"/>
      <c r="AI365" s="130"/>
      <c r="AJ365" s="130"/>
      <c r="AK365" s="130"/>
    </row>
    <row r="366">
      <c r="A366" s="130"/>
      <c r="B366" s="130"/>
      <c r="C366" s="143"/>
      <c r="D366" s="130"/>
      <c r="E366" s="143"/>
      <c r="F366" s="143"/>
      <c r="G366" s="143"/>
      <c r="H366" s="143"/>
      <c r="I366" s="143"/>
      <c r="J366" s="143"/>
      <c r="K366" s="143"/>
      <c r="L366" s="143"/>
      <c r="M366" s="143"/>
      <c r="N366" s="143"/>
      <c r="O366" s="143"/>
      <c r="P366" s="143"/>
      <c r="Q366" s="67"/>
      <c r="R366" s="144"/>
      <c r="S366" s="144"/>
      <c r="T366" s="143"/>
      <c r="U366" s="143"/>
      <c r="V366" s="143"/>
      <c r="W366" s="130"/>
      <c r="X366" s="130"/>
      <c r="Y366" s="130"/>
      <c r="Z366" s="130"/>
      <c r="AA366" s="130"/>
      <c r="AB366" s="130"/>
      <c r="AC366" s="130"/>
      <c r="AD366" s="130"/>
      <c r="AE366" s="130"/>
      <c r="AF366" s="130"/>
      <c r="AG366" s="130"/>
      <c r="AH366" s="130"/>
      <c r="AI366" s="130"/>
      <c r="AJ366" s="130"/>
      <c r="AK366" s="130"/>
    </row>
    <row r="367">
      <c r="A367" s="130"/>
      <c r="B367" s="130"/>
      <c r="C367" s="143"/>
      <c r="D367" s="130"/>
      <c r="E367" s="143"/>
      <c r="F367" s="143"/>
      <c r="G367" s="143"/>
      <c r="H367" s="143"/>
      <c r="I367" s="143"/>
      <c r="J367" s="143"/>
      <c r="K367" s="143"/>
      <c r="L367" s="143"/>
      <c r="M367" s="143"/>
      <c r="N367" s="143"/>
      <c r="O367" s="143"/>
      <c r="P367" s="143"/>
      <c r="Q367" s="67"/>
      <c r="R367" s="144"/>
      <c r="S367" s="144"/>
      <c r="T367" s="143"/>
      <c r="U367" s="143"/>
      <c r="V367" s="143"/>
      <c r="W367" s="130"/>
      <c r="X367" s="130"/>
      <c r="Y367" s="130"/>
      <c r="Z367" s="130"/>
      <c r="AA367" s="130"/>
      <c r="AB367" s="130"/>
      <c r="AC367" s="130"/>
      <c r="AD367" s="130"/>
      <c r="AE367" s="130"/>
      <c r="AF367" s="130"/>
      <c r="AG367" s="130"/>
      <c r="AH367" s="130"/>
      <c r="AI367" s="130"/>
      <c r="AJ367" s="130"/>
      <c r="AK367" s="130"/>
    </row>
    <row r="368">
      <c r="A368" s="130"/>
      <c r="B368" s="130"/>
      <c r="C368" s="143"/>
      <c r="D368" s="130"/>
      <c r="E368" s="143"/>
      <c r="F368" s="143"/>
      <c r="G368" s="143"/>
      <c r="H368" s="143"/>
      <c r="I368" s="143"/>
      <c r="J368" s="143"/>
      <c r="K368" s="143"/>
      <c r="L368" s="143"/>
      <c r="M368" s="143"/>
      <c r="N368" s="143"/>
      <c r="O368" s="143"/>
      <c r="P368" s="143"/>
      <c r="Q368" s="67"/>
      <c r="R368" s="144"/>
      <c r="S368" s="144"/>
      <c r="T368" s="143"/>
      <c r="U368" s="143"/>
      <c r="V368" s="143"/>
      <c r="W368" s="130"/>
      <c r="X368" s="130"/>
      <c r="Y368" s="130"/>
      <c r="Z368" s="130"/>
      <c r="AA368" s="130"/>
      <c r="AB368" s="130"/>
      <c r="AC368" s="130"/>
      <c r="AD368" s="130"/>
      <c r="AE368" s="130"/>
      <c r="AF368" s="130"/>
      <c r="AG368" s="130"/>
      <c r="AH368" s="130"/>
      <c r="AI368" s="130"/>
      <c r="AJ368" s="130"/>
      <c r="AK368" s="130"/>
    </row>
    <row r="369">
      <c r="A369" s="130"/>
      <c r="B369" s="130"/>
      <c r="C369" s="143"/>
      <c r="D369" s="130"/>
      <c r="E369" s="143"/>
      <c r="F369" s="143"/>
      <c r="G369" s="143"/>
      <c r="H369" s="143"/>
      <c r="I369" s="143"/>
      <c r="J369" s="143"/>
      <c r="K369" s="143"/>
      <c r="L369" s="143"/>
      <c r="M369" s="143"/>
      <c r="N369" s="143"/>
      <c r="O369" s="143"/>
      <c r="P369" s="143"/>
      <c r="Q369" s="67"/>
      <c r="R369" s="144"/>
      <c r="S369" s="144"/>
      <c r="T369" s="143"/>
      <c r="U369" s="143"/>
      <c r="V369" s="143"/>
      <c r="W369" s="130"/>
      <c r="X369" s="130"/>
      <c r="Y369" s="130"/>
      <c r="Z369" s="130"/>
      <c r="AA369" s="130"/>
      <c r="AB369" s="130"/>
      <c r="AC369" s="130"/>
      <c r="AD369" s="130"/>
      <c r="AE369" s="130"/>
      <c r="AF369" s="130"/>
      <c r="AG369" s="130"/>
      <c r="AH369" s="130"/>
      <c r="AI369" s="130"/>
      <c r="AJ369" s="130"/>
      <c r="AK369" s="130"/>
    </row>
    <row r="370">
      <c r="A370" s="130"/>
      <c r="B370" s="130"/>
      <c r="C370" s="143"/>
      <c r="D370" s="130"/>
      <c r="E370" s="143"/>
      <c r="F370" s="143"/>
      <c r="G370" s="143"/>
      <c r="H370" s="143"/>
      <c r="I370" s="143"/>
      <c r="J370" s="143"/>
      <c r="K370" s="143"/>
      <c r="L370" s="143"/>
      <c r="M370" s="143"/>
      <c r="N370" s="143"/>
      <c r="O370" s="143"/>
      <c r="P370" s="143"/>
      <c r="Q370" s="67"/>
      <c r="R370" s="144"/>
      <c r="S370" s="144"/>
      <c r="T370" s="143"/>
      <c r="U370" s="143"/>
      <c r="V370" s="143"/>
      <c r="W370" s="130"/>
      <c r="X370" s="130"/>
      <c r="Y370" s="130"/>
      <c r="Z370" s="130"/>
      <c r="AA370" s="130"/>
      <c r="AB370" s="130"/>
      <c r="AC370" s="130"/>
      <c r="AD370" s="130"/>
      <c r="AE370" s="130"/>
      <c r="AF370" s="130"/>
      <c r="AG370" s="130"/>
      <c r="AH370" s="130"/>
      <c r="AI370" s="130"/>
      <c r="AJ370" s="130"/>
      <c r="AK370" s="130"/>
    </row>
    <row r="371">
      <c r="A371" s="130"/>
      <c r="B371" s="130"/>
      <c r="C371" s="143"/>
      <c r="D371" s="130"/>
      <c r="E371" s="143"/>
      <c r="F371" s="143"/>
      <c r="G371" s="143"/>
      <c r="H371" s="143"/>
      <c r="I371" s="143"/>
      <c r="J371" s="143"/>
      <c r="K371" s="143"/>
      <c r="L371" s="143"/>
      <c r="M371" s="143"/>
      <c r="N371" s="143"/>
      <c r="O371" s="143"/>
      <c r="P371" s="143"/>
      <c r="Q371" s="67"/>
      <c r="R371" s="144"/>
      <c r="S371" s="144"/>
      <c r="T371" s="143"/>
      <c r="U371" s="143"/>
      <c r="V371" s="143"/>
      <c r="W371" s="130"/>
      <c r="X371" s="130"/>
      <c r="Y371" s="130"/>
      <c r="Z371" s="130"/>
      <c r="AA371" s="130"/>
      <c r="AB371" s="130"/>
      <c r="AC371" s="130"/>
      <c r="AD371" s="130"/>
      <c r="AE371" s="130"/>
      <c r="AF371" s="130"/>
      <c r="AG371" s="130"/>
      <c r="AH371" s="130"/>
      <c r="AI371" s="130"/>
      <c r="AJ371" s="130"/>
      <c r="AK371" s="130"/>
    </row>
    <row r="372">
      <c r="A372" s="130"/>
      <c r="B372" s="130"/>
      <c r="C372" s="143"/>
      <c r="D372" s="130"/>
      <c r="E372" s="143"/>
      <c r="F372" s="143"/>
      <c r="G372" s="143"/>
      <c r="H372" s="143"/>
      <c r="I372" s="143"/>
      <c r="J372" s="143"/>
      <c r="K372" s="143"/>
      <c r="L372" s="143"/>
      <c r="M372" s="143"/>
      <c r="N372" s="143"/>
      <c r="O372" s="143"/>
      <c r="P372" s="143"/>
      <c r="Q372" s="67"/>
      <c r="R372" s="144"/>
      <c r="S372" s="144"/>
      <c r="T372" s="143"/>
      <c r="U372" s="143"/>
      <c r="V372" s="143"/>
      <c r="W372" s="130"/>
      <c r="X372" s="130"/>
      <c r="Y372" s="130"/>
      <c r="Z372" s="130"/>
      <c r="AA372" s="130"/>
      <c r="AB372" s="130"/>
      <c r="AC372" s="130"/>
      <c r="AD372" s="130"/>
      <c r="AE372" s="130"/>
      <c r="AF372" s="130"/>
      <c r="AG372" s="130"/>
      <c r="AH372" s="130"/>
      <c r="AI372" s="130"/>
      <c r="AJ372" s="130"/>
      <c r="AK372" s="130"/>
    </row>
    <row r="373">
      <c r="A373" s="130"/>
      <c r="B373" s="130"/>
      <c r="C373" s="143"/>
      <c r="D373" s="130"/>
      <c r="E373" s="143"/>
      <c r="F373" s="143"/>
      <c r="G373" s="143"/>
      <c r="H373" s="143"/>
      <c r="I373" s="143"/>
      <c r="J373" s="143"/>
      <c r="K373" s="143"/>
      <c r="L373" s="143"/>
      <c r="M373" s="143"/>
      <c r="N373" s="143"/>
      <c r="O373" s="143"/>
      <c r="P373" s="143"/>
      <c r="Q373" s="67"/>
      <c r="R373" s="144"/>
      <c r="S373" s="144"/>
      <c r="T373" s="143"/>
      <c r="U373" s="143"/>
      <c r="V373" s="143"/>
      <c r="W373" s="130"/>
      <c r="X373" s="130"/>
      <c r="Y373" s="130"/>
      <c r="Z373" s="130"/>
      <c r="AA373" s="130"/>
      <c r="AB373" s="130"/>
      <c r="AC373" s="130"/>
      <c r="AD373" s="130"/>
      <c r="AE373" s="130"/>
      <c r="AF373" s="130"/>
      <c r="AG373" s="130"/>
      <c r="AH373" s="130"/>
      <c r="AI373" s="130"/>
      <c r="AJ373" s="130"/>
      <c r="AK373" s="130"/>
    </row>
    <row r="374">
      <c r="A374" s="130"/>
      <c r="B374" s="130"/>
      <c r="C374" s="143"/>
      <c r="D374" s="130"/>
      <c r="E374" s="143"/>
      <c r="F374" s="143"/>
      <c r="G374" s="143"/>
      <c r="H374" s="143"/>
      <c r="I374" s="143"/>
      <c r="J374" s="143"/>
      <c r="K374" s="143"/>
      <c r="L374" s="143"/>
      <c r="M374" s="143"/>
      <c r="N374" s="143"/>
      <c r="O374" s="143"/>
      <c r="P374" s="143"/>
      <c r="Q374" s="67"/>
      <c r="R374" s="144"/>
      <c r="S374" s="144"/>
      <c r="T374" s="143"/>
      <c r="U374" s="143"/>
      <c r="V374" s="143"/>
      <c r="W374" s="130"/>
      <c r="X374" s="130"/>
      <c r="Y374" s="130"/>
      <c r="Z374" s="130"/>
      <c r="AA374" s="130"/>
      <c r="AB374" s="130"/>
      <c r="AC374" s="130"/>
      <c r="AD374" s="130"/>
      <c r="AE374" s="130"/>
      <c r="AF374" s="130"/>
      <c r="AG374" s="130"/>
      <c r="AH374" s="130"/>
      <c r="AI374" s="130"/>
      <c r="AJ374" s="130"/>
      <c r="AK374" s="130"/>
    </row>
    <row r="375">
      <c r="A375" s="130"/>
      <c r="B375" s="130"/>
      <c r="C375" s="143"/>
      <c r="D375" s="130"/>
      <c r="E375" s="143"/>
      <c r="F375" s="143"/>
      <c r="G375" s="143"/>
      <c r="H375" s="143"/>
      <c r="I375" s="143"/>
      <c r="J375" s="143"/>
      <c r="K375" s="143"/>
      <c r="L375" s="143"/>
      <c r="M375" s="143"/>
      <c r="N375" s="143"/>
      <c r="O375" s="143"/>
      <c r="P375" s="143"/>
      <c r="Q375" s="67"/>
      <c r="R375" s="144"/>
      <c r="S375" s="144"/>
      <c r="T375" s="143"/>
      <c r="U375" s="143"/>
      <c r="V375" s="143"/>
      <c r="W375" s="130"/>
      <c r="X375" s="130"/>
      <c r="Y375" s="130"/>
      <c r="Z375" s="130"/>
      <c r="AA375" s="130"/>
      <c r="AB375" s="130"/>
      <c r="AC375" s="130"/>
      <c r="AD375" s="130"/>
      <c r="AE375" s="130"/>
      <c r="AF375" s="130"/>
      <c r="AG375" s="130"/>
      <c r="AH375" s="130"/>
      <c r="AI375" s="130"/>
      <c r="AJ375" s="130"/>
      <c r="AK375" s="130"/>
    </row>
    <row r="376">
      <c r="A376" s="130"/>
      <c r="B376" s="130"/>
      <c r="C376" s="143"/>
      <c r="D376" s="130"/>
      <c r="E376" s="143"/>
      <c r="F376" s="143"/>
      <c r="G376" s="143"/>
      <c r="H376" s="143"/>
      <c r="I376" s="143"/>
      <c r="J376" s="143"/>
      <c r="K376" s="143"/>
      <c r="L376" s="143"/>
      <c r="M376" s="143"/>
      <c r="N376" s="143"/>
      <c r="O376" s="143"/>
      <c r="P376" s="143"/>
      <c r="Q376" s="67"/>
      <c r="R376" s="144"/>
      <c r="S376" s="144"/>
      <c r="T376" s="143"/>
      <c r="U376" s="143"/>
      <c r="V376" s="143"/>
      <c r="W376" s="130"/>
      <c r="X376" s="130"/>
      <c r="Y376" s="130"/>
      <c r="Z376" s="130"/>
      <c r="AA376" s="130"/>
      <c r="AB376" s="130"/>
      <c r="AC376" s="130"/>
      <c r="AD376" s="130"/>
      <c r="AE376" s="130"/>
      <c r="AF376" s="130"/>
      <c r="AG376" s="130"/>
      <c r="AH376" s="130"/>
      <c r="AI376" s="130"/>
      <c r="AJ376" s="130"/>
      <c r="AK376" s="130"/>
    </row>
    <row r="377">
      <c r="A377" s="130"/>
      <c r="B377" s="130"/>
      <c r="C377" s="143"/>
      <c r="D377" s="130"/>
      <c r="E377" s="143"/>
      <c r="F377" s="143"/>
      <c r="G377" s="143"/>
      <c r="H377" s="143"/>
      <c r="I377" s="143"/>
      <c r="J377" s="143"/>
      <c r="K377" s="143"/>
      <c r="L377" s="143"/>
      <c r="M377" s="143"/>
      <c r="N377" s="143"/>
      <c r="O377" s="143"/>
      <c r="P377" s="143"/>
      <c r="Q377" s="67"/>
      <c r="R377" s="144"/>
      <c r="S377" s="144"/>
      <c r="T377" s="143"/>
      <c r="U377" s="143"/>
      <c r="V377" s="143"/>
      <c r="W377" s="130"/>
      <c r="X377" s="130"/>
      <c r="Y377" s="130"/>
      <c r="Z377" s="130"/>
      <c r="AA377" s="130"/>
      <c r="AB377" s="130"/>
      <c r="AC377" s="130"/>
      <c r="AD377" s="130"/>
      <c r="AE377" s="130"/>
      <c r="AF377" s="130"/>
      <c r="AG377" s="130"/>
      <c r="AH377" s="130"/>
      <c r="AI377" s="130"/>
      <c r="AJ377" s="130"/>
      <c r="AK377" s="130"/>
    </row>
    <row r="378">
      <c r="A378" s="130"/>
      <c r="B378" s="130"/>
      <c r="C378" s="143"/>
      <c r="D378" s="130"/>
      <c r="E378" s="143"/>
      <c r="F378" s="143"/>
      <c r="G378" s="143"/>
      <c r="H378" s="143"/>
      <c r="I378" s="143"/>
      <c r="J378" s="143"/>
      <c r="K378" s="143"/>
      <c r="L378" s="143"/>
      <c r="M378" s="143"/>
      <c r="N378" s="143"/>
      <c r="O378" s="143"/>
      <c r="P378" s="143"/>
      <c r="Q378" s="67"/>
      <c r="R378" s="144"/>
      <c r="S378" s="144"/>
      <c r="T378" s="143"/>
      <c r="U378" s="143"/>
      <c r="V378" s="143"/>
      <c r="W378" s="130"/>
      <c r="X378" s="130"/>
      <c r="Y378" s="130"/>
      <c r="Z378" s="130"/>
      <c r="AA378" s="130"/>
      <c r="AB378" s="130"/>
      <c r="AC378" s="130"/>
      <c r="AD378" s="130"/>
      <c r="AE378" s="130"/>
      <c r="AF378" s="130"/>
      <c r="AG378" s="130"/>
      <c r="AH378" s="130"/>
      <c r="AI378" s="130"/>
      <c r="AJ378" s="130"/>
      <c r="AK378" s="130"/>
    </row>
    <row r="379">
      <c r="A379" s="130"/>
      <c r="B379" s="130"/>
      <c r="C379" s="143"/>
      <c r="D379" s="130"/>
      <c r="E379" s="143"/>
      <c r="F379" s="143"/>
      <c r="G379" s="143"/>
      <c r="H379" s="143"/>
      <c r="I379" s="143"/>
      <c r="J379" s="143"/>
      <c r="K379" s="143"/>
      <c r="L379" s="143"/>
      <c r="M379" s="143"/>
      <c r="N379" s="143"/>
      <c r="O379" s="143"/>
      <c r="P379" s="143"/>
      <c r="Q379" s="67"/>
      <c r="R379" s="144"/>
      <c r="S379" s="144"/>
      <c r="T379" s="143"/>
      <c r="U379" s="143"/>
      <c r="V379" s="143"/>
      <c r="W379" s="130"/>
      <c r="X379" s="130"/>
      <c r="Y379" s="130"/>
      <c r="Z379" s="130"/>
      <c r="AA379" s="130"/>
      <c r="AB379" s="130"/>
      <c r="AC379" s="130"/>
      <c r="AD379" s="130"/>
      <c r="AE379" s="130"/>
      <c r="AF379" s="130"/>
      <c r="AG379" s="130"/>
      <c r="AH379" s="130"/>
      <c r="AI379" s="130"/>
      <c r="AJ379" s="130"/>
      <c r="AK379" s="130"/>
    </row>
    <row r="380">
      <c r="A380" s="130"/>
      <c r="B380" s="130"/>
      <c r="C380" s="143"/>
      <c r="D380" s="130"/>
      <c r="E380" s="143"/>
      <c r="F380" s="143"/>
      <c r="G380" s="143"/>
      <c r="H380" s="143"/>
      <c r="I380" s="143"/>
      <c r="J380" s="143"/>
      <c r="K380" s="143"/>
      <c r="L380" s="143"/>
      <c r="M380" s="143"/>
      <c r="N380" s="143"/>
      <c r="O380" s="143"/>
      <c r="P380" s="143"/>
      <c r="Q380" s="67"/>
      <c r="R380" s="144"/>
      <c r="S380" s="144"/>
      <c r="T380" s="143"/>
      <c r="U380" s="143"/>
      <c r="V380" s="143"/>
      <c r="W380" s="130"/>
      <c r="X380" s="130"/>
      <c r="Y380" s="130"/>
      <c r="Z380" s="130"/>
      <c r="AA380" s="130"/>
      <c r="AB380" s="130"/>
      <c r="AC380" s="130"/>
      <c r="AD380" s="130"/>
      <c r="AE380" s="130"/>
      <c r="AF380" s="130"/>
      <c r="AG380" s="130"/>
      <c r="AH380" s="130"/>
      <c r="AI380" s="130"/>
      <c r="AJ380" s="130"/>
      <c r="AK380" s="130"/>
    </row>
    <row r="381">
      <c r="A381" s="130"/>
      <c r="B381" s="130"/>
      <c r="C381" s="143"/>
      <c r="D381" s="130"/>
      <c r="E381" s="143"/>
      <c r="F381" s="143"/>
      <c r="G381" s="143"/>
      <c r="H381" s="143"/>
      <c r="I381" s="143"/>
      <c r="J381" s="143"/>
      <c r="K381" s="143"/>
      <c r="L381" s="143"/>
      <c r="M381" s="143"/>
      <c r="N381" s="143"/>
      <c r="O381" s="143"/>
      <c r="P381" s="143"/>
      <c r="Q381" s="67"/>
      <c r="R381" s="144"/>
      <c r="S381" s="144"/>
      <c r="T381" s="143"/>
      <c r="U381" s="143"/>
      <c r="V381" s="143"/>
      <c r="W381" s="130"/>
      <c r="X381" s="130"/>
      <c r="Y381" s="130"/>
      <c r="Z381" s="130"/>
      <c r="AA381" s="130"/>
      <c r="AB381" s="130"/>
      <c r="AC381" s="130"/>
      <c r="AD381" s="130"/>
      <c r="AE381" s="130"/>
      <c r="AF381" s="130"/>
      <c r="AG381" s="130"/>
      <c r="AH381" s="130"/>
      <c r="AI381" s="130"/>
      <c r="AJ381" s="130"/>
      <c r="AK381" s="130"/>
    </row>
    <row r="382">
      <c r="A382" s="130"/>
      <c r="B382" s="130"/>
      <c r="C382" s="143"/>
      <c r="D382" s="130"/>
      <c r="E382" s="143"/>
      <c r="F382" s="143"/>
      <c r="G382" s="143"/>
      <c r="H382" s="143"/>
      <c r="I382" s="143"/>
      <c r="J382" s="143"/>
      <c r="K382" s="143"/>
      <c r="L382" s="143"/>
      <c r="M382" s="143"/>
      <c r="N382" s="143"/>
      <c r="O382" s="143"/>
      <c r="P382" s="143"/>
      <c r="Q382" s="67"/>
      <c r="R382" s="144"/>
      <c r="S382" s="144"/>
      <c r="T382" s="143"/>
      <c r="U382" s="143"/>
      <c r="V382" s="143"/>
      <c r="W382" s="130"/>
      <c r="X382" s="130"/>
      <c r="Y382" s="130"/>
      <c r="Z382" s="130"/>
      <c r="AA382" s="130"/>
      <c r="AB382" s="130"/>
      <c r="AC382" s="130"/>
      <c r="AD382" s="130"/>
      <c r="AE382" s="130"/>
      <c r="AF382" s="130"/>
      <c r="AG382" s="130"/>
      <c r="AH382" s="130"/>
      <c r="AI382" s="130"/>
      <c r="AJ382" s="130"/>
      <c r="AK382" s="130"/>
    </row>
    <row r="383">
      <c r="A383" s="130"/>
      <c r="B383" s="130"/>
      <c r="C383" s="143"/>
      <c r="D383" s="130"/>
      <c r="E383" s="143"/>
      <c r="F383" s="143"/>
      <c r="G383" s="143"/>
      <c r="H383" s="143"/>
      <c r="I383" s="143"/>
      <c r="J383" s="143"/>
      <c r="K383" s="143"/>
      <c r="L383" s="143"/>
      <c r="M383" s="143"/>
      <c r="N383" s="143"/>
      <c r="O383" s="143"/>
      <c r="P383" s="143"/>
      <c r="Q383" s="67"/>
      <c r="R383" s="144"/>
      <c r="S383" s="144"/>
      <c r="T383" s="143"/>
      <c r="U383" s="143"/>
      <c r="V383" s="143"/>
      <c r="W383" s="130"/>
      <c r="X383" s="130"/>
      <c r="Y383" s="130"/>
      <c r="Z383" s="130"/>
      <c r="AA383" s="130"/>
      <c r="AB383" s="130"/>
      <c r="AC383" s="130"/>
      <c r="AD383" s="130"/>
      <c r="AE383" s="130"/>
      <c r="AF383" s="130"/>
      <c r="AG383" s="130"/>
      <c r="AH383" s="130"/>
      <c r="AI383" s="130"/>
      <c r="AJ383" s="130"/>
      <c r="AK383" s="130"/>
    </row>
    <row r="384">
      <c r="A384" s="130"/>
      <c r="B384" s="130"/>
      <c r="C384" s="143"/>
      <c r="D384" s="130"/>
      <c r="E384" s="143"/>
      <c r="F384" s="143"/>
      <c r="G384" s="143"/>
      <c r="H384" s="143"/>
      <c r="I384" s="143"/>
      <c r="J384" s="143"/>
      <c r="K384" s="143"/>
      <c r="L384" s="143"/>
      <c r="M384" s="143"/>
      <c r="N384" s="143"/>
      <c r="O384" s="143"/>
      <c r="P384" s="143"/>
      <c r="Q384" s="67"/>
      <c r="R384" s="144"/>
      <c r="S384" s="144"/>
      <c r="T384" s="143"/>
      <c r="U384" s="143"/>
      <c r="V384" s="143"/>
      <c r="W384" s="130"/>
      <c r="X384" s="130"/>
      <c r="Y384" s="130"/>
      <c r="Z384" s="130"/>
      <c r="AA384" s="130"/>
      <c r="AB384" s="130"/>
      <c r="AC384" s="130"/>
      <c r="AD384" s="130"/>
      <c r="AE384" s="130"/>
      <c r="AF384" s="130"/>
      <c r="AG384" s="130"/>
      <c r="AH384" s="130"/>
      <c r="AI384" s="130"/>
      <c r="AJ384" s="130"/>
      <c r="AK384" s="130"/>
    </row>
    <row r="385">
      <c r="A385" s="130"/>
      <c r="B385" s="130"/>
      <c r="C385" s="143"/>
      <c r="D385" s="130"/>
      <c r="E385" s="143"/>
      <c r="F385" s="143"/>
      <c r="G385" s="143"/>
      <c r="H385" s="143"/>
      <c r="I385" s="143"/>
      <c r="J385" s="143"/>
      <c r="K385" s="143"/>
      <c r="L385" s="143"/>
      <c r="M385" s="143"/>
      <c r="N385" s="143"/>
      <c r="O385" s="143"/>
      <c r="P385" s="143"/>
      <c r="Q385" s="67"/>
      <c r="R385" s="144"/>
      <c r="S385" s="144"/>
      <c r="T385" s="143"/>
      <c r="U385" s="143"/>
      <c r="V385" s="143"/>
      <c r="W385" s="130"/>
      <c r="X385" s="130"/>
      <c r="Y385" s="130"/>
      <c r="Z385" s="130"/>
      <c r="AA385" s="130"/>
      <c r="AB385" s="130"/>
      <c r="AC385" s="130"/>
      <c r="AD385" s="130"/>
      <c r="AE385" s="130"/>
      <c r="AF385" s="130"/>
      <c r="AG385" s="130"/>
      <c r="AH385" s="130"/>
      <c r="AI385" s="130"/>
      <c r="AJ385" s="130"/>
      <c r="AK385" s="130"/>
    </row>
    <row r="386">
      <c r="A386" s="130"/>
      <c r="B386" s="130"/>
      <c r="C386" s="143"/>
      <c r="D386" s="130"/>
      <c r="E386" s="143"/>
      <c r="F386" s="143"/>
      <c r="G386" s="143"/>
      <c r="H386" s="143"/>
      <c r="I386" s="143"/>
      <c r="J386" s="143"/>
      <c r="K386" s="143"/>
      <c r="L386" s="143"/>
      <c r="M386" s="143"/>
      <c r="N386" s="143"/>
      <c r="O386" s="143"/>
      <c r="P386" s="143"/>
      <c r="Q386" s="67"/>
      <c r="R386" s="144"/>
      <c r="S386" s="144"/>
      <c r="T386" s="143"/>
      <c r="U386" s="143"/>
      <c r="V386" s="143"/>
      <c r="W386" s="130"/>
      <c r="X386" s="130"/>
      <c r="Y386" s="130"/>
      <c r="Z386" s="130"/>
      <c r="AA386" s="130"/>
      <c r="AB386" s="130"/>
      <c r="AC386" s="130"/>
      <c r="AD386" s="130"/>
      <c r="AE386" s="130"/>
      <c r="AF386" s="130"/>
      <c r="AG386" s="130"/>
      <c r="AH386" s="130"/>
      <c r="AI386" s="130"/>
      <c r="AJ386" s="130"/>
      <c r="AK386" s="130"/>
    </row>
    <row r="387">
      <c r="A387" s="130"/>
      <c r="B387" s="130"/>
      <c r="C387" s="143"/>
      <c r="D387" s="130"/>
      <c r="E387" s="143"/>
      <c r="F387" s="143"/>
      <c r="G387" s="143"/>
      <c r="H387" s="143"/>
      <c r="I387" s="143"/>
      <c r="J387" s="143"/>
      <c r="K387" s="143"/>
      <c r="L387" s="143"/>
      <c r="M387" s="143"/>
      <c r="N387" s="143"/>
      <c r="O387" s="143"/>
      <c r="P387" s="143"/>
      <c r="Q387" s="67"/>
      <c r="R387" s="144"/>
      <c r="S387" s="144"/>
      <c r="T387" s="143"/>
      <c r="U387" s="143"/>
      <c r="V387" s="143"/>
      <c r="W387" s="130"/>
      <c r="X387" s="130"/>
      <c r="Y387" s="130"/>
      <c r="Z387" s="130"/>
      <c r="AA387" s="130"/>
      <c r="AB387" s="130"/>
      <c r="AC387" s="130"/>
      <c r="AD387" s="130"/>
      <c r="AE387" s="130"/>
      <c r="AF387" s="130"/>
      <c r="AG387" s="130"/>
      <c r="AH387" s="130"/>
      <c r="AI387" s="130"/>
      <c r="AJ387" s="130"/>
      <c r="AK387" s="130"/>
    </row>
    <row r="388">
      <c r="A388" s="130"/>
      <c r="B388" s="130"/>
      <c r="C388" s="143"/>
      <c r="D388" s="130"/>
      <c r="E388" s="143"/>
      <c r="F388" s="143"/>
      <c r="G388" s="143"/>
      <c r="H388" s="143"/>
      <c r="I388" s="143"/>
      <c r="J388" s="143"/>
      <c r="K388" s="143"/>
      <c r="L388" s="143"/>
      <c r="M388" s="143"/>
      <c r="N388" s="143"/>
      <c r="O388" s="143"/>
      <c r="P388" s="143"/>
      <c r="Q388" s="67"/>
      <c r="R388" s="144"/>
      <c r="S388" s="144"/>
      <c r="T388" s="143"/>
      <c r="U388" s="143"/>
      <c r="V388" s="143"/>
      <c r="W388" s="130"/>
      <c r="X388" s="130"/>
      <c r="Y388" s="130"/>
      <c r="Z388" s="130"/>
      <c r="AA388" s="130"/>
      <c r="AB388" s="130"/>
      <c r="AC388" s="130"/>
      <c r="AD388" s="130"/>
      <c r="AE388" s="130"/>
      <c r="AF388" s="130"/>
      <c r="AG388" s="130"/>
      <c r="AH388" s="130"/>
      <c r="AI388" s="130"/>
      <c r="AJ388" s="130"/>
      <c r="AK388" s="130"/>
    </row>
    <row r="389">
      <c r="A389" s="130"/>
      <c r="B389" s="130"/>
      <c r="C389" s="143"/>
      <c r="D389" s="130"/>
      <c r="E389" s="143"/>
      <c r="F389" s="143"/>
      <c r="G389" s="143"/>
      <c r="H389" s="143"/>
      <c r="I389" s="143"/>
      <c r="J389" s="143"/>
      <c r="K389" s="143"/>
      <c r="L389" s="143"/>
      <c r="M389" s="143"/>
      <c r="N389" s="143"/>
      <c r="O389" s="143"/>
      <c r="P389" s="143"/>
      <c r="Q389" s="67"/>
      <c r="R389" s="144"/>
      <c r="S389" s="144"/>
      <c r="T389" s="143"/>
      <c r="U389" s="143"/>
      <c r="V389" s="143"/>
      <c r="W389" s="130"/>
      <c r="X389" s="130"/>
      <c r="Y389" s="130"/>
      <c r="Z389" s="130"/>
      <c r="AA389" s="130"/>
      <c r="AB389" s="130"/>
      <c r="AC389" s="130"/>
      <c r="AD389" s="130"/>
      <c r="AE389" s="130"/>
      <c r="AF389" s="130"/>
      <c r="AG389" s="130"/>
      <c r="AH389" s="130"/>
      <c r="AI389" s="130"/>
      <c r="AJ389" s="130"/>
      <c r="AK389" s="130"/>
    </row>
    <row r="390">
      <c r="A390" s="130"/>
      <c r="B390" s="130"/>
      <c r="C390" s="143"/>
      <c r="D390" s="130"/>
      <c r="E390" s="143"/>
      <c r="F390" s="143"/>
      <c r="G390" s="143"/>
      <c r="H390" s="143"/>
      <c r="I390" s="143"/>
      <c r="J390" s="143"/>
      <c r="K390" s="143"/>
      <c r="L390" s="143"/>
      <c r="M390" s="143"/>
      <c r="N390" s="143"/>
      <c r="O390" s="143"/>
      <c r="P390" s="143"/>
      <c r="Q390" s="67"/>
      <c r="R390" s="144"/>
      <c r="S390" s="144"/>
      <c r="T390" s="143"/>
      <c r="U390" s="143"/>
      <c r="V390" s="143"/>
      <c r="W390" s="130"/>
      <c r="X390" s="130"/>
      <c r="Y390" s="130"/>
      <c r="Z390" s="130"/>
      <c r="AA390" s="130"/>
      <c r="AB390" s="130"/>
      <c r="AC390" s="130"/>
      <c r="AD390" s="130"/>
      <c r="AE390" s="130"/>
      <c r="AF390" s="130"/>
      <c r="AG390" s="130"/>
      <c r="AH390" s="130"/>
      <c r="AI390" s="130"/>
      <c r="AJ390" s="130"/>
      <c r="AK390" s="130"/>
    </row>
    <row r="391">
      <c r="A391" s="130"/>
      <c r="B391" s="130"/>
      <c r="C391" s="143"/>
      <c r="D391" s="130"/>
      <c r="E391" s="143"/>
      <c r="F391" s="143"/>
      <c r="G391" s="143"/>
      <c r="H391" s="143"/>
      <c r="I391" s="143"/>
      <c r="J391" s="143"/>
      <c r="K391" s="143"/>
      <c r="L391" s="143"/>
      <c r="M391" s="143"/>
      <c r="N391" s="143"/>
      <c r="O391" s="143"/>
      <c r="P391" s="143"/>
      <c r="Q391" s="67"/>
      <c r="R391" s="144"/>
      <c r="S391" s="144"/>
      <c r="T391" s="143"/>
      <c r="U391" s="143"/>
      <c r="V391" s="143"/>
      <c r="W391" s="130"/>
      <c r="X391" s="130"/>
      <c r="Y391" s="130"/>
      <c r="Z391" s="130"/>
      <c r="AA391" s="130"/>
      <c r="AB391" s="130"/>
      <c r="AC391" s="130"/>
      <c r="AD391" s="130"/>
      <c r="AE391" s="130"/>
      <c r="AF391" s="130"/>
      <c r="AG391" s="130"/>
      <c r="AH391" s="130"/>
      <c r="AI391" s="130"/>
      <c r="AJ391" s="130"/>
      <c r="AK391" s="130"/>
    </row>
    <row r="392">
      <c r="A392" s="130"/>
      <c r="B392" s="130"/>
      <c r="C392" s="143"/>
      <c r="D392" s="130"/>
      <c r="E392" s="143"/>
      <c r="F392" s="143"/>
      <c r="G392" s="143"/>
      <c r="H392" s="143"/>
      <c r="I392" s="143"/>
      <c r="J392" s="143"/>
      <c r="K392" s="143"/>
      <c r="L392" s="143"/>
      <c r="M392" s="143"/>
      <c r="N392" s="143"/>
      <c r="O392" s="143"/>
      <c r="P392" s="143"/>
      <c r="Q392" s="67"/>
      <c r="R392" s="144"/>
      <c r="S392" s="144"/>
      <c r="T392" s="143"/>
      <c r="U392" s="143"/>
      <c r="V392" s="143"/>
      <c r="W392" s="130"/>
      <c r="X392" s="130"/>
      <c r="Y392" s="130"/>
      <c r="Z392" s="130"/>
      <c r="AA392" s="130"/>
      <c r="AB392" s="130"/>
      <c r="AC392" s="130"/>
      <c r="AD392" s="130"/>
      <c r="AE392" s="130"/>
      <c r="AF392" s="130"/>
      <c r="AG392" s="130"/>
      <c r="AH392" s="130"/>
      <c r="AI392" s="130"/>
      <c r="AJ392" s="130"/>
      <c r="AK392" s="130"/>
    </row>
    <row r="393">
      <c r="A393" s="130"/>
      <c r="B393" s="130"/>
      <c r="C393" s="143"/>
      <c r="D393" s="130"/>
      <c r="E393" s="143"/>
      <c r="F393" s="143"/>
      <c r="G393" s="143"/>
      <c r="H393" s="143"/>
      <c r="I393" s="143"/>
      <c r="J393" s="143"/>
      <c r="K393" s="143"/>
      <c r="L393" s="143"/>
      <c r="M393" s="143"/>
      <c r="N393" s="143"/>
      <c r="O393" s="143"/>
      <c r="P393" s="143"/>
      <c r="Q393" s="67"/>
      <c r="R393" s="144"/>
      <c r="S393" s="144"/>
      <c r="T393" s="143"/>
      <c r="U393" s="143"/>
      <c r="V393" s="143"/>
      <c r="W393" s="130"/>
      <c r="X393" s="130"/>
      <c r="Y393" s="130"/>
      <c r="Z393" s="130"/>
      <c r="AA393" s="130"/>
      <c r="AB393" s="130"/>
      <c r="AC393" s="130"/>
      <c r="AD393" s="130"/>
      <c r="AE393" s="130"/>
      <c r="AF393" s="130"/>
      <c r="AG393" s="130"/>
      <c r="AH393" s="130"/>
      <c r="AI393" s="130"/>
      <c r="AJ393" s="130"/>
      <c r="AK393" s="130"/>
    </row>
    <row r="394">
      <c r="A394" s="130"/>
      <c r="B394" s="130"/>
      <c r="C394" s="143"/>
      <c r="D394" s="130"/>
      <c r="E394" s="143"/>
      <c r="F394" s="143"/>
      <c r="G394" s="143"/>
      <c r="H394" s="143"/>
      <c r="I394" s="143"/>
      <c r="J394" s="143"/>
      <c r="K394" s="143"/>
      <c r="L394" s="143"/>
      <c r="M394" s="143"/>
      <c r="N394" s="143"/>
      <c r="O394" s="143"/>
      <c r="P394" s="143"/>
      <c r="Q394" s="67"/>
      <c r="R394" s="144"/>
      <c r="S394" s="144"/>
      <c r="T394" s="143"/>
      <c r="U394" s="143"/>
      <c r="V394" s="143"/>
      <c r="W394" s="130"/>
      <c r="X394" s="130"/>
      <c r="Y394" s="130"/>
      <c r="Z394" s="130"/>
      <c r="AA394" s="130"/>
      <c r="AB394" s="130"/>
      <c r="AC394" s="130"/>
      <c r="AD394" s="130"/>
      <c r="AE394" s="130"/>
      <c r="AF394" s="130"/>
      <c r="AG394" s="130"/>
      <c r="AH394" s="130"/>
      <c r="AI394" s="130"/>
      <c r="AJ394" s="130"/>
      <c r="AK394" s="130"/>
    </row>
    <row r="395">
      <c r="A395" s="130"/>
      <c r="B395" s="130"/>
      <c r="C395" s="143"/>
      <c r="D395" s="130"/>
      <c r="E395" s="143"/>
      <c r="F395" s="143"/>
      <c r="G395" s="143"/>
      <c r="H395" s="143"/>
      <c r="I395" s="143"/>
      <c r="J395" s="143"/>
      <c r="K395" s="143"/>
      <c r="L395" s="143"/>
      <c r="M395" s="143"/>
      <c r="N395" s="143"/>
      <c r="O395" s="143"/>
      <c r="P395" s="143"/>
      <c r="Q395" s="67"/>
      <c r="R395" s="144"/>
      <c r="S395" s="144"/>
      <c r="T395" s="143"/>
      <c r="U395" s="143"/>
      <c r="V395" s="143"/>
      <c r="W395" s="130"/>
      <c r="X395" s="130"/>
      <c r="Y395" s="130"/>
      <c r="Z395" s="130"/>
      <c r="AA395" s="130"/>
      <c r="AB395" s="130"/>
      <c r="AC395" s="130"/>
      <c r="AD395" s="130"/>
      <c r="AE395" s="130"/>
      <c r="AF395" s="130"/>
      <c r="AG395" s="130"/>
      <c r="AH395" s="130"/>
      <c r="AI395" s="130"/>
      <c r="AJ395" s="130"/>
      <c r="AK395" s="130"/>
    </row>
    <row r="396">
      <c r="A396" s="130"/>
      <c r="B396" s="130"/>
      <c r="C396" s="143"/>
      <c r="D396" s="130"/>
      <c r="E396" s="143"/>
      <c r="F396" s="143"/>
      <c r="G396" s="143"/>
      <c r="H396" s="143"/>
      <c r="I396" s="143"/>
      <c r="J396" s="143"/>
      <c r="K396" s="143"/>
      <c r="L396" s="143"/>
      <c r="M396" s="143"/>
      <c r="N396" s="143"/>
      <c r="O396" s="143"/>
      <c r="P396" s="143"/>
      <c r="Q396" s="67"/>
      <c r="R396" s="144"/>
      <c r="S396" s="144"/>
      <c r="T396" s="143"/>
      <c r="U396" s="143"/>
      <c r="V396" s="143"/>
      <c r="W396" s="130"/>
      <c r="X396" s="130"/>
      <c r="Y396" s="130"/>
      <c r="Z396" s="130"/>
      <c r="AA396" s="130"/>
      <c r="AB396" s="130"/>
      <c r="AC396" s="130"/>
      <c r="AD396" s="130"/>
      <c r="AE396" s="130"/>
      <c r="AF396" s="130"/>
      <c r="AG396" s="130"/>
      <c r="AH396" s="130"/>
      <c r="AI396" s="130"/>
      <c r="AJ396" s="130"/>
      <c r="AK396" s="130"/>
    </row>
    <row r="397">
      <c r="A397" s="130"/>
      <c r="B397" s="130"/>
      <c r="C397" s="143"/>
      <c r="D397" s="130"/>
      <c r="E397" s="143"/>
      <c r="F397" s="143"/>
      <c r="G397" s="143"/>
      <c r="H397" s="143"/>
      <c r="I397" s="143"/>
      <c r="J397" s="143"/>
      <c r="K397" s="143"/>
      <c r="L397" s="143"/>
      <c r="M397" s="143"/>
      <c r="N397" s="143"/>
      <c r="O397" s="143"/>
      <c r="P397" s="143"/>
      <c r="Q397" s="67"/>
      <c r="R397" s="144"/>
      <c r="S397" s="144"/>
      <c r="T397" s="143"/>
      <c r="U397" s="143"/>
      <c r="V397" s="143"/>
      <c r="W397" s="130"/>
      <c r="X397" s="130"/>
      <c r="Y397" s="130"/>
      <c r="Z397" s="130"/>
      <c r="AA397" s="130"/>
      <c r="AB397" s="130"/>
      <c r="AC397" s="130"/>
      <c r="AD397" s="130"/>
      <c r="AE397" s="130"/>
      <c r="AF397" s="130"/>
      <c r="AG397" s="130"/>
      <c r="AH397" s="130"/>
      <c r="AI397" s="130"/>
      <c r="AJ397" s="130"/>
      <c r="AK397" s="130"/>
    </row>
    <row r="398">
      <c r="A398" s="130"/>
      <c r="B398" s="130"/>
      <c r="C398" s="143"/>
      <c r="D398" s="130"/>
      <c r="E398" s="143"/>
      <c r="F398" s="143"/>
      <c r="G398" s="143"/>
      <c r="H398" s="143"/>
      <c r="I398" s="143"/>
      <c r="J398" s="143"/>
      <c r="K398" s="143"/>
      <c r="L398" s="143"/>
      <c r="M398" s="143"/>
      <c r="N398" s="143"/>
      <c r="O398" s="143"/>
      <c r="P398" s="143"/>
      <c r="Q398" s="67"/>
      <c r="R398" s="144"/>
      <c r="S398" s="144"/>
      <c r="T398" s="143"/>
      <c r="U398" s="143"/>
      <c r="V398" s="143"/>
      <c r="W398" s="130"/>
      <c r="X398" s="130"/>
      <c r="Y398" s="130"/>
      <c r="Z398" s="130"/>
      <c r="AA398" s="130"/>
      <c r="AB398" s="130"/>
      <c r="AC398" s="130"/>
      <c r="AD398" s="130"/>
      <c r="AE398" s="130"/>
      <c r="AF398" s="130"/>
      <c r="AG398" s="130"/>
      <c r="AH398" s="130"/>
      <c r="AI398" s="130"/>
      <c r="AJ398" s="130"/>
      <c r="AK398" s="130"/>
    </row>
    <row r="399">
      <c r="A399" s="130"/>
      <c r="B399" s="130"/>
      <c r="C399" s="143"/>
      <c r="D399" s="130"/>
      <c r="E399" s="143"/>
      <c r="F399" s="143"/>
      <c r="G399" s="143"/>
      <c r="H399" s="143"/>
      <c r="I399" s="143"/>
      <c r="J399" s="143"/>
      <c r="K399" s="143"/>
      <c r="L399" s="143"/>
      <c r="M399" s="143"/>
      <c r="N399" s="143"/>
      <c r="O399" s="143"/>
      <c r="P399" s="143"/>
      <c r="Q399" s="67"/>
      <c r="R399" s="144"/>
      <c r="S399" s="144"/>
      <c r="T399" s="143"/>
      <c r="U399" s="143"/>
      <c r="V399" s="143"/>
      <c r="W399" s="130"/>
      <c r="X399" s="130"/>
      <c r="Y399" s="130"/>
      <c r="Z399" s="130"/>
      <c r="AA399" s="130"/>
      <c r="AB399" s="130"/>
      <c r="AC399" s="130"/>
      <c r="AD399" s="130"/>
      <c r="AE399" s="130"/>
      <c r="AF399" s="130"/>
      <c r="AG399" s="130"/>
      <c r="AH399" s="130"/>
      <c r="AI399" s="130"/>
      <c r="AJ399" s="130"/>
      <c r="AK399" s="130"/>
    </row>
    <row r="400">
      <c r="A400" s="130"/>
      <c r="B400" s="130"/>
      <c r="C400" s="143"/>
      <c r="D400" s="130"/>
      <c r="E400" s="143"/>
      <c r="F400" s="143"/>
      <c r="G400" s="143"/>
      <c r="H400" s="143"/>
      <c r="I400" s="143"/>
      <c r="J400" s="143"/>
      <c r="K400" s="143"/>
      <c r="L400" s="143"/>
      <c r="M400" s="143"/>
      <c r="N400" s="143"/>
      <c r="O400" s="143"/>
      <c r="P400" s="143"/>
      <c r="Q400" s="67"/>
      <c r="R400" s="144"/>
      <c r="S400" s="144"/>
      <c r="T400" s="143"/>
      <c r="U400" s="143"/>
      <c r="V400" s="143"/>
      <c r="W400" s="130"/>
      <c r="X400" s="130"/>
      <c r="Y400" s="130"/>
      <c r="Z400" s="130"/>
      <c r="AA400" s="130"/>
      <c r="AB400" s="130"/>
      <c r="AC400" s="130"/>
      <c r="AD400" s="130"/>
      <c r="AE400" s="130"/>
      <c r="AF400" s="130"/>
      <c r="AG400" s="130"/>
      <c r="AH400" s="130"/>
      <c r="AI400" s="130"/>
      <c r="AJ400" s="130"/>
      <c r="AK400" s="130"/>
    </row>
    <row r="401">
      <c r="A401" s="130"/>
      <c r="B401" s="130"/>
      <c r="C401" s="143"/>
      <c r="D401" s="130"/>
      <c r="E401" s="143"/>
      <c r="F401" s="143"/>
      <c r="G401" s="143"/>
      <c r="H401" s="143"/>
      <c r="I401" s="143"/>
      <c r="J401" s="143"/>
      <c r="K401" s="143"/>
      <c r="L401" s="143"/>
      <c r="M401" s="143"/>
      <c r="N401" s="143"/>
      <c r="O401" s="143"/>
      <c r="P401" s="143"/>
      <c r="Q401" s="67"/>
      <c r="R401" s="144"/>
      <c r="S401" s="144"/>
      <c r="T401" s="143"/>
      <c r="U401" s="143"/>
      <c r="V401" s="143"/>
      <c r="W401" s="130"/>
      <c r="X401" s="130"/>
      <c r="Y401" s="130"/>
      <c r="Z401" s="130"/>
      <c r="AA401" s="130"/>
      <c r="AB401" s="130"/>
      <c r="AC401" s="130"/>
      <c r="AD401" s="130"/>
      <c r="AE401" s="130"/>
      <c r="AF401" s="130"/>
      <c r="AG401" s="130"/>
      <c r="AH401" s="130"/>
      <c r="AI401" s="130"/>
      <c r="AJ401" s="130"/>
      <c r="AK401" s="130"/>
    </row>
    <row r="402">
      <c r="A402" s="130"/>
      <c r="B402" s="130"/>
      <c r="C402" s="143"/>
      <c r="D402" s="130"/>
      <c r="E402" s="143"/>
      <c r="F402" s="143"/>
      <c r="G402" s="143"/>
      <c r="H402" s="143"/>
      <c r="I402" s="143"/>
      <c r="J402" s="143"/>
      <c r="K402" s="143"/>
      <c r="L402" s="143"/>
      <c r="M402" s="143"/>
      <c r="N402" s="143"/>
      <c r="O402" s="143"/>
      <c r="P402" s="143"/>
      <c r="Q402" s="67"/>
      <c r="R402" s="144"/>
      <c r="S402" s="144"/>
      <c r="T402" s="143"/>
      <c r="U402" s="143"/>
      <c r="V402" s="143"/>
      <c r="W402" s="130"/>
      <c r="X402" s="130"/>
      <c r="Y402" s="130"/>
      <c r="Z402" s="130"/>
      <c r="AA402" s="130"/>
      <c r="AB402" s="130"/>
      <c r="AC402" s="130"/>
      <c r="AD402" s="130"/>
      <c r="AE402" s="130"/>
      <c r="AF402" s="130"/>
      <c r="AG402" s="130"/>
      <c r="AH402" s="130"/>
      <c r="AI402" s="130"/>
      <c r="AJ402" s="130"/>
      <c r="AK402" s="130"/>
    </row>
    <row r="403">
      <c r="A403" s="130"/>
      <c r="B403" s="130"/>
      <c r="C403" s="143"/>
      <c r="D403" s="130"/>
      <c r="E403" s="143"/>
      <c r="F403" s="143"/>
      <c r="G403" s="143"/>
      <c r="H403" s="143"/>
      <c r="I403" s="143"/>
      <c r="J403" s="143"/>
      <c r="K403" s="143"/>
      <c r="L403" s="143"/>
      <c r="M403" s="143"/>
      <c r="N403" s="143"/>
      <c r="O403" s="143"/>
      <c r="P403" s="143"/>
      <c r="Q403" s="67"/>
      <c r="R403" s="144"/>
      <c r="S403" s="144"/>
      <c r="T403" s="143"/>
      <c r="U403" s="143"/>
      <c r="V403" s="143"/>
      <c r="W403" s="130"/>
      <c r="X403" s="130"/>
      <c r="Y403" s="130"/>
      <c r="Z403" s="130"/>
      <c r="AA403" s="130"/>
      <c r="AB403" s="130"/>
      <c r="AC403" s="130"/>
      <c r="AD403" s="130"/>
      <c r="AE403" s="130"/>
      <c r="AF403" s="130"/>
      <c r="AG403" s="130"/>
      <c r="AH403" s="130"/>
      <c r="AI403" s="130"/>
      <c r="AJ403" s="130"/>
      <c r="AK403" s="130"/>
    </row>
    <row r="404">
      <c r="A404" s="130"/>
      <c r="B404" s="130"/>
      <c r="C404" s="143"/>
      <c r="D404" s="130"/>
      <c r="E404" s="143"/>
      <c r="F404" s="143"/>
      <c r="G404" s="143"/>
      <c r="H404" s="143"/>
      <c r="I404" s="143"/>
      <c r="J404" s="143"/>
      <c r="K404" s="143"/>
      <c r="L404" s="143"/>
      <c r="M404" s="143"/>
      <c r="N404" s="143"/>
      <c r="O404" s="143"/>
      <c r="P404" s="143"/>
      <c r="Q404" s="67"/>
      <c r="R404" s="144"/>
      <c r="S404" s="144"/>
      <c r="T404" s="143"/>
      <c r="U404" s="143"/>
      <c r="V404" s="143"/>
      <c r="W404" s="130"/>
      <c r="X404" s="130"/>
      <c r="Y404" s="130"/>
      <c r="Z404" s="130"/>
      <c r="AA404" s="130"/>
      <c r="AB404" s="130"/>
      <c r="AC404" s="130"/>
      <c r="AD404" s="130"/>
      <c r="AE404" s="130"/>
      <c r="AF404" s="130"/>
      <c r="AG404" s="130"/>
      <c r="AH404" s="130"/>
      <c r="AI404" s="130"/>
      <c r="AJ404" s="130"/>
      <c r="AK404" s="130"/>
    </row>
    <row r="405">
      <c r="A405" s="130"/>
      <c r="B405" s="130"/>
      <c r="C405" s="143"/>
      <c r="D405" s="130"/>
      <c r="E405" s="143"/>
      <c r="F405" s="143"/>
      <c r="G405" s="143"/>
      <c r="H405" s="143"/>
      <c r="I405" s="143"/>
      <c r="J405" s="143"/>
      <c r="K405" s="143"/>
      <c r="L405" s="143"/>
      <c r="M405" s="143"/>
      <c r="N405" s="143"/>
      <c r="O405" s="143"/>
      <c r="P405" s="143"/>
      <c r="Q405" s="67"/>
      <c r="R405" s="144"/>
      <c r="S405" s="144"/>
      <c r="T405" s="143"/>
      <c r="U405" s="143"/>
      <c r="V405" s="143"/>
      <c r="W405" s="130"/>
      <c r="X405" s="130"/>
      <c r="Y405" s="130"/>
      <c r="Z405" s="130"/>
      <c r="AA405" s="130"/>
      <c r="AB405" s="130"/>
      <c r="AC405" s="130"/>
      <c r="AD405" s="130"/>
      <c r="AE405" s="130"/>
      <c r="AF405" s="130"/>
      <c r="AG405" s="130"/>
      <c r="AH405" s="130"/>
      <c r="AI405" s="130"/>
      <c r="AJ405" s="130"/>
      <c r="AK405" s="130"/>
    </row>
    <row r="406">
      <c r="A406" s="130"/>
      <c r="B406" s="130"/>
      <c r="C406" s="143"/>
      <c r="D406" s="130"/>
      <c r="E406" s="143"/>
      <c r="F406" s="143"/>
      <c r="G406" s="143"/>
      <c r="H406" s="143"/>
      <c r="I406" s="143"/>
      <c r="J406" s="143"/>
      <c r="K406" s="143"/>
      <c r="L406" s="143"/>
      <c r="M406" s="143"/>
      <c r="N406" s="143"/>
      <c r="O406" s="143"/>
      <c r="P406" s="143"/>
      <c r="Q406" s="67"/>
      <c r="R406" s="144"/>
      <c r="S406" s="144"/>
      <c r="T406" s="143"/>
      <c r="U406" s="143"/>
      <c r="V406" s="143"/>
      <c r="W406" s="130"/>
      <c r="X406" s="130"/>
      <c r="Y406" s="130"/>
      <c r="Z406" s="130"/>
      <c r="AA406" s="130"/>
      <c r="AB406" s="130"/>
      <c r="AC406" s="130"/>
      <c r="AD406" s="130"/>
      <c r="AE406" s="130"/>
      <c r="AF406" s="130"/>
      <c r="AG406" s="130"/>
      <c r="AH406" s="130"/>
      <c r="AI406" s="130"/>
      <c r="AJ406" s="130"/>
      <c r="AK406" s="130"/>
    </row>
    <row r="407">
      <c r="A407" s="130"/>
      <c r="B407" s="130"/>
      <c r="C407" s="143"/>
      <c r="D407" s="130"/>
      <c r="E407" s="143"/>
      <c r="F407" s="143"/>
      <c r="G407" s="143"/>
      <c r="H407" s="143"/>
      <c r="I407" s="143"/>
      <c r="J407" s="143"/>
      <c r="K407" s="143"/>
      <c r="L407" s="143"/>
      <c r="M407" s="143"/>
      <c r="N407" s="143"/>
      <c r="O407" s="143"/>
      <c r="P407" s="143"/>
      <c r="Q407" s="67"/>
      <c r="R407" s="144"/>
      <c r="S407" s="144"/>
      <c r="T407" s="143"/>
      <c r="U407" s="143"/>
      <c r="V407" s="143"/>
      <c r="W407" s="130"/>
      <c r="X407" s="130"/>
      <c r="Y407" s="130"/>
      <c r="Z407" s="130"/>
      <c r="AA407" s="130"/>
      <c r="AB407" s="130"/>
      <c r="AC407" s="130"/>
      <c r="AD407" s="130"/>
      <c r="AE407" s="130"/>
      <c r="AF407" s="130"/>
      <c r="AG407" s="130"/>
      <c r="AH407" s="130"/>
      <c r="AI407" s="130"/>
      <c r="AJ407" s="130"/>
      <c r="AK407" s="130"/>
    </row>
    <row r="408">
      <c r="A408" s="130"/>
      <c r="B408" s="130"/>
      <c r="C408" s="143"/>
      <c r="D408" s="130"/>
      <c r="E408" s="143"/>
      <c r="F408" s="143"/>
      <c r="G408" s="143"/>
      <c r="H408" s="143"/>
      <c r="I408" s="143"/>
      <c r="J408" s="143"/>
      <c r="K408" s="143"/>
      <c r="L408" s="143"/>
      <c r="M408" s="143"/>
      <c r="N408" s="143"/>
      <c r="O408" s="143"/>
      <c r="P408" s="143"/>
      <c r="Q408" s="67"/>
      <c r="R408" s="144"/>
      <c r="S408" s="144"/>
      <c r="T408" s="143"/>
      <c r="U408" s="143"/>
      <c r="V408" s="143"/>
      <c r="W408" s="130"/>
      <c r="X408" s="130"/>
      <c r="Y408" s="130"/>
      <c r="Z408" s="130"/>
      <c r="AA408" s="130"/>
      <c r="AB408" s="130"/>
      <c r="AC408" s="130"/>
      <c r="AD408" s="130"/>
      <c r="AE408" s="130"/>
      <c r="AF408" s="130"/>
      <c r="AG408" s="130"/>
      <c r="AH408" s="130"/>
      <c r="AI408" s="130"/>
      <c r="AJ408" s="130"/>
      <c r="AK408" s="130"/>
    </row>
    <row r="409">
      <c r="A409" s="130"/>
      <c r="B409" s="130"/>
      <c r="C409" s="143"/>
      <c r="D409" s="130"/>
      <c r="E409" s="143"/>
      <c r="F409" s="143"/>
      <c r="G409" s="143"/>
      <c r="H409" s="143"/>
      <c r="I409" s="143"/>
      <c r="J409" s="143"/>
      <c r="K409" s="143"/>
      <c r="L409" s="143"/>
      <c r="M409" s="143"/>
      <c r="N409" s="143"/>
      <c r="O409" s="143"/>
      <c r="P409" s="143"/>
      <c r="Q409" s="67"/>
      <c r="R409" s="144"/>
      <c r="S409" s="144"/>
      <c r="T409" s="143"/>
      <c r="U409" s="143"/>
      <c r="V409" s="143"/>
      <c r="W409" s="130"/>
      <c r="X409" s="130"/>
      <c r="Y409" s="130"/>
      <c r="Z409" s="130"/>
      <c r="AA409" s="130"/>
      <c r="AB409" s="130"/>
      <c r="AC409" s="130"/>
      <c r="AD409" s="130"/>
      <c r="AE409" s="130"/>
      <c r="AF409" s="130"/>
      <c r="AG409" s="130"/>
      <c r="AH409" s="130"/>
      <c r="AI409" s="130"/>
      <c r="AJ409" s="130"/>
      <c r="AK409" s="130"/>
    </row>
    <row r="410">
      <c r="A410" s="130"/>
      <c r="B410" s="130"/>
      <c r="C410" s="143"/>
      <c r="D410" s="130"/>
      <c r="E410" s="143"/>
      <c r="F410" s="143"/>
      <c r="G410" s="143"/>
      <c r="H410" s="143"/>
      <c r="I410" s="143"/>
      <c r="J410" s="143"/>
      <c r="K410" s="143"/>
      <c r="L410" s="143"/>
      <c r="M410" s="143"/>
      <c r="N410" s="143"/>
      <c r="O410" s="143"/>
      <c r="P410" s="143"/>
      <c r="Q410" s="67"/>
      <c r="R410" s="144"/>
      <c r="S410" s="144"/>
      <c r="T410" s="143"/>
      <c r="U410" s="143"/>
      <c r="V410" s="143"/>
      <c r="W410" s="130"/>
      <c r="X410" s="130"/>
      <c r="Y410" s="130"/>
      <c r="Z410" s="130"/>
      <c r="AA410" s="130"/>
      <c r="AB410" s="130"/>
      <c r="AC410" s="130"/>
      <c r="AD410" s="130"/>
      <c r="AE410" s="130"/>
      <c r="AF410" s="130"/>
      <c r="AG410" s="130"/>
      <c r="AH410" s="130"/>
      <c r="AI410" s="130"/>
      <c r="AJ410" s="130"/>
      <c r="AK410" s="130"/>
    </row>
    <row r="411">
      <c r="A411" s="130"/>
      <c r="B411" s="130"/>
      <c r="C411" s="143"/>
      <c r="D411" s="130"/>
      <c r="E411" s="143"/>
      <c r="F411" s="143"/>
      <c r="G411" s="143"/>
      <c r="H411" s="143"/>
      <c r="I411" s="143"/>
      <c r="J411" s="143"/>
      <c r="K411" s="143"/>
      <c r="L411" s="143"/>
      <c r="M411" s="143"/>
      <c r="N411" s="143"/>
      <c r="O411" s="143"/>
      <c r="P411" s="143"/>
      <c r="Q411" s="67"/>
      <c r="R411" s="144"/>
      <c r="S411" s="144"/>
      <c r="T411" s="143"/>
      <c r="U411" s="143"/>
      <c r="V411" s="143"/>
      <c r="W411" s="130"/>
      <c r="X411" s="130"/>
      <c r="Y411" s="130"/>
      <c r="Z411" s="130"/>
      <c r="AA411" s="130"/>
      <c r="AB411" s="130"/>
      <c r="AC411" s="130"/>
      <c r="AD411" s="130"/>
      <c r="AE411" s="130"/>
      <c r="AF411" s="130"/>
      <c r="AG411" s="130"/>
      <c r="AH411" s="130"/>
      <c r="AI411" s="130"/>
      <c r="AJ411" s="130"/>
      <c r="AK411" s="130"/>
    </row>
    <row r="412">
      <c r="A412" s="130"/>
      <c r="B412" s="130"/>
      <c r="C412" s="143"/>
      <c r="D412" s="130"/>
      <c r="E412" s="143"/>
      <c r="F412" s="143"/>
      <c r="G412" s="143"/>
      <c r="H412" s="143"/>
      <c r="I412" s="143"/>
      <c r="J412" s="143"/>
      <c r="K412" s="143"/>
      <c r="L412" s="143"/>
      <c r="M412" s="143"/>
      <c r="N412" s="143"/>
      <c r="O412" s="143"/>
      <c r="P412" s="143"/>
      <c r="Q412" s="67"/>
      <c r="R412" s="144"/>
      <c r="S412" s="144"/>
      <c r="T412" s="143"/>
      <c r="U412" s="143"/>
      <c r="V412" s="143"/>
      <c r="W412" s="130"/>
      <c r="X412" s="130"/>
      <c r="Y412" s="130"/>
      <c r="Z412" s="130"/>
      <c r="AA412" s="130"/>
      <c r="AB412" s="130"/>
      <c r="AC412" s="130"/>
      <c r="AD412" s="130"/>
      <c r="AE412" s="130"/>
      <c r="AF412" s="130"/>
      <c r="AG412" s="130"/>
      <c r="AH412" s="130"/>
      <c r="AI412" s="130"/>
      <c r="AJ412" s="130"/>
      <c r="AK412" s="130"/>
    </row>
    <row r="413">
      <c r="A413" s="130"/>
      <c r="B413" s="130"/>
      <c r="C413" s="143"/>
      <c r="D413" s="130"/>
      <c r="E413" s="143"/>
      <c r="F413" s="143"/>
      <c r="G413" s="143"/>
      <c r="H413" s="143"/>
      <c r="I413" s="143"/>
      <c r="J413" s="143"/>
      <c r="K413" s="143"/>
      <c r="L413" s="143"/>
      <c r="M413" s="143"/>
      <c r="N413" s="143"/>
      <c r="O413" s="143"/>
      <c r="P413" s="143"/>
      <c r="Q413" s="67"/>
      <c r="R413" s="144"/>
      <c r="S413" s="144"/>
      <c r="T413" s="143"/>
      <c r="U413" s="143"/>
      <c r="V413" s="143"/>
      <c r="W413" s="130"/>
      <c r="X413" s="130"/>
      <c r="Y413" s="130"/>
      <c r="Z413" s="130"/>
      <c r="AA413" s="130"/>
      <c r="AB413" s="130"/>
      <c r="AC413" s="130"/>
      <c r="AD413" s="130"/>
      <c r="AE413" s="130"/>
      <c r="AF413" s="130"/>
      <c r="AG413" s="130"/>
      <c r="AH413" s="130"/>
      <c r="AI413" s="130"/>
      <c r="AJ413" s="130"/>
      <c r="AK413" s="130"/>
    </row>
    <row r="414">
      <c r="A414" s="130"/>
      <c r="B414" s="130"/>
      <c r="C414" s="143"/>
      <c r="D414" s="130"/>
      <c r="E414" s="143"/>
      <c r="F414" s="143"/>
      <c r="G414" s="143"/>
      <c r="H414" s="143"/>
      <c r="I414" s="143"/>
      <c r="J414" s="143"/>
      <c r="K414" s="143"/>
      <c r="L414" s="143"/>
      <c r="M414" s="143"/>
      <c r="N414" s="143"/>
      <c r="O414" s="143"/>
      <c r="P414" s="143"/>
      <c r="Q414" s="67"/>
      <c r="R414" s="144"/>
      <c r="S414" s="144"/>
      <c r="T414" s="143"/>
      <c r="U414" s="143"/>
      <c r="V414" s="143"/>
      <c r="W414" s="130"/>
      <c r="X414" s="130"/>
      <c r="Y414" s="130"/>
      <c r="Z414" s="130"/>
      <c r="AA414" s="130"/>
      <c r="AB414" s="130"/>
      <c r="AC414" s="130"/>
      <c r="AD414" s="130"/>
      <c r="AE414" s="130"/>
      <c r="AF414" s="130"/>
      <c r="AG414" s="130"/>
      <c r="AH414" s="130"/>
      <c r="AI414" s="130"/>
      <c r="AJ414" s="130"/>
      <c r="AK414" s="130"/>
    </row>
    <row r="415">
      <c r="A415" s="130"/>
      <c r="B415" s="130"/>
      <c r="C415" s="143"/>
      <c r="D415" s="130"/>
      <c r="E415" s="143"/>
      <c r="F415" s="143"/>
      <c r="G415" s="143"/>
      <c r="H415" s="143"/>
      <c r="I415" s="143"/>
      <c r="J415" s="143"/>
      <c r="K415" s="143"/>
      <c r="L415" s="143"/>
      <c r="M415" s="143"/>
      <c r="N415" s="143"/>
      <c r="O415" s="143"/>
      <c r="P415" s="143"/>
      <c r="Q415" s="67"/>
      <c r="R415" s="144"/>
      <c r="S415" s="144"/>
      <c r="T415" s="143"/>
      <c r="U415" s="143"/>
      <c r="V415" s="143"/>
      <c r="W415" s="130"/>
      <c r="X415" s="130"/>
      <c r="Y415" s="130"/>
      <c r="Z415" s="130"/>
      <c r="AA415" s="130"/>
      <c r="AB415" s="130"/>
      <c r="AC415" s="130"/>
      <c r="AD415" s="130"/>
      <c r="AE415" s="130"/>
      <c r="AF415" s="130"/>
      <c r="AG415" s="130"/>
      <c r="AH415" s="130"/>
      <c r="AI415" s="130"/>
      <c r="AJ415" s="130"/>
      <c r="AK415" s="130"/>
    </row>
    <row r="416">
      <c r="A416" s="130"/>
      <c r="B416" s="130"/>
      <c r="C416" s="143"/>
      <c r="D416" s="130"/>
      <c r="E416" s="143"/>
      <c r="F416" s="143"/>
      <c r="G416" s="143"/>
      <c r="H416" s="143"/>
      <c r="I416" s="143"/>
      <c r="J416" s="143"/>
      <c r="K416" s="143"/>
      <c r="L416" s="143"/>
      <c r="M416" s="143"/>
      <c r="N416" s="143"/>
      <c r="O416" s="143"/>
      <c r="P416" s="143"/>
      <c r="Q416" s="67"/>
      <c r="R416" s="144"/>
      <c r="S416" s="144"/>
      <c r="T416" s="143"/>
      <c r="U416" s="143"/>
      <c r="V416" s="143"/>
      <c r="W416" s="130"/>
      <c r="X416" s="130"/>
      <c r="Y416" s="130"/>
      <c r="Z416" s="130"/>
      <c r="AA416" s="130"/>
      <c r="AB416" s="130"/>
      <c r="AC416" s="130"/>
      <c r="AD416" s="130"/>
      <c r="AE416" s="130"/>
      <c r="AF416" s="130"/>
      <c r="AG416" s="130"/>
      <c r="AH416" s="130"/>
      <c r="AI416" s="130"/>
      <c r="AJ416" s="130"/>
      <c r="AK416" s="130"/>
    </row>
    <row r="417">
      <c r="A417" s="130"/>
      <c r="B417" s="130"/>
      <c r="C417" s="143"/>
      <c r="D417" s="130"/>
      <c r="E417" s="143"/>
      <c r="F417" s="143"/>
      <c r="G417" s="143"/>
      <c r="H417" s="143"/>
      <c r="I417" s="143"/>
      <c r="J417" s="143"/>
      <c r="K417" s="143"/>
      <c r="L417" s="143"/>
      <c r="M417" s="143"/>
      <c r="N417" s="143"/>
      <c r="O417" s="143"/>
      <c r="P417" s="143"/>
      <c r="Q417" s="67"/>
      <c r="R417" s="144"/>
      <c r="S417" s="144"/>
      <c r="T417" s="143"/>
      <c r="U417" s="143"/>
      <c r="V417" s="143"/>
      <c r="W417" s="130"/>
      <c r="X417" s="130"/>
      <c r="Y417" s="130"/>
      <c r="Z417" s="130"/>
      <c r="AA417" s="130"/>
      <c r="AB417" s="130"/>
      <c r="AC417" s="130"/>
      <c r="AD417" s="130"/>
      <c r="AE417" s="130"/>
      <c r="AF417" s="130"/>
      <c r="AG417" s="130"/>
      <c r="AH417" s="130"/>
      <c r="AI417" s="130"/>
      <c r="AJ417" s="130"/>
      <c r="AK417" s="130"/>
    </row>
    <row r="418">
      <c r="A418" s="130"/>
      <c r="B418" s="130"/>
      <c r="C418" s="143"/>
      <c r="D418" s="130"/>
      <c r="E418" s="143"/>
      <c r="F418" s="143"/>
      <c r="G418" s="143"/>
      <c r="H418" s="143"/>
      <c r="I418" s="143"/>
      <c r="J418" s="143"/>
      <c r="K418" s="143"/>
      <c r="L418" s="143"/>
      <c r="M418" s="143"/>
      <c r="N418" s="143"/>
      <c r="O418" s="143"/>
      <c r="P418" s="143"/>
      <c r="Q418" s="67"/>
      <c r="R418" s="144"/>
      <c r="S418" s="144"/>
      <c r="T418" s="143"/>
      <c r="U418" s="143"/>
      <c r="V418" s="143"/>
      <c r="W418" s="130"/>
      <c r="X418" s="130"/>
      <c r="Y418" s="130"/>
      <c r="Z418" s="130"/>
      <c r="AA418" s="130"/>
      <c r="AB418" s="130"/>
      <c r="AC418" s="130"/>
      <c r="AD418" s="130"/>
      <c r="AE418" s="130"/>
      <c r="AF418" s="130"/>
      <c r="AG418" s="130"/>
      <c r="AH418" s="130"/>
      <c r="AI418" s="130"/>
      <c r="AJ418" s="130"/>
      <c r="AK418" s="130"/>
    </row>
    <row r="419">
      <c r="A419" s="130"/>
      <c r="B419" s="130"/>
      <c r="C419" s="143"/>
      <c r="D419" s="130"/>
      <c r="E419" s="143"/>
      <c r="F419" s="143"/>
      <c r="G419" s="143"/>
      <c r="H419" s="143"/>
      <c r="I419" s="143"/>
      <c r="J419" s="143"/>
      <c r="K419" s="143"/>
      <c r="L419" s="143"/>
      <c r="M419" s="143"/>
      <c r="N419" s="143"/>
      <c r="O419" s="143"/>
      <c r="P419" s="143"/>
      <c r="Q419" s="67"/>
      <c r="R419" s="144"/>
      <c r="S419" s="144"/>
      <c r="T419" s="143"/>
      <c r="U419" s="143"/>
      <c r="V419" s="143"/>
      <c r="W419" s="130"/>
      <c r="X419" s="130"/>
      <c r="Y419" s="130"/>
      <c r="Z419" s="130"/>
      <c r="AA419" s="130"/>
      <c r="AB419" s="130"/>
      <c r="AC419" s="130"/>
      <c r="AD419" s="130"/>
      <c r="AE419" s="130"/>
      <c r="AF419" s="130"/>
      <c r="AG419" s="130"/>
      <c r="AH419" s="130"/>
      <c r="AI419" s="130"/>
      <c r="AJ419" s="130"/>
      <c r="AK419" s="130"/>
    </row>
    <row r="420">
      <c r="A420" s="130"/>
      <c r="B420" s="130"/>
      <c r="C420" s="143"/>
      <c r="D420" s="130"/>
      <c r="E420" s="143"/>
      <c r="F420" s="143"/>
      <c r="G420" s="143"/>
      <c r="H420" s="143"/>
      <c r="I420" s="143"/>
      <c r="J420" s="143"/>
      <c r="K420" s="143"/>
      <c r="L420" s="143"/>
      <c r="M420" s="143"/>
      <c r="N420" s="143"/>
      <c r="O420" s="143"/>
      <c r="P420" s="143"/>
      <c r="Q420" s="67"/>
      <c r="R420" s="144"/>
      <c r="S420" s="144"/>
      <c r="T420" s="143"/>
      <c r="U420" s="143"/>
      <c r="V420" s="143"/>
      <c r="W420" s="130"/>
      <c r="X420" s="130"/>
      <c r="Y420" s="130"/>
      <c r="Z420" s="130"/>
      <c r="AA420" s="130"/>
      <c r="AB420" s="130"/>
      <c r="AC420" s="130"/>
      <c r="AD420" s="130"/>
      <c r="AE420" s="130"/>
      <c r="AF420" s="130"/>
      <c r="AG420" s="130"/>
      <c r="AH420" s="130"/>
      <c r="AI420" s="130"/>
      <c r="AJ420" s="130"/>
      <c r="AK420" s="130"/>
    </row>
    <row r="421">
      <c r="A421" s="130"/>
      <c r="B421" s="130"/>
      <c r="C421" s="143"/>
      <c r="D421" s="130"/>
      <c r="E421" s="143"/>
      <c r="F421" s="143"/>
      <c r="G421" s="143"/>
      <c r="H421" s="143"/>
      <c r="I421" s="143"/>
      <c r="J421" s="143"/>
      <c r="K421" s="143"/>
      <c r="L421" s="143"/>
      <c r="M421" s="143"/>
      <c r="N421" s="143"/>
      <c r="O421" s="143"/>
      <c r="P421" s="143"/>
      <c r="Q421" s="67"/>
      <c r="R421" s="144"/>
      <c r="S421" s="144"/>
      <c r="T421" s="143"/>
      <c r="U421" s="143"/>
      <c r="V421" s="143"/>
      <c r="W421" s="130"/>
      <c r="X421" s="130"/>
      <c r="Y421" s="130"/>
      <c r="Z421" s="130"/>
      <c r="AA421" s="130"/>
      <c r="AB421" s="130"/>
      <c r="AC421" s="130"/>
      <c r="AD421" s="130"/>
      <c r="AE421" s="130"/>
      <c r="AF421" s="130"/>
      <c r="AG421" s="130"/>
      <c r="AH421" s="130"/>
      <c r="AI421" s="130"/>
      <c r="AJ421" s="130"/>
      <c r="AK421" s="130"/>
    </row>
    <row r="422">
      <c r="A422" s="130"/>
      <c r="B422" s="130"/>
      <c r="C422" s="143"/>
      <c r="D422" s="130"/>
      <c r="E422" s="143"/>
      <c r="F422" s="143"/>
      <c r="G422" s="143"/>
      <c r="H422" s="143"/>
      <c r="I422" s="143"/>
      <c r="J422" s="143"/>
      <c r="K422" s="143"/>
      <c r="L422" s="143"/>
      <c r="M422" s="143"/>
      <c r="N422" s="143"/>
      <c r="O422" s="143"/>
      <c r="P422" s="143"/>
      <c r="Q422" s="67"/>
      <c r="R422" s="144"/>
      <c r="S422" s="144"/>
      <c r="T422" s="143"/>
      <c r="U422" s="143"/>
      <c r="V422" s="143"/>
      <c r="W422" s="130"/>
      <c r="X422" s="130"/>
      <c r="Y422" s="130"/>
      <c r="Z422" s="130"/>
      <c r="AA422" s="130"/>
      <c r="AB422" s="130"/>
      <c r="AC422" s="130"/>
      <c r="AD422" s="130"/>
      <c r="AE422" s="130"/>
      <c r="AF422" s="130"/>
      <c r="AG422" s="130"/>
      <c r="AH422" s="130"/>
      <c r="AI422" s="130"/>
      <c r="AJ422" s="130"/>
      <c r="AK422" s="130"/>
    </row>
    <row r="423">
      <c r="A423" s="130"/>
      <c r="B423" s="130"/>
      <c r="C423" s="143"/>
      <c r="D423" s="130"/>
      <c r="E423" s="143"/>
      <c r="F423" s="143"/>
      <c r="G423" s="143"/>
      <c r="H423" s="143"/>
      <c r="I423" s="143"/>
      <c r="J423" s="143"/>
      <c r="K423" s="143"/>
      <c r="L423" s="143"/>
      <c r="M423" s="143"/>
      <c r="N423" s="143"/>
      <c r="O423" s="143"/>
      <c r="P423" s="143"/>
      <c r="Q423" s="67"/>
      <c r="R423" s="144"/>
      <c r="S423" s="144"/>
      <c r="T423" s="143"/>
      <c r="U423" s="143"/>
      <c r="V423" s="143"/>
      <c r="W423" s="130"/>
      <c r="X423" s="130"/>
      <c r="Y423" s="130"/>
      <c r="Z423" s="130"/>
      <c r="AA423" s="130"/>
      <c r="AB423" s="130"/>
      <c r="AC423" s="130"/>
      <c r="AD423" s="130"/>
      <c r="AE423" s="130"/>
      <c r="AF423" s="130"/>
      <c r="AG423" s="130"/>
      <c r="AH423" s="130"/>
      <c r="AI423" s="130"/>
      <c r="AJ423" s="130"/>
      <c r="AK423" s="130"/>
    </row>
    <row r="424">
      <c r="A424" s="130"/>
      <c r="B424" s="130"/>
      <c r="C424" s="143"/>
      <c r="D424" s="130"/>
      <c r="E424" s="143"/>
      <c r="F424" s="143"/>
      <c r="G424" s="143"/>
      <c r="H424" s="143"/>
      <c r="I424" s="143"/>
      <c r="J424" s="143"/>
      <c r="K424" s="143"/>
      <c r="L424" s="143"/>
      <c r="M424" s="143"/>
      <c r="N424" s="143"/>
      <c r="O424" s="143"/>
      <c r="P424" s="143"/>
      <c r="Q424" s="67"/>
      <c r="R424" s="144"/>
      <c r="S424" s="144"/>
      <c r="T424" s="143"/>
      <c r="U424" s="143"/>
      <c r="V424" s="143"/>
      <c r="W424" s="130"/>
      <c r="X424" s="130"/>
      <c r="Y424" s="130"/>
      <c r="Z424" s="130"/>
      <c r="AA424" s="130"/>
      <c r="AB424" s="130"/>
      <c r="AC424" s="130"/>
      <c r="AD424" s="130"/>
      <c r="AE424" s="130"/>
      <c r="AF424" s="130"/>
      <c r="AG424" s="130"/>
      <c r="AH424" s="130"/>
      <c r="AI424" s="130"/>
      <c r="AJ424" s="130"/>
      <c r="AK424" s="130"/>
    </row>
    <row r="425">
      <c r="A425" s="130"/>
      <c r="B425" s="130"/>
      <c r="C425" s="143"/>
      <c r="D425" s="130"/>
      <c r="E425" s="143"/>
      <c r="F425" s="143"/>
      <c r="G425" s="143"/>
      <c r="H425" s="143"/>
      <c r="I425" s="143"/>
      <c r="J425" s="143"/>
      <c r="K425" s="143"/>
      <c r="L425" s="143"/>
      <c r="M425" s="143"/>
      <c r="N425" s="143"/>
      <c r="O425" s="143"/>
      <c r="P425" s="143"/>
      <c r="Q425" s="67"/>
      <c r="R425" s="144"/>
      <c r="S425" s="144"/>
      <c r="T425" s="143"/>
      <c r="U425" s="143"/>
      <c r="V425" s="143"/>
      <c r="W425" s="130"/>
      <c r="X425" s="130"/>
      <c r="Y425" s="130"/>
      <c r="Z425" s="130"/>
      <c r="AA425" s="130"/>
      <c r="AB425" s="130"/>
      <c r="AC425" s="130"/>
      <c r="AD425" s="130"/>
      <c r="AE425" s="130"/>
      <c r="AF425" s="130"/>
      <c r="AG425" s="130"/>
      <c r="AH425" s="130"/>
      <c r="AI425" s="130"/>
      <c r="AJ425" s="130"/>
      <c r="AK425" s="130"/>
    </row>
    <row r="426">
      <c r="A426" s="130"/>
      <c r="B426" s="130"/>
      <c r="C426" s="143"/>
      <c r="D426" s="130"/>
      <c r="E426" s="143"/>
      <c r="F426" s="143"/>
      <c r="G426" s="143"/>
      <c r="H426" s="143"/>
      <c r="I426" s="143"/>
      <c r="J426" s="143"/>
      <c r="K426" s="143"/>
      <c r="L426" s="143"/>
      <c r="M426" s="143"/>
      <c r="N426" s="143"/>
      <c r="O426" s="143"/>
      <c r="P426" s="143"/>
      <c r="Q426" s="67"/>
      <c r="R426" s="144"/>
      <c r="S426" s="144"/>
      <c r="T426" s="143"/>
      <c r="U426" s="143"/>
      <c r="V426" s="143"/>
      <c r="W426" s="130"/>
      <c r="X426" s="130"/>
      <c r="Y426" s="130"/>
      <c r="Z426" s="130"/>
      <c r="AA426" s="130"/>
      <c r="AB426" s="130"/>
      <c r="AC426" s="130"/>
      <c r="AD426" s="130"/>
      <c r="AE426" s="130"/>
      <c r="AF426" s="130"/>
      <c r="AG426" s="130"/>
      <c r="AH426" s="130"/>
      <c r="AI426" s="130"/>
      <c r="AJ426" s="130"/>
      <c r="AK426" s="130"/>
    </row>
    <row r="427">
      <c r="A427" s="130"/>
      <c r="B427" s="130"/>
      <c r="C427" s="143"/>
      <c r="D427" s="130"/>
      <c r="E427" s="143"/>
      <c r="F427" s="143"/>
      <c r="G427" s="143"/>
      <c r="H427" s="143"/>
      <c r="I427" s="143"/>
      <c r="J427" s="143"/>
      <c r="K427" s="143"/>
      <c r="L427" s="143"/>
      <c r="M427" s="143"/>
      <c r="N427" s="143"/>
      <c r="O427" s="143"/>
      <c r="P427" s="143"/>
      <c r="Q427" s="67"/>
      <c r="R427" s="144"/>
      <c r="S427" s="144"/>
      <c r="T427" s="143"/>
      <c r="U427" s="143"/>
      <c r="V427" s="143"/>
      <c r="W427" s="130"/>
      <c r="X427" s="130"/>
      <c r="Y427" s="130"/>
      <c r="Z427" s="130"/>
      <c r="AA427" s="130"/>
      <c r="AB427" s="130"/>
      <c r="AC427" s="130"/>
      <c r="AD427" s="130"/>
      <c r="AE427" s="130"/>
      <c r="AF427" s="130"/>
      <c r="AG427" s="130"/>
      <c r="AH427" s="130"/>
      <c r="AI427" s="130"/>
      <c r="AJ427" s="130"/>
      <c r="AK427" s="130"/>
    </row>
    <row r="428">
      <c r="A428" s="130"/>
      <c r="B428" s="130"/>
      <c r="C428" s="143"/>
      <c r="D428" s="130"/>
      <c r="E428" s="143"/>
      <c r="F428" s="143"/>
      <c r="G428" s="143"/>
      <c r="H428" s="143"/>
      <c r="I428" s="143"/>
      <c r="J428" s="143"/>
      <c r="K428" s="143"/>
      <c r="L428" s="143"/>
      <c r="M428" s="143"/>
      <c r="N428" s="143"/>
      <c r="O428" s="143"/>
      <c r="P428" s="143"/>
      <c r="Q428" s="67"/>
      <c r="R428" s="144"/>
      <c r="S428" s="144"/>
      <c r="T428" s="143"/>
      <c r="U428" s="143"/>
      <c r="V428" s="143"/>
      <c r="W428" s="130"/>
      <c r="X428" s="130"/>
      <c r="Y428" s="130"/>
      <c r="Z428" s="130"/>
      <c r="AA428" s="130"/>
      <c r="AB428" s="130"/>
      <c r="AC428" s="130"/>
      <c r="AD428" s="130"/>
      <c r="AE428" s="130"/>
      <c r="AF428" s="130"/>
      <c r="AG428" s="130"/>
      <c r="AH428" s="130"/>
      <c r="AI428" s="130"/>
      <c r="AJ428" s="130"/>
      <c r="AK428" s="130"/>
    </row>
    <row r="429">
      <c r="A429" s="130"/>
      <c r="B429" s="130"/>
      <c r="C429" s="143"/>
      <c r="D429" s="130"/>
      <c r="E429" s="143"/>
      <c r="F429" s="143"/>
      <c r="G429" s="143"/>
      <c r="H429" s="143"/>
      <c r="I429" s="143"/>
      <c r="J429" s="143"/>
      <c r="K429" s="143"/>
      <c r="L429" s="143"/>
      <c r="M429" s="143"/>
      <c r="N429" s="143"/>
      <c r="O429" s="143"/>
      <c r="P429" s="143"/>
      <c r="Q429" s="67"/>
      <c r="R429" s="144"/>
      <c r="S429" s="144"/>
      <c r="T429" s="143"/>
      <c r="U429" s="143"/>
      <c r="V429" s="143"/>
      <c r="W429" s="130"/>
      <c r="X429" s="130"/>
      <c r="Y429" s="130"/>
      <c r="Z429" s="130"/>
      <c r="AA429" s="130"/>
      <c r="AB429" s="130"/>
      <c r="AC429" s="130"/>
      <c r="AD429" s="130"/>
      <c r="AE429" s="130"/>
      <c r="AF429" s="130"/>
      <c r="AG429" s="130"/>
      <c r="AH429" s="130"/>
      <c r="AI429" s="130"/>
      <c r="AJ429" s="130"/>
      <c r="AK429" s="130"/>
    </row>
    <row r="430">
      <c r="A430" s="130"/>
      <c r="B430" s="130"/>
      <c r="C430" s="143"/>
      <c r="D430" s="130"/>
      <c r="E430" s="143"/>
      <c r="F430" s="143"/>
      <c r="G430" s="143"/>
      <c r="H430" s="143"/>
      <c r="I430" s="143"/>
      <c r="J430" s="143"/>
      <c r="K430" s="143"/>
      <c r="L430" s="143"/>
      <c r="M430" s="143"/>
      <c r="N430" s="143"/>
      <c r="O430" s="143"/>
      <c r="P430" s="143"/>
      <c r="Q430" s="67"/>
      <c r="R430" s="144"/>
      <c r="S430" s="144"/>
      <c r="T430" s="143"/>
      <c r="U430" s="143"/>
      <c r="V430" s="143"/>
      <c r="W430" s="130"/>
      <c r="X430" s="130"/>
      <c r="Y430" s="130"/>
      <c r="Z430" s="130"/>
      <c r="AA430" s="130"/>
      <c r="AB430" s="130"/>
      <c r="AC430" s="130"/>
      <c r="AD430" s="130"/>
      <c r="AE430" s="130"/>
      <c r="AF430" s="130"/>
      <c r="AG430" s="130"/>
      <c r="AH430" s="130"/>
      <c r="AI430" s="130"/>
      <c r="AJ430" s="130"/>
      <c r="AK430" s="130"/>
    </row>
    <row r="431">
      <c r="A431" s="130"/>
      <c r="B431" s="130"/>
      <c r="C431" s="143"/>
      <c r="D431" s="130"/>
      <c r="E431" s="143"/>
      <c r="F431" s="143"/>
      <c r="G431" s="143"/>
      <c r="H431" s="143"/>
      <c r="I431" s="143"/>
      <c r="J431" s="143"/>
      <c r="K431" s="143"/>
      <c r="L431" s="143"/>
      <c r="M431" s="143"/>
      <c r="N431" s="143"/>
      <c r="O431" s="143"/>
      <c r="P431" s="143"/>
      <c r="Q431" s="67"/>
      <c r="R431" s="144"/>
      <c r="S431" s="144"/>
      <c r="T431" s="143"/>
      <c r="U431" s="143"/>
      <c r="V431" s="143"/>
      <c r="W431" s="130"/>
      <c r="X431" s="130"/>
      <c r="Y431" s="130"/>
      <c r="Z431" s="130"/>
      <c r="AA431" s="130"/>
      <c r="AB431" s="130"/>
      <c r="AC431" s="130"/>
      <c r="AD431" s="130"/>
      <c r="AE431" s="130"/>
      <c r="AF431" s="130"/>
      <c r="AG431" s="130"/>
      <c r="AH431" s="130"/>
      <c r="AI431" s="130"/>
      <c r="AJ431" s="130"/>
      <c r="AK431" s="130"/>
    </row>
    <row r="432">
      <c r="A432" s="130"/>
      <c r="B432" s="130"/>
      <c r="C432" s="143"/>
      <c r="D432" s="130"/>
      <c r="E432" s="143"/>
      <c r="F432" s="143"/>
      <c r="G432" s="143"/>
      <c r="H432" s="143"/>
      <c r="I432" s="143"/>
      <c r="J432" s="143"/>
      <c r="K432" s="143"/>
      <c r="L432" s="143"/>
      <c r="M432" s="143"/>
      <c r="N432" s="143"/>
      <c r="O432" s="143"/>
      <c r="P432" s="143"/>
      <c r="Q432" s="67"/>
      <c r="R432" s="144"/>
      <c r="S432" s="144"/>
      <c r="T432" s="143"/>
      <c r="U432" s="143"/>
      <c r="V432" s="143"/>
      <c r="W432" s="130"/>
      <c r="X432" s="130"/>
      <c r="Y432" s="130"/>
      <c r="Z432" s="130"/>
      <c r="AA432" s="130"/>
      <c r="AB432" s="130"/>
      <c r="AC432" s="130"/>
      <c r="AD432" s="130"/>
      <c r="AE432" s="130"/>
      <c r="AF432" s="130"/>
      <c r="AG432" s="130"/>
      <c r="AH432" s="130"/>
      <c r="AI432" s="130"/>
      <c r="AJ432" s="130"/>
      <c r="AK432" s="130"/>
    </row>
    <row r="433">
      <c r="A433" s="130"/>
      <c r="B433" s="130"/>
      <c r="C433" s="143"/>
      <c r="D433" s="130"/>
      <c r="E433" s="143"/>
      <c r="F433" s="143"/>
      <c r="G433" s="143"/>
      <c r="H433" s="143"/>
      <c r="I433" s="143"/>
      <c r="J433" s="143"/>
      <c r="K433" s="143"/>
      <c r="L433" s="143"/>
      <c r="M433" s="143"/>
      <c r="N433" s="143"/>
      <c r="O433" s="143"/>
      <c r="P433" s="143"/>
      <c r="Q433" s="67"/>
      <c r="R433" s="144"/>
      <c r="S433" s="144"/>
      <c r="T433" s="143"/>
      <c r="U433" s="143"/>
      <c r="V433" s="143"/>
      <c r="W433" s="130"/>
      <c r="X433" s="130"/>
      <c r="Y433" s="130"/>
      <c r="Z433" s="130"/>
      <c r="AA433" s="130"/>
      <c r="AB433" s="130"/>
      <c r="AC433" s="130"/>
      <c r="AD433" s="130"/>
      <c r="AE433" s="130"/>
      <c r="AF433" s="130"/>
      <c r="AG433" s="130"/>
      <c r="AH433" s="130"/>
      <c r="AI433" s="130"/>
      <c r="AJ433" s="130"/>
      <c r="AK433" s="130"/>
    </row>
    <row r="434">
      <c r="A434" s="130"/>
      <c r="B434" s="130"/>
      <c r="C434" s="143"/>
      <c r="D434" s="130"/>
      <c r="E434" s="143"/>
      <c r="F434" s="143"/>
      <c r="G434" s="143"/>
      <c r="H434" s="143"/>
      <c r="I434" s="143"/>
      <c r="J434" s="143"/>
      <c r="K434" s="143"/>
      <c r="L434" s="143"/>
      <c r="M434" s="143"/>
      <c r="N434" s="143"/>
      <c r="O434" s="143"/>
      <c r="P434" s="143"/>
      <c r="Q434" s="67"/>
      <c r="R434" s="144"/>
      <c r="S434" s="144"/>
      <c r="T434" s="143"/>
      <c r="U434" s="143"/>
      <c r="V434" s="143"/>
      <c r="W434" s="130"/>
      <c r="X434" s="130"/>
      <c r="Y434" s="130"/>
      <c r="Z434" s="130"/>
      <c r="AA434" s="130"/>
      <c r="AB434" s="130"/>
      <c r="AC434" s="130"/>
      <c r="AD434" s="130"/>
      <c r="AE434" s="130"/>
      <c r="AF434" s="130"/>
      <c r="AG434" s="130"/>
      <c r="AH434" s="130"/>
      <c r="AI434" s="130"/>
      <c r="AJ434" s="130"/>
      <c r="AK434" s="130"/>
    </row>
    <row r="435">
      <c r="A435" s="130"/>
      <c r="B435" s="130"/>
      <c r="C435" s="143"/>
      <c r="D435" s="130"/>
      <c r="E435" s="143"/>
      <c r="F435" s="143"/>
      <c r="G435" s="143"/>
      <c r="H435" s="143"/>
      <c r="I435" s="143"/>
      <c r="J435" s="143"/>
      <c r="K435" s="143"/>
      <c r="L435" s="143"/>
      <c r="M435" s="143"/>
      <c r="N435" s="143"/>
      <c r="O435" s="143"/>
      <c r="P435" s="143"/>
      <c r="Q435" s="67"/>
      <c r="R435" s="144"/>
      <c r="S435" s="144"/>
      <c r="T435" s="143"/>
      <c r="U435" s="143"/>
      <c r="V435" s="143"/>
      <c r="W435" s="130"/>
      <c r="X435" s="130"/>
      <c r="Y435" s="130"/>
      <c r="Z435" s="130"/>
      <c r="AA435" s="130"/>
      <c r="AB435" s="130"/>
      <c r="AC435" s="130"/>
      <c r="AD435" s="130"/>
      <c r="AE435" s="130"/>
      <c r="AF435" s="130"/>
      <c r="AG435" s="130"/>
      <c r="AH435" s="130"/>
      <c r="AI435" s="130"/>
      <c r="AJ435" s="130"/>
      <c r="AK435" s="130"/>
    </row>
    <row r="436">
      <c r="A436" s="130"/>
      <c r="B436" s="130"/>
      <c r="C436" s="143"/>
      <c r="D436" s="130"/>
      <c r="E436" s="143"/>
      <c r="F436" s="143"/>
      <c r="G436" s="143"/>
      <c r="H436" s="143"/>
      <c r="I436" s="143"/>
      <c r="J436" s="143"/>
      <c r="K436" s="143"/>
      <c r="L436" s="143"/>
      <c r="M436" s="143"/>
      <c r="N436" s="143"/>
      <c r="O436" s="143"/>
      <c r="P436" s="143"/>
      <c r="Q436" s="67"/>
      <c r="R436" s="144"/>
      <c r="S436" s="144"/>
      <c r="T436" s="143"/>
      <c r="U436" s="143"/>
      <c r="V436" s="143"/>
      <c r="W436" s="130"/>
      <c r="X436" s="130"/>
      <c r="Y436" s="130"/>
      <c r="Z436" s="130"/>
      <c r="AA436" s="130"/>
      <c r="AB436" s="130"/>
      <c r="AC436" s="130"/>
      <c r="AD436" s="130"/>
      <c r="AE436" s="130"/>
      <c r="AF436" s="130"/>
      <c r="AG436" s="130"/>
      <c r="AH436" s="130"/>
      <c r="AI436" s="130"/>
      <c r="AJ436" s="130"/>
      <c r="AK436" s="130"/>
    </row>
    <row r="437">
      <c r="A437" s="130"/>
      <c r="B437" s="130"/>
      <c r="C437" s="143"/>
      <c r="D437" s="130"/>
      <c r="E437" s="143"/>
      <c r="F437" s="143"/>
      <c r="G437" s="143"/>
      <c r="H437" s="143"/>
      <c r="I437" s="143"/>
      <c r="J437" s="143"/>
      <c r="K437" s="143"/>
      <c r="L437" s="143"/>
      <c r="M437" s="143"/>
      <c r="N437" s="143"/>
      <c r="O437" s="143"/>
      <c r="P437" s="143"/>
      <c r="Q437" s="67"/>
      <c r="R437" s="144"/>
      <c r="S437" s="144"/>
      <c r="T437" s="143"/>
      <c r="U437" s="143"/>
      <c r="V437" s="143"/>
      <c r="W437" s="130"/>
      <c r="X437" s="130"/>
      <c r="Y437" s="130"/>
      <c r="Z437" s="130"/>
      <c r="AA437" s="130"/>
      <c r="AB437" s="130"/>
      <c r="AC437" s="130"/>
      <c r="AD437" s="130"/>
      <c r="AE437" s="130"/>
      <c r="AF437" s="130"/>
      <c r="AG437" s="130"/>
      <c r="AH437" s="130"/>
      <c r="AI437" s="130"/>
      <c r="AJ437" s="130"/>
      <c r="AK437" s="130"/>
    </row>
    <row r="438">
      <c r="A438" s="130"/>
      <c r="B438" s="130"/>
      <c r="C438" s="143"/>
      <c r="D438" s="130"/>
      <c r="E438" s="143"/>
      <c r="F438" s="143"/>
      <c r="G438" s="143"/>
      <c r="H438" s="143"/>
      <c r="I438" s="143"/>
      <c r="J438" s="143"/>
      <c r="K438" s="143"/>
      <c r="L438" s="143"/>
      <c r="M438" s="143"/>
      <c r="N438" s="143"/>
      <c r="O438" s="143"/>
      <c r="P438" s="143"/>
      <c r="Q438" s="67"/>
      <c r="R438" s="144"/>
      <c r="S438" s="144"/>
      <c r="T438" s="143"/>
      <c r="U438" s="143"/>
      <c r="V438" s="143"/>
      <c r="W438" s="130"/>
      <c r="X438" s="130"/>
      <c r="Y438" s="130"/>
      <c r="Z438" s="130"/>
      <c r="AA438" s="130"/>
      <c r="AB438" s="130"/>
      <c r="AC438" s="130"/>
      <c r="AD438" s="130"/>
      <c r="AE438" s="130"/>
      <c r="AF438" s="130"/>
      <c r="AG438" s="130"/>
      <c r="AH438" s="130"/>
      <c r="AI438" s="130"/>
      <c r="AJ438" s="130"/>
      <c r="AK438" s="130"/>
    </row>
    <row r="439">
      <c r="A439" s="130"/>
      <c r="B439" s="130"/>
      <c r="C439" s="143"/>
      <c r="D439" s="130"/>
      <c r="E439" s="143"/>
      <c r="F439" s="143"/>
      <c r="G439" s="143"/>
      <c r="H439" s="143"/>
      <c r="I439" s="143"/>
      <c r="J439" s="143"/>
      <c r="K439" s="143"/>
      <c r="L439" s="143"/>
      <c r="M439" s="143"/>
      <c r="N439" s="143"/>
      <c r="O439" s="143"/>
      <c r="P439" s="143"/>
      <c r="Q439" s="67"/>
      <c r="R439" s="144"/>
      <c r="S439" s="144"/>
      <c r="T439" s="143"/>
      <c r="U439" s="143"/>
      <c r="V439" s="143"/>
      <c r="W439" s="130"/>
      <c r="X439" s="130"/>
      <c r="Y439" s="130"/>
      <c r="Z439" s="130"/>
      <c r="AA439" s="130"/>
      <c r="AB439" s="130"/>
      <c r="AC439" s="130"/>
      <c r="AD439" s="130"/>
      <c r="AE439" s="130"/>
      <c r="AF439" s="130"/>
      <c r="AG439" s="130"/>
      <c r="AH439" s="130"/>
      <c r="AI439" s="130"/>
      <c r="AJ439" s="130"/>
      <c r="AK439" s="130"/>
    </row>
    <row r="440">
      <c r="A440" s="130"/>
      <c r="B440" s="130"/>
      <c r="C440" s="143"/>
      <c r="D440" s="130"/>
      <c r="E440" s="143"/>
      <c r="F440" s="143"/>
      <c r="G440" s="143"/>
      <c r="H440" s="143"/>
      <c r="I440" s="143"/>
      <c r="J440" s="143"/>
      <c r="K440" s="143"/>
      <c r="L440" s="143"/>
      <c r="M440" s="143"/>
      <c r="N440" s="143"/>
      <c r="O440" s="143"/>
      <c r="P440" s="143"/>
      <c r="Q440" s="67"/>
      <c r="R440" s="144"/>
      <c r="S440" s="144"/>
      <c r="T440" s="143"/>
      <c r="U440" s="143"/>
      <c r="V440" s="143"/>
      <c r="W440" s="130"/>
      <c r="X440" s="130"/>
      <c r="Y440" s="130"/>
      <c r="Z440" s="130"/>
      <c r="AA440" s="130"/>
      <c r="AB440" s="130"/>
      <c r="AC440" s="130"/>
      <c r="AD440" s="130"/>
      <c r="AE440" s="130"/>
      <c r="AF440" s="130"/>
      <c r="AG440" s="130"/>
      <c r="AH440" s="130"/>
      <c r="AI440" s="130"/>
      <c r="AJ440" s="130"/>
      <c r="AK440" s="130"/>
    </row>
    <row r="441">
      <c r="A441" s="130"/>
      <c r="B441" s="130"/>
      <c r="C441" s="143"/>
      <c r="D441" s="130"/>
      <c r="E441" s="143"/>
      <c r="F441" s="143"/>
      <c r="G441" s="143"/>
      <c r="H441" s="143"/>
      <c r="I441" s="143"/>
      <c r="J441" s="143"/>
      <c r="K441" s="143"/>
      <c r="L441" s="143"/>
      <c r="M441" s="143"/>
      <c r="N441" s="143"/>
      <c r="O441" s="143"/>
      <c r="P441" s="143"/>
      <c r="Q441" s="67"/>
      <c r="R441" s="144"/>
      <c r="S441" s="144"/>
      <c r="T441" s="143"/>
      <c r="U441" s="143"/>
      <c r="V441" s="143"/>
      <c r="W441" s="130"/>
      <c r="X441" s="130"/>
      <c r="Y441" s="130"/>
      <c r="Z441" s="130"/>
      <c r="AA441" s="130"/>
      <c r="AB441" s="130"/>
      <c r="AC441" s="130"/>
      <c r="AD441" s="130"/>
      <c r="AE441" s="130"/>
      <c r="AF441" s="130"/>
      <c r="AG441" s="130"/>
      <c r="AH441" s="130"/>
      <c r="AI441" s="130"/>
      <c r="AJ441" s="130"/>
      <c r="AK441" s="130"/>
    </row>
    <row r="442">
      <c r="A442" s="130"/>
      <c r="B442" s="130"/>
      <c r="C442" s="143"/>
      <c r="D442" s="130"/>
      <c r="E442" s="143"/>
      <c r="F442" s="143"/>
      <c r="G442" s="143"/>
      <c r="H442" s="143"/>
      <c r="I442" s="143"/>
      <c r="J442" s="143"/>
      <c r="K442" s="143"/>
      <c r="L442" s="143"/>
      <c r="M442" s="143"/>
      <c r="N442" s="143"/>
      <c r="O442" s="143"/>
      <c r="P442" s="143"/>
      <c r="Q442" s="67"/>
      <c r="R442" s="144"/>
      <c r="S442" s="144"/>
      <c r="T442" s="143"/>
      <c r="U442" s="143"/>
      <c r="V442" s="143"/>
      <c r="W442" s="130"/>
      <c r="X442" s="130"/>
      <c r="Y442" s="130"/>
      <c r="Z442" s="130"/>
      <c r="AA442" s="130"/>
      <c r="AB442" s="130"/>
      <c r="AC442" s="130"/>
      <c r="AD442" s="130"/>
      <c r="AE442" s="130"/>
      <c r="AF442" s="130"/>
      <c r="AG442" s="130"/>
      <c r="AH442" s="130"/>
      <c r="AI442" s="130"/>
      <c r="AJ442" s="130"/>
      <c r="AK442" s="130"/>
    </row>
    <row r="443">
      <c r="A443" s="130"/>
      <c r="B443" s="130"/>
      <c r="C443" s="143"/>
      <c r="D443" s="130"/>
      <c r="E443" s="143"/>
      <c r="F443" s="143"/>
      <c r="G443" s="143"/>
      <c r="H443" s="143"/>
      <c r="I443" s="143"/>
      <c r="J443" s="143"/>
      <c r="K443" s="143"/>
      <c r="L443" s="143"/>
      <c r="M443" s="143"/>
      <c r="N443" s="143"/>
      <c r="O443" s="143"/>
      <c r="P443" s="143"/>
      <c r="Q443" s="67"/>
      <c r="R443" s="144"/>
      <c r="S443" s="144"/>
      <c r="T443" s="143"/>
      <c r="U443" s="143"/>
      <c r="V443" s="143"/>
      <c r="W443" s="130"/>
      <c r="X443" s="130"/>
      <c r="Y443" s="130"/>
      <c r="Z443" s="130"/>
      <c r="AA443" s="130"/>
      <c r="AB443" s="130"/>
      <c r="AC443" s="130"/>
      <c r="AD443" s="130"/>
      <c r="AE443" s="130"/>
      <c r="AF443" s="130"/>
      <c r="AG443" s="130"/>
      <c r="AH443" s="130"/>
      <c r="AI443" s="130"/>
      <c r="AJ443" s="130"/>
      <c r="AK443" s="130"/>
    </row>
    <row r="444">
      <c r="A444" s="130"/>
      <c r="B444" s="130"/>
      <c r="C444" s="143"/>
      <c r="D444" s="130"/>
      <c r="E444" s="143"/>
      <c r="F444" s="143"/>
      <c r="G444" s="143"/>
      <c r="H444" s="143"/>
      <c r="I444" s="143"/>
      <c r="J444" s="143"/>
      <c r="K444" s="143"/>
      <c r="L444" s="143"/>
      <c r="M444" s="143"/>
      <c r="N444" s="143"/>
      <c r="O444" s="143"/>
      <c r="P444" s="143"/>
      <c r="Q444" s="67"/>
      <c r="R444" s="144"/>
      <c r="S444" s="144"/>
      <c r="T444" s="143"/>
      <c r="U444" s="143"/>
      <c r="V444" s="143"/>
      <c r="W444" s="130"/>
      <c r="X444" s="130"/>
      <c r="Y444" s="130"/>
      <c r="Z444" s="130"/>
      <c r="AA444" s="130"/>
      <c r="AB444" s="130"/>
      <c r="AC444" s="130"/>
      <c r="AD444" s="130"/>
      <c r="AE444" s="130"/>
      <c r="AF444" s="130"/>
      <c r="AG444" s="130"/>
      <c r="AH444" s="130"/>
      <c r="AI444" s="130"/>
      <c r="AJ444" s="130"/>
      <c r="AK444" s="130"/>
    </row>
    <row r="445">
      <c r="A445" s="130"/>
      <c r="B445" s="130"/>
      <c r="C445" s="143"/>
      <c r="D445" s="130"/>
      <c r="E445" s="143"/>
      <c r="F445" s="143"/>
      <c r="G445" s="143"/>
      <c r="H445" s="143"/>
      <c r="I445" s="143"/>
      <c r="J445" s="143"/>
      <c r="K445" s="143"/>
      <c r="L445" s="143"/>
      <c r="M445" s="143"/>
      <c r="N445" s="143"/>
      <c r="O445" s="143"/>
      <c r="P445" s="143"/>
      <c r="Q445" s="67"/>
      <c r="R445" s="144"/>
      <c r="S445" s="144"/>
      <c r="T445" s="143"/>
      <c r="U445" s="143"/>
      <c r="V445" s="143"/>
      <c r="W445" s="130"/>
      <c r="X445" s="130"/>
      <c r="Y445" s="130"/>
      <c r="Z445" s="130"/>
      <c r="AA445" s="130"/>
      <c r="AB445" s="130"/>
      <c r="AC445" s="130"/>
      <c r="AD445" s="130"/>
      <c r="AE445" s="130"/>
      <c r="AF445" s="130"/>
      <c r="AG445" s="130"/>
      <c r="AH445" s="130"/>
      <c r="AI445" s="130"/>
      <c r="AJ445" s="130"/>
      <c r="AK445" s="130"/>
    </row>
    <row r="446">
      <c r="A446" s="130"/>
      <c r="B446" s="130"/>
      <c r="C446" s="143"/>
      <c r="D446" s="130"/>
      <c r="E446" s="143"/>
      <c r="F446" s="143"/>
      <c r="G446" s="143"/>
      <c r="H446" s="143"/>
      <c r="I446" s="143"/>
      <c r="J446" s="143"/>
      <c r="K446" s="143"/>
      <c r="L446" s="143"/>
      <c r="M446" s="143"/>
      <c r="N446" s="143"/>
      <c r="O446" s="143"/>
      <c r="P446" s="143"/>
      <c r="Q446" s="67"/>
      <c r="R446" s="144"/>
      <c r="S446" s="144"/>
      <c r="T446" s="143"/>
      <c r="U446" s="143"/>
      <c r="V446" s="143"/>
      <c r="W446" s="130"/>
      <c r="X446" s="130"/>
      <c r="Y446" s="130"/>
      <c r="Z446" s="130"/>
      <c r="AA446" s="130"/>
      <c r="AB446" s="130"/>
      <c r="AC446" s="130"/>
      <c r="AD446" s="130"/>
      <c r="AE446" s="130"/>
      <c r="AF446" s="130"/>
      <c r="AG446" s="130"/>
      <c r="AH446" s="130"/>
      <c r="AI446" s="130"/>
      <c r="AJ446" s="130"/>
      <c r="AK446" s="130"/>
    </row>
    <row r="447">
      <c r="A447" s="130"/>
      <c r="B447" s="130"/>
      <c r="C447" s="143"/>
      <c r="D447" s="130"/>
      <c r="E447" s="143"/>
      <c r="F447" s="143"/>
      <c r="G447" s="143"/>
      <c r="H447" s="143"/>
      <c r="I447" s="143"/>
      <c r="J447" s="143"/>
      <c r="K447" s="143"/>
      <c r="L447" s="143"/>
      <c r="M447" s="143"/>
      <c r="N447" s="143"/>
      <c r="O447" s="143"/>
      <c r="P447" s="143"/>
      <c r="Q447" s="67"/>
      <c r="R447" s="144"/>
      <c r="S447" s="144"/>
      <c r="T447" s="143"/>
      <c r="U447" s="143"/>
      <c r="V447" s="143"/>
      <c r="W447" s="130"/>
      <c r="X447" s="130"/>
      <c r="Y447" s="130"/>
      <c r="Z447" s="130"/>
      <c r="AA447" s="130"/>
      <c r="AB447" s="130"/>
      <c r="AC447" s="130"/>
      <c r="AD447" s="130"/>
      <c r="AE447" s="130"/>
      <c r="AF447" s="130"/>
      <c r="AG447" s="130"/>
      <c r="AH447" s="130"/>
      <c r="AI447" s="130"/>
      <c r="AJ447" s="130"/>
      <c r="AK447" s="130"/>
    </row>
    <row r="448">
      <c r="A448" s="130"/>
      <c r="B448" s="130"/>
      <c r="C448" s="143"/>
      <c r="D448" s="130"/>
      <c r="E448" s="143"/>
      <c r="F448" s="143"/>
      <c r="G448" s="143"/>
      <c r="H448" s="143"/>
      <c r="I448" s="143"/>
      <c r="J448" s="143"/>
      <c r="K448" s="143"/>
      <c r="L448" s="143"/>
      <c r="M448" s="143"/>
      <c r="N448" s="143"/>
      <c r="O448" s="143"/>
      <c r="P448" s="143"/>
      <c r="Q448" s="67"/>
      <c r="R448" s="144"/>
      <c r="S448" s="144"/>
      <c r="T448" s="143"/>
      <c r="U448" s="143"/>
      <c r="V448" s="143"/>
      <c r="W448" s="130"/>
      <c r="X448" s="130"/>
      <c r="Y448" s="130"/>
      <c r="Z448" s="130"/>
      <c r="AA448" s="130"/>
      <c r="AB448" s="130"/>
      <c r="AC448" s="130"/>
      <c r="AD448" s="130"/>
      <c r="AE448" s="130"/>
      <c r="AF448" s="130"/>
      <c r="AG448" s="130"/>
      <c r="AH448" s="130"/>
      <c r="AI448" s="130"/>
      <c r="AJ448" s="130"/>
      <c r="AK448" s="130"/>
    </row>
    <row r="449">
      <c r="A449" s="130"/>
      <c r="B449" s="130"/>
      <c r="C449" s="143"/>
      <c r="D449" s="130"/>
      <c r="E449" s="143"/>
      <c r="F449" s="143"/>
      <c r="G449" s="143"/>
      <c r="H449" s="143"/>
      <c r="I449" s="143"/>
      <c r="J449" s="143"/>
      <c r="K449" s="143"/>
      <c r="L449" s="143"/>
      <c r="M449" s="143"/>
      <c r="N449" s="143"/>
      <c r="O449" s="143"/>
      <c r="P449" s="143"/>
      <c r="Q449" s="67"/>
      <c r="R449" s="144"/>
      <c r="S449" s="144"/>
      <c r="T449" s="143"/>
      <c r="U449" s="143"/>
      <c r="V449" s="143"/>
      <c r="W449" s="130"/>
      <c r="X449" s="130"/>
      <c r="Y449" s="130"/>
      <c r="Z449" s="130"/>
      <c r="AA449" s="130"/>
      <c r="AB449" s="130"/>
      <c r="AC449" s="130"/>
      <c r="AD449" s="130"/>
      <c r="AE449" s="130"/>
      <c r="AF449" s="130"/>
      <c r="AG449" s="130"/>
      <c r="AH449" s="130"/>
      <c r="AI449" s="130"/>
      <c r="AJ449" s="130"/>
      <c r="AK449" s="130"/>
    </row>
    <row r="450">
      <c r="A450" s="130"/>
      <c r="B450" s="130"/>
      <c r="C450" s="143"/>
      <c r="D450" s="130"/>
      <c r="E450" s="143"/>
      <c r="F450" s="143"/>
      <c r="G450" s="143"/>
      <c r="H450" s="143"/>
      <c r="I450" s="143"/>
      <c r="J450" s="143"/>
      <c r="K450" s="143"/>
      <c r="L450" s="143"/>
      <c r="M450" s="143"/>
      <c r="N450" s="143"/>
      <c r="O450" s="143"/>
      <c r="P450" s="143"/>
      <c r="Q450" s="67"/>
      <c r="R450" s="144"/>
      <c r="S450" s="144"/>
      <c r="T450" s="143"/>
      <c r="U450" s="143"/>
      <c r="V450" s="143"/>
      <c r="W450" s="130"/>
      <c r="X450" s="130"/>
      <c r="Y450" s="130"/>
      <c r="Z450" s="130"/>
      <c r="AA450" s="130"/>
      <c r="AB450" s="130"/>
      <c r="AC450" s="130"/>
      <c r="AD450" s="130"/>
      <c r="AE450" s="130"/>
      <c r="AF450" s="130"/>
      <c r="AG450" s="130"/>
      <c r="AH450" s="130"/>
      <c r="AI450" s="130"/>
      <c r="AJ450" s="130"/>
      <c r="AK450" s="130"/>
    </row>
    <row r="451">
      <c r="A451" s="130"/>
      <c r="B451" s="130"/>
      <c r="C451" s="143"/>
      <c r="D451" s="130"/>
      <c r="E451" s="143"/>
      <c r="F451" s="143"/>
      <c r="G451" s="143"/>
      <c r="H451" s="143"/>
      <c r="I451" s="143"/>
      <c r="J451" s="143"/>
      <c r="K451" s="143"/>
      <c r="L451" s="143"/>
      <c r="M451" s="143"/>
      <c r="N451" s="143"/>
      <c r="O451" s="143"/>
      <c r="P451" s="143"/>
      <c r="Q451" s="67"/>
      <c r="R451" s="144"/>
      <c r="S451" s="144"/>
      <c r="T451" s="143"/>
      <c r="U451" s="143"/>
      <c r="V451" s="143"/>
      <c r="W451" s="130"/>
      <c r="X451" s="130"/>
      <c r="Y451" s="130"/>
      <c r="Z451" s="130"/>
      <c r="AA451" s="130"/>
      <c r="AB451" s="130"/>
      <c r="AC451" s="130"/>
      <c r="AD451" s="130"/>
      <c r="AE451" s="130"/>
      <c r="AF451" s="130"/>
      <c r="AG451" s="130"/>
      <c r="AH451" s="130"/>
      <c r="AI451" s="130"/>
      <c r="AJ451" s="130"/>
      <c r="AK451" s="130"/>
    </row>
    <row r="452">
      <c r="A452" s="130"/>
      <c r="B452" s="130"/>
      <c r="C452" s="143"/>
      <c r="D452" s="130"/>
      <c r="E452" s="143"/>
      <c r="F452" s="143"/>
      <c r="G452" s="143"/>
      <c r="H452" s="143"/>
      <c r="I452" s="143"/>
      <c r="J452" s="143"/>
      <c r="K452" s="143"/>
      <c r="L452" s="143"/>
      <c r="M452" s="143"/>
      <c r="N452" s="143"/>
      <c r="O452" s="143"/>
      <c r="P452" s="143"/>
      <c r="Q452" s="67"/>
      <c r="R452" s="144"/>
      <c r="S452" s="144"/>
      <c r="T452" s="143"/>
      <c r="U452" s="143"/>
      <c r="V452" s="143"/>
      <c r="W452" s="130"/>
      <c r="X452" s="130"/>
      <c r="Y452" s="130"/>
      <c r="Z452" s="130"/>
      <c r="AA452" s="130"/>
      <c r="AB452" s="130"/>
      <c r="AC452" s="130"/>
      <c r="AD452" s="130"/>
      <c r="AE452" s="130"/>
      <c r="AF452" s="130"/>
      <c r="AG452" s="130"/>
      <c r="AH452" s="130"/>
      <c r="AI452" s="130"/>
      <c r="AJ452" s="130"/>
      <c r="AK452" s="130"/>
    </row>
    <row r="453">
      <c r="A453" s="130"/>
      <c r="B453" s="130"/>
      <c r="C453" s="143"/>
      <c r="D453" s="130"/>
      <c r="E453" s="143"/>
      <c r="F453" s="143"/>
      <c r="G453" s="143"/>
      <c r="H453" s="143"/>
      <c r="I453" s="143"/>
      <c r="J453" s="143"/>
      <c r="K453" s="143"/>
      <c r="L453" s="143"/>
      <c r="M453" s="143"/>
      <c r="N453" s="143"/>
      <c r="O453" s="143"/>
      <c r="P453" s="143"/>
      <c r="Q453" s="67"/>
      <c r="R453" s="144"/>
      <c r="S453" s="144"/>
      <c r="T453" s="143"/>
      <c r="U453" s="143"/>
      <c r="V453" s="143"/>
      <c r="W453" s="130"/>
      <c r="X453" s="130"/>
      <c r="Y453" s="130"/>
      <c r="Z453" s="130"/>
      <c r="AA453" s="130"/>
      <c r="AB453" s="130"/>
      <c r="AC453" s="130"/>
      <c r="AD453" s="130"/>
      <c r="AE453" s="130"/>
      <c r="AF453" s="130"/>
      <c r="AG453" s="130"/>
      <c r="AH453" s="130"/>
      <c r="AI453" s="130"/>
      <c r="AJ453" s="130"/>
      <c r="AK453" s="130"/>
    </row>
    <row r="454">
      <c r="A454" s="130"/>
      <c r="B454" s="130"/>
      <c r="C454" s="143"/>
      <c r="D454" s="130"/>
      <c r="E454" s="143"/>
      <c r="F454" s="143"/>
      <c r="G454" s="143"/>
      <c r="H454" s="143"/>
      <c r="I454" s="143"/>
      <c r="J454" s="143"/>
      <c r="K454" s="143"/>
      <c r="L454" s="143"/>
      <c r="M454" s="143"/>
      <c r="N454" s="143"/>
      <c r="O454" s="143"/>
      <c r="P454" s="143"/>
      <c r="Q454" s="67"/>
      <c r="R454" s="144"/>
      <c r="S454" s="144"/>
      <c r="T454" s="143"/>
      <c r="U454" s="143"/>
      <c r="V454" s="143"/>
      <c r="W454" s="130"/>
      <c r="X454" s="130"/>
      <c r="Y454" s="130"/>
      <c r="Z454" s="130"/>
      <c r="AA454" s="130"/>
      <c r="AB454" s="130"/>
      <c r="AC454" s="130"/>
      <c r="AD454" s="130"/>
      <c r="AE454" s="130"/>
      <c r="AF454" s="130"/>
      <c r="AG454" s="130"/>
      <c r="AH454" s="130"/>
      <c r="AI454" s="130"/>
      <c r="AJ454" s="130"/>
      <c r="AK454" s="130"/>
    </row>
    <row r="455">
      <c r="A455" s="130"/>
      <c r="B455" s="130"/>
      <c r="C455" s="143"/>
      <c r="D455" s="130"/>
      <c r="E455" s="143"/>
      <c r="F455" s="143"/>
      <c r="G455" s="143"/>
      <c r="H455" s="143"/>
      <c r="I455" s="143"/>
      <c r="J455" s="143"/>
      <c r="K455" s="143"/>
      <c r="L455" s="143"/>
      <c r="M455" s="143"/>
      <c r="N455" s="143"/>
      <c r="O455" s="143"/>
      <c r="P455" s="143"/>
      <c r="Q455" s="67"/>
      <c r="R455" s="144"/>
      <c r="S455" s="144"/>
      <c r="T455" s="143"/>
      <c r="U455" s="143"/>
      <c r="V455" s="143"/>
      <c r="W455" s="130"/>
      <c r="X455" s="130"/>
      <c r="Y455" s="130"/>
      <c r="Z455" s="130"/>
      <c r="AA455" s="130"/>
      <c r="AB455" s="130"/>
      <c r="AC455" s="130"/>
      <c r="AD455" s="130"/>
      <c r="AE455" s="130"/>
      <c r="AF455" s="130"/>
      <c r="AG455" s="130"/>
      <c r="AH455" s="130"/>
      <c r="AI455" s="130"/>
      <c r="AJ455" s="130"/>
      <c r="AK455" s="130"/>
    </row>
    <row r="456">
      <c r="A456" s="130"/>
      <c r="B456" s="130"/>
      <c r="C456" s="143"/>
      <c r="D456" s="130"/>
      <c r="E456" s="143"/>
      <c r="F456" s="143"/>
      <c r="G456" s="143"/>
      <c r="H456" s="143"/>
      <c r="I456" s="143"/>
      <c r="J456" s="143"/>
      <c r="K456" s="143"/>
      <c r="L456" s="143"/>
      <c r="M456" s="143"/>
      <c r="N456" s="143"/>
      <c r="O456" s="143"/>
      <c r="P456" s="143"/>
      <c r="Q456" s="67"/>
      <c r="R456" s="144"/>
      <c r="S456" s="144"/>
      <c r="T456" s="143"/>
      <c r="U456" s="143"/>
      <c r="V456" s="143"/>
      <c r="W456" s="130"/>
      <c r="X456" s="130"/>
      <c r="Y456" s="130"/>
      <c r="Z456" s="130"/>
      <c r="AA456" s="130"/>
      <c r="AB456" s="130"/>
      <c r="AC456" s="130"/>
      <c r="AD456" s="130"/>
      <c r="AE456" s="130"/>
      <c r="AF456" s="130"/>
      <c r="AG456" s="130"/>
      <c r="AH456" s="130"/>
      <c r="AI456" s="130"/>
      <c r="AJ456" s="130"/>
      <c r="AK456" s="130"/>
    </row>
    <row r="457">
      <c r="A457" s="130"/>
      <c r="B457" s="130"/>
      <c r="C457" s="143"/>
      <c r="D457" s="130"/>
      <c r="E457" s="143"/>
      <c r="F457" s="143"/>
      <c r="G457" s="143"/>
      <c r="H457" s="143"/>
      <c r="I457" s="143"/>
      <c r="J457" s="143"/>
      <c r="K457" s="143"/>
      <c r="L457" s="143"/>
      <c r="M457" s="143"/>
      <c r="N457" s="143"/>
      <c r="O457" s="143"/>
      <c r="P457" s="143"/>
      <c r="Q457" s="67"/>
      <c r="R457" s="144"/>
      <c r="S457" s="144"/>
      <c r="T457" s="143"/>
      <c r="U457" s="143"/>
      <c r="V457" s="143"/>
      <c r="W457" s="130"/>
      <c r="X457" s="130"/>
      <c r="Y457" s="130"/>
      <c r="Z457" s="130"/>
      <c r="AA457" s="130"/>
      <c r="AB457" s="130"/>
      <c r="AC457" s="130"/>
      <c r="AD457" s="130"/>
      <c r="AE457" s="130"/>
      <c r="AF457" s="130"/>
      <c r="AG457" s="130"/>
      <c r="AH457" s="130"/>
      <c r="AI457" s="130"/>
      <c r="AJ457" s="130"/>
      <c r="AK457" s="130"/>
    </row>
    <row r="458">
      <c r="A458" s="130"/>
      <c r="B458" s="130"/>
      <c r="C458" s="143"/>
      <c r="D458" s="130"/>
      <c r="E458" s="143"/>
      <c r="F458" s="143"/>
      <c r="G458" s="143"/>
      <c r="H458" s="143"/>
      <c r="I458" s="143"/>
      <c r="J458" s="143"/>
      <c r="K458" s="143"/>
      <c r="L458" s="143"/>
      <c r="M458" s="143"/>
      <c r="N458" s="143"/>
      <c r="O458" s="143"/>
      <c r="P458" s="143"/>
      <c r="Q458" s="67"/>
      <c r="R458" s="144"/>
      <c r="S458" s="144"/>
      <c r="T458" s="143"/>
      <c r="U458" s="143"/>
      <c r="V458" s="143"/>
      <c r="W458" s="130"/>
      <c r="X458" s="130"/>
      <c r="Y458" s="130"/>
      <c r="Z458" s="130"/>
      <c r="AA458" s="130"/>
      <c r="AB458" s="130"/>
      <c r="AC458" s="130"/>
      <c r="AD458" s="130"/>
      <c r="AE458" s="130"/>
      <c r="AF458" s="130"/>
      <c r="AG458" s="130"/>
      <c r="AH458" s="130"/>
      <c r="AI458" s="130"/>
      <c r="AJ458" s="130"/>
      <c r="AK458" s="130"/>
    </row>
    <row r="459">
      <c r="A459" s="130"/>
      <c r="B459" s="130"/>
      <c r="C459" s="143"/>
      <c r="D459" s="130"/>
      <c r="E459" s="143"/>
      <c r="F459" s="143"/>
      <c r="G459" s="143"/>
      <c r="H459" s="143"/>
      <c r="I459" s="143"/>
      <c r="J459" s="143"/>
      <c r="K459" s="143"/>
      <c r="L459" s="143"/>
      <c r="M459" s="143"/>
      <c r="N459" s="143"/>
      <c r="O459" s="143"/>
      <c r="P459" s="143"/>
      <c r="Q459" s="67"/>
      <c r="R459" s="144"/>
      <c r="S459" s="144"/>
      <c r="T459" s="143"/>
      <c r="U459" s="143"/>
      <c r="V459" s="143"/>
      <c r="W459" s="130"/>
      <c r="X459" s="130"/>
      <c r="Y459" s="130"/>
      <c r="Z459" s="130"/>
      <c r="AA459" s="130"/>
      <c r="AB459" s="130"/>
      <c r="AC459" s="130"/>
      <c r="AD459" s="130"/>
      <c r="AE459" s="130"/>
      <c r="AF459" s="130"/>
      <c r="AG459" s="130"/>
      <c r="AH459" s="130"/>
      <c r="AI459" s="130"/>
      <c r="AJ459" s="130"/>
      <c r="AK459" s="130"/>
    </row>
    <row r="460">
      <c r="A460" s="130"/>
      <c r="B460" s="130"/>
      <c r="C460" s="143"/>
      <c r="D460" s="130"/>
      <c r="E460" s="143"/>
      <c r="F460" s="143"/>
      <c r="G460" s="143"/>
      <c r="H460" s="143"/>
      <c r="I460" s="143"/>
      <c r="J460" s="143"/>
      <c r="K460" s="143"/>
      <c r="L460" s="143"/>
      <c r="M460" s="143"/>
      <c r="N460" s="143"/>
      <c r="O460" s="143"/>
      <c r="P460" s="143"/>
      <c r="Q460" s="67"/>
      <c r="R460" s="144"/>
      <c r="S460" s="144"/>
      <c r="T460" s="143"/>
      <c r="U460" s="143"/>
      <c r="V460" s="143"/>
      <c r="W460" s="130"/>
      <c r="X460" s="130"/>
      <c r="Y460" s="130"/>
      <c r="Z460" s="130"/>
      <c r="AA460" s="130"/>
      <c r="AB460" s="130"/>
      <c r="AC460" s="130"/>
      <c r="AD460" s="130"/>
      <c r="AE460" s="130"/>
      <c r="AF460" s="130"/>
      <c r="AG460" s="130"/>
      <c r="AH460" s="130"/>
      <c r="AI460" s="130"/>
      <c r="AJ460" s="130"/>
      <c r="AK460" s="130"/>
    </row>
    <row r="461">
      <c r="A461" s="130"/>
      <c r="B461" s="130"/>
      <c r="C461" s="143"/>
      <c r="D461" s="130"/>
      <c r="E461" s="143"/>
      <c r="F461" s="143"/>
      <c r="G461" s="143"/>
      <c r="H461" s="143"/>
      <c r="I461" s="143"/>
      <c r="J461" s="143"/>
      <c r="K461" s="143"/>
      <c r="L461" s="143"/>
      <c r="M461" s="143"/>
      <c r="N461" s="143"/>
      <c r="O461" s="143"/>
      <c r="P461" s="143"/>
      <c r="Q461" s="67"/>
      <c r="R461" s="144"/>
      <c r="S461" s="144"/>
      <c r="T461" s="143"/>
      <c r="U461" s="143"/>
      <c r="V461" s="143"/>
      <c r="W461" s="130"/>
      <c r="X461" s="130"/>
      <c r="Y461" s="130"/>
      <c r="Z461" s="130"/>
      <c r="AA461" s="130"/>
      <c r="AB461" s="130"/>
      <c r="AC461" s="130"/>
      <c r="AD461" s="130"/>
      <c r="AE461" s="130"/>
      <c r="AF461" s="130"/>
      <c r="AG461" s="130"/>
      <c r="AH461" s="130"/>
      <c r="AI461" s="130"/>
      <c r="AJ461" s="130"/>
      <c r="AK461" s="130"/>
    </row>
    <row r="462">
      <c r="A462" s="130"/>
      <c r="B462" s="130"/>
      <c r="C462" s="143"/>
      <c r="D462" s="130"/>
      <c r="E462" s="143"/>
      <c r="F462" s="143"/>
      <c r="G462" s="143"/>
      <c r="H462" s="143"/>
      <c r="I462" s="143"/>
      <c r="J462" s="143"/>
      <c r="K462" s="143"/>
      <c r="L462" s="143"/>
      <c r="M462" s="143"/>
      <c r="N462" s="143"/>
      <c r="O462" s="143"/>
      <c r="P462" s="143"/>
      <c r="Q462" s="67"/>
      <c r="R462" s="144"/>
      <c r="S462" s="144"/>
      <c r="T462" s="143"/>
      <c r="U462" s="143"/>
      <c r="V462" s="143"/>
      <c r="W462" s="130"/>
      <c r="X462" s="130"/>
      <c r="Y462" s="130"/>
      <c r="Z462" s="130"/>
      <c r="AA462" s="130"/>
      <c r="AB462" s="130"/>
      <c r="AC462" s="130"/>
      <c r="AD462" s="130"/>
      <c r="AE462" s="130"/>
      <c r="AF462" s="130"/>
      <c r="AG462" s="130"/>
      <c r="AH462" s="130"/>
      <c r="AI462" s="130"/>
      <c r="AJ462" s="130"/>
      <c r="AK462" s="130"/>
    </row>
    <row r="463">
      <c r="A463" s="130"/>
      <c r="B463" s="130"/>
      <c r="C463" s="143"/>
      <c r="D463" s="130"/>
      <c r="E463" s="143"/>
      <c r="F463" s="143"/>
      <c r="G463" s="143"/>
      <c r="H463" s="143"/>
      <c r="I463" s="143"/>
      <c r="J463" s="143"/>
      <c r="K463" s="143"/>
      <c r="L463" s="143"/>
      <c r="M463" s="143"/>
      <c r="N463" s="143"/>
      <c r="O463" s="143"/>
      <c r="P463" s="143"/>
      <c r="Q463" s="67"/>
      <c r="R463" s="144"/>
      <c r="S463" s="144"/>
      <c r="T463" s="143"/>
      <c r="U463" s="143"/>
      <c r="V463" s="143"/>
      <c r="W463" s="130"/>
      <c r="X463" s="130"/>
      <c r="Y463" s="130"/>
      <c r="Z463" s="130"/>
      <c r="AA463" s="130"/>
      <c r="AB463" s="130"/>
      <c r="AC463" s="130"/>
      <c r="AD463" s="130"/>
      <c r="AE463" s="130"/>
      <c r="AF463" s="130"/>
      <c r="AG463" s="130"/>
      <c r="AH463" s="130"/>
      <c r="AI463" s="130"/>
      <c r="AJ463" s="130"/>
      <c r="AK463" s="130"/>
    </row>
    <row r="464">
      <c r="A464" s="130"/>
      <c r="B464" s="130"/>
      <c r="C464" s="143"/>
      <c r="D464" s="130"/>
      <c r="E464" s="143"/>
      <c r="F464" s="143"/>
      <c r="G464" s="143"/>
      <c r="H464" s="143"/>
      <c r="I464" s="143"/>
      <c r="J464" s="143"/>
      <c r="K464" s="143"/>
      <c r="L464" s="143"/>
      <c r="M464" s="143"/>
      <c r="N464" s="143"/>
      <c r="O464" s="143"/>
      <c r="P464" s="143"/>
      <c r="Q464" s="67"/>
      <c r="R464" s="144"/>
      <c r="S464" s="144"/>
      <c r="T464" s="143"/>
      <c r="U464" s="143"/>
      <c r="V464" s="143"/>
      <c r="W464" s="130"/>
      <c r="X464" s="130"/>
      <c r="Y464" s="130"/>
      <c r="Z464" s="130"/>
      <c r="AA464" s="130"/>
      <c r="AB464" s="130"/>
      <c r="AC464" s="130"/>
      <c r="AD464" s="130"/>
      <c r="AE464" s="130"/>
      <c r="AF464" s="130"/>
      <c r="AG464" s="130"/>
      <c r="AH464" s="130"/>
      <c r="AI464" s="130"/>
      <c r="AJ464" s="130"/>
      <c r="AK464" s="130"/>
    </row>
    <row r="465">
      <c r="A465" s="130"/>
      <c r="B465" s="130"/>
      <c r="C465" s="143"/>
      <c r="D465" s="130"/>
      <c r="E465" s="143"/>
      <c r="F465" s="143"/>
      <c r="G465" s="143"/>
      <c r="H465" s="143"/>
      <c r="I465" s="143"/>
      <c r="J465" s="143"/>
      <c r="K465" s="143"/>
      <c r="L465" s="143"/>
      <c r="M465" s="143"/>
      <c r="N465" s="143"/>
      <c r="O465" s="143"/>
      <c r="P465" s="143"/>
      <c r="Q465" s="67"/>
      <c r="R465" s="144"/>
      <c r="S465" s="144"/>
      <c r="T465" s="143"/>
      <c r="U465" s="143"/>
      <c r="V465" s="143"/>
      <c r="W465" s="130"/>
      <c r="X465" s="130"/>
      <c r="Y465" s="130"/>
      <c r="Z465" s="130"/>
      <c r="AA465" s="130"/>
      <c r="AB465" s="130"/>
      <c r="AC465" s="130"/>
      <c r="AD465" s="130"/>
      <c r="AE465" s="130"/>
      <c r="AF465" s="130"/>
      <c r="AG465" s="130"/>
      <c r="AH465" s="130"/>
      <c r="AI465" s="130"/>
      <c r="AJ465" s="130"/>
      <c r="AK465" s="130"/>
    </row>
    <row r="466">
      <c r="A466" s="130"/>
      <c r="B466" s="130"/>
      <c r="C466" s="143"/>
      <c r="D466" s="130"/>
      <c r="E466" s="143"/>
      <c r="F466" s="143"/>
      <c r="G466" s="143"/>
      <c r="H466" s="143"/>
      <c r="I466" s="143"/>
      <c r="J466" s="143"/>
      <c r="K466" s="143"/>
      <c r="L466" s="143"/>
      <c r="M466" s="143"/>
      <c r="N466" s="143"/>
      <c r="O466" s="143"/>
      <c r="P466" s="143"/>
      <c r="Q466" s="67"/>
      <c r="R466" s="144"/>
      <c r="S466" s="144"/>
      <c r="T466" s="143"/>
      <c r="U466" s="143"/>
      <c r="V466" s="143"/>
      <c r="W466" s="130"/>
      <c r="X466" s="130"/>
      <c r="Y466" s="130"/>
      <c r="Z466" s="130"/>
      <c r="AA466" s="130"/>
      <c r="AB466" s="130"/>
      <c r="AC466" s="130"/>
      <c r="AD466" s="130"/>
      <c r="AE466" s="130"/>
      <c r="AF466" s="130"/>
      <c r="AG466" s="130"/>
      <c r="AH466" s="130"/>
      <c r="AI466" s="130"/>
      <c r="AJ466" s="130"/>
      <c r="AK466" s="130"/>
    </row>
    <row r="467">
      <c r="A467" s="130"/>
      <c r="B467" s="130"/>
      <c r="C467" s="143"/>
      <c r="D467" s="130"/>
      <c r="E467" s="143"/>
      <c r="F467" s="143"/>
      <c r="G467" s="143"/>
      <c r="H467" s="143"/>
      <c r="I467" s="143"/>
      <c r="J467" s="143"/>
      <c r="K467" s="143"/>
      <c r="L467" s="143"/>
      <c r="M467" s="143"/>
      <c r="N467" s="143"/>
      <c r="O467" s="143"/>
      <c r="P467" s="143"/>
      <c r="Q467" s="67"/>
      <c r="R467" s="144"/>
      <c r="S467" s="144"/>
      <c r="T467" s="143"/>
      <c r="U467" s="143"/>
      <c r="V467" s="143"/>
      <c r="W467" s="130"/>
      <c r="X467" s="130"/>
      <c r="Y467" s="130"/>
      <c r="Z467" s="130"/>
      <c r="AA467" s="130"/>
      <c r="AB467" s="130"/>
      <c r="AC467" s="130"/>
      <c r="AD467" s="130"/>
      <c r="AE467" s="130"/>
      <c r="AF467" s="130"/>
      <c r="AG467" s="130"/>
      <c r="AH467" s="130"/>
      <c r="AI467" s="130"/>
      <c r="AJ467" s="130"/>
      <c r="AK467" s="130"/>
    </row>
    <row r="468">
      <c r="A468" s="130"/>
      <c r="B468" s="130"/>
      <c r="C468" s="143"/>
      <c r="D468" s="130"/>
      <c r="E468" s="143"/>
      <c r="F468" s="143"/>
      <c r="G468" s="143"/>
      <c r="H468" s="143"/>
      <c r="I468" s="143"/>
      <c r="J468" s="143"/>
      <c r="K468" s="143"/>
      <c r="L468" s="143"/>
      <c r="M468" s="143"/>
      <c r="N468" s="143"/>
      <c r="O468" s="143"/>
      <c r="P468" s="143"/>
      <c r="Q468" s="67"/>
      <c r="R468" s="144"/>
      <c r="S468" s="144"/>
      <c r="T468" s="143"/>
      <c r="U468" s="143"/>
      <c r="V468" s="143"/>
      <c r="W468" s="130"/>
      <c r="X468" s="130"/>
      <c r="Y468" s="130"/>
      <c r="Z468" s="130"/>
      <c r="AA468" s="130"/>
      <c r="AB468" s="130"/>
      <c r="AC468" s="130"/>
      <c r="AD468" s="130"/>
      <c r="AE468" s="130"/>
      <c r="AF468" s="130"/>
      <c r="AG468" s="130"/>
      <c r="AH468" s="130"/>
      <c r="AI468" s="130"/>
      <c r="AJ468" s="130"/>
      <c r="AK468" s="130"/>
    </row>
    <row r="469">
      <c r="A469" s="130"/>
      <c r="B469" s="130"/>
      <c r="C469" s="143"/>
      <c r="D469" s="130"/>
      <c r="E469" s="143"/>
      <c r="F469" s="143"/>
      <c r="G469" s="143"/>
      <c r="H469" s="143"/>
      <c r="I469" s="143"/>
      <c r="J469" s="143"/>
      <c r="K469" s="143"/>
      <c r="L469" s="143"/>
      <c r="M469" s="143"/>
      <c r="N469" s="143"/>
      <c r="O469" s="143"/>
      <c r="P469" s="143"/>
      <c r="Q469" s="67"/>
      <c r="R469" s="144"/>
      <c r="S469" s="144"/>
      <c r="T469" s="143"/>
      <c r="U469" s="143"/>
      <c r="V469" s="143"/>
      <c r="W469" s="130"/>
      <c r="X469" s="130"/>
      <c r="Y469" s="130"/>
      <c r="Z469" s="130"/>
      <c r="AA469" s="130"/>
      <c r="AB469" s="130"/>
      <c r="AC469" s="130"/>
      <c r="AD469" s="130"/>
      <c r="AE469" s="130"/>
      <c r="AF469" s="130"/>
      <c r="AG469" s="130"/>
      <c r="AH469" s="130"/>
      <c r="AI469" s="130"/>
      <c r="AJ469" s="130"/>
      <c r="AK469" s="130"/>
    </row>
    <row r="470">
      <c r="A470" s="130"/>
      <c r="B470" s="130"/>
      <c r="C470" s="143"/>
      <c r="D470" s="130"/>
      <c r="E470" s="143"/>
      <c r="F470" s="143"/>
      <c r="G470" s="143"/>
      <c r="H470" s="143"/>
      <c r="I470" s="143"/>
      <c r="J470" s="143"/>
      <c r="K470" s="143"/>
      <c r="L470" s="143"/>
      <c r="M470" s="143"/>
      <c r="N470" s="143"/>
      <c r="O470" s="143"/>
      <c r="P470" s="143"/>
      <c r="Q470" s="67"/>
      <c r="R470" s="144"/>
      <c r="S470" s="144"/>
      <c r="T470" s="143"/>
      <c r="U470" s="143"/>
      <c r="V470" s="143"/>
      <c r="W470" s="130"/>
      <c r="X470" s="130"/>
      <c r="Y470" s="130"/>
      <c r="Z470" s="130"/>
      <c r="AA470" s="130"/>
      <c r="AB470" s="130"/>
      <c r="AC470" s="130"/>
      <c r="AD470" s="130"/>
      <c r="AE470" s="130"/>
      <c r="AF470" s="130"/>
      <c r="AG470" s="130"/>
      <c r="AH470" s="130"/>
      <c r="AI470" s="130"/>
      <c r="AJ470" s="130"/>
      <c r="AK470" s="130"/>
    </row>
    <row r="471">
      <c r="A471" s="130"/>
      <c r="B471" s="130"/>
      <c r="C471" s="143"/>
      <c r="D471" s="130"/>
      <c r="E471" s="143"/>
      <c r="F471" s="143"/>
      <c r="G471" s="143"/>
      <c r="H471" s="143"/>
      <c r="I471" s="143"/>
      <c r="J471" s="143"/>
      <c r="K471" s="143"/>
      <c r="L471" s="143"/>
      <c r="M471" s="143"/>
      <c r="N471" s="143"/>
      <c r="O471" s="143"/>
      <c r="P471" s="143"/>
      <c r="Q471" s="67"/>
      <c r="R471" s="144"/>
      <c r="S471" s="144"/>
      <c r="T471" s="143"/>
      <c r="U471" s="143"/>
      <c r="V471" s="143"/>
      <c r="W471" s="130"/>
      <c r="X471" s="130"/>
      <c r="Y471" s="130"/>
      <c r="Z471" s="130"/>
      <c r="AA471" s="130"/>
      <c r="AB471" s="130"/>
      <c r="AC471" s="130"/>
      <c r="AD471" s="130"/>
      <c r="AE471" s="130"/>
      <c r="AF471" s="130"/>
      <c r="AG471" s="130"/>
      <c r="AH471" s="130"/>
      <c r="AI471" s="130"/>
      <c r="AJ471" s="130"/>
      <c r="AK471" s="130"/>
    </row>
    <row r="472">
      <c r="A472" s="130"/>
      <c r="B472" s="130"/>
      <c r="C472" s="143"/>
      <c r="D472" s="130"/>
      <c r="E472" s="143"/>
      <c r="F472" s="143"/>
      <c r="G472" s="143"/>
      <c r="H472" s="143"/>
      <c r="I472" s="143"/>
      <c r="J472" s="143"/>
      <c r="K472" s="143"/>
      <c r="L472" s="143"/>
      <c r="M472" s="143"/>
      <c r="N472" s="143"/>
      <c r="O472" s="143"/>
      <c r="P472" s="143"/>
      <c r="Q472" s="67"/>
      <c r="R472" s="144"/>
      <c r="S472" s="144"/>
      <c r="T472" s="143"/>
      <c r="U472" s="143"/>
      <c r="V472" s="143"/>
      <c r="W472" s="130"/>
      <c r="X472" s="130"/>
      <c r="Y472" s="130"/>
      <c r="Z472" s="130"/>
      <c r="AA472" s="130"/>
      <c r="AB472" s="130"/>
      <c r="AC472" s="130"/>
      <c r="AD472" s="130"/>
      <c r="AE472" s="130"/>
      <c r="AF472" s="130"/>
      <c r="AG472" s="130"/>
      <c r="AH472" s="130"/>
      <c r="AI472" s="130"/>
      <c r="AJ472" s="130"/>
      <c r="AK472" s="130"/>
    </row>
    <row r="473">
      <c r="A473" s="130"/>
      <c r="B473" s="130"/>
      <c r="C473" s="143"/>
      <c r="D473" s="130"/>
      <c r="E473" s="143"/>
      <c r="F473" s="143"/>
      <c r="G473" s="143"/>
      <c r="H473" s="143"/>
      <c r="I473" s="143"/>
      <c r="J473" s="143"/>
      <c r="K473" s="143"/>
      <c r="L473" s="143"/>
      <c r="M473" s="143"/>
      <c r="N473" s="143"/>
      <c r="O473" s="143"/>
      <c r="P473" s="143"/>
      <c r="Q473" s="67"/>
      <c r="R473" s="144"/>
      <c r="S473" s="144"/>
      <c r="T473" s="143"/>
      <c r="U473" s="143"/>
      <c r="V473" s="143"/>
      <c r="W473" s="130"/>
      <c r="X473" s="130"/>
      <c r="Y473" s="130"/>
      <c r="Z473" s="130"/>
      <c r="AA473" s="130"/>
      <c r="AB473" s="130"/>
      <c r="AC473" s="130"/>
      <c r="AD473" s="130"/>
      <c r="AE473" s="130"/>
      <c r="AF473" s="130"/>
      <c r="AG473" s="130"/>
      <c r="AH473" s="130"/>
      <c r="AI473" s="130"/>
      <c r="AJ473" s="130"/>
      <c r="AK473" s="130"/>
    </row>
    <row r="474">
      <c r="A474" s="130"/>
      <c r="B474" s="130"/>
      <c r="C474" s="143"/>
      <c r="D474" s="130"/>
      <c r="E474" s="143"/>
      <c r="F474" s="143"/>
      <c r="G474" s="143"/>
      <c r="H474" s="143"/>
      <c r="I474" s="143"/>
      <c r="J474" s="143"/>
      <c r="K474" s="143"/>
      <c r="L474" s="143"/>
      <c r="M474" s="143"/>
      <c r="N474" s="143"/>
      <c r="O474" s="143"/>
      <c r="P474" s="143"/>
      <c r="Q474" s="67"/>
      <c r="R474" s="144"/>
      <c r="S474" s="144"/>
      <c r="T474" s="143"/>
      <c r="U474" s="143"/>
      <c r="V474" s="143"/>
      <c r="W474" s="130"/>
      <c r="X474" s="130"/>
      <c r="Y474" s="130"/>
      <c r="Z474" s="130"/>
      <c r="AA474" s="130"/>
      <c r="AB474" s="130"/>
      <c r="AC474" s="130"/>
      <c r="AD474" s="130"/>
      <c r="AE474" s="130"/>
      <c r="AF474" s="130"/>
      <c r="AG474" s="130"/>
      <c r="AH474" s="130"/>
      <c r="AI474" s="130"/>
      <c r="AJ474" s="130"/>
      <c r="AK474" s="130"/>
    </row>
    <row r="475">
      <c r="A475" s="130"/>
      <c r="B475" s="130"/>
      <c r="C475" s="143"/>
      <c r="D475" s="130"/>
      <c r="E475" s="143"/>
      <c r="F475" s="143"/>
      <c r="G475" s="143"/>
      <c r="H475" s="143"/>
      <c r="I475" s="143"/>
      <c r="J475" s="143"/>
      <c r="K475" s="143"/>
      <c r="L475" s="143"/>
      <c r="M475" s="143"/>
      <c r="N475" s="143"/>
      <c r="O475" s="143"/>
      <c r="P475" s="143"/>
      <c r="Q475" s="67"/>
      <c r="R475" s="144"/>
      <c r="S475" s="144"/>
      <c r="T475" s="143"/>
      <c r="U475" s="143"/>
      <c r="V475" s="143"/>
      <c r="W475" s="130"/>
      <c r="X475" s="130"/>
      <c r="Y475" s="130"/>
      <c r="Z475" s="130"/>
      <c r="AA475" s="130"/>
      <c r="AB475" s="130"/>
      <c r="AC475" s="130"/>
      <c r="AD475" s="130"/>
      <c r="AE475" s="130"/>
      <c r="AF475" s="130"/>
      <c r="AG475" s="130"/>
      <c r="AH475" s="130"/>
      <c r="AI475" s="130"/>
      <c r="AJ475" s="130"/>
      <c r="AK475" s="130"/>
    </row>
    <row r="476">
      <c r="A476" s="130"/>
      <c r="B476" s="130"/>
      <c r="C476" s="143"/>
      <c r="D476" s="130"/>
      <c r="E476" s="143"/>
      <c r="F476" s="143"/>
      <c r="G476" s="143"/>
      <c r="H476" s="143"/>
      <c r="I476" s="143"/>
      <c r="J476" s="143"/>
      <c r="K476" s="143"/>
      <c r="L476" s="143"/>
      <c r="M476" s="143"/>
      <c r="N476" s="143"/>
      <c r="O476" s="143"/>
      <c r="P476" s="143"/>
      <c r="Q476" s="67"/>
      <c r="R476" s="144"/>
      <c r="S476" s="144"/>
      <c r="T476" s="143"/>
      <c r="U476" s="143"/>
      <c r="V476" s="143"/>
      <c r="W476" s="130"/>
      <c r="X476" s="130"/>
      <c r="Y476" s="130"/>
      <c r="Z476" s="130"/>
      <c r="AA476" s="130"/>
      <c r="AB476" s="130"/>
      <c r="AC476" s="130"/>
      <c r="AD476" s="130"/>
      <c r="AE476" s="130"/>
      <c r="AF476" s="130"/>
      <c r="AG476" s="130"/>
      <c r="AH476" s="130"/>
      <c r="AI476" s="130"/>
      <c r="AJ476" s="130"/>
      <c r="AK476" s="130"/>
    </row>
    <row r="477">
      <c r="A477" s="130"/>
      <c r="B477" s="130"/>
      <c r="C477" s="143"/>
      <c r="D477" s="130"/>
      <c r="E477" s="143"/>
      <c r="F477" s="143"/>
      <c r="G477" s="143"/>
      <c r="H477" s="143"/>
      <c r="I477" s="143"/>
      <c r="J477" s="143"/>
      <c r="K477" s="143"/>
      <c r="L477" s="143"/>
      <c r="M477" s="143"/>
      <c r="N477" s="143"/>
      <c r="O477" s="143"/>
      <c r="P477" s="143"/>
      <c r="Q477" s="67"/>
      <c r="R477" s="144"/>
      <c r="S477" s="144"/>
      <c r="T477" s="143"/>
      <c r="U477" s="143"/>
      <c r="V477" s="143"/>
      <c r="W477" s="130"/>
      <c r="X477" s="130"/>
      <c r="Y477" s="130"/>
      <c r="Z477" s="130"/>
      <c r="AA477" s="130"/>
      <c r="AB477" s="130"/>
      <c r="AC477" s="130"/>
      <c r="AD477" s="130"/>
      <c r="AE477" s="130"/>
      <c r="AF477" s="130"/>
      <c r="AG477" s="130"/>
      <c r="AH477" s="130"/>
      <c r="AI477" s="130"/>
      <c r="AJ477" s="130"/>
      <c r="AK477" s="130"/>
    </row>
    <row r="478">
      <c r="A478" s="130"/>
      <c r="B478" s="130"/>
      <c r="C478" s="143"/>
      <c r="D478" s="130"/>
      <c r="E478" s="143"/>
      <c r="F478" s="143"/>
      <c r="G478" s="143"/>
      <c r="H478" s="143"/>
      <c r="I478" s="143"/>
      <c r="J478" s="143"/>
      <c r="K478" s="143"/>
      <c r="L478" s="143"/>
      <c r="M478" s="143"/>
      <c r="N478" s="143"/>
      <c r="O478" s="143"/>
      <c r="P478" s="143"/>
      <c r="Q478" s="67"/>
      <c r="R478" s="144"/>
      <c r="S478" s="144"/>
      <c r="T478" s="143"/>
      <c r="U478" s="143"/>
      <c r="V478" s="143"/>
      <c r="W478" s="130"/>
      <c r="X478" s="130"/>
      <c r="Y478" s="130"/>
      <c r="Z478" s="130"/>
      <c r="AA478" s="130"/>
      <c r="AB478" s="130"/>
      <c r="AC478" s="130"/>
      <c r="AD478" s="130"/>
      <c r="AE478" s="130"/>
      <c r="AF478" s="130"/>
      <c r="AG478" s="130"/>
      <c r="AH478" s="130"/>
      <c r="AI478" s="130"/>
      <c r="AJ478" s="130"/>
      <c r="AK478" s="130"/>
    </row>
    <row r="479">
      <c r="A479" s="130"/>
      <c r="B479" s="130"/>
      <c r="C479" s="143"/>
      <c r="D479" s="130"/>
      <c r="E479" s="143"/>
      <c r="F479" s="143"/>
      <c r="G479" s="143"/>
      <c r="H479" s="143"/>
      <c r="I479" s="143"/>
      <c r="J479" s="143"/>
      <c r="K479" s="143"/>
      <c r="L479" s="143"/>
      <c r="M479" s="143"/>
      <c r="N479" s="143"/>
      <c r="O479" s="143"/>
      <c r="P479" s="143"/>
      <c r="Q479" s="67"/>
      <c r="R479" s="144"/>
      <c r="S479" s="144"/>
      <c r="T479" s="143"/>
      <c r="U479" s="143"/>
      <c r="V479" s="143"/>
      <c r="W479" s="130"/>
      <c r="X479" s="130"/>
      <c r="Y479" s="130"/>
      <c r="Z479" s="130"/>
      <c r="AA479" s="130"/>
      <c r="AB479" s="130"/>
      <c r="AC479" s="130"/>
      <c r="AD479" s="130"/>
      <c r="AE479" s="130"/>
      <c r="AF479" s="130"/>
      <c r="AG479" s="130"/>
      <c r="AH479" s="130"/>
      <c r="AI479" s="130"/>
      <c r="AJ479" s="130"/>
      <c r="AK479" s="130"/>
    </row>
    <row r="480">
      <c r="A480" s="130"/>
      <c r="B480" s="130"/>
      <c r="C480" s="143"/>
      <c r="D480" s="130"/>
      <c r="E480" s="143"/>
      <c r="F480" s="143"/>
      <c r="G480" s="143"/>
      <c r="H480" s="143"/>
      <c r="I480" s="143"/>
      <c r="J480" s="143"/>
      <c r="K480" s="143"/>
      <c r="L480" s="143"/>
      <c r="M480" s="143"/>
      <c r="N480" s="143"/>
      <c r="O480" s="143"/>
      <c r="P480" s="143"/>
      <c r="Q480" s="67"/>
      <c r="R480" s="144"/>
      <c r="S480" s="144"/>
      <c r="T480" s="143"/>
      <c r="U480" s="143"/>
      <c r="V480" s="143"/>
      <c r="W480" s="130"/>
      <c r="X480" s="130"/>
      <c r="Y480" s="130"/>
      <c r="Z480" s="130"/>
      <c r="AA480" s="130"/>
      <c r="AB480" s="130"/>
      <c r="AC480" s="130"/>
      <c r="AD480" s="130"/>
      <c r="AE480" s="130"/>
      <c r="AF480" s="130"/>
      <c r="AG480" s="130"/>
      <c r="AH480" s="130"/>
      <c r="AI480" s="130"/>
      <c r="AJ480" s="130"/>
      <c r="AK480" s="130"/>
    </row>
    <row r="481">
      <c r="A481" s="130"/>
      <c r="B481" s="130"/>
      <c r="C481" s="143"/>
      <c r="D481" s="130"/>
      <c r="E481" s="143"/>
      <c r="F481" s="143"/>
      <c r="G481" s="143"/>
      <c r="H481" s="143"/>
      <c r="I481" s="143"/>
      <c r="J481" s="143"/>
      <c r="K481" s="143"/>
      <c r="L481" s="143"/>
      <c r="M481" s="143"/>
      <c r="N481" s="143"/>
      <c r="O481" s="143"/>
      <c r="P481" s="143"/>
      <c r="Q481" s="67"/>
      <c r="R481" s="144"/>
      <c r="S481" s="144"/>
      <c r="T481" s="143"/>
      <c r="U481" s="143"/>
      <c r="V481" s="143"/>
      <c r="W481" s="130"/>
      <c r="X481" s="130"/>
      <c r="Y481" s="130"/>
      <c r="Z481" s="130"/>
      <c r="AA481" s="130"/>
      <c r="AB481" s="130"/>
      <c r="AC481" s="130"/>
      <c r="AD481" s="130"/>
      <c r="AE481" s="130"/>
      <c r="AF481" s="130"/>
      <c r="AG481" s="130"/>
      <c r="AH481" s="130"/>
      <c r="AI481" s="130"/>
      <c r="AJ481" s="130"/>
      <c r="AK481" s="130"/>
    </row>
    <row r="482">
      <c r="A482" s="130"/>
      <c r="B482" s="130"/>
      <c r="C482" s="143"/>
      <c r="D482" s="130"/>
      <c r="E482" s="143"/>
      <c r="F482" s="143"/>
      <c r="G482" s="143"/>
      <c r="H482" s="143"/>
      <c r="I482" s="143"/>
      <c r="J482" s="143"/>
      <c r="K482" s="143"/>
      <c r="L482" s="143"/>
      <c r="M482" s="143"/>
      <c r="N482" s="143"/>
      <c r="O482" s="143"/>
      <c r="P482" s="143"/>
      <c r="Q482" s="67"/>
      <c r="R482" s="144"/>
      <c r="S482" s="144"/>
      <c r="T482" s="143"/>
      <c r="U482" s="143"/>
      <c r="V482" s="143"/>
      <c r="W482" s="130"/>
      <c r="X482" s="130"/>
      <c r="Y482" s="130"/>
      <c r="Z482" s="130"/>
      <c r="AA482" s="130"/>
      <c r="AB482" s="130"/>
      <c r="AC482" s="130"/>
      <c r="AD482" s="130"/>
      <c r="AE482" s="130"/>
      <c r="AF482" s="130"/>
      <c r="AG482" s="130"/>
      <c r="AH482" s="130"/>
      <c r="AI482" s="130"/>
      <c r="AJ482" s="130"/>
      <c r="AK482" s="130"/>
    </row>
    <row r="483">
      <c r="A483" s="130"/>
      <c r="B483" s="130"/>
      <c r="C483" s="143"/>
      <c r="D483" s="130"/>
      <c r="E483" s="143"/>
      <c r="F483" s="143"/>
      <c r="G483" s="143"/>
      <c r="H483" s="143"/>
      <c r="I483" s="143"/>
      <c r="J483" s="143"/>
      <c r="K483" s="143"/>
      <c r="L483" s="143"/>
      <c r="M483" s="143"/>
      <c r="N483" s="143"/>
      <c r="O483" s="143"/>
      <c r="P483" s="143"/>
      <c r="Q483" s="67"/>
      <c r="R483" s="144"/>
      <c r="S483" s="144"/>
      <c r="T483" s="143"/>
      <c r="U483" s="143"/>
      <c r="V483" s="143"/>
      <c r="W483" s="130"/>
      <c r="X483" s="130"/>
      <c r="Y483" s="130"/>
      <c r="Z483" s="130"/>
      <c r="AA483" s="130"/>
      <c r="AB483" s="130"/>
      <c r="AC483" s="130"/>
      <c r="AD483" s="130"/>
      <c r="AE483" s="130"/>
      <c r="AF483" s="130"/>
      <c r="AG483" s="130"/>
      <c r="AH483" s="130"/>
      <c r="AI483" s="130"/>
      <c r="AJ483" s="130"/>
      <c r="AK483" s="130"/>
    </row>
    <row r="484">
      <c r="A484" s="130"/>
      <c r="B484" s="130"/>
      <c r="C484" s="143"/>
      <c r="D484" s="130"/>
      <c r="E484" s="143"/>
      <c r="F484" s="143"/>
      <c r="G484" s="143"/>
      <c r="H484" s="143"/>
      <c r="I484" s="143"/>
      <c r="J484" s="143"/>
      <c r="K484" s="143"/>
      <c r="L484" s="143"/>
      <c r="M484" s="143"/>
      <c r="N484" s="143"/>
      <c r="O484" s="143"/>
      <c r="P484" s="143"/>
      <c r="Q484" s="67"/>
      <c r="R484" s="144"/>
      <c r="S484" s="144"/>
      <c r="T484" s="143"/>
      <c r="U484" s="143"/>
      <c r="V484" s="143"/>
      <c r="W484" s="130"/>
      <c r="X484" s="130"/>
      <c r="Y484" s="130"/>
      <c r="Z484" s="130"/>
      <c r="AA484" s="130"/>
      <c r="AB484" s="130"/>
      <c r="AC484" s="130"/>
      <c r="AD484" s="130"/>
      <c r="AE484" s="130"/>
      <c r="AF484" s="130"/>
      <c r="AG484" s="130"/>
      <c r="AH484" s="130"/>
      <c r="AI484" s="130"/>
      <c r="AJ484" s="130"/>
      <c r="AK484" s="130"/>
    </row>
    <row r="485">
      <c r="A485" s="130"/>
      <c r="B485" s="130"/>
      <c r="C485" s="143"/>
      <c r="D485" s="130"/>
      <c r="E485" s="143"/>
      <c r="F485" s="143"/>
      <c r="G485" s="143"/>
      <c r="H485" s="143"/>
      <c r="I485" s="143"/>
      <c r="J485" s="143"/>
      <c r="K485" s="143"/>
      <c r="L485" s="143"/>
      <c r="M485" s="143"/>
      <c r="N485" s="143"/>
      <c r="O485" s="143"/>
      <c r="P485" s="143"/>
      <c r="Q485" s="67"/>
      <c r="R485" s="144"/>
      <c r="S485" s="144"/>
      <c r="T485" s="143"/>
      <c r="U485" s="143"/>
      <c r="V485" s="143"/>
      <c r="W485" s="130"/>
      <c r="X485" s="130"/>
      <c r="Y485" s="130"/>
      <c r="Z485" s="130"/>
      <c r="AA485" s="130"/>
      <c r="AB485" s="130"/>
      <c r="AC485" s="130"/>
      <c r="AD485" s="130"/>
      <c r="AE485" s="130"/>
      <c r="AF485" s="130"/>
      <c r="AG485" s="130"/>
      <c r="AH485" s="130"/>
      <c r="AI485" s="130"/>
      <c r="AJ485" s="130"/>
      <c r="AK485" s="130"/>
    </row>
    <row r="486">
      <c r="A486" s="130"/>
      <c r="B486" s="130"/>
      <c r="C486" s="143"/>
      <c r="D486" s="130"/>
      <c r="E486" s="143"/>
      <c r="F486" s="143"/>
      <c r="G486" s="143"/>
      <c r="H486" s="143"/>
      <c r="I486" s="143"/>
      <c r="J486" s="143"/>
      <c r="K486" s="143"/>
      <c r="L486" s="143"/>
      <c r="M486" s="143"/>
      <c r="N486" s="143"/>
      <c r="O486" s="143"/>
      <c r="P486" s="143"/>
      <c r="Q486" s="67"/>
      <c r="R486" s="144"/>
      <c r="S486" s="144"/>
      <c r="T486" s="143"/>
      <c r="U486" s="143"/>
      <c r="V486" s="143"/>
      <c r="W486" s="130"/>
      <c r="X486" s="130"/>
      <c r="Y486" s="130"/>
      <c r="Z486" s="130"/>
      <c r="AA486" s="130"/>
      <c r="AB486" s="130"/>
      <c r="AC486" s="130"/>
      <c r="AD486" s="130"/>
      <c r="AE486" s="130"/>
      <c r="AF486" s="130"/>
      <c r="AG486" s="130"/>
      <c r="AH486" s="130"/>
      <c r="AI486" s="130"/>
      <c r="AJ486" s="130"/>
      <c r="AK486" s="130"/>
    </row>
    <row r="487">
      <c r="A487" s="130"/>
      <c r="B487" s="130"/>
      <c r="C487" s="143"/>
      <c r="D487" s="130"/>
      <c r="E487" s="143"/>
      <c r="F487" s="143"/>
      <c r="G487" s="143"/>
      <c r="H487" s="143"/>
      <c r="I487" s="143"/>
      <c r="J487" s="143"/>
      <c r="K487" s="143"/>
      <c r="L487" s="143"/>
      <c r="M487" s="143"/>
      <c r="N487" s="143"/>
      <c r="O487" s="143"/>
      <c r="P487" s="143"/>
      <c r="Q487" s="67"/>
      <c r="R487" s="144"/>
      <c r="S487" s="144"/>
      <c r="T487" s="143"/>
      <c r="U487" s="143"/>
      <c r="V487" s="143"/>
      <c r="W487" s="130"/>
      <c r="X487" s="130"/>
      <c r="Y487" s="130"/>
      <c r="Z487" s="130"/>
      <c r="AA487" s="130"/>
      <c r="AB487" s="130"/>
      <c r="AC487" s="130"/>
      <c r="AD487" s="130"/>
      <c r="AE487" s="130"/>
      <c r="AF487" s="130"/>
      <c r="AG487" s="130"/>
      <c r="AH487" s="130"/>
      <c r="AI487" s="130"/>
      <c r="AJ487" s="130"/>
      <c r="AK487" s="130"/>
    </row>
    <row r="488">
      <c r="A488" s="130"/>
      <c r="B488" s="130"/>
      <c r="C488" s="143"/>
      <c r="D488" s="130"/>
      <c r="E488" s="143"/>
      <c r="F488" s="143"/>
      <c r="G488" s="143"/>
      <c r="H488" s="143"/>
      <c r="I488" s="143"/>
      <c r="J488" s="143"/>
      <c r="K488" s="143"/>
      <c r="L488" s="143"/>
      <c r="M488" s="143"/>
      <c r="N488" s="143"/>
      <c r="O488" s="143"/>
      <c r="P488" s="143"/>
      <c r="Q488" s="67"/>
      <c r="R488" s="144"/>
      <c r="S488" s="144"/>
      <c r="T488" s="143"/>
      <c r="U488" s="143"/>
      <c r="V488" s="143"/>
      <c r="W488" s="130"/>
      <c r="X488" s="130"/>
      <c r="Y488" s="130"/>
      <c r="Z488" s="130"/>
      <c r="AA488" s="130"/>
      <c r="AB488" s="130"/>
      <c r="AC488" s="130"/>
      <c r="AD488" s="130"/>
      <c r="AE488" s="130"/>
      <c r="AF488" s="130"/>
      <c r="AG488" s="130"/>
      <c r="AH488" s="130"/>
      <c r="AI488" s="130"/>
      <c r="AJ488" s="130"/>
      <c r="AK488" s="130"/>
    </row>
    <row r="489">
      <c r="A489" s="130"/>
      <c r="B489" s="130"/>
      <c r="C489" s="143"/>
      <c r="D489" s="130"/>
      <c r="E489" s="143"/>
      <c r="F489" s="143"/>
      <c r="G489" s="143"/>
      <c r="H489" s="143"/>
      <c r="I489" s="143"/>
      <c r="J489" s="143"/>
      <c r="K489" s="143"/>
      <c r="L489" s="143"/>
      <c r="M489" s="143"/>
      <c r="N489" s="143"/>
      <c r="O489" s="143"/>
      <c r="P489" s="143"/>
      <c r="Q489" s="67"/>
      <c r="R489" s="144"/>
      <c r="S489" s="144"/>
      <c r="T489" s="143"/>
      <c r="U489" s="143"/>
      <c r="V489" s="143"/>
      <c r="W489" s="130"/>
      <c r="X489" s="130"/>
      <c r="Y489" s="130"/>
      <c r="Z489" s="130"/>
      <c r="AA489" s="130"/>
      <c r="AB489" s="130"/>
      <c r="AC489" s="130"/>
      <c r="AD489" s="130"/>
      <c r="AE489" s="130"/>
      <c r="AF489" s="130"/>
      <c r="AG489" s="130"/>
      <c r="AH489" s="130"/>
      <c r="AI489" s="130"/>
      <c r="AJ489" s="130"/>
      <c r="AK489" s="130"/>
    </row>
    <row r="490">
      <c r="A490" s="130"/>
      <c r="B490" s="130"/>
      <c r="C490" s="143"/>
      <c r="D490" s="130"/>
      <c r="E490" s="143"/>
      <c r="F490" s="143"/>
      <c r="G490" s="143"/>
      <c r="H490" s="143"/>
      <c r="I490" s="143"/>
      <c r="J490" s="143"/>
      <c r="K490" s="143"/>
      <c r="L490" s="143"/>
      <c r="M490" s="143"/>
      <c r="N490" s="143"/>
      <c r="O490" s="143"/>
      <c r="P490" s="143"/>
      <c r="Q490" s="67"/>
      <c r="R490" s="144"/>
      <c r="S490" s="144"/>
      <c r="T490" s="143"/>
      <c r="U490" s="143"/>
      <c r="V490" s="143"/>
      <c r="W490" s="130"/>
      <c r="X490" s="130"/>
      <c r="Y490" s="130"/>
      <c r="Z490" s="130"/>
      <c r="AA490" s="130"/>
      <c r="AB490" s="130"/>
      <c r="AC490" s="130"/>
      <c r="AD490" s="130"/>
      <c r="AE490" s="130"/>
      <c r="AF490" s="130"/>
      <c r="AG490" s="130"/>
      <c r="AH490" s="130"/>
      <c r="AI490" s="130"/>
      <c r="AJ490" s="130"/>
      <c r="AK490" s="130"/>
    </row>
    <row r="491">
      <c r="A491" s="130"/>
      <c r="B491" s="130"/>
      <c r="C491" s="143"/>
      <c r="D491" s="130"/>
      <c r="E491" s="143"/>
      <c r="F491" s="143"/>
      <c r="G491" s="143"/>
      <c r="H491" s="143"/>
      <c r="I491" s="143"/>
      <c r="J491" s="143"/>
      <c r="K491" s="143"/>
      <c r="L491" s="143"/>
      <c r="M491" s="143"/>
      <c r="N491" s="143"/>
      <c r="O491" s="143"/>
      <c r="P491" s="143"/>
      <c r="Q491" s="67"/>
      <c r="R491" s="144"/>
      <c r="S491" s="144"/>
      <c r="T491" s="143"/>
      <c r="U491" s="143"/>
      <c r="V491" s="143"/>
      <c r="W491" s="130"/>
      <c r="X491" s="130"/>
      <c r="Y491" s="130"/>
      <c r="Z491" s="130"/>
      <c r="AA491" s="130"/>
      <c r="AB491" s="130"/>
      <c r="AC491" s="130"/>
      <c r="AD491" s="130"/>
      <c r="AE491" s="130"/>
      <c r="AF491" s="130"/>
      <c r="AG491" s="130"/>
      <c r="AH491" s="130"/>
      <c r="AI491" s="130"/>
      <c r="AJ491" s="130"/>
      <c r="AK491" s="130"/>
    </row>
    <row r="492">
      <c r="A492" s="130"/>
      <c r="B492" s="130"/>
      <c r="C492" s="143"/>
      <c r="D492" s="130"/>
      <c r="E492" s="143"/>
      <c r="F492" s="143"/>
      <c r="G492" s="143"/>
      <c r="H492" s="143"/>
      <c r="I492" s="143"/>
      <c r="J492" s="143"/>
      <c r="K492" s="143"/>
      <c r="L492" s="143"/>
      <c r="M492" s="143"/>
      <c r="N492" s="143"/>
      <c r="O492" s="143"/>
      <c r="P492" s="143"/>
      <c r="Q492" s="67"/>
      <c r="R492" s="144"/>
      <c r="S492" s="144"/>
      <c r="T492" s="143"/>
      <c r="U492" s="143"/>
      <c r="V492" s="143"/>
      <c r="W492" s="130"/>
      <c r="X492" s="130"/>
      <c r="Y492" s="130"/>
      <c r="Z492" s="130"/>
      <c r="AA492" s="130"/>
      <c r="AB492" s="130"/>
      <c r="AC492" s="130"/>
      <c r="AD492" s="130"/>
      <c r="AE492" s="130"/>
      <c r="AF492" s="130"/>
      <c r="AG492" s="130"/>
      <c r="AH492" s="130"/>
      <c r="AI492" s="130"/>
      <c r="AJ492" s="130"/>
      <c r="AK492" s="130"/>
    </row>
    <row r="493">
      <c r="A493" s="130"/>
      <c r="B493" s="130"/>
      <c r="C493" s="143"/>
      <c r="D493" s="130"/>
      <c r="E493" s="143"/>
      <c r="F493" s="143"/>
      <c r="G493" s="143"/>
      <c r="H493" s="143"/>
      <c r="I493" s="143"/>
      <c r="J493" s="143"/>
      <c r="K493" s="143"/>
      <c r="L493" s="143"/>
      <c r="M493" s="143"/>
      <c r="N493" s="143"/>
      <c r="O493" s="143"/>
      <c r="P493" s="143"/>
      <c r="Q493" s="67"/>
      <c r="R493" s="144"/>
      <c r="S493" s="144"/>
      <c r="T493" s="143"/>
      <c r="U493" s="143"/>
      <c r="V493" s="143"/>
      <c r="W493" s="130"/>
      <c r="X493" s="130"/>
      <c r="Y493" s="130"/>
      <c r="Z493" s="130"/>
      <c r="AA493" s="130"/>
      <c r="AB493" s="130"/>
      <c r="AC493" s="130"/>
      <c r="AD493" s="130"/>
      <c r="AE493" s="130"/>
      <c r="AF493" s="130"/>
      <c r="AG493" s="130"/>
      <c r="AH493" s="130"/>
      <c r="AI493" s="130"/>
      <c r="AJ493" s="130"/>
      <c r="AK493" s="130"/>
    </row>
    <row r="494">
      <c r="A494" s="130"/>
      <c r="B494" s="130"/>
      <c r="C494" s="143"/>
      <c r="D494" s="130"/>
      <c r="E494" s="143"/>
      <c r="F494" s="143"/>
      <c r="G494" s="143"/>
      <c r="H494" s="143"/>
      <c r="I494" s="143"/>
      <c r="J494" s="143"/>
      <c r="K494" s="143"/>
      <c r="L494" s="143"/>
      <c r="M494" s="143"/>
      <c r="N494" s="143"/>
      <c r="O494" s="143"/>
      <c r="P494" s="143"/>
      <c r="Q494" s="67"/>
      <c r="R494" s="144"/>
      <c r="S494" s="144"/>
      <c r="T494" s="143"/>
      <c r="U494" s="143"/>
      <c r="V494" s="143"/>
      <c r="W494" s="130"/>
      <c r="X494" s="130"/>
      <c r="Y494" s="130"/>
      <c r="Z494" s="130"/>
      <c r="AA494" s="130"/>
      <c r="AB494" s="130"/>
      <c r="AC494" s="130"/>
      <c r="AD494" s="130"/>
      <c r="AE494" s="130"/>
      <c r="AF494" s="130"/>
      <c r="AG494" s="130"/>
      <c r="AH494" s="130"/>
      <c r="AI494" s="130"/>
      <c r="AJ494" s="130"/>
      <c r="AK494" s="130"/>
    </row>
    <row r="495">
      <c r="A495" s="130"/>
      <c r="B495" s="130"/>
      <c r="C495" s="143"/>
      <c r="D495" s="130"/>
      <c r="E495" s="143"/>
      <c r="F495" s="143"/>
      <c r="G495" s="143"/>
      <c r="H495" s="143"/>
      <c r="I495" s="143"/>
      <c r="J495" s="143"/>
      <c r="K495" s="143"/>
      <c r="L495" s="143"/>
      <c r="M495" s="143"/>
      <c r="N495" s="143"/>
      <c r="O495" s="143"/>
      <c r="P495" s="143"/>
      <c r="Q495" s="67"/>
      <c r="R495" s="144"/>
      <c r="S495" s="144"/>
      <c r="T495" s="143"/>
      <c r="U495" s="143"/>
      <c r="V495" s="143"/>
      <c r="W495" s="130"/>
      <c r="X495" s="130"/>
      <c r="Y495" s="130"/>
      <c r="Z495" s="130"/>
      <c r="AA495" s="130"/>
      <c r="AB495" s="130"/>
      <c r="AC495" s="130"/>
      <c r="AD495" s="130"/>
      <c r="AE495" s="130"/>
      <c r="AF495" s="130"/>
      <c r="AG495" s="130"/>
      <c r="AH495" s="130"/>
      <c r="AI495" s="130"/>
      <c r="AJ495" s="130"/>
      <c r="AK495" s="130"/>
    </row>
    <row r="496">
      <c r="A496" s="130"/>
      <c r="B496" s="130"/>
      <c r="C496" s="143"/>
      <c r="D496" s="130"/>
      <c r="E496" s="143"/>
      <c r="F496" s="143"/>
      <c r="G496" s="143"/>
      <c r="H496" s="143"/>
      <c r="I496" s="143"/>
      <c r="J496" s="143"/>
      <c r="K496" s="143"/>
      <c r="L496" s="143"/>
      <c r="M496" s="143"/>
      <c r="N496" s="143"/>
      <c r="O496" s="143"/>
      <c r="P496" s="143"/>
      <c r="Q496" s="67"/>
      <c r="R496" s="144"/>
      <c r="S496" s="144"/>
      <c r="T496" s="143"/>
      <c r="U496" s="143"/>
      <c r="V496" s="143"/>
      <c r="W496" s="130"/>
      <c r="X496" s="130"/>
      <c r="Y496" s="130"/>
      <c r="Z496" s="130"/>
      <c r="AA496" s="130"/>
      <c r="AB496" s="130"/>
      <c r="AC496" s="130"/>
      <c r="AD496" s="130"/>
      <c r="AE496" s="130"/>
      <c r="AF496" s="130"/>
      <c r="AG496" s="130"/>
      <c r="AH496" s="130"/>
      <c r="AI496" s="130"/>
      <c r="AJ496" s="130"/>
      <c r="AK496" s="130"/>
    </row>
    <row r="497">
      <c r="A497" s="130"/>
      <c r="B497" s="130"/>
      <c r="C497" s="143"/>
      <c r="D497" s="130"/>
      <c r="E497" s="143"/>
      <c r="F497" s="143"/>
      <c r="G497" s="143"/>
      <c r="H497" s="143"/>
      <c r="I497" s="143"/>
      <c r="J497" s="143"/>
      <c r="K497" s="143"/>
      <c r="L497" s="143"/>
      <c r="M497" s="143"/>
      <c r="N497" s="143"/>
      <c r="O497" s="143"/>
      <c r="P497" s="143"/>
      <c r="Q497" s="67"/>
      <c r="R497" s="144"/>
      <c r="S497" s="144"/>
      <c r="T497" s="143"/>
      <c r="U497" s="143"/>
      <c r="V497" s="143"/>
      <c r="W497" s="130"/>
      <c r="X497" s="130"/>
      <c r="Y497" s="130"/>
      <c r="Z497" s="130"/>
      <c r="AA497" s="130"/>
      <c r="AB497" s="130"/>
      <c r="AC497" s="130"/>
      <c r="AD497" s="130"/>
      <c r="AE497" s="130"/>
      <c r="AF497" s="130"/>
      <c r="AG497" s="130"/>
      <c r="AH497" s="130"/>
      <c r="AI497" s="130"/>
      <c r="AJ497" s="130"/>
      <c r="AK497" s="130"/>
    </row>
    <row r="498">
      <c r="A498" s="130"/>
      <c r="B498" s="130"/>
      <c r="C498" s="143"/>
      <c r="D498" s="130"/>
      <c r="E498" s="143"/>
      <c r="F498" s="143"/>
      <c r="G498" s="143"/>
      <c r="H498" s="143"/>
      <c r="I498" s="143"/>
      <c r="J498" s="143"/>
      <c r="K498" s="143"/>
      <c r="L498" s="143"/>
      <c r="M498" s="143"/>
      <c r="N498" s="143"/>
      <c r="O498" s="143"/>
      <c r="P498" s="143"/>
      <c r="Q498" s="67"/>
      <c r="R498" s="144"/>
      <c r="S498" s="144"/>
      <c r="T498" s="143"/>
      <c r="U498" s="143"/>
      <c r="V498" s="143"/>
      <c r="W498" s="130"/>
      <c r="X498" s="130"/>
      <c r="Y498" s="130"/>
      <c r="Z498" s="130"/>
      <c r="AA498" s="130"/>
      <c r="AB498" s="130"/>
      <c r="AC498" s="130"/>
      <c r="AD498" s="130"/>
      <c r="AE498" s="130"/>
      <c r="AF498" s="130"/>
      <c r="AG498" s="130"/>
      <c r="AH498" s="130"/>
      <c r="AI498" s="130"/>
      <c r="AJ498" s="130"/>
      <c r="AK498" s="130"/>
    </row>
    <row r="499">
      <c r="A499" s="130"/>
      <c r="B499" s="130"/>
      <c r="C499" s="143"/>
      <c r="D499" s="130"/>
      <c r="E499" s="143"/>
      <c r="F499" s="143"/>
      <c r="G499" s="143"/>
      <c r="H499" s="143"/>
      <c r="I499" s="143"/>
      <c r="J499" s="143"/>
      <c r="K499" s="143"/>
      <c r="L499" s="143"/>
      <c r="M499" s="143"/>
      <c r="N499" s="143"/>
      <c r="O499" s="143"/>
      <c r="P499" s="143"/>
      <c r="Q499" s="67"/>
      <c r="R499" s="144"/>
      <c r="S499" s="144"/>
      <c r="T499" s="143"/>
      <c r="U499" s="143"/>
      <c r="V499" s="143"/>
      <c r="W499" s="130"/>
      <c r="X499" s="130"/>
      <c r="Y499" s="130"/>
      <c r="Z499" s="130"/>
      <c r="AA499" s="130"/>
      <c r="AB499" s="130"/>
      <c r="AC499" s="130"/>
      <c r="AD499" s="130"/>
      <c r="AE499" s="130"/>
      <c r="AF499" s="130"/>
      <c r="AG499" s="130"/>
      <c r="AH499" s="130"/>
      <c r="AI499" s="130"/>
      <c r="AJ499" s="130"/>
      <c r="AK499" s="130"/>
    </row>
    <row r="500">
      <c r="A500" s="130"/>
      <c r="B500" s="130"/>
      <c r="C500" s="143"/>
      <c r="D500" s="130"/>
      <c r="E500" s="143"/>
      <c r="F500" s="143"/>
      <c r="G500" s="143"/>
      <c r="H500" s="143"/>
      <c r="I500" s="143"/>
      <c r="J500" s="143"/>
      <c r="K500" s="143"/>
      <c r="L500" s="143"/>
      <c r="M500" s="143"/>
      <c r="N500" s="143"/>
      <c r="O500" s="143"/>
      <c r="P500" s="143"/>
      <c r="Q500" s="67"/>
      <c r="R500" s="144"/>
      <c r="S500" s="144"/>
      <c r="T500" s="143"/>
      <c r="U500" s="143"/>
      <c r="V500" s="143"/>
      <c r="W500" s="130"/>
      <c r="X500" s="130"/>
      <c r="Y500" s="130"/>
      <c r="Z500" s="130"/>
      <c r="AA500" s="130"/>
      <c r="AB500" s="130"/>
      <c r="AC500" s="130"/>
      <c r="AD500" s="130"/>
      <c r="AE500" s="130"/>
      <c r="AF500" s="130"/>
      <c r="AG500" s="130"/>
      <c r="AH500" s="130"/>
      <c r="AI500" s="130"/>
      <c r="AJ500" s="130"/>
      <c r="AK500" s="130"/>
    </row>
    <row r="501">
      <c r="A501" s="130"/>
      <c r="B501" s="130"/>
      <c r="C501" s="143"/>
      <c r="D501" s="130"/>
      <c r="E501" s="143"/>
      <c r="F501" s="143"/>
      <c r="G501" s="143"/>
      <c r="H501" s="143"/>
      <c r="I501" s="143"/>
      <c r="J501" s="143"/>
      <c r="K501" s="143"/>
      <c r="L501" s="143"/>
      <c r="M501" s="143"/>
      <c r="N501" s="143"/>
      <c r="O501" s="143"/>
      <c r="P501" s="143"/>
      <c r="Q501" s="67"/>
      <c r="R501" s="144"/>
      <c r="S501" s="144"/>
      <c r="T501" s="143"/>
      <c r="U501" s="143"/>
      <c r="V501" s="143"/>
      <c r="W501" s="130"/>
      <c r="X501" s="130"/>
      <c r="Y501" s="130"/>
      <c r="Z501" s="130"/>
      <c r="AA501" s="130"/>
      <c r="AB501" s="130"/>
      <c r="AC501" s="130"/>
      <c r="AD501" s="130"/>
      <c r="AE501" s="130"/>
      <c r="AF501" s="130"/>
      <c r="AG501" s="130"/>
      <c r="AH501" s="130"/>
      <c r="AI501" s="130"/>
      <c r="AJ501" s="130"/>
      <c r="AK501" s="130"/>
    </row>
    <row r="502">
      <c r="A502" s="130"/>
      <c r="B502" s="130"/>
      <c r="C502" s="143"/>
      <c r="D502" s="130"/>
      <c r="E502" s="143"/>
      <c r="F502" s="143"/>
      <c r="G502" s="143"/>
      <c r="H502" s="143"/>
      <c r="I502" s="143"/>
      <c r="J502" s="143"/>
      <c r="K502" s="143"/>
      <c r="L502" s="143"/>
      <c r="M502" s="143"/>
      <c r="N502" s="143"/>
      <c r="O502" s="143"/>
      <c r="P502" s="143"/>
      <c r="Q502" s="67"/>
      <c r="R502" s="144"/>
      <c r="S502" s="144"/>
      <c r="T502" s="143"/>
      <c r="U502" s="143"/>
      <c r="V502" s="143"/>
      <c r="W502" s="130"/>
      <c r="X502" s="130"/>
      <c r="Y502" s="130"/>
      <c r="Z502" s="130"/>
      <c r="AA502" s="130"/>
      <c r="AB502" s="130"/>
      <c r="AC502" s="130"/>
      <c r="AD502" s="130"/>
      <c r="AE502" s="130"/>
      <c r="AF502" s="130"/>
      <c r="AG502" s="130"/>
      <c r="AH502" s="130"/>
      <c r="AI502" s="130"/>
      <c r="AJ502" s="130"/>
      <c r="AK502" s="130"/>
    </row>
    <row r="503">
      <c r="A503" s="130"/>
      <c r="B503" s="130"/>
      <c r="C503" s="143"/>
      <c r="D503" s="130"/>
      <c r="E503" s="143"/>
      <c r="F503" s="143"/>
      <c r="G503" s="143"/>
      <c r="H503" s="143"/>
      <c r="I503" s="143"/>
      <c r="J503" s="143"/>
      <c r="K503" s="143"/>
      <c r="L503" s="143"/>
      <c r="M503" s="143"/>
      <c r="N503" s="143"/>
      <c r="O503" s="143"/>
      <c r="P503" s="143"/>
      <c r="Q503" s="67"/>
      <c r="R503" s="144"/>
      <c r="S503" s="144"/>
      <c r="T503" s="143"/>
      <c r="U503" s="143"/>
      <c r="V503" s="143"/>
      <c r="W503" s="130"/>
      <c r="X503" s="130"/>
      <c r="Y503" s="130"/>
      <c r="Z503" s="130"/>
      <c r="AA503" s="130"/>
      <c r="AB503" s="130"/>
      <c r="AC503" s="130"/>
      <c r="AD503" s="130"/>
      <c r="AE503" s="130"/>
      <c r="AF503" s="130"/>
      <c r="AG503" s="130"/>
      <c r="AH503" s="130"/>
      <c r="AI503" s="130"/>
      <c r="AJ503" s="130"/>
      <c r="AK503" s="130"/>
    </row>
    <row r="504">
      <c r="A504" s="130"/>
      <c r="B504" s="130"/>
      <c r="C504" s="143"/>
      <c r="D504" s="130"/>
      <c r="E504" s="143"/>
      <c r="F504" s="143"/>
      <c r="G504" s="143"/>
      <c r="H504" s="143"/>
      <c r="I504" s="143"/>
      <c r="J504" s="143"/>
      <c r="K504" s="143"/>
      <c r="L504" s="143"/>
      <c r="M504" s="143"/>
      <c r="N504" s="143"/>
      <c r="O504" s="143"/>
      <c r="P504" s="143"/>
      <c r="Q504" s="67"/>
      <c r="R504" s="144"/>
      <c r="S504" s="144"/>
      <c r="T504" s="143"/>
      <c r="U504" s="143"/>
      <c r="V504" s="143"/>
      <c r="W504" s="130"/>
      <c r="X504" s="130"/>
      <c r="Y504" s="130"/>
      <c r="Z504" s="130"/>
      <c r="AA504" s="130"/>
      <c r="AB504" s="130"/>
      <c r="AC504" s="130"/>
      <c r="AD504" s="130"/>
      <c r="AE504" s="130"/>
      <c r="AF504" s="130"/>
      <c r="AG504" s="130"/>
      <c r="AH504" s="130"/>
      <c r="AI504" s="130"/>
      <c r="AJ504" s="130"/>
      <c r="AK504" s="130"/>
    </row>
    <row r="505">
      <c r="A505" s="130"/>
      <c r="B505" s="130"/>
      <c r="C505" s="143"/>
      <c r="D505" s="130"/>
      <c r="E505" s="143"/>
      <c r="F505" s="143"/>
      <c r="G505" s="143"/>
      <c r="H505" s="143"/>
      <c r="I505" s="143"/>
      <c r="J505" s="143"/>
      <c r="K505" s="143"/>
      <c r="L505" s="143"/>
      <c r="M505" s="143"/>
      <c r="N505" s="143"/>
      <c r="O505" s="143"/>
      <c r="P505" s="143"/>
      <c r="Q505" s="67"/>
      <c r="R505" s="144"/>
      <c r="S505" s="144"/>
      <c r="T505" s="143"/>
      <c r="U505" s="143"/>
      <c r="V505" s="143"/>
      <c r="W505" s="130"/>
      <c r="X505" s="130"/>
      <c r="Y505" s="130"/>
      <c r="Z505" s="130"/>
      <c r="AA505" s="130"/>
      <c r="AB505" s="130"/>
      <c r="AC505" s="130"/>
      <c r="AD505" s="130"/>
      <c r="AE505" s="130"/>
      <c r="AF505" s="130"/>
      <c r="AG505" s="130"/>
      <c r="AH505" s="130"/>
      <c r="AI505" s="130"/>
      <c r="AJ505" s="130"/>
      <c r="AK505" s="130"/>
    </row>
    <row r="506">
      <c r="A506" s="130"/>
      <c r="B506" s="130"/>
      <c r="C506" s="143"/>
      <c r="D506" s="130"/>
      <c r="E506" s="143"/>
      <c r="F506" s="143"/>
      <c r="G506" s="143"/>
      <c r="H506" s="143"/>
      <c r="I506" s="143"/>
      <c r="J506" s="143"/>
      <c r="K506" s="143"/>
      <c r="L506" s="143"/>
      <c r="M506" s="143"/>
      <c r="N506" s="143"/>
      <c r="O506" s="143"/>
      <c r="P506" s="143"/>
      <c r="Q506" s="67"/>
      <c r="R506" s="144"/>
      <c r="S506" s="144"/>
      <c r="T506" s="143"/>
      <c r="U506" s="143"/>
      <c r="V506" s="143"/>
      <c r="W506" s="130"/>
      <c r="X506" s="130"/>
      <c r="Y506" s="130"/>
      <c r="Z506" s="130"/>
      <c r="AA506" s="130"/>
      <c r="AB506" s="130"/>
      <c r="AC506" s="130"/>
      <c r="AD506" s="130"/>
      <c r="AE506" s="130"/>
      <c r="AF506" s="130"/>
      <c r="AG506" s="130"/>
      <c r="AH506" s="130"/>
      <c r="AI506" s="130"/>
      <c r="AJ506" s="130"/>
      <c r="AK506" s="130"/>
    </row>
    <row r="507">
      <c r="A507" s="130"/>
      <c r="B507" s="130"/>
      <c r="C507" s="143"/>
      <c r="D507" s="130"/>
      <c r="E507" s="143"/>
      <c r="F507" s="143"/>
      <c r="G507" s="143"/>
      <c r="H507" s="143"/>
      <c r="I507" s="143"/>
      <c r="J507" s="143"/>
      <c r="K507" s="143"/>
      <c r="L507" s="143"/>
      <c r="M507" s="143"/>
      <c r="N507" s="143"/>
      <c r="O507" s="143"/>
      <c r="P507" s="143"/>
      <c r="Q507" s="67"/>
      <c r="R507" s="144"/>
      <c r="S507" s="144"/>
      <c r="T507" s="143"/>
      <c r="U507" s="143"/>
      <c r="V507" s="143"/>
      <c r="W507" s="130"/>
      <c r="X507" s="130"/>
      <c r="Y507" s="130"/>
      <c r="Z507" s="130"/>
      <c r="AA507" s="130"/>
      <c r="AB507" s="130"/>
      <c r="AC507" s="130"/>
      <c r="AD507" s="130"/>
      <c r="AE507" s="130"/>
      <c r="AF507" s="130"/>
      <c r="AG507" s="130"/>
      <c r="AH507" s="130"/>
      <c r="AI507" s="130"/>
      <c r="AJ507" s="130"/>
      <c r="AK507" s="130"/>
    </row>
    <row r="508">
      <c r="A508" s="130"/>
      <c r="B508" s="130"/>
      <c r="C508" s="143"/>
      <c r="D508" s="130"/>
      <c r="E508" s="143"/>
      <c r="F508" s="143"/>
      <c r="G508" s="143"/>
      <c r="H508" s="143"/>
      <c r="I508" s="143"/>
      <c r="J508" s="143"/>
      <c r="K508" s="143"/>
      <c r="L508" s="143"/>
      <c r="M508" s="143"/>
      <c r="N508" s="143"/>
      <c r="O508" s="143"/>
      <c r="P508" s="143"/>
      <c r="Q508" s="67"/>
      <c r="R508" s="144"/>
      <c r="S508" s="144"/>
      <c r="T508" s="143"/>
      <c r="U508" s="143"/>
      <c r="V508" s="143"/>
      <c r="W508" s="130"/>
      <c r="X508" s="130"/>
      <c r="Y508" s="130"/>
      <c r="Z508" s="130"/>
      <c r="AA508" s="130"/>
      <c r="AB508" s="130"/>
      <c r="AC508" s="130"/>
      <c r="AD508" s="130"/>
      <c r="AE508" s="130"/>
      <c r="AF508" s="130"/>
      <c r="AG508" s="130"/>
      <c r="AH508" s="130"/>
      <c r="AI508" s="130"/>
      <c r="AJ508" s="130"/>
      <c r="AK508" s="130"/>
    </row>
    <row r="509">
      <c r="A509" s="130"/>
      <c r="B509" s="130"/>
      <c r="C509" s="143"/>
      <c r="D509" s="130"/>
      <c r="E509" s="143"/>
      <c r="F509" s="143"/>
      <c r="G509" s="143"/>
      <c r="H509" s="143"/>
      <c r="I509" s="143"/>
      <c r="J509" s="143"/>
      <c r="K509" s="143"/>
      <c r="L509" s="143"/>
      <c r="M509" s="143"/>
      <c r="N509" s="143"/>
      <c r="O509" s="143"/>
      <c r="P509" s="143"/>
      <c r="Q509" s="67"/>
      <c r="R509" s="144"/>
      <c r="S509" s="144"/>
      <c r="T509" s="143"/>
      <c r="U509" s="143"/>
      <c r="V509" s="143"/>
      <c r="W509" s="130"/>
      <c r="X509" s="130"/>
      <c r="Y509" s="130"/>
      <c r="Z509" s="130"/>
      <c r="AA509" s="130"/>
      <c r="AB509" s="130"/>
      <c r="AC509" s="130"/>
      <c r="AD509" s="130"/>
      <c r="AE509" s="130"/>
      <c r="AF509" s="130"/>
      <c r="AG509" s="130"/>
      <c r="AH509" s="130"/>
      <c r="AI509" s="130"/>
      <c r="AJ509" s="130"/>
      <c r="AK509" s="130"/>
    </row>
    <row r="510">
      <c r="A510" s="130"/>
      <c r="B510" s="130"/>
      <c r="C510" s="143"/>
      <c r="D510" s="130"/>
      <c r="E510" s="143"/>
      <c r="F510" s="143"/>
      <c r="G510" s="143"/>
      <c r="H510" s="143"/>
      <c r="I510" s="143"/>
      <c r="J510" s="143"/>
      <c r="K510" s="143"/>
      <c r="L510" s="143"/>
      <c r="M510" s="143"/>
      <c r="N510" s="143"/>
      <c r="O510" s="143"/>
      <c r="P510" s="143"/>
      <c r="Q510" s="67"/>
      <c r="R510" s="144"/>
      <c r="S510" s="144"/>
      <c r="T510" s="143"/>
      <c r="U510" s="143"/>
      <c r="V510" s="143"/>
      <c r="W510" s="130"/>
      <c r="X510" s="130"/>
      <c r="Y510" s="130"/>
      <c r="Z510" s="130"/>
      <c r="AA510" s="130"/>
      <c r="AB510" s="130"/>
      <c r="AC510" s="130"/>
      <c r="AD510" s="130"/>
      <c r="AE510" s="130"/>
      <c r="AF510" s="130"/>
      <c r="AG510" s="130"/>
      <c r="AH510" s="130"/>
      <c r="AI510" s="130"/>
      <c r="AJ510" s="130"/>
      <c r="AK510" s="130"/>
    </row>
    <row r="511">
      <c r="A511" s="130"/>
      <c r="B511" s="130"/>
      <c r="C511" s="143"/>
      <c r="D511" s="130"/>
      <c r="E511" s="143"/>
      <c r="F511" s="143"/>
      <c r="G511" s="143"/>
      <c r="H511" s="143"/>
      <c r="I511" s="143"/>
      <c r="J511" s="143"/>
      <c r="K511" s="143"/>
      <c r="L511" s="143"/>
      <c r="M511" s="143"/>
      <c r="N511" s="143"/>
      <c r="O511" s="143"/>
      <c r="P511" s="143"/>
      <c r="Q511" s="67"/>
      <c r="R511" s="144"/>
      <c r="S511" s="144"/>
      <c r="T511" s="143"/>
      <c r="U511" s="143"/>
      <c r="V511" s="143"/>
      <c r="W511" s="130"/>
      <c r="X511" s="130"/>
      <c r="Y511" s="130"/>
      <c r="Z511" s="130"/>
      <c r="AA511" s="130"/>
      <c r="AB511" s="130"/>
      <c r="AC511" s="130"/>
      <c r="AD511" s="130"/>
      <c r="AE511" s="130"/>
      <c r="AF511" s="130"/>
      <c r="AG511" s="130"/>
      <c r="AH511" s="130"/>
      <c r="AI511" s="130"/>
      <c r="AJ511" s="130"/>
      <c r="AK511" s="130"/>
    </row>
    <row r="512">
      <c r="A512" s="130"/>
      <c r="B512" s="130"/>
      <c r="C512" s="143"/>
      <c r="D512" s="130"/>
      <c r="E512" s="143"/>
      <c r="F512" s="143"/>
      <c r="G512" s="143"/>
      <c r="H512" s="143"/>
      <c r="I512" s="143"/>
      <c r="J512" s="143"/>
      <c r="K512" s="143"/>
      <c r="L512" s="143"/>
      <c r="M512" s="143"/>
      <c r="N512" s="143"/>
      <c r="O512" s="143"/>
      <c r="P512" s="143"/>
      <c r="Q512" s="67"/>
      <c r="R512" s="144"/>
      <c r="S512" s="144"/>
      <c r="T512" s="143"/>
      <c r="U512" s="143"/>
      <c r="V512" s="143"/>
      <c r="W512" s="130"/>
      <c r="X512" s="130"/>
      <c r="Y512" s="130"/>
      <c r="Z512" s="130"/>
      <c r="AA512" s="130"/>
      <c r="AB512" s="130"/>
      <c r="AC512" s="130"/>
      <c r="AD512" s="130"/>
      <c r="AE512" s="130"/>
      <c r="AF512" s="130"/>
      <c r="AG512" s="130"/>
      <c r="AH512" s="130"/>
      <c r="AI512" s="130"/>
      <c r="AJ512" s="130"/>
      <c r="AK512" s="130"/>
    </row>
    <row r="513">
      <c r="A513" s="130"/>
      <c r="B513" s="130"/>
      <c r="C513" s="143"/>
      <c r="D513" s="130"/>
      <c r="E513" s="143"/>
      <c r="F513" s="143"/>
      <c r="G513" s="143"/>
      <c r="H513" s="143"/>
      <c r="I513" s="143"/>
      <c r="J513" s="143"/>
      <c r="K513" s="143"/>
      <c r="L513" s="143"/>
      <c r="M513" s="143"/>
      <c r="N513" s="143"/>
      <c r="O513" s="143"/>
      <c r="P513" s="143"/>
      <c r="Q513" s="67"/>
      <c r="R513" s="144"/>
      <c r="S513" s="144"/>
      <c r="T513" s="143"/>
      <c r="U513" s="143"/>
      <c r="V513" s="143"/>
      <c r="W513" s="130"/>
      <c r="X513" s="130"/>
      <c r="Y513" s="130"/>
      <c r="Z513" s="130"/>
      <c r="AA513" s="130"/>
      <c r="AB513" s="130"/>
      <c r="AC513" s="130"/>
      <c r="AD513" s="130"/>
      <c r="AE513" s="130"/>
      <c r="AF513" s="130"/>
      <c r="AG513" s="130"/>
      <c r="AH513" s="130"/>
      <c r="AI513" s="130"/>
      <c r="AJ513" s="130"/>
      <c r="AK513" s="130"/>
    </row>
    <row r="514">
      <c r="A514" s="130"/>
      <c r="B514" s="130"/>
      <c r="C514" s="143"/>
      <c r="D514" s="130"/>
      <c r="E514" s="143"/>
      <c r="F514" s="143"/>
      <c r="G514" s="143"/>
      <c r="H514" s="143"/>
      <c r="I514" s="143"/>
      <c r="J514" s="143"/>
      <c r="K514" s="143"/>
      <c r="L514" s="143"/>
      <c r="M514" s="143"/>
      <c r="N514" s="143"/>
      <c r="O514" s="143"/>
      <c r="P514" s="143"/>
      <c r="Q514" s="67"/>
      <c r="R514" s="144"/>
      <c r="S514" s="144"/>
      <c r="T514" s="143"/>
      <c r="U514" s="143"/>
      <c r="V514" s="143"/>
      <c r="W514" s="130"/>
      <c r="X514" s="130"/>
      <c r="Y514" s="130"/>
      <c r="Z514" s="130"/>
      <c r="AA514" s="130"/>
      <c r="AB514" s="130"/>
      <c r="AC514" s="130"/>
      <c r="AD514" s="130"/>
      <c r="AE514" s="130"/>
      <c r="AF514" s="130"/>
      <c r="AG514" s="130"/>
      <c r="AH514" s="130"/>
      <c r="AI514" s="130"/>
      <c r="AJ514" s="130"/>
      <c r="AK514" s="130"/>
    </row>
    <row r="515">
      <c r="A515" s="130"/>
      <c r="B515" s="130"/>
      <c r="C515" s="143"/>
      <c r="D515" s="130"/>
      <c r="E515" s="143"/>
      <c r="F515" s="143"/>
      <c r="G515" s="143"/>
      <c r="H515" s="143"/>
      <c r="I515" s="143"/>
      <c r="J515" s="143"/>
      <c r="K515" s="143"/>
      <c r="L515" s="143"/>
      <c r="M515" s="143"/>
      <c r="N515" s="143"/>
      <c r="O515" s="143"/>
      <c r="P515" s="143"/>
      <c r="Q515" s="67"/>
      <c r="R515" s="144"/>
      <c r="S515" s="144"/>
      <c r="T515" s="143"/>
      <c r="U515" s="143"/>
      <c r="V515" s="143"/>
      <c r="W515" s="130"/>
      <c r="X515" s="130"/>
      <c r="Y515" s="130"/>
      <c r="Z515" s="130"/>
      <c r="AA515" s="130"/>
      <c r="AB515" s="130"/>
      <c r="AC515" s="130"/>
      <c r="AD515" s="130"/>
      <c r="AE515" s="130"/>
      <c r="AF515" s="130"/>
      <c r="AG515" s="130"/>
      <c r="AH515" s="130"/>
      <c r="AI515" s="130"/>
      <c r="AJ515" s="130"/>
      <c r="AK515" s="130"/>
    </row>
    <row r="516">
      <c r="A516" s="130"/>
      <c r="B516" s="130"/>
      <c r="C516" s="143"/>
      <c r="D516" s="130"/>
      <c r="E516" s="143"/>
      <c r="F516" s="143"/>
      <c r="G516" s="143"/>
      <c r="H516" s="143"/>
      <c r="I516" s="143"/>
      <c r="J516" s="143"/>
      <c r="K516" s="143"/>
      <c r="L516" s="143"/>
      <c r="M516" s="143"/>
      <c r="N516" s="143"/>
      <c r="O516" s="143"/>
      <c r="P516" s="143"/>
      <c r="Q516" s="67"/>
      <c r="R516" s="144"/>
      <c r="S516" s="144"/>
      <c r="T516" s="143"/>
      <c r="U516" s="143"/>
      <c r="V516" s="143"/>
      <c r="W516" s="130"/>
      <c r="X516" s="130"/>
      <c r="Y516" s="130"/>
      <c r="Z516" s="130"/>
      <c r="AA516" s="130"/>
      <c r="AB516" s="130"/>
      <c r="AC516" s="130"/>
      <c r="AD516" s="130"/>
      <c r="AE516" s="130"/>
      <c r="AF516" s="130"/>
      <c r="AG516" s="130"/>
      <c r="AH516" s="130"/>
      <c r="AI516" s="130"/>
      <c r="AJ516" s="130"/>
      <c r="AK516" s="130"/>
    </row>
    <row r="517">
      <c r="A517" s="130"/>
      <c r="B517" s="130"/>
      <c r="C517" s="143"/>
      <c r="D517" s="130"/>
      <c r="E517" s="143"/>
      <c r="F517" s="143"/>
      <c r="G517" s="143"/>
      <c r="H517" s="143"/>
      <c r="I517" s="143"/>
      <c r="J517" s="143"/>
      <c r="K517" s="143"/>
      <c r="L517" s="143"/>
      <c r="M517" s="143"/>
      <c r="N517" s="143"/>
      <c r="O517" s="143"/>
      <c r="P517" s="143"/>
      <c r="Q517" s="67"/>
      <c r="R517" s="144"/>
      <c r="S517" s="144"/>
      <c r="T517" s="143"/>
      <c r="U517" s="143"/>
      <c r="V517" s="143"/>
      <c r="W517" s="130"/>
      <c r="X517" s="130"/>
      <c r="Y517" s="130"/>
      <c r="Z517" s="130"/>
      <c r="AA517" s="130"/>
      <c r="AB517" s="130"/>
      <c r="AC517" s="130"/>
      <c r="AD517" s="130"/>
      <c r="AE517" s="130"/>
      <c r="AF517" s="130"/>
      <c r="AG517" s="130"/>
      <c r="AH517" s="130"/>
      <c r="AI517" s="130"/>
      <c r="AJ517" s="130"/>
      <c r="AK517" s="130"/>
    </row>
    <row r="518">
      <c r="A518" s="130"/>
      <c r="B518" s="130"/>
      <c r="C518" s="143"/>
      <c r="D518" s="130"/>
      <c r="E518" s="143"/>
      <c r="F518" s="143"/>
      <c r="G518" s="143"/>
      <c r="H518" s="143"/>
      <c r="I518" s="143"/>
      <c r="J518" s="143"/>
      <c r="K518" s="143"/>
      <c r="L518" s="143"/>
      <c r="M518" s="143"/>
      <c r="N518" s="143"/>
      <c r="O518" s="143"/>
      <c r="P518" s="143"/>
      <c r="Q518" s="67"/>
      <c r="R518" s="144"/>
      <c r="S518" s="144"/>
      <c r="T518" s="143"/>
      <c r="U518" s="143"/>
      <c r="V518" s="143"/>
      <c r="W518" s="130"/>
      <c r="X518" s="130"/>
      <c r="Y518" s="130"/>
      <c r="Z518" s="130"/>
      <c r="AA518" s="130"/>
      <c r="AB518" s="130"/>
      <c r="AC518" s="130"/>
      <c r="AD518" s="130"/>
      <c r="AE518" s="130"/>
      <c r="AF518" s="130"/>
      <c r="AG518" s="130"/>
      <c r="AH518" s="130"/>
      <c r="AI518" s="130"/>
      <c r="AJ518" s="130"/>
      <c r="AK518" s="130"/>
    </row>
    <row r="519">
      <c r="A519" s="130"/>
      <c r="B519" s="130"/>
      <c r="C519" s="143"/>
      <c r="D519" s="130"/>
      <c r="E519" s="143"/>
      <c r="F519" s="143"/>
      <c r="G519" s="143"/>
      <c r="H519" s="143"/>
      <c r="I519" s="143"/>
      <c r="J519" s="143"/>
      <c r="K519" s="143"/>
      <c r="L519" s="143"/>
      <c r="M519" s="143"/>
      <c r="N519" s="143"/>
      <c r="O519" s="143"/>
      <c r="P519" s="143"/>
      <c r="Q519" s="67"/>
      <c r="R519" s="144"/>
      <c r="S519" s="144"/>
      <c r="T519" s="143"/>
      <c r="U519" s="143"/>
      <c r="V519" s="143"/>
      <c r="W519" s="130"/>
      <c r="X519" s="130"/>
      <c r="Y519" s="130"/>
      <c r="Z519" s="130"/>
      <c r="AA519" s="130"/>
      <c r="AB519" s="130"/>
      <c r="AC519" s="130"/>
      <c r="AD519" s="130"/>
      <c r="AE519" s="130"/>
      <c r="AF519" s="130"/>
      <c r="AG519" s="130"/>
      <c r="AH519" s="130"/>
      <c r="AI519" s="130"/>
      <c r="AJ519" s="130"/>
      <c r="AK519" s="130"/>
    </row>
    <row r="520">
      <c r="A520" s="130"/>
      <c r="B520" s="130"/>
      <c r="C520" s="143"/>
      <c r="D520" s="130"/>
      <c r="E520" s="143"/>
      <c r="F520" s="143"/>
      <c r="G520" s="143"/>
      <c r="H520" s="143"/>
      <c r="I520" s="143"/>
      <c r="J520" s="143"/>
      <c r="K520" s="143"/>
      <c r="L520" s="143"/>
      <c r="M520" s="143"/>
      <c r="N520" s="143"/>
      <c r="O520" s="143"/>
      <c r="P520" s="143"/>
      <c r="Q520" s="67"/>
      <c r="R520" s="144"/>
      <c r="S520" s="144"/>
      <c r="T520" s="143"/>
      <c r="U520" s="143"/>
      <c r="V520" s="143"/>
      <c r="W520" s="130"/>
      <c r="X520" s="130"/>
      <c r="Y520" s="130"/>
      <c r="Z520" s="130"/>
      <c r="AA520" s="130"/>
      <c r="AB520" s="130"/>
      <c r="AC520" s="130"/>
      <c r="AD520" s="130"/>
      <c r="AE520" s="130"/>
      <c r="AF520" s="130"/>
      <c r="AG520" s="130"/>
      <c r="AH520" s="130"/>
      <c r="AI520" s="130"/>
      <c r="AJ520" s="130"/>
      <c r="AK520" s="130"/>
    </row>
    <row r="521">
      <c r="A521" s="130"/>
      <c r="B521" s="130"/>
      <c r="C521" s="143"/>
      <c r="D521" s="130"/>
      <c r="E521" s="143"/>
      <c r="F521" s="143"/>
      <c r="G521" s="143"/>
      <c r="H521" s="143"/>
      <c r="I521" s="143"/>
      <c r="J521" s="143"/>
      <c r="K521" s="143"/>
      <c r="L521" s="143"/>
      <c r="M521" s="143"/>
      <c r="N521" s="143"/>
      <c r="O521" s="143"/>
      <c r="P521" s="143"/>
      <c r="Q521" s="67"/>
      <c r="R521" s="144"/>
      <c r="S521" s="144"/>
      <c r="T521" s="143"/>
      <c r="U521" s="143"/>
      <c r="V521" s="143"/>
      <c r="W521" s="130"/>
      <c r="X521" s="130"/>
      <c r="Y521" s="130"/>
      <c r="Z521" s="130"/>
      <c r="AA521" s="130"/>
      <c r="AB521" s="130"/>
      <c r="AC521" s="130"/>
      <c r="AD521" s="130"/>
      <c r="AE521" s="130"/>
      <c r="AF521" s="130"/>
      <c r="AG521" s="130"/>
      <c r="AH521" s="130"/>
      <c r="AI521" s="130"/>
      <c r="AJ521" s="130"/>
      <c r="AK521" s="130"/>
    </row>
    <row r="522">
      <c r="A522" s="130"/>
      <c r="B522" s="130"/>
      <c r="C522" s="143"/>
      <c r="D522" s="130"/>
      <c r="E522" s="143"/>
      <c r="F522" s="143"/>
      <c r="G522" s="143"/>
      <c r="H522" s="143"/>
      <c r="I522" s="143"/>
      <c r="J522" s="143"/>
      <c r="K522" s="143"/>
      <c r="L522" s="143"/>
      <c r="M522" s="143"/>
      <c r="N522" s="143"/>
      <c r="O522" s="143"/>
      <c r="P522" s="143"/>
      <c r="Q522" s="67"/>
      <c r="R522" s="144"/>
      <c r="S522" s="144"/>
      <c r="T522" s="143"/>
      <c r="U522" s="143"/>
      <c r="V522" s="143"/>
      <c r="W522" s="130"/>
      <c r="X522" s="130"/>
      <c r="Y522" s="130"/>
      <c r="Z522" s="130"/>
      <c r="AA522" s="130"/>
      <c r="AB522" s="130"/>
      <c r="AC522" s="130"/>
      <c r="AD522" s="130"/>
      <c r="AE522" s="130"/>
      <c r="AF522" s="130"/>
      <c r="AG522" s="130"/>
      <c r="AH522" s="130"/>
      <c r="AI522" s="130"/>
      <c r="AJ522" s="130"/>
      <c r="AK522" s="130"/>
    </row>
    <row r="523">
      <c r="A523" s="130"/>
      <c r="B523" s="130"/>
      <c r="C523" s="143"/>
      <c r="D523" s="130"/>
      <c r="E523" s="143"/>
      <c r="F523" s="143"/>
      <c r="G523" s="143"/>
      <c r="H523" s="143"/>
      <c r="I523" s="143"/>
      <c r="J523" s="143"/>
      <c r="K523" s="143"/>
      <c r="L523" s="143"/>
      <c r="M523" s="143"/>
      <c r="N523" s="143"/>
      <c r="O523" s="143"/>
      <c r="P523" s="143"/>
      <c r="Q523" s="67"/>
      <c r="R523" s="144"/>
      <c r="S523" s="144"/>
      <c r="T523" s="143"/>
      <c r="U523" s="143"/>
      <c r="V523" s="143"/>
      <c r="W523" s="130"/>
      <c r="X523" s="130"/>
      <c r="Y523" s="130"/>
      <c r="Z523" s="130"/>
      <c r="AA523" s="130"/>
      <c r="AB523" s="130"/>
      <c r="AC523" s="130"/>
      <c r="AD523" s="130"/>
      <c r="AE523" s="130"/>
      <c r="AF523" s="130"/>
      <c r="AG523" s="130"/>
      <c r="AH523" s="130"/>
      <c r="AI523" s="130"/>
      <c r="AJ523" s="130"/>
      <c r="AK523" s="130"/>
    </row>
    <row r="524">
      <c r="A524" s="130"/>
      <c r="B524" s="130"/>
      <c r="C524" s="143"/>
      <c r="D524" s="130"/>
      <c r="E524" s="143"/>
      <c r="F524" s="143"/>
      <c r="G524" s="143"/>
      <c r="H524" s="143"/>
      <c r="I524" s="143"/>
      <c r="J524" s="143"/>
      <c r="K524" s="143"/>
      <c r="L524" s="143"/>
      <c r="M524" s="143"/>
      <c r="N524" s="143"/>
      <c r="O524" s="143"/>
      <c r="P524" s="143"/>
      <c r="Q524" s="67"/>
      <c r="R524" s="144"/>
      <c r="S524" s="144"/>
      <c r="T524" s="143"/>
      <c r="U524" s="143"/>
      <c r="V524" s="143"/>
      <c r="W524" s="130"/>
      <c r="X524" s="130"/>
      <c r="Y524" s="130"/>
      <c r="Z524" s="130"/>
      <c r="AA524" s="130"/>
      <c r="AB524" s="130"/>
      <c r="AC524" s="130"/>
      <c r="AD524" s="130"/>
      <c r="AE524" s="130"/>
      <c r="AF524" s="130"/>
      <c r="AG524" s="130"/>
      <c r="AH524" s="130"/>
      <c r="AI524" s="130"/>
      <c r="AJ524" s="130"/>
      <c r="AK524" s="130"/>
    </row>
    <row r="525">
      <c r="A525" s="130"/>
      <c r="B525" s="130"/>
      <c r="C525" s="143"/>
      <c r="D525" s="130"/>
      <c r="E525" s="143"/>
      <c r="F525" s="143"/>
      <c r="G525" s="143"/>
      <c r="H525" s="143"/>
      <c r="I525" s="143"/>
      <c r="J525" s="143"/>
      <c r="K525" s="143"/>
      <c r="L525" s="143"/>
      <c r="M525" s="143"/>
      <c r="N525" s="143"/>
      <c r="O525" s="143"/>
      <c r="P525" s="143"/>
      <c r="Q525" s="67"/>
      <c r="R525" s="144"/>
      <c r="S525" s="144"/>
      <c r="T525" s="143"/>
      <c r="U525" s="143"/>
      <c r="V525" s="143"/>
      <c r="W525" s="130"/>
      <c r="X525" s="130"/>
      <c r="Y525" s="130"/>
      <c r="Z525" s="130"/>
      <c r="AA525" s="130"/>
      <c r="AB525" s="130"/>
      <c r="AC525" s="130"/>
      <c r="AD525" s="130"/>
      <c r="AE525" s="130"/>
      <c r="AF525" s="130"/>
      <c r="AG525" s="130"/>
      <c r="AH525" s="130"/>
      <c r="AI525" s="130"/>
      <c r="AJ525" s="130"/>
      <c r="AK525" s="130"/>
    </row>
    <row r="526">
      <c r="A526" s="130"/>
      <c r="B526" s="130"/>
      <c r="C526" s="143"/>
      <c r="D526" s="130"/>
      <c r="E526" s="143"/>
      <c r="F526" s="143"/>
      <c r="G526" s="143"/>
      <c r="H526" s="143"/>
      <c r="I526" s="143"/>
      <c r="J526" s="143"/>
      <c r="K526" s="143"/>
      <c r="L526" s="143"/>
      <c r="M526" s="143"/>
      <c r="N526" s="143"/>
      <c r="O526" s="143"/>
      <c r="P526" s="143"/>
      <c r="Q526" s="67"/>
      <c r="R526" s="144"/>
      <c r="S526" s="144"/>
      <c r="T526" s="143"/>
      <c r="U526" s="143"/>
      <c r="V526" s="143"/>
      <c r="W526" s="130"/>
      <c r="X526" s="130"/>
      <c r="Y526" s="130"/>
      <c r="Z526" s="130"/>
      <c r="AA526" s="130"/>
      <c r="AB526" s="130"/>
      <c r="AC526" s="130"/>
      <c r="AD526" s="130"/>
      <c r="AE526" s="130"/>
      <c r="AF526" s="130"/>
      <c r="AG526" s="130"/>
      <c r="AH526" s="130"/>
      <c r="AI526" s="130"/>
      <c r="AJ526" s="130"/>
      <c r="AK526" s="130"/>
    </row>
    <row r="527">
      <c r="A527" s="130"/>
      <c r="B527" s="130"/>
      <c r="C527" s="143"/>
      <c r="D527" s="130"/>
      <c r="E527" s="143"/>
      <c r="F527" s="143"/>
      <c r="G527" s="143"/>
      <c r="H527" s="143"/>
      <c r="I527" s="143"/>
      <c r="J527" s="143"/>
      <c r="K527" s="143"/>
      <c r="L527" s="143"/>
      <c r="M527" s="143"/>
      <c r="N527" s="143"/>
      <c r="O527" s="143"/>
      <c r="P527" s="143"/>
      <c r="Q527" s="67"/>
      <c r="R527" s="144"/>
      <c r="S527" s="144"/>
      <c r="T527" s="143"/>
      <c r="U527" s="143"/>
      <c r="V527" s="143"/>
      <c r="W527" s="130"/>
      <c r="X527" s="130"/>
      <c r="Y527" s="130"/>
      <c r="Z527" s="130"/>
      <c r="AA527" s="130"/>
      <c r="AB527" s="130"/>
      <c r="AC527" s="130"/>
      <c r="AD527" s="130"/>
      <c r="AE527" s="130"/>
      <c r="AF527" s="130"/>
      <c r="AG527" s="130"/>
      <c r="AH527" s="130"/>
      <c r="AI527" s="130"/>
      <c r="AJ527" s="130"/>
      <c r="AK527" s="130"/>
    </row>
    <row r="528">
      <c r="A528" s="130"/>
      <c r="B528" s="130"/>
      <c r="C528" s="143"/>
      <c r="D528" s="130"/>
      <c r="E528" s="143"/>
      <c r="F528" s="143"/>
      <c r="G528" s="143"/>
      <c r="H528" s="143"/>
      <c r="I528" s="143"/>
      <c r="J528" s="143"/>
      <c r="K528" s="143"/>
      <c r="L528" s="143"/>
      <c r="M528" s="143"/>
      <c r="N528" s="143"/>
      <c r="O528" s="143"/>
      <c r="P528" s="143"/>
      <c r="Q528" s="67"/>
      <c r="R528" s="144"/>
      <c r="S528" s="144"/>
      <c r="T528" s="143"/>
      <c r="U528" s="143"/>
      <c r="V528" s="143"/>
      <c r="W528" s="130"/>
      <c r="X528" s="130"/>
      <c r="Y528" s="130"/>
      <c r="Z528" s="130"/>
      <c r="AA528" s="130"/>
      <c r="AB528" s="130"/>
      <c r="AC528" s="130"/>
      <c r="AD528" s="130"/>
      <c r="AE528" s="130"/>
      <c r="AF528" s="130"/>
      <c r="AG528" s="130"/>
      <c r="AH528" s="130"/>
      <c r="AI528" s="130"/>
      <c r="AJ528" s="130"/>
      <c r="AK528" s="130"/>
    </row>
    <row r="529">
      <c r="A529" s="130"/>
      <c r="B529" s="130"/>
      <c r="C529" s="143"/>
      <c r="D529" s="130"/>
      <c r="E529" s="143"/>
      <c r="F529" s="143"/>
      <c r="G529" s="143"/>
      <c r="H529" s="143"/>
      <c r="I529" s="143"/>
      <c r="J529" s="143"/>
      <c r="K529" s="143"/>
      <c r="L529" s="143"/>
      <c r="M529" s="143"/>
      <c r="N529" s="143"/>
      <c r="O529" s="143"/>
      <c r="P529" s="143"/>
      <c r="Q529" s="67"/>
      <c r="R529" s="144"/>
      <c r="S529" s="144"/>
      <c r="T529" s="143"/>
      <c r="U529" s="143"/>
      <c r="V529" s="143"/>
      <c r="W529" s="130"/>
      <c r="X529" s="130"/>
      <c r="Y529" s="130"/>
      <c r="Z529" s="130"/>
      <c r="AA529" s="130"/>
      <c r="AB529" s="130"/>
      <c r="AC529" s="130"/>
      <c r="AD529" s="130"/>
      <c r="AE529" s="130"/>
      <c r="AF529" s="130"/>
      <c r="AG529" s="130"/>
      <c r="AH529" s="130"/>
      <c r="AI529" s="130"/>
      <c r="AJ529" s="130"/>
      <c r="AK529" s="130"/>
    </row>
    <row r="530">
      <c r="A530" s="130"/>
      <c r="B530" s="130"/>
      <c r="C530" s="143"/>
      <c r="D530" s="130"/>
      <c r="E530" s="143"/>
      <c r="F530" s="143"/>
      <c r="G530" s="143"/>
      <c r="H530" s="143"/>
      <c r="I530" s="143"/>
      <c r="J530" s="143"/>
      <c r="K530" s="143"/>
      <c r="L530" s="143"/>
      <c r="M530" s="143"/>
      <c r="N530" s="143"/>
      <c r="O530" s="143"/>
      <c r="P530" s="143"/>
      <c r="Q530" s="67"/>
      <c r="R530" s="144"/>
      <c r="S530" s="144"/>
      <c r="T530" s="143"/>
      <c r="U530" s="143"/>
      <c r="V530" s="143"/>
      <c r="W530" s="130"/>
      <c r="X530" s="130"/>
      <c r="Y530" s="130"/>
      <c r="Z530" s="130"/>
      <c r="AA530" s="130"/>
      <c r="AB530" s="130"/>
      <c r="AC530" s="130"/>
      <c r="AD530" s="130"/>
      <c r="AE530" s="130"/>
      <c r="AF530" s="130"/>
      <c r="AG530" s="130"/>
      <c r="AH530" s="130"/>
      <c r="AI530" s="130"/>
      <c r="AJ530" s="130"/>
      <c r="AK530" s="130"/>
    </row>
    <row r="531">
      <c r="A531" s="130"/>
      <c r="B531" s="130"/>
      <c r="C531" s="143"/>
      <c r="D531" s="130"/>
      <c r="E531" s="143"/>
      <c r="F531" s="143"/>
      <c r="G531" s="143"/>
      <c r="H531" s="143"/>
      <c r="I531" s="143"/>
      <c r="J531" s="143"/>
      <c r="K531" s="143"/>
      <c r="L531" s="143"/>
      <c r="M531" s="143"/>
      <c r="N531" s="143"/>
      <c r="O531" s="143"/>
      <c r="P531" s="143"/>
      <c r="Q531" s="67"/>
      <c r="R531" s="144"/>
      <c r="S531" s="144"/>
      <c r="T531" s="143"/>
      <c r="U531" s="143"/>
      <c r="V531" s="143"/>
      <c r="W531" s="130"/>
      <c r="X531" s="130"/>
      <c r="Y531" s="130"/>
      <c r="Z531" s="130"/>
      <c r="AA531" s="130"/>
      <c r="AB531" s="130"/>
      <c r="AC531" s="130"/>
      <c r="AD531" s="130"/>
      <c r="AE531" s="130"/>
      <c r="AF531" s="130"/>
      <c r="AG531" s="130"/>
      <c r="AH531" s="130"/>
      <c r="AI531" s="130"/>
      <c r="AJ531" s="130"/>
      <c r="AK531" s="130"/>
    </row>
    <row r="532">
      <c r="A532" s="130"/>
      <c r="B532" s="130"/>
      <c r="C532" s="143"/>
      <c r="D532" s="130"/>
      <c r="E532" s="143"/>
      <c r="F532" s="143"/>
      <c r="G532" s="143"/>
      <c r="H532" s="143"/>
      <c r="I532" s="143"/>
      <c r="J532" s="143"/>
      <c r="K532" s="143"/>
      <c r="L532" s="143"/>
      <c r="M532" s="143"/>
      <c r="N532" s="143"/>
      <c r="O532" s="143"/>
      <c r="P532" s="143"/>
      <c r="Q532" s="67"/>
      <c r="R532" s="144"/>
      <c r="S532" s="144"/>
      <c r="T532" s="143"/>
      <c r="U532" s="143"/>
      <c r="V532" s="143"/>
      <c r="W532" s="130"/>
      <c r="X532" s="130"/>
      <c r="Y532" s="130"/>
      <c r="Z532" s="130"/>
      <c r="AA532" s="130"/>
      <c r="AB532" s="130"/>
      <c r="AC532" s="130"/>
      <c r="AD532" s="130"/>
      <c r="AE532" s="130"/>
      <c r="AF532" s="130"/>
      <c r="AG532" s="130"/>
      <c r="AH532" s="130"/>
      <c r="AI532" s="130"/>
      <c r="AJ532" s="130"/>
      <c r="AK532" s="130"/>
    </row>
    <row r="533">
      <c r="A533" s="130"/>
      <c r="B533" s="130"/>
      <c r="C533" s="143"/>
      <c r="D533" s="130"/>
      <c r="E533" s="143"/>
      <c r="F533" s="143"/>
      <c r="G533" s="143"/>
      <c r="H533" s="143"/>
      <c r="I533" s="143"/>
      <c r="J533" s="143"/>
      <c r="K533" s="143"/>
      <c r="L533" s="143"/>
      <c r="M533" s="143"/>
      <c r="N533" s="143"/>
      <c r="O533" s="143"/>
      <c r="P533" s="143"/>
      <c r="Q533" s="67"/>
      <c r="R533" s="144"/>
      <c r="S533" s="144"/>
      <c r="T533" s="143"/>
      <c r="U533" s="143"/>
      <c r="V533" s="143"/>
      <c r="W533" s="130"/>
      <c r="X533" s="130"/>
      <c r="Y533" s="130"/>
      <c r="Z533" s="130"/>
      <c r="AA533" s="130"/>
      <c r="AB533" s="130"/>
      <c r="AC533" s="130"/>
      <c r="AD533" s="130"/>
      <c r="AE533" s="130"/>
      <c r="AF533" s="130"/>
      <c r="AG533" s="130"/>
      <c r="AH533" s="130"/>
      <c r="AI533" s="130"/>
      <c r="AJ533" s="130"/>
      <c r="AK533" s="130"/>
    </row>
    <row r="534">
      <c r="A534" s="130"/>
      <c r="B534" s="130"/>
      <c r="C534" s="143"/>
      <c r="D534" s="130"/>
      <c r="E534" s="143"/>
      <c r="F534" s="143"/>
      <c r="G534" s="143"/>
      <c r="H534" s="143"/>
      <c r="I534" s="143"/>
      <c r="J534" s="143"/>
      <c r="K534" s="143"/>
      <c r="L534" s="143"/>
      <c r="M534" s="143"/>
      <c r="N534" s="143"/>
      <c r="O534" s="143"/>
      <c r="P534" s="143"/>
      <c r="Q534" s="67"/>
      <c r="R534" s="144"/>
      <c r="S534" s="144"/>
      <c r="T534" s="143"/>
      <c r="U534" s="143"/>
      <c r="V534" s="143"/>
      <c r="W534" s="130"/>
      <c r="X534" s="130"/>
      <c r="Y534" s="130"/>
      <c r="Z534" s="130"/>
      <c r="AA534" s="130"/>
      <c r="AB534" s="130"/>
      <c r="AC534" s="130"/>
      <c r="AD534" s="130"/>
      <c r="AE534" s="130"/>
      <c r="AF534" s="130"/>
      <c r="AG534" s="130"/>
      <c r="AH534" s="130"/>
      <c r="AI534" s="130"/>
      <c r="AJ534" s="130"/>
      <c r="AK534" s="130"/>
    </row>
    <row r="535">
      <c r="A535" s="130"/>
      <c r="B535" s="130"/>
      <c r="C535" s="143"/>
      <c r="D535" s="130"/>
      <c r="E535" s="143"/>
      <c r="F535" s="143"/>
      <c r="G535" s="143"/>
      <c r="H535" s="143"/>
      <c r="I535" s="143"/>
      <c r="J535" s="143"/>
      <c r="K535" s="143"/>
      <c r="L535" s="143"/>
      <c r="M535" s="143"/>
      <c r="N535" s="143"/>
      <c r="O535" s="143"/>
      <c r="P535" s="143"/>
      <c r="Q535" s="67"/>
      <c r="R535" s="144"/>
      <c r="S535" s="144"/>
      <c r="T535" s="143"/>
      <c r="U535" s="143"/>
      <c r="V535" s="143"/>
      <c r="W535" s="130"/>
      <c r="X535" s="130"/>
      <c r="Y535" s="130"/>
      <c r="Z535" s="130"/>
      <c r="AA535" s="130"/>
      <c r="AB535" s="130"/>
      <c r="AC535" s="130"/>
      <c r="AD535" s="130"/>
      <c r="AE535" s="130"/>
      <c r="AF535" s="130"/>
      <c r="AG535" s="130"/>
      <c r="AH535" s="130"/>
      <c r="AI535" s="130"/>
      <c r="AJ535" s="130"/>
      <c r="AK535" s="130"/>
    </row>
    <row r="536">
      <c r="A536" s="130"/>
      <c r="B536" s="130"/>
      <c r="C536" s="143"/>
      <c r="D536" s="130"/>
      <c r="E536" s="143"/>
      <c r="F536" s="143"/>
      <c r="G536" s="143"/>
      <c r="H536" s="143"/>
      <c r="I536" s="143"/>
      <c r="J536" s="143"/>
      <c r="K536" s="143"/>
      <c r="L536" s="143"/>
      <c r="M536" s="143"/>
      <c r="N536" s="143"/>
      <c r="O536" s="143"/>
      <c r="P536" s="143"/>
      <c r="Q536" s="67"/>
      <c r="R536" s="144"/>
      <c r="S536" s="144"/>
      <c r="T536" s="143"/>
      <c r="U536" s="143"/>
      <c r="V536" s="143"/>
      <c r="W536" s="130"/>
      <c r="X536" s="130"/>
      <c r="Y536" s="130"/>
      <c r="Z536" s="130"/>
      <c r="AA536" s="130"/>
      <c r="AB536" s="130"/>
      <c r="AC536" s="130"/>
      <c r="AD536" s="130"/>
      <c r="AE536" s="130"/>
      <c r="AF536" s="130"/>
      <c r="AG536" s="130"/>
      <c r="AH536" s="130"/>
      <c r="AI536" s="130"/>
      <c r="AJ536" s="130"/>
      <c r="AK536" s="130"/>
    </row>
    <row r="537">
      <c r="A537" s="130"/>
      <c r="B537" s="130"/>
      <c r="C537" s="143"/>
      <c r="D537" s="130"/>
      <c r="E537" s="143"/>
      <c r="F537" s="143"/>
      <c r="G537" s="143"/>
      <c r="H537" s="143"/>
      <c r="I537" s="143"/>
      <c r="J537" s="143"/>
      <c r="K537" s="143"/>
      <c r="L537" s="143"/>
      <c r="M537" s="143"/>
      <c r="N537" s="143"/>
      <c r="O537" s="143"/>
      <c r="P537" s="143"/>
      <c r="Q537" s="67"/>
      <c r="R537" s="144"/>
      <c r="S537" s="144"/>
      <c r="T537" s="143"/>
      <c r="U537" s="143"/>
      <c r="V537" s="143"/>
      <c r="W537" s="130"/>
      <c r="X537" s="130"/>
      <c r="Y537" s="130"/>
      <c r="Z537" s="130"/>
      <c r="AA537" s="130"/>
      <c r="AB537" s="130"/>
      <c r="AC537" s="130"/>
      <c r="AD537" s="130"/>
      <c r="AE537" s="130"/>
      <c r="AF537" s="130"/>
      <c r="AG537" s="130"/>
      <c r="AH537" s="130"/>
      <c r="AI537" s="130"/>
      <c r="AJ537" s="130"/>
      <c r="AK537" s="130"/>
    </row>
    <row r="538">
      <c r="A538" s="130"/>
      <c r="B538" s="130"/>
      <c r="C538" s="143"/>
      <c r="D538" s="130"/>
      <c r="E538" s="143"/>
      <c r="F538" s="143"/>
      <c r="G538" s="143"/>
      <c r="H538" s="143"/>
      <c r="I538" s="143"/>
      <c r="J538" s="143"/>
      <c r="K538" s="143"/>
      <c r="L538" s="143"/>
      <c r="M538" s="143"/>
      <c r="N538" s="143"/>
      <c r="O538" s="143"/>
      <c r="P538" s="143"/>
      <c r="Q538" s="67"/>
      <c r="R538" s="144"/>
      <c r="S538" s="144"/>
      <c r="T538" s="143"/>
      <c r="U538" s="143"/>
      <c r="V538" s="143"/>
      <c r="W538" s="130"/>
      <c r="X538" s="130"/>
      <c r="Y538" s="130"/>
      <c r="Z538" s="130"/>
      <c r="AA538" s="130"/>
      <c r="AB538" s="130"/>
      <c r="AC538" s="130"/>
      <c r="AD538" s="130"/>
      <c r="AE538" s="130"/>
      <c r="AF538" s="130"/>
      <c r="AG538" s="130"/>
      <c r="AH538" s="130"/>
      <c r="AI538" s="130"/>
      <c r="AJ538" s="130"/>
      <c r="AK538" s="130"/>
    </row>
    <row r="539">
      <c r="A539" s="130"/>
      <c r="B539" s="130"/>
      <c r="C539" s="143"/>
      <c r="D539" s="130"/>
      <c r="E539" s="143"/>
      <c r="F539" s="143"/>
      <c r="G539" s="143"/>
      <c r="H539" s="143"/>
      <c r="I539" s="143"/>
      <c r="J539" s="143"/>
      <c r="K539" s="143"/>
      <c r="L539" s="143"/>
      <c r="M539" s="143"/>
      <c r="N539" s="143"/>
      <c r="O539" s="143"/>
      <c r="P539" s="143"/>
      <c r="Q539" s="67"/>
      <c r="R539" s="144"/>
      <c r="S539" s="144"/>
      <c r="T539" s="143"/>
      <c r="U539" s="143"/>
      <c r="V539" s="143"/>
      <c r="W539" s="130"/>
      <c r="X539" s="130"/>
      <c r="Y539" s="130"/>
      <c r="Z539" s="130"/>
      <c r="AA539" s="130"/>
      <c r="AB539" s="130"/>
      <c r="AC539" s="130"/>
      <c r="AD539" s="130"/>
      <c r="AE539" s="130"/>
      <c r="AF539" s="130"/>
      <c r="AG539" s="130"/>
      <c r="AH539" s="130"/>
      <c r="AI539" s="130"/>
      <c r="AJ539" s="130"/>
      <c r="AK539" s="130"/>
    </row>
    <row r="540">
      <c r="A540" s="130"/>
      <c r="B540" s="130"/>
      <c r="C540" s="143"/>
      <c r="D540" s="130"/>
      <c r="E540" s="143"/>
      <c r="F540" s="143"/>
      <c r="G540" s="143"/>
      <c r="H540" s="143"/>
      <c r="I540" s="143"/>
      <c r="J540" s="143"/>
      <c r="K540" s="143"/>
      <c r="L540" s="143"/>
      <c r="M540" s="143"/>
      <c r="N540" s="143"/>
      <c r="O540" s="143"/>
      <c r="P540" s="143"/>
      <c r="Q540" s="67"/>
      <c r="R540" s="144"/>
      <c r="S540" s="144"/>
      <c r="T540" s="143"/>
      <c r="U540" s="143"/>
      <c r="V540" s="143"/>
      <c r="W540" s="130"/>
      <c r="X540" s="130"/>
      <c r="Y540" s="130"/>
      <c r="Z540" s="130"/>
      <c r="AA540" s="130"/>
      <c r="AB540" s="130"/>
      <c r="AC540" s="130"/>
      <c r="AD540" s="130"/>
      <c r="AE540" s="130"/>
      <c r="AF540" s="130"/>
      <c r="AG540" s="130"/>
      <c r="AH540" s="130"/>
      <c r="AI540" s="130"/>
      <c r="AJ540" s="130"/>
      <c r="AK540" s="130"/>
    </row>
    <row r="541">
      <c r="A541" s="130"/>
      <c r="B541" s="130"/>
      <c r="C541" s="143"/>
      <c r="D541" s="130"/>
      <c r="E541" s="143"/>
      <c r="F541" s="143"/>
      <c r="G541" s="143"/>
      <c r="H541" s="143"/>
      <c r="I541" s="143"/>
      <c r="J541" s="143"/>
      <c r="K541" s="143"/>
      <c r="L541" s="143"/>
      <c r="M541" s="143"/>
      <c r="N541" s="143"/>
      <c r="O541" s="143"/>
      <c r="P541" s="143"/>
      <c r="Q541" s="67"/>
      <c r="R541" s="144"/>
      <c r="S541" s="144"/>
      <c r="T541" s="143"/>
      <c r="U541" s="143"/>
      <c r="V541" s="143"/>
      <c r="W541" s="130"/>
      <c r="X541" s="130"/>
      <c r="Y541" s="130"/>
      <c r="Z541" s="130"/>
      <c r="AA541" s="130"/>
      <c r="AB541" s="130"/>
      <c r="AC541" s="130"/>
      <c r="AD541" s="130"/>
      <c r="AE541" s="130"/>
      <c r="AF541" s="130"/>
      <c r="AG541" s="130"/>
      <c r="AH541" s="130"/>
      <c r="AI541" s="130"/>
      <c r="AJ541" s="130"/>
      <c r="AK541" s="130"/>
    </row>
    <row r="542">
      <c r="A542" s="130"/>
      <c r="B542" s="130"/>
      <c r="C542" s="143"/>
      <c r="D542" s="130"/>
      <c r="E542" s="143"/>
      <c r="F542" s="143"/>
      <c r="G542" s="143"/>
      <c r="H542" s="143"/>
      <c r="I542" s="143"/>
      <c r="J542" s="143"/>
      <c r="K542" s="143"/>
      <c r="L542" s="143"/>
      <c r="M542" s="143"/>
      <c r="N542" s="143"/>
      <c r="O542" s="143"/>
      <c r="P542" s="143"/>
      <c r="Q542" s="67"/>
      <c r="R542" s="144"/>
      <c r="S542" s="144"/>
      <c r="T542" s="143"/>
      <c r="U542" s="143"/>
      <c r="V542" s="143"/>
      <c r="W542" s="130"/>
      <c r="X542" s="130"/>
      <c r="Y542" s="130"/>
      <c r="Z542" s="130"/>
      <c r="AA542" s="130"/>
      <c r="AB542" s="130"/>
      <c r="AC542" s="130"/>
      <c r="AD542" s="130"/>
      <c r="AE542" s="130"/>
      <c r="AF542" s="130"/>
      <c r="AG542" s="130"/>
      <c r="AH542" s="130"/>
      <c r="AI542" s="130"/>
      <c r="AJ542" s="130"/>
      <c r="AK542" s="130"/>
    </row>
    <row r="543">
      <c r="A543" s="130"/>
      <c r="B543" s="130"/>
      <c r="C543" s="143"/>
      <c r="D543" s="130"/>
      <c r="E543" s="143"/>
      <c r="F543" s="143"/>
      <c r="G543" s="143"/>
      <c r="H543" s="143"/>
      <c r="I543" s="143"/>
      <c r="J543" s="143"/>
      <c r="K543" s="143"/>
      <c r="L543" s="143"/>
      <c r="M543" s="143"/>
      <c r="N543" s="143"/>
      <c r="O543" s="143"/>
      <c r="P543" s="143"/>
      <c r="Q543" s="67"/>
      <c r="R543" s="144"/>
      <c r="S543" s="144"/>
      <c r="T543" s="143"/>
      <c r="U543" s="143"/>
      <c r="V543" s="143"/>
      <c r="W543" s="130"/>
      <c r="X543" s="130"/>
      <c r="Y543" s="130"/>
      <c r="Z543" s="130"/>
      <c r="AA543" s="130"/>
      <c r="AB543" s="130"/>
      <c r="AC543" s="130"/>
      <c r="AD543" s="130"/>
      <c r="AE543" s="130"/>
      <c r="AF543" s="130"/>
      <c r="AG543" s="130"/>
      <c r="AH543" s="130"/>
      <c r="AI543" s="130"/>
      <c r="AJ543" s="130"/>
      <c r="AK543" s="130"/>
    </row>
    <row r="544">
      <c r="A544" s="130"/>
      <c r="B544" s="130"/>
      <c r="C544" s="143"/>
      <c r="D544" s="130"/>
      <c r="E544" s="143"/>
      <c r="F544" s="143"/>
      <c r="G544" s="143"/>
      <c r="H544" s="143"/>
      <c r="I544" s="143"/>
      <c r="J544" s="143"/>
      <c r="K544" s="143"/>
      <c r="L544" s="143"/>
      <c r="M544" s="143"/>
      <c r="N544" s="143"/>
      <c r="O544" s="143"/>
      <c r="P544" s="143"/>
      <c r="Q544" s="67"/>
      <c r="R544" s="144"/>
      <c r="S544" s="144"/>
      <c r="T544" s="143"/>
      <c r="U544" s="143"/>
      <c r="V544" s="143"/>
      <c r="W544" s="130"/>
      <c r="X544" s="130"/>
      <c r="Y544" s="130"/>
      <c r="Z544" s="130"/>
      <c r="AA544" s="130"/>
      <c r="AB544" s="130"/>
      <c r="AC544" s="130"/>
      <c r="AD544" s="130"/>
      <c r="AE544" s="130"/>
      <c r="AF544" s="130"/>
      <c r="AG544" s="130"/>
      <c r="AH544" s="130"/>
      <c r="AI544" s="130"/>
      <c r="AJ544" s="130"/>
      <c r="AK544" s="130"/>
    </row>
    <row r="545">
      <c r="A545" s="130"/>
      <c r="B545" s="130"/>
      <c r="C545" s="143"/>
      <c r="D545" s="130"/>
      <c r="E545" s="143"/>
      <c r="F545" s="143"/>
      <c r="G545" s="143"/>
      <c r="H545" s="143"/>
      <c r="I545" s="143"/>
      <c r="J545" s="143"/>
      <c r="K545" s="143"/>
      <c r="L545" s="143"/>
      <c r="M545" s="143"/>
      <c r="N545" s="143"/>
      <c r="O545" s="143"/>
      <c r="P545" s="143"/>
      <c r="Q545" s="67"/>
      <c r="R545" s="144"/>
      <c r="S545" s="144"/>
      <c r="T545" s="143"/>
      <c r="U545" s="143"/>
      <c r="V545" s="143"/>
      <c r="W545" s="130"/>
      <c r="X545" s="130"/>
      <c r="Y545" s="130"/>
      <c r="Z545" s="130"/>
      <c r="AA545" s="130"/>
      <c r="AB545" s="130"/>
      <c r="AC545" s="130"/>
      <c r="AD545" s="130"/>
      <c r="AE545" s="130"/>
      <c r="AF545" s="130"/>
      <c r="AG545" s="130"/>
      <c r="AH545" s="130"/>
      <c r="AI545" s="130"/>
      <c r="AJ545" s="130"/>
      <c r="AK545" s="130"/>
    </row>
    <row r="546">
      <c r="A546" s="130"/>
      <c r="B546" s="130"/>
      <c r="C546" s="143"/>
      <c r="D546" s="130"/>
      <c r="E546" s="143"/>
      <c r="F546" s="143"/>
      <c r="G546" s="143"/>
      <c r="H546" s="143"/>
      <c r="I546" s="143"/>
      <c r="J546" s="143"/>
      <c r="K546" s="143"/>
      <c r="L546" s="143"/>
      <c r="M546" s="143"/>
      <c r="N546" s="143"/>
      <c r="O546" s="143"/>
      <c r="P546" s="143"/>
      <c r="Q546" s="67"/>
      <c r="R546" s="144"/>
      <c r="S546" s="144"/>
      <c r="T546" s="143"/>
      <c r="U546" s="143"/>
      <c r="V546" s="143"/>
      <c r="W546" s="130"/>
      <c r="X546" s="130"/>
      <c r="Y546" s="130"/>
      <c r="Z546" s="130"/>
      <c r="AA546" s="130"/>
      <c r="AB546" s="130"/>
      <c r="AC546" s="130"/>
      <c r="AD546" s="130"/>
      <c r="AE546" s="130"/>
      <c r="AF546" s="130"/>
      <c r="AG546" s="130"/>
      <c r="AH546" s="130"/>
      <c r="AI546" s="130"/>
      <c r="AJ546" s="130"/>
      <c r="AK546" s="130"/>
    </row>
    <row r="547">
      <c r="A547" s="130"/>
      <c r="B547" s="130"/>
      <c r="C547" s="143"/>
      <c r="D547" s="130"/>
      <c r="E547" s="143"/>
      <c r="F547" s="143"/>
      <c r="G547" s="143"/>
      <c r="H547" s="143"/>
      <c r="I547" s="143"/>
      <c r="J547" s="143"/>
      <c r="K547" s="143"/>
      <c r="L547" s="143"/>
      <c r="M547" s="143"/>
      <c r="N547" s="143"/>
      <c r="O547" s="143"/>
      <c r="P547" s="143"/>
      <c r="Q547" s="67"/>
      <c r="R547" s="144"/>
      <c r="S547" s="144"/>
      <c r="T547" s="143"/>
      <c r="U547" s="143"/>
      <c r="V547" s="143"/>
      <c r="W547" s="130"/>
      <c r="X547" s="130"/>
      <c r="Y547" s="130"/>
      <c r="Z547" s="130"/>
      <c r="AA547" s="130"/>
      <c r="AB547" s="130"/>
      <c r="AC547" s="130"/>
      <c r="AD547" s="130"/>
      <c r="AE547" s="130"/>
      <c r="AF547" s="130"/>
      <c r="AG547" s="130"/>
      <c r="AH547" s="130"/>
      <c r="AI547" s="130"/>
      <c r="AJ547" s="130"/>
      <c r="AK547" s="130"/>
    </row>
    <row r="548">
      <c r="A548" s="130"/>
      <c r="B548" s="130"/>
      <c r="C548" s="143"/>
      <c r="D548" s="130"/>
      <c r="E548" s="143"/>
      <c r="F548" s="143"/>
      <c r="G548" s="143"/>
      <c r="H548" s="143"/>
      <c r="I548" s="143"/>
      <c r="J548" s="143"/>
      <c r="K548" s="143"/>
      <c r="L548" s="143"/>
      <c r="M548" s="143"/>
      <c r="N548" s="143"/>
      <c r="O548" s="143"/>
      <c r="P548" s="143"/>
      <c r="Q548" s="67"/>
      <c r="R548" s="144"/>
      <c r="S548" s="144"/>
      <c r="T548" s="143"/>
      <c r="U548" s="143"/>
      <c r="V548" s="143"/>
      <c r="W548" s="130"/>
      <c r="X548" s="130"/>
      <c r="Y548" s="130"/>
      <c r="Z548" s="130"/>
      <c r="AA548" s="130"/>
      <c r="AB548" s="130"/>
      <c r="AC548" s="130"/>
      <c r="AD548" s="130"/>
      <c r="AE548" s="130"/>
      <c r="AF548" s="130"/>
      <c r="AG548" s="130"/>
      <c r="AH548" s="130"/>
      <c r="AI548" s="130"/>
      <c r="AJ548" s="130"/>
      <c r="AK548" s="130"/>
    </row>
    <row r="549">
      <c r="A549" s="130"/>
      <c r="B549" s="130"/>
      <c r="C549" s="143"/>
      <c r="D549" s="130"/>
      <c r="E549" s="143"/>
      <c r="F549" s="143"/>
      <c r="G549" s="143"/>
      <c r="H549" s="143"/>
      <c r="I549" s="143"/>
      <c r="J549" s="143"/>
      <c r="K549" s="143"/>
      <c r="L549" s="143"/>
      <c r="M549" s="143"/>
      <c r="N549" s="143"/>
      <c r="O549" s="143"/>
      <c r="P549" s="143"/>
      <c r="Q549" s="67"/>
      <c r="R549" s="144"/>
      <c r="S549" s="144"/>
      <c r="T549" s="143"/>
      <c r="U549" s="143"/>
      <c r="V549" s="143"/>
      <c r="W549" s="130"/>
      <c r="X549" s="130"/>
      <c r="Y549" s="130"/>
      <c r="Z549" s="130"/>
      <c r="AA549" s="130"/>
      <c r="AB549" s="130"/>
      <c r="AC549" s="130"/>
      <c r="AD549" s="130"/>
      <c r="AE549" s="130"/>
      <c r="AF549" s="130"/>
      <c r="AG549" s="130"/>
      <c r="AH549" s="130"/>
      <c r="AI549" s="130"/>
      <c r="AJ549" s="130"/>
      <c r="AK549" s="130"/>
    </row>
    <row r="550">
      <c r="A550" s="130"/>
      <c r="B550" s="130"/>
      <c r="C550" s="143"/>
      <c r="D550" s="130"/>
      <c r="E550" s="143"/>
      <c r="F550" s="143"/>
      <c r="G550" s="143"/>
      <c r="H550" s="143"/>
      <c r="I550" s="143"/>
      <c r="J550" s="143"/>
      <c r="K550" s="143"/>
      <c r="L550" s="143"/>
      <c r="M550" s="143"/>
      <c r="N550" s="143"/>
      <c r="O550" s="143"/>
      <c r="P550" s="143"/>
      <c r="Q550" s="67"/>
      <c r="R550" s="144"/>
      <c r="S550" s="144"/>
      <c r="T550" s="143"/>
      <c r="U550" s="143"/>
      <c r="V550" s="143"/>
      <c r="W550" s="130"/>
      <c r="X550" s="130"/>
      <c r="Y550" s="130"/>
      <c r="Z550" s="130"/>
      <c r="AA550" s="130"/>
      <c r="AB550" s="130"/>
      <c r="AC550" s="130"/>
      <c r="AD550" s="130"/>
      <c r="AE550" s="130"/>
      <c r="AF550" s="130"/>
      <c r="AG550" s="130"/>
      <c r="AH550" s="130"/>
      <c r="AI550" s="130"/>
      <c r="AJ550" s="130"/>
      <c r="AK550" s="130"/>
    </row>
    <row r="551">
      <c r="A551" s="130"/>
      <c r="B551" s="130"/>
      <c r="C551" s="143"/>
      <c r="D551" s="130"/>
      <c r="E551" s="143"/>
      <c r="F551" s="143"/>
      <c r="G551" s="143"/>
      <c r="H551" s="143"/>
      <c r="I551" s="143"/>
      <c r="J551" s="143"/>
      <c r="K551" s="143"/>
      <c r="L551" s="143"/>
      <c r="M551" s="143"/>
      <c r="N551" s="143"/>
      <c r="O551" s="143"/>
      <c r="P551" s="143"/>
      <c r="Q551" s="67"/>
      <c r="R551" s="144"/>
      <c r="S551" s="144"/>
      <c r="T551" s="143"/>
      <c r="U551" s="143"/>
      <c r="V551" s="143"/>
      <c r="W551" s="130"/>
      <c r="X551" s="130"/>
      <c r="Y551" s="130"/>
      <c r="Z551" s="130"/>
      <c r="AA551" s="130"/>
      <c r="AB551" s="130"/>
      <c r="AC551" s="130"/>
      <c r="AD551" s="130"/>
      <c r="AE551" s="130"/>
      <c r="AF551" s="130"/>
      <c r="AG551" s="130"/>
      <c r="AH551" s="130"/>
      <c r="AI551" s="130"/>
      <c r="AJ551" s="130"/>
      <c r="AK551" s="130"/>
    </row>
    <row r="552">
      <c r="A552" s="130"/>
      <c r="B552" s="130"/>
      <c r="C552" s="143"/>
      <c r="D552" s="130"/>
      <c r="E552" s="143"/>
      <c r="F552" s="143"/>
      <c r="G552" s="143"/>
      <c r="H552" s="143"/>
      <c r="I552" s="143"/>
      <c r="J552" s="143"/>
      <c r="K552" s="143"/>
      <c r="L552" s="143"/>
      <c r="M552" s="143"/>
      <c r="N552" s="143"/>
      <c r="O552" s="143"/>
      <c r="P552" s="143"/>
      <c r="Q552" s="67"/>
      <c r="R552" s="144"/>
      <c r="S552" s="144"/>
      <c r="T552" s="143"/>
      <c r="U552" s="143"/>
      <c r="V552" s="143"/>
      <c r="W552" s="130"/>
      <c r="X552" s="130"/>
      <c r="Y552" s="130"/>
      <c r="Z552" s="130"/>
      <c r="AA552" s="130"/>
      <c r="AB552" s="130"/>
      <c r="AC552" s="130"/>
      <c r="AD552" s="130"/>
      <c r="AE552" s="130"/>
      <c r="AF552" s="130"/>
      <c r="AG552" s="130"/>
      <c r="AH552" s="130"/>
      <c r="AI552" s="130"/>
      <c r="AJ552" s="130"/>
      <c r="AK552" s="130"/>
    </row>
    <row r="553">
      <c r="A553" s="130"/>
      <c r="B553" s="130"/>
      <c r="C553" s="143"/>
      <c r="D553" s="130"/>
      <c r="E553" s="143"/>
      <c r="F553" s="143"/>
      <c r="G553" s="143"/>
      <c r="H553" s="143"/>
      <c r="I553" s="143"/>
      <c r="J553" s="143"/>
      <c r="K553" s="143"/>
      <c r="L553" s="143"/>
      <c r="M553" s="143"/>
      <c r="N553" s="143"/>
      <c r="O553" s="143"/>
      <c r="P553" s="143"/>
      <c r="Q553" s="67"/>
      <c r="R553" s="144"/>
      <c r="S553" s="144"/>
      <c r="T553" s="143"/>
      <c r="U553" s="143"/>
      <c r="V553" s="143"/>
      <c r="W553" s="130"/>
      <c r="X553" s="130"/>
      <c r="Y553" s="130"/>
      <c r="Z553" s="130"/>
      <c r="AA553" s="130"/>
      <c r="AB553" s="130"/>
      <c r="AC553" s="130"/>
      <c r="AD553" s="130"/>
      <c r="AE553" s="130"/>
      <c r="AF553" s="130"/>
      <c r="AG553" s="130"/>
      <c r="AH553" s="130"/>
      <c r="AI553" s="130"/>
      <c r="AJ553" s="130"/>
      <c r="AK553" s="130"/>
    </row>
    <row r="554">
      <c r="A554" s="130"/>
      <c r="B554" s="130"/>
      <c r="C554" s="143"/>
      <c r="D554" s="130"/>
      <c r="E554" s="143"/>
      <c r="F554" s="143"/>
      <c r="G554" s="143"/>
      <c r="H554" s="143"/>
      <c r="I554" s="143"/>
      <c r="J554" s="143"/>
      <c r="K554" s="143"/>
      <c r="L554" s="143"/>
      <c r="M554" s="143"/>
      <c r="N554" s="143"/>
      <c r="O554" s="143"/>
      <c r="P554" s="143"/>
      <c r="Q554" s="67"/>
      <c r="R554" s="144"/>
      <c r="S554" s="144"/>
      <c r="T554" s="143"/>
      <c r="U554" s="143"/>
      <c r="V554" s="143"/>
      <c r="W554" s="130"/>
      <c r="X554" s="130"/>
      <c r="Y554" s="130"/>
      <c r="Z554" s="130"/>
      <c r="AA554" s="130"/>
      <c r="AB554" s="130"/>
      <c r="AC554" s="130"/>
      <c r="AD554" s="130"/>
      <c r="AE554" s="130"/>
      <c r="AF554" s="130"/>
      <c r="AG554" s="130"/>
      <c r="AH554" s="130"/>
      <c r="AI554" s="130"/>
      <c r="AJ554" s="130"/>
      <c r="AK554" s="130"/>
    </row>
    <row r="555">
      <c r="A555" s="130"/>
      <c r="B555" s="130"/>
      <c r="C555" s="143"/>
      <c r="D555" s="130"/>
      <c r="E555" s="143"/>
      <c r="F555" s="143"/>
      <c r="G555" s="143"/>
      <c r="H555" s="143"/>
      <c r="I555" s="143"/>
      <c r="J555" s="143"/>
      <c r="K555" s="143"/>
      <c r="L555" s="143"/>
      <c r="M555" s="143"/>
      <c r="N555" s="143"/>
      <c r="O555" s="143"/>
      <c r="P555" s="143"/>
      <c r="Q555" s="67"/>
      <c r="R555" s="144"/>
      <c r="S555" s="144"/>
      <c r="T555" s="143"/>
      <c r="U555" s="143"/>
      <c r="V555" s="143"/>
      <c r="W555" s="130"/>
      <c r="X555" s="130"/>
      <c r="Y555" s="130"/>
      <c r="Z555" s="130"/>
      <c r="AA555" s="130"/>
      <c r="AB555" s="130"/>
      <c r="AC555" s="130"/>
      <c r="AD555" s="130"/>
      <c r="AE555" s="130"/>
      <c r="AF555" s="130"/>
      <c r="AG555" s="130"/>
      <c r="AH555" s="130"/>
      <c r="AI555" s="130"/>
      <c r="AJ555" s="130"/>
      <c r="AK555" s="130"/>
    </row>
    <row r="556">
      <c r="A556" s="130"/>
      <c r="B556" s="130"/>
      <c r="C556" s="143"/>
      <c r="D556" s="130"/>
      <c r="E556" s="143"/>
      <c r="F556" s="143"/>
      <c r="G556" s="143"/>
      <c r="H556" s="143"/>
      <c r="I556" s="143"/>
      <c r="J556" s="143"/>
      <c r="K556" s="143"/>
      <c r="L556" s="143"/>
      <c r="M556" s="143"/>
      <c r="N556" s="143"/>
      <c r="O556" s="143"/>
      <c r="P556" s="143"/>
      <c r="Q556" s="67"/>
      <c r="R556" s="144"/>
      <c r="S556" s="144"/>
      <c r="T556" s="143"/>
      <c r="U556" s="143"/>
      <c r="V556" s="143"/>
      <c r="W556" s="130"/>
      <c r="X556" s="130"/>
      <c r="Y556" s="130"/>
      <c r="Z556" s="130"/>
      <c r="AA556" s="130"/>
      <c r="AB556" s="130"/>
      <c r="AC556" s="130"/>
      <c r="AD556" s="130"/>
      <c r="AE556" s="130"/>
      <c r="AF556" s="130"/>
      <c r="AG556" s="130"/>
      <c r="AH556" s="130"/>
      <c r="AI556" s="130"/>
      <c r="AJ556" s="130"/>
      <c r="AK556" s="130"/>
    </row>
    <row r="557">
      <c r="A557" s="130"/>
      <c r="B557" s="130"/>
      <c r="C557" s="143"/>
      <c r="D557" s="130"/>
      <c r="E557" s="143"/>
      <c r="F557" s="143"/>
      <c r="G557" s="143"/>
      <c r="H557" s="143"/>
      <c r="I557" s="143"/>
      <c r="J557" s="143"/>
      <c r="K557" s="143"/>
      <c r="L557" s="143"/>
      <c r="M557" s="143"/>
      <c r="N557" s="143"/>
      <c r="O557" s="143"/>
      <c r="P557" s="143"/>
      <c r="Q557" s="67"/>
      <c r="R557" s="144"/>
      <c r="S557" s="144"/>
      <c r="T557" s="143"/>
      <c r="U557" s="143"/>
      <c r="V557" s="143"/>
      <c r="W557" s="130"/>
      <c r="X557" s="130"/>
      <c r="Y557" s="130"/>
      <c r="Z557" s="130"/>
      <c r="AA557" s="130"/>
      <c r="AB557" s="130"/>
      <c r="AC557" s="130"/>
      <c r="AD557" s="130"/>
      <c r="AE557" s="130"/>
      <c r="AF557" s="130"/>
      <c r="AG557" s="130"/>
      <c r="AH557" s="130"/>
      <c r="AI557" s="130"/>
      <c r="AJ557" s="130"/>
      <c r="AK557" s="130"/>
    </row>
    <row r="558">
      <c r="A558" s="130"/>
      <c r="B558" s="130"/>
      <c r="C558" s="143"/>
      <c r="D558" s="130"/>
      <c r="E558" s="143"/>
      <c r="F558" s="143"/>
      <c r="G558" s="143"/>
      <c r="H558" s="143"/>
      <c r="I558" s="143"/>
      <c r="J558" s="143"/>
      <c r="K558" s="143"/>
      <c r="L558" s="143"/>
      <c r="M558" s="143"/>
      <c r="N558" s="143"/>
      <c r="O558" s="143"/>
      <c r="P558" s="143"/>
      <c r="Q558" s="67"/>
      <c r="R558" s="144"/>
      <c r="S558" s="144"/>
      <c r="T558" s="143"/>
      <c r="U558" s="143"/>
      <c r="V558" s="143"/>
      <c r="W558" s="130"/>
      <c r="X558" s="130"/>
      <c r="Y558" s="130"/>
      <c r="Z558" s="130"/>
      <c r="AA558" s="130"/>
      <c r="AB558" s="130"/>
      <c r="AC558" s="130"/>
      <c r="AD558" s="130"/>
      <c r="AE558" s="130"/>
      <c r="AF558" s="130"/>
      <c r="AG558" s="130"/>
      <c r="AH558" s="130"/>
      <c r="AI558" s="130"/>
      <c r="AJ558" s="130"/>
      <c r="AK558" s="130"/>
    </row>
    <row r="559">
      <c r="A559" s="130"/>
      <c r="B559" s="130"/>
      <c r="C559" s="143"/>
      <c r="D559" s="130"/>
      <c r="E559" s="143"/>
      <c r="F559" s="143"/>
      <c r="G559" s="143"/>
      <c r="H559" s="143"/>
      <c r="I559" s="143"/>
      <c r="J559" s="143"/>
      <c r="K559" s="143"/>
      <c r="L559" s="143"/>
      <c r="M559" s="143"/>
      <c r="N559" s="143"/>
      <c r="O559" s="143"/>
      <c r="P559" s="143"/>
      <c r="Q559" s="67"/>
      <c r="R559" s="144"/>
      <c r="S559" s="144"/>
      <c r="T559" s="143"/>
      <c r="U559" s="143"/>
      <c r="V559" s="143"/>
      <c r="W559" s="130"/>
      <c r="X559" s="130"/>
      <c r="Y559" s="130"/>
      <c r="Z559" s="130"/>
      <c r="AA559" s="130"/>
      <c r="AB559" s="130"/>
      <c r="AC559" s="130"/>
      <c r="AD559" s="130"/>
      <c r="AE559" s="130"/>
      <c r="AF559" s="130"/>
      <c r="AG559" s="130"/>
      <c r="AH559" s="130"/>
      <c r="AI559" s="130"/>
      <c r="AJ559" s="130"/>
      <c r="AK559" s="130"/>
    </row>
    <row r="560">
      <c r="A560" s="130"/>
      <c r="B560" s="130"/>
      <c r="C560" s="143"/>
      <c r="D560" s="130"/>
      <c r="E560" s="143"/>
      <c r="F560" s="143"/>
      <c r="G560" s="143"/>
      <c r="H560" s="143"/>
      <c r="I560" s="143"/>
      <c r="J560" s="143"/>
      <c r="K560" s="143"/>
      <c r="L560" s="143"/>
      <c r="M560" s="143"/>
      <c r="N560" s="143"/>
      <c r="O560" s="143"/>
      <c r="P560" s="143"/>
      <c r="Q560" s="67"/>
      <c r="R560" s="144"/>
      <c r="S560" s="144"/>
      <c r="T560" s="143"/>
      <c r="U560" s="143"/>
      <c r="V560" s="143"/>
      <c r="W560" s="130"/>
      <c r="X560" s="130"/>
      <c r="Y560" s="130"/>
      <c r="Z560" s="130"/>
      <c r="AA560" s="130"/>
      <c r="AB560" s="130"/>
      <c r="AC560" s="130"/>
      <c r="AD560" s="130"/>
      <c r="AE560" s="130"/>
      <c r="AF560" s="130"/>
      <c r="AG560" s="130"/>
      <c r="AH560" s="130"/>
      <c r="AI560" s="130"/>
      <c r="AJ560" s="130"/>
      <c r="AK560" s="130"/>
    </row>
    <row r="561">
      <c r="A561" s="130"/>
      <c r="B561" s="130"/>
      <c r="C561" s="143"/>
      <c r="D561" s="130"/>
      <c r="E561" s="143"/>
      <c r="F561" s="143"/>
      <c r="G561" s="143"/>
      <c r="H561" s="143"/>
      <c r="I561" s="143"/>
      <c r="J561" s="143"/>
      <c r="K561" s="143"/>
      <c r="L561" s="143"/>
      <c r="M561" s="143"/>
      <c r="N561" s="143"/>
      <c r="O561" s="143"/>
      <c r="P561" s="143"/>
      <c r="Q561" s="67"/>
      <c r="R561" s="144"/>
      <c r="S561" s="144"/>
      <c r="T561" s="143"/>
      <c r="U561" s="143"/>
      <c r="V561" s="143"/>
      <c r="W561" s="130"/>
      <c r="X561" s="130"/>
      <c r="Y561" s="130"/>
      <c r="Z561" s="130"/>
      <c r="AA561" s="130"/>
      <c r="AB561" s="130"/>
      <c r="AC561" s="130"/>
      <c r="AD561" s="130"/>
      <c r="AE561" s="130"/>
      <c r="AF561" s="130"/>
      <c r="AG561" s="130"/>
      <c r="AH561" s="130"/>
      <c r="AI561" s="130"/>
      <c r="AJ561" s="130"/>
      <c r="AK561" s="130"/>
    </row>
    <row r="562">
      <c r="A562" s="130"/>
      <c r="B562" s="130"/>
      <c r="C562" s="143"/>
      <c r="D562" s="130"/>
      <c r="E562" s="143"/>
      <c r="F562" s="143"/>
      <c r="G562" s="143"/>
      <c r="H562" s="143"/>
      <c r="I562" s="143"/>
      <c r="J562" s="143"/>
      <c r="K562" s="143"/>
      <c r="L562" s="143"/>
      <c r="M562" s="143"/>
      <c r="N562" s="143"/>
      <c r="O562" s="143"/>
      <c r="P562" s="143"/>
      <c r="Q562" s="67"/>
      <c r="R562" s="144"/>
      <c r="S562" s="144"/>
      <c r="T562" s="143"/>
      <c r="U562" s="143"/>
      <c r="V562" s="143"/>
      <c r="W562" s="130"/>
      <c r="X562" s="130"/>
      <c r="Y562" s="130"/>
      <c r="Z562" s="130"/>
      <c r="AA562" s="130"/>
      <c r="AB562" s="130"/>
      <c r="AC562" s="130"/>
      <c r="AD562" s="130"/>
      <c r="AE562" s="130"/>
      <c r="AF562" s="130"/>
      <c r="AG562" s="130"/>
      <c r="AH562" s="130"/>
      <c r="AI562" s="130"/>
      <c r="AJ562" s="130"/>
      <c r="AK562" s="130"/>
    </row>
    <row r="563">
      <c r="A563" s="130"/>
      <c r="B563" s="130"/>
      <c r="C563" s="143"/>
      <c r="D563" s="130"/>
      <c r="E563" s="143"/>
      <c r="F563" s="143"/>
      <c r="G563" s="143"/>
      <c r="H563" s="143"/>
      <c r="I563" s="143"/>
      <c r="J563" s="143"/>
      <c r="K563" s="143"/>
      <c r="L563" s="143"/>
      <c r="M563" s="143"/>
      <c r="N563" s="143"/>
      <c r="O563" s="143"/>
      <c r="P563" s="143"/>
      <c r="Q563" s="67"/>
      <c r="R563" s="144"/>
      <c r="S563" s="144"/>
      <c r="T563" s="143"/>
      <c r="U563" s="143"/>
      <c r="V563" s="143"/>
      <c r="W563" s="130"/>
      <c r="X563" s="130"/>
      <c r="Y563" s="130"/>
      <c r="Z563" s="130"/>
      <c r="AA563" s="130"/>
      <c r="AB563" s="130"/>
      <c r="AC563" s="130"/>
      <c r="AD563" s="130"/>
      <c r="AE563" s="130"/>
      <c r="AF563" s="130"/>
      <c r="AG563" s="130"/>
      <c r="AH563" s="130"/>
      <c r="AI563" s="130"/>
      <c r="AJ563" s="130"/>
      <c r="AK563" s="130"/>
    </row>
    <row r="564">
      <c r="A564" s="130"/>
      <c r="B564" s="130"/>
      <c r="C564" s="143"/>
      <c r="D564" s="130"/>
      <c r="E564" s="143"/>
      <c r="F564" s="143"/>
      <c r="G564" s="143"/>
      <c r="H564" s="143"/>
      <c r="I564" s="143"/>
      <c r="J564" s="143"/>
      <c r="K564" s="143"/>
      <c r="L564" s="143"/>
      <c r="M564" s="143"/>
      <c r="N564" s="143"/>
      <c r="O564" s="143"/>
      <c r="P564" s="143"/>
      <c r="Q564" s="67"/>
      <c r="R564" s="144"/>
      <c r="S564" s="144"/>
      <c r="T564" s="143"/>
      <c r="U564" s="143"/>
      <c r="V564" s="143"/>
      <c r="W564" s="130"/>
      <c r="X564" s="130"/>
      <c r="Y564" s="130"/>
      <c r="Z564" s="130"/>
      <c r="AA564" s="130"/>
      <c r="AB564" s="130"/>
      <c r="AC564" s="130"/>
      <c r="AD564" s="130"/>
      <c r="AE564" s="130"/>
      <c r="AF564" s="130"/>
      <c r="AG564" s="130"/>
      <c r="AH564" s="130"/>
      <c r="AI564" s="130"/>
      <c r="AJ564" s="130"/>
      <c r="AK564" s="130"/>
    </row>
    <row r="565">
      <c r="A565" s="130"/>
      <c r="B565" s="130"/>
      <c r="C565" s="143"/>
      <c r="D565" s="130"/>
      <c r="E565" s="143"/>
      <c r="F565" s="143"/>
      <c r="G565" s="143"/>
      <c r="H565" s="143"/>
      <c r="I565" s="143"/>
      <c r="J565" s="143"/>
      <c r="K565" s="143"/>
      <c r="L565" s="143"/>
      <c r="M565" s="143"/>
      <c r="N565" s="143"/>
      <c r="O565" s="143"/>
      <c r="P565" s="143"/>
      <c r="Q565" s="67"/>
      <c r="R565" s="144"/>
      <c r="S565" s="144"/>
      <c r="T565" s="143"/>
      <c r="U565" s="143"/>
      <c r="V565" s="143"/>
      <c r="W565" s="130"/>
      <c r="X565" s="130"/>
      <c r="Y565" s="130"/>
      <c r="Z565" s="130"/>
      <c r="AA565" s="130"/>
      <c r="AB565" s="130"/>
      <c r="AC565" s="130"/>
      <c r="AD565" s="130"/>
      <c r="AE565" s="130"/>
      <c r="AF565" s="130"/>
      <c r="AG565" s="130"/>
      <c r="AH565" s="130"/>
      <c r="AI565" s="130"/>
      <c r="AJ565" s="130"/>
      <c r="AK565" s="130"/>
    </row>
    <row r="566">
      <c r="A566" s="130"/>
      <c r="B566" s="130"/>
      <c r="C566" s="143"/>
      <c r="D566" s="130"/>
      <c r="E566" s="143"/>
      <c r="F566" s="143"/>
      <c r="G566" s="143"/>
      <c r="H566" s="143"/>
      <c r="I566" s="143"/>
      <c r="J566" s="143"/>
      <c r="K566" s="143"/>
      <c r="L566" s="143"/>
      <c r="M566" s="143"/>
      <c r="N566" s="143"/>
      <c r="O566" s="143"/>
      <c r="P566" s="143"/>
      <c r="Q566" s="67"/>
      <c r="R566" s="144"/>
      <c r="S566" s="144"/>
      <c r="T566" s="143"/>
      <c r="U566" s="143"/>
      <c r="V566" s="143"/>
      <c r="W566" s="130"/>
      <c r="X566" s="130"/>
      <c r="Y566" s="130"/>
      <c r="Z566" s="130"/>
      <c r="AA566" s="130"/>
      <c r="AB566" s="130"/>
      <c r="AC566" s="130"/>
      <c r="AD566" s="130"/>
      <c r="AE566" s="130"/>
      <c r="AF566" s="130"/>
      <c r="AG566" s="130"/>
      <c r="AH566" s="130"/>
      <c r="AI566" s="130"/>
      <c r="AJ566" s="130"/>
      <c r="AK566" s="130"/>
    </row>
    <row r="567">
      <c r="A567" s="130"/>
      <c r="B567" s="130"/>
      <c r="C567" s="143"/>
      <c r="D567" s="130"/>
      <c r="E567" s="143"/>
      <c r="F567" s="143"/>
      <c r="G567" s="143"/>
      <c r="H567" s="143"/>
      <c r="I567" s="143"/>
      <c r="J567" s="143"/>
      <c r="K567" s="143"/>
      <c r="L567" s="143"/>
      <c r="M567" s="143"/>
      <c r="N567" s="143"/>
      <c r="O567" s="143"/>
      <c r="P567" s="143"/>
      <c r="Q567" s="67"/>
      <c r="R567" s="144"/>
      <c r="S567" s="144"/>
      <c r="T567" s="143"/>
      <c r="U567" s="143"/>
      <c r="V567" s="143"/>
      <c r="W567" s="130"/>
      <c r="X567" s="130"/>
      <c r="Y567" s="130"/>
      <c r="Z567" s="130"/>
      <c r="AA567" s="130"/>
      <c r="AB567" s="130"/>
      <c r="AC567" s="130"/>
      <c r="AD567" s="130"/>
      <c r="AE567" s="130"/>
      <c r="AF567" s="130"/>
      <c r="AG567" s="130"/>
      <c r="AH567" s="130"/>
      <c r="AI567" s="130"/>
      <c r="AJ567" s="130"/>
      <c r="AK567" s="130"/>
    </row>
    <row r="568">
      <c r="A568" s="130"/>
      <c r="B568" s="130"/>
      <c r="C568" s="143"/>
      <c r="D568" s="130"/>
      <c r="E568" s="143"/>
      <c r="F568" s="143"/>
      <c r="G568" s="143"/>
      <c r="H568" s="143"/>
      <c r="I568" s="143"/>
      <c r="J568" s="143"/>
      <c r="K568" s="143"/>
      <c r="L568" s="143"/>
      <c r="M568" s="143"/>
      <c r="N568" s="143"/>
      <c r="O568" s="143"/>
      <c r="P568" s="143"/>
      <c r="Q568" s="67"/>
      <c r="R568" s="144"/>
      <c r="S568" s="144"/>
      <c r="T568" s="143"/>
      <c r="U568" s="143"/>
      <c r="V568" s="143"/>
      <c r="W568" s="130"/>
      <c r="X568" s="130"/>
      <c r="Y568" s="130"/>
      <c r="Z568" s="130"/>
      <c r="AA568" s="130"/>
      <c r="AB568" s="130"/>
      <c r="AC568" s="130"/>
      <c r="AD568" s="130"/>
      <c r="AE568" s="130"/>
      <c r="AF568" s="130"/>
      <c r="AG568" s="130"/>
      <c r="AH568" s="130"/>
      <c r="AI568" s="130"/>
      <c r="AJ568" s="130"/>
      <c r="AK568" s="130"/>
    </row>
    <row r="569">
      <c r="A569" s="130"/>
      <c r="B569" s="130"/>
      <c r="C569" s="143"/>
      <c r="D569" s="130"/>
      <c r="E569" s="143"/>
      <c r="F569" s="143"/>
      <c r="G569" s="143"/>
      <c r="H569" s="143"/>
      <c r="I569" s="143"/>
      <c r="J569" s="143"/>
      <c r="K569" s="143"/>
      <c r="L569" s="143"/>
      <c r="M569" s="143"/>
      <c r="N569" s="143"/>
      <c r="O569" s="143"/>
      <c r="P569" s="143"/>
      <c r="Q569" s="67"/>
      <c r="R569" s="144"/>
      <c r="S569" s="144"/>
      <c r="T569" s="143"/>
      <c r="U569" s="143"/>
      <c r="V569" s="143"/>
      <c r="W569" s="130"/>
      <c r="X569" s="130"/>
      <c r="Y569" s="130"/>
      <c r="Z569" s="130"/>
      <c r="AA569" s="130"/>
      <c r="AB569" s="130"/>
      <c r="AC569" s="130"/>
      <c r="AD569" s="130"/>
      <c r="AE569" s="130"/>
      <c r="AF569" s="130"/>
      <c r="AG569" s="130"/>
      <c r="AH569" s="130"/>
      <c r="AI569" s="130"/>
      <c r="AJ569" s="130"/>
      <c r="AK569" s="130"/>
    </row>
    <row r="570">
      <c r="A570" s="130"/>
      <c r="B570" s="130"/>
      <c r="C570" s="143"/>
      <c r="D570" s="130"/>
      <c r="E570" s="143"/>
      <c r="F570" s="143"/>
      <c r="G570" s="143"/>
      <c r="H570" s="143"/>
      <c r="I570" s="143"/>
      <c r="J570" s="143"/>
      <c r="K570" s="143"/>
      <c r="L570" s="143"/>
      <c r="M570" s="143"/>
      <c r="N570" s="143"/>
      <c r="O570" s="143"/>
      <c r="P570" s="143"/>
      <c r="Q570" s="67"/>
      <c r="R570" s="144"/>
      <c r="S570" s="144"/>
      <c r="T570" s="143"/>
      <c r="U570" s="143"/>
      <c r="V570" s="143"/>
      <c r="W570" s="130"/>
      <c r="X570" s="130"/>
      <c r="Y570" s="130"/>
      <c r="Z570" s="130"/>
      <c r="AA570" s="130"/>
      <c r="AB570" s="130"/>
      <c r="AC570" s="130"/>
      <c r="AD570" s="130"/>
      <c r="AE570" s="130"/>
      <c r="AF570" s="130"/>
      <c r="AG570" s="130"/>
      <c r="AH570" s="130"/>
      <c r="AI570" s="130"/>
      <c r="AJ570" s="130"/>
      <c r="AK570" s="130"/>
    </row>
    <row r="571">
      <c r="A571" s="130"/>
      <c r="B571" s="130"/>
      <c r="C571" s="143"/>
      <c r="D571" s="130"/>
      <c r="E571" s="143"/>
      <c r="F571" s="143"/>
      <c r="G571" s="143"/>
      <c r="H571" s="143"/>
      <c r="I571" s="143"/>
      <c r="J571" s="143"/>
      <c r="K571" s="143"/>
      <c r="L571" s="143"/>
      <c r="M571" s="143"/>
      <c r="N571" s="143"/>
      <c r="O571" s="143"/>
      <c r="P571" s="143"/>
      <c r="Q571" s="67"/>
      <c r="R571" s="144"/>
      <c r="S571" s="144"/>
      <c r="T571" s="143"/>
      <c r="U571" s="143"/>
      <c r="V571" s="143"/>
      <c r="W571" s="130"/>
      <c r="X571" s="130"/>
      <c r="Y571" s="130"/>
      <c r="Z571" s="130"/>
      <c r="AA571" s="130"/>
      <c r="AB571" s="130"/>
      <c r="AC571" s="130"/>
      <c r="AD571" s="130"/>
      <c r="AE571" s="130"/>
      <c r="AF571" s="130"/>
      <c r="AG571" s="130"/>
      <c r="AH571" s="130"/>
      <c r="AI571" s="130"/>
      <c r="AJ571" s="130"/>
      <c r="AK571" s="130"/>
    </row>
    <row r="572">
      <c r="A572" s="130"/>
      <c r="B572" s="130"/>
      <c r="C572" s="143"/>
      <c r="D572" s="130"/>
      <c r="E572" s="143"/>
      <c r="F572" s="143"/>
      <c r="G572" s="143"/>
      <c r="H572" s="143"/>
      <c r="I572" s="143"/>
      <c r="J572" s="143"/>
      <c r="K572" s="143"/>
      <c r="L572" s="143"/>
      <c r="M572" s="143"/>
      <c r="N572" s="143"/>
      <c r="O572" s="143"/>
      <c r="P572" s="143"/>
      <c r="Q572" s="67"/>
      <c r="R572" s="144"/>
      <c r="S572" s="144"/>
      <c r="T572" s="143"/>
      <c r="U572" s="143"/>
      <c r="V572" s="143"/>
      <c r="W572" s="130"/>
      <c r="X572" s="130"/>
      <c r="Y572" s="130"/>
      <c r="Z572" s="130"/>
      <c r="AA572" s="130"/>
      <c r="AB572" s="130"/>
      <c r="AC572" s="130"/>
      <c r="AD572" s="130"/>
      <c r="AE572" s="130"/>
      <c r="AF572" s="130"/>
      <c r="AG572" s="130"/>
      <c r="AH572" s="130"/>
      <c r="AI572" s="130"/>
      <c r="AJ572" s="130"/>
      <c r="AK572" s="130"/>
    </row>
    <row r="573">
      <c r="A573" s="130"/>
      <c r="B573" s="130"/>
      <c r="C573" s="143"/>
      <c r="D573" s="130"/>
      <c r="E573" s="143"/>
      <c r="F573" s="143"/>
      <c r="G573" s="143"/>
      <c r="H573" s="143"/>
      <c r="I573" s="143"/>
      <c r="J573" s="143"/>
      <c r="K573" s="143"/>
      <c r="L573" s="143"/>
      <c r="M573" s="143"/>
      <c r="N573" s="143"/>
      <c r="O573" s="143"/>
      <c r="P573" s="143"/>
      <c r="Q573" s="67"/>
      <c r="R573" s="144"/>
      <c r="S573" s="144"/>
      <c r="T573" s="143"/>
      <c r="U573" s="143"/>
      <c r="V573" s="143"/>
      <c r="W573" s="130"/>
      <c r="X573" s="130"/>
      <c r="Y573" s="130"/>
      <c r="Z573" s="130"/>
      <c r="AA573" s="130"/>
      <c r="AB573" s="130"/>
      <c r="AC573" s="130"/>
      <c r="AD573" s="130"/>
      <c r="AE573" s="130"/>
      <c r="AF573" s="130"/>
      <c r="AG573" s="130"/>
      <c r="AH573" s="130"/>
      <c r="AI573" s="130"/>
      <c r="AJ573" s="130"/>
      <c r="AK573" s="130"/>
    </row>
    <row r="574">
      <c r="A574" s="130"/>
      <c r="B574" s="130"/>
      <c r="C574" s="143"/>
      <c r="D574" s="130"/>
      <c r="E574" s="143"/>
      <c r="F574" s="143"/>
      <c r="G574" s="143"/>
      <c r="H574" s="143"/>
      <c r="I574" s="143"/>
      <c r="J574" s="143"/>
      <c r="K574" s="143"/>
      <c r="L574" s="143"/>
      <c r="M574" s="143"/>
      <c r="N574" s="143"/>
      <c r="O574" s="143"/>
      <c r="P574" s="143"/>
      <c r="Q574" s="67"/>
      <c r="R574" s="144"/>
      <c r="S574" s="144"/>
      <c r="T574" s="143"/>
      <c r="U574" s="143"/>
      <c r="V574" s="143"/>
      <c r="W574" s="130"/>
      <c r="X574" s="130"/>
      <c r="Y574" s="130"/>
      <c r="Z574" s="130"/>
      <c r="AA574" s="130"/>
      <c r="AB574" s="130"/>
      <c r="AC574" s="130"/>
      <c r="AD574" s="130"/>
      <c r="AE574" s="130"/>
      <c r="AF574" s="130"/>
      <c r="AG574" s="130"/>
      <c r="AH574" s="130"/>
      <c r="AI574" s="130"/>
      <c r="AJ574" s="130"/>
      <c r="AK574" s="130"/>
    </row>
    <row r="575">
      <c r="A575" s="130"/>
      <c r="B575" s="130"/>
      <c r="C575" s="143"/>
      <c r="D575" s="130"/>
      <c r="E575" s="143"/>
      <c r="F575" s="143"/>
      <c r="G575" s="143"/>
      <c r="H575" s="143"/>
      <c r="I575" s="143"/>
      <c r="J575" s="143"/>
      <c r="K575" s="143"/>
      <c r="L575" s="143"/>
      <c r="M575" s="143"/>
      <c r="N575" s="143"/>
      <c r="O575" s="143"/>
      <c r="P575" s="143"/>
      <c r="Q575" s="67"/>
      <c r="R575" s="144"/>
      <c r="S575" s="144"/>
      <c r="T575" s="143"/>
      <c r="U575" s="143"/>
      <c r="V575" s="143"/>
      <c r="W575" s="130"/>
      <c r="X575" s="130"/>
      <c r="Y575" s="130"/>
      <c r="Z575" s="130"/>
      <c r="AA575" s="130"/>
      <c r="AB575" s="130"/>
      <c r="AC575" s="130"/>
      <c r="AD575" s="130"/>
      <c r="AE575" s="130"/>
      <c r="AF575" s="130"/>
      <c r="AG575" s="130"/>
      <c r="AH575" s="130"/>
      <c r="AI575" s="130"/>
      <c r="AJ575" s="130"/>
      <c r="AK575" s="130"/>
    </row>
    <row r="576">
      <c r="A576" s="130"/>
      <c r="B576" s="130"/>
      <c r="C576" s="143"/>
      <c r="D576" s="130"/>
      <c r="E576" s="143"/>
      <c r="F576" s="143"/>
      <c r="G576" s="143"/>
      <c r="H576" s="143"/>
      <c r="I576" s="143"/>
      <c r="J576" s="143"/>
      <c r="K576" s="143"/>
      <c r="L576" s="143"/>
      <c r="M576" s="143"/>
      <c r="N576" s="143"/>
      <c r="O576" s="143"/>
      <c r="P576" s="143"/>
      <c r="Q576" s="67"/>
      <c r="R576" s="144"/>
      <c r="S576" s="144"/>
      <c r="T576" s="143"/>
      <c r="U576" s="143"/>
      <c r="V576" s="143"/>
      <c r="W576" s="130"/>
      <c r="X576" s="130"/>
      <c r="Y576" s="130"/>
      <c r="Z576" s="130"/>
      <c r="AA576" s="130"/>
      <c r="AB576" s="130"/>
      <c r="AC576" s="130"/>
      <c r="AD576" s="130"/>
      <c r="AE576" s="130"/>
      <c r="AF576" s="130"/>
      <c r="AG576" s="130"/>
      <c r="AH576" s="130"/>
      <c r="AI576" s="130"/>
      <c r="AJ576" s="130"/>
      <c r="AK576" s="130"/>
    </row>
    <row r="577">
      <c r="A577" s="130"/>
      <c r="B577" s="130"/>
      <c r="C577" s="143"/>
      <c r="D577" s="130"/>
      <c r="E577" s="143"/>
      <c r="F577" s="143"/>
      <c r="G577" s="143"/>
      <c r="H577" s="143"/>
      <c r="I577" s="143"/>
      <c r="J577" s="143"/>
      <c r="K577" s="143"/>
      <c r="L577" s="143"/>
      <c r="M577" s="143"/>
      <c r="N577" s="143"/>
      <c r="O577" s="143"/>
      <c r="P577" s="143"/>
      <c r="Q577" s="67"/>
      <c r="R577" s="144"/>
      <c r="S577" s="144"/>
      <c r="T577" s="143"/>
      <c r="U577" s="143"/>
      <c r="V577" s="143"/>
      <c r="W577" s="130"/>
      <c r="X577" s="130"/>
      <c r="Y577" s="130"/>
      <c r="Z577" s="130"/>
      <c r="AA577" s="130"/>
      <c r="AB577" s="130"/>
      <c r="AC577" s="130"/>
      <c r="AD577" s="130"/>
      <c r="AE577" s="130"/>
      <c r="AF577" s="130"/>
      <c r="AG577" s="130"/>
      <c r="AH577" s="130"/>
      <c r="AI577" s="130"/>
      <c r="AJ577" s="130"/>
      <c r="AK577" s="130"/>
    </row>
    <row r="578">
      <c r="A578" s="130"/>
      <c r="B578" s="130"/>
      <c r="C578" s="143"/>
      <c r="D578" s="130"/>
      <c r="E578" s="143"/>
      <c r="F578" s="143"/>
      <c r="G578" s="143"/>
      <c r="H578" s="143"/>
      <c r="I578" s="143"/>
      <c r="J578" s="143"/>
      <c r="K578" s="143"/>
      <c r="L578" s="143"/>
      <c r="M578" s="143"/>
      <c r="N578" s="143"/>
      <c r="O578" s="143"/>
      <c r="P578" s="143"/>
      <c r="Q578" s="67"/>
      <c r="R578" s="144"/>
      <c r="S578" s="144"/>
      <c r="T578" s="143"/>
      <c r="U578" s="143"/>
      <c r="V578" s="143"/>
      <c r="W578" s="130"/>
      <c r="X578" s="130"/>
      <c r="Y578" s="130"/>
      <c r="Z578" s="130"/>
      <c r="AA578" s="130"/>
      <c r="AB578" s="130"/>
      <c r="AC578" s="130"/>
      <c r="AD578" s="130"/>
      <c r="AE578" s="130"/>
      <c r="AF578" s="130"/>
      <c r="AG578" s="130"/>
      <c r="AH578" s="130"/>
      <c r="AI578" s="130"/>
      <c r="AJ578" s="130"/>
      <c r="AK578" s="130"/>
    </row>
    <row r="579">
      <c r="A579" s="130"/>
      <c r="B579" s="130"/>
      <c r="C579" s="143"/>
      <c r="D579" s="130"/>
      <c r="E579" s="143"/>
      <c r="F579" s="143"/>
      <c r="G579" s="143"/>
      <c r="H579" s="143"/>
      <c r="I579" s="143"/>
      <c r="J579" s="143"/>
      <c r="K579" s="143"/>
      <c r="L579" s="143"/>
      <c r="M579" s="143"/>
      <c r="N579" s="143"/>
      <c r="O579" s="143"/>
      <c r="P579" s="143"/>
      <c r="Q579" s="67"/>
      <c r="R579" s="144"/>
      <c r="S579" s="144"/>
      <c r="T579" s="143"/>
      <c r="U579" s="143"/>
      <c r="V579" s="143"/>
      <c r="W579" s="130"/>
      <c r="X579" s="130"/>
      <c r="Y579" s="130"/>
      <c r="Z579" s="130"/>
      <c r="AA579" s="130"/>
      <c r="AB579" s="130"/>
      <c r="AC579" s="130"/>
      <c r="AD579" s="130"/>
      <c r="AE579" s="130"/>
      <c r="AF579" s="130"/>
      <c r="AG579" s="130"/>
      <c r="AH579" s="130"/>
      <c r="AI579" s="130"/>
      <c r="AJ579" s="130"/>
      <c r="AK579" s="130"/>
    </row>
    <row r="580">
      <c r="A580" s="130"/>
      <c r="B580" s="130"/>
      <c r="C580" s="143"/>
      <c r="D580" s="130"/>
      <c r="E580" s="143"/>
      <c r="F580" s="143"/>
      <c r="G580" s="143"/>
      <c r="H580" s="143"/>
      <c r="I580" s="143"/>
      <c r="J580" s="143"/>
      <c r="K580" s="143"/>
      <c r="L580" s="143"/>
      <c r="M580" s="143"/>
      <c r="N580" s="143"/>
      <c r="O580" s="143"/>
      <c r="P580" s="143"/>
      <c r="Q580" s="67"/>
      <c r="R580" s="144"/>
      <c r="S580" s="144"/>
      <c r="T580" s="143"/>
      <c r="U580" s="143"/>
      <c r="V580" s="143"/>
      <c r="W580" s="130"/>
      <c r="X580" s="130"/>
      <c r="Y580" s="130"/>
      <c r="Z580" s="130"/>
      <c r="AA580" s="130"/>
      <c r="AB580" s="130"/>
      <c r="AC580" s="130"/>
      <c r="AD580" s="130"/>
      <c r="AE580" s="130"/>
      <c r="AF580" s="130"/>
      <c r="AG580" s="130"/>
      <c r="AH580" s="130"/>
      <c r="AI580" s="130"/>
      <c r="AJ580" s="130"/>
      <c r="AK580" s="130"/>
    </row>
    <row r="581">
      <c r="A581" s="130"/>
      <c r="B581" s="130"/>
      <c r="C581" s="143"/>
      <c r="D581" s="130"/>
      <c r="E581" s="143"/>
      <c r="F581" s="143"/>
      <c r="G581" s="143"/>
      <c r="H581" s="143"/>
      <c r="I581" s="143"/>
      <c r="J581" s="143"/>
      <c r="K581" s="143"/>
      <c r="L581" s="143"/>
      <c r="M581" s="143"/>
      <c r="N581" s="143"/>
      <c r="O581" s="143"/>
      <c r="P581" s="143"/>
      <c r="Q581" s="67"/>
      <c r="R581" s="144"/>
      <c r="S581" s="144"/>
      <c r="T581" s="143"/>
      <c r="U581" s="143"/>
      <c r="V581" s="143"/>
      <c r="W581" s="130"/>
      <c r="X581" s="130"/>
      <c r="Y581" s="130"/>
      <c r="Z581" s="130"/>
      <c r="AA581" s="130"/>
      <c r="AB581" s="130"/>
      <c r="AC581" s="130"/>
      <c r="AD581" s="130"/>
      <c r="AE581" s="130"/>
      <c r="AF581" s="130"/>
      <c r="AG581" s="130"/>
      <c r="AH581" s="130"/>
      <c r="AI581" s="130"/>
      <c r="AJ581" s="130"/>
      <c r="AK581" s="130"/>
    </row>
    <row r="582">
      <c r="A582" s="130"/>
      <c r="B582" s="130"/>
      <c r="C582" s="143"/>
      <c r="D582" s="130"/>
      <c r="E582" s="143"/>
      <c r="F582" s="143"/>
      <c r="G582" s="143"/>
      <c r="H582" s="143"/>
      <c r="I582" s="143"/>
      <c r="J582" s="143"/>
      <c r="K582" s="143"/>
      <c r="L582" s="143"/>
      <c r="M582" s="143"/>
      <c r="N582" s="143"/>
      <c r="O582" s="143"/>
      <c r="P582" s="143"/>
      <c r="Q582" s="67"/>
      <c r="R582" s="144"/>
      <c r="S582" s="144"/>
      <c r="T582" s="143"/>
      <c r="U582" s="143"/>
      <c r="V582" s="143"/>
      <c r="W582" s="130"/>
      <c r="X582" s="130"/>
      <c r="Y582" s="130"/>
      <c r="Z582" s="130"/>
      <c r="AA582" s="130"/>
      <c r="AB582" s="130"/>
      <c r="AC582" s="130"/>
      <c r="AD582" s="130"/>
      <c r="AE582" s="130"/>
      <c r="AF582" s="130"/>
      <c r="AG582" s="130"/>
      <c r="AH582" s="130"/>
      <c r="AI582" s="130"/>
      <c r="AJ582" s="130"/>
      <c r="AK582" s="130"/>
    </row>
    <row r="583">
      <c r="A583" s="130"/>
      <c r="B583" s="130"/>
      <c r="C583" s="143"/>
      <c r="D583" s="130"/>
      <c r="E583" s="143"/>
      <c r="F583" s="143"/>
      <c r="G583" s="143"/>
      <c r="H583" s="143"/>
      <c r="I583" s="143"/>
      <c r="J583" s="143"/>
      <c r="K583" s="143"/>
      <c r="L583" s="143"/>
      <c r="M583" s="143"/>
      <c r="N583" s="143"/>
      <c r="O583" s="143"/>
      <c r="P583" s="143"/>
      <c r="Q583" s="67"/>
      <c r="R583" s="144"/>
      <c r="S583" s="144"/>
      <c r="T583" s="143"/>
      <c r="U583" s="143"/>
      <c r="V583" s="143"/>
      <c r="W583" s="130"/>
      <c r="X583" s="130"/>
      <c r="Y583" s="130"/>
      <c r="Z583" s="130"/>
      <c r="AA583" s="130"/>
      <c r="AB583" s="130"/>
      <c r="AC583" s="130"/>
      <c r="AD583" s="130"/>
      <c r="AE583" s="130"/>
      <c r="AF583" s="130"/>
      <c r="AG583" s="130"/>
      <c r="AH583" s="130"/>
      <c r="AI583" s="130"/>
      <c r="AJ583" s="130"/>
      <c r="AK583" s="130"/>
    </row>
    <row r="584">
      <c r="A584" s="130"/>
      <c r="B584" s="130"/>
      <c r="C584" s="143"/>
      <c r="D584" s="130"/>
      <c r="E584" s="143"/>
      <c r="F584" s="143"/>
      <c r="G584" s="143"/>
      <c r="H584" s="143"/>
      <c r="I584" s="143"/>
      <c r="J584" s="143"/>
      <c r="K584" s="143"/>
      <c r="L584" s="143"/>
      <c r="M584" s="143"/>
      <c r="N584" s="143"/>
      <c r="O584" s="143"/>
      <c r="P584" s="143"/>
      <c r="Q584" s="67"/>
      <c r="R584" s="144"/>
      <c r="S584" s="144"/>
      <c r="T584" s="143"/>
      <c r="U584" s="143"/>
      <c r="V584" s="143"/>
      <c r="W584" s="130"/>
      <c r="X584" s="130"/>
      <c r="Y584" s="130"/>
      <c r="Z584" s="130"/>
      <c r="AA584" s="130"/>
      <c r="AB584" s="130"/>
      <c r="AC584" s="130"/>
      <c r="AD584" s="130"/>
      <c r="AE584" s="130"/>
      <c r="AF584" s="130"/>
      <c r="AG584" s="130"/>
      <c r="AH584" s="130"/>
      <c r="AI584" s="130"/>
      <c r="AJ584" s="130"/>
      <c r="AK584" s="130"/>
    </row>
    <row r="585">
      <c r="A585" s="130"/>
      <c r="B585" s="130"/>
      <c r="C585" s="143"/>
      <c r="D585" s="130"/>
      <c r="E585" s="143"/>
      <c r="F585" s="143"/>
      <c r="G585" s="143"/>
      <c r="H585" s="143"/>
      <c r="I585" s="143"/>
      <c r="J585" s="143"/>
      <c r="K585" s="143"/>
      <c r="L585" s="143"/>
      <c r="M585" s="143"/>
      <c r="N585" s="143"/>
      <c r="O585" s="143"/>
      <c r="P585" s="143"/>
      <c r="Q585" s="67"/>
      <c r="R585" s="144"/>
      <c r="S585" s="144"/>
      <c r="T585" s="143"/>
      <c r="U585" s="143"/>
      <c r="V585" s="143"/>
      <c r="W585" s="130"/>
      <c r="X585" s="130"/>
      <c r="Y585" s="130"/>
      <c r="Z585" s="130"/>
      <c r="AA585" s="130"/>
      <c r="AB585" s="130"/>
      <c r="AC585" s="130"/>
      <c r="AD585" s="130"/>
      <c r="AE585" s="130"/>
      <c r="AF585" s="130"/>
      <c r="AG585" s="130"/>
      <c r="AH585" s="130"/>
      <c r="AI585" s="130"/>
      <c r="AJ585" s="130"/>
      <c r="AK585" s="130"/>
    </row>
    <row r="586">
      <c r="A586" s="130"/>
      <c r="B586" s="130"/>
      <c r="C586" s="143"/>
      <c r="D586" s="130"/>
      <c r="E586" s="143"/>
      <c r="F586" s="143"/>
      <c r="G586" s="143"/>
      <c r="H586" s="143"/>
      <c r="I586" s="143"/>
      <c r="J586" s="143"/>
      <c r="K586" s="143"/>
      <c r="L586" s="143"/>
      <c r="M586" s="143"/>
      <c r="N586" s="143"/>
      <c r="O586" s="143"/>
      <c r="P586" s="143"/>
      <c r="Q586" s="67"/>
      <c r="R586" s="144"/>
      <c r="S586" s="144"/>
      <c r="T586" s="143"/>
      <c r="U586" s="143"/>
      <c r="V586" s="143"/>
      <c r="W586" s="130"/>
      <c r="X586" s="130"/>
      <c r="Y586" s="130"/>
      <c r="Z586" s="130"/>
      <c r="AA586" s="130"/>
      <c r="AB586" s="130"/>
      <c r="AC586" s="130"/>
      <c r="AD586" s="130"/>
      <c r="AE586" s="130"/>
      <c r="AF586" s="130"/>
      <c r="AG586" s="130"/>
      <c r="AH586" s="130"/>
      <c r="AI586" s="130"/>
      <c r="AJ586" s="130"/>
      <c r="AK586" s="130"/>
    </row>
    <row r="587">
      <c r="A587" s="130"/>
      <c r="B587" s="130"/>
      <c r="C587" s="143"/>
      <c r="D587" s="130"/>
      <c r="E587" s="143"/>
      <c r="F587" s="143"/>
      <c r="G587" s="143"/>
      <c r="H587" s="143"/>
      <c r="I587" s="143"/>
      <c r="J587" s="143"/>
      <c r="K587" s="143"/>
      <c r="L587" s="143"/>
      <c r="M587" s="143"/>
      <c r="N587" s="143"/>
      <c r="O587" s="143"/>
      <c r="P587" s="143"/>
      <c r="Q587" s="67"/>
      <c r="R587" s="144"/>
      <c r="S587" s="144"/>
      <c r="T587" s="143"/>
      <c r="U587" s="143"/>
      <c r="V587" s="143"/>
      <c r="W587" s="130"/>
      <c r="X587" s="130"/>
      <c r="Y587" s="130"/>
      <c r="Z587" s="130"/>
      <c r="AA587" s="130"/>
      <c r="AB587" s="130"/>
      <c r="AC587" s="130"/>
      <c r="AD587" s="130"/>
      <c r="AE587" s="130"/>
      <c r="AF587" s="130"/>
      <c r="AG587" s="130"/>
      <c r="AH587" s="130"/>
      <c r="AI587" s="130"/>
      <c r="AJ587" s="130"/>
      <c r="AK587" s="130"/>
    </row>
    <row r="588">
      <c r="A588" s="130"/>
      <c r="B588" s="130"/>
      <c r="C588" s="143"/>
      <c r="D588" s="130"/>
      <c r="E588" s="143"/>
      <c r="F588" s="143"/>
      <c r="G588" s="143"/>
      <c r="H588" s="143"/>
      <c r="I588" s="143"/>
      <c r="J588" s="143"/>
      <c r="K588" s="143"/>
      <c r="L588" s="143"/>
      <c r="M588" s="143"/>
      <c r="N588" s="143"/>
      <c r="O588" s="143"/>
      <c r="P588" s="143"/>
      <c r="Q588" s="67"/>
      <c r="R588" s="144"/>
      <c r="S588" s="144"/>
      <c r="T588" s="143"/>
      <c r="U588" s="143"/>
      <c r="V588" s="143"/>
      <c r="W588" s="130"/>
      <c r="X588" s="130"/>
      <c r="Y588" s="130"/>
      <c r="Z588" s="130"/>
      <c r="AA588" s="130"/>
      <c r="AB588" s="130"/>
      <c r="AC588" s="130"/>
      <c r="AD588" s="130"/>
      <c r="AE588" s="130"/>
      <c r="AF588" s="130"/>
      <c r="AG588" s="130"/>
      <c r="AH588" s="130"/>
      <c r="AI588" s="130"/>
      <c r="AJ588" s="130"/>
      <c r="AK588" s="130"/>
    </row>
    <row r="589">
      <c r="A589" s="130"/>
      <c r="B589" s="130"/>
      <c r="C589" s="143"/>
      <c r="D589" s="130"/>
      <c r="E589" s="143"/>
      <c r="F589" s="143"/>
      <c r="G589" s="143"/>
      <c r="H589" s="143"/>
      <c r="I589" s="143"/>
      <c r="J589" s="143"/>
      <c r="K589" s="143"/>
      <c r="L589" s="143"/>
      <c r="M589" s="143"/>
      <c r="N589" s="143"/>
      <c r="O589" s="143"/>
      <c r="P589" s="143"/>
      <c r="Q589" s="67"/>
      <c r="R589" s="144"/>
      <c r="S589" s="144"/>
      <c r="T589" s="143"/>
      <c r="U589" s="143"/>
      <c r="V589" s="143"/>
      <c r="W589" s="130"/>
      <c r="X589" s="130"/>
      <c r="Y589" s="130"/>
      <c r="Z589" s="130"/>
      <c r="AA589" s="130"/>
      <c r="AB589" s="130"/>
      <c r="AC589" s="130"/>
      <c r="AD589" s="130"/>
      <c r="AE589" s="130"/>
      <c r="AF589" s="130"/>
      <c r="AG589" s="130"/>
      <c r="AH589" s="130"/>
      <c r="AI589" s="130"/>
      <c r="AJ589" s="130"/>
      <c r="AK589" s="130"/>
    </row>
    <row r="590">
      <c r="A590" s="130"/>
      <c r="B590" s="130"/>
      <c r="C590" s="143"/>
      <c r="D590" s="130"/>
      <c r="E590" s="143"/>
      <c r="F590" s="143"/>
      <c r="G590" s="143"/>
      <c r="H590" s="143"/>
      <c r="I590" s="143"/>
      <c r="J590" s="143"/>
      <c r="K590" s="143"/>
      <c r="L590" s="143"/>
      <c r="M590" s="143"/>
      <c r="N590" s="143"/>
      <c r="O590" s="143"/>
      <c r="P590" s="143"/>
      <c r="Q590" s="67"/>
      <c r="R590" s="144"/>
      <c r="S590" s="144"/>
      <c r="T590" s="143"/>
      <c r="U590" s="143"/>
      <c r="V590" s="143"/>
      <c r="W590" s="130"/>
      <c r="X590" s="130"/>
      <c r="Y590" s="130"/>
      <c r="Z590" s="130"/>
      <c r="AA590" s="130"/>
      <c r="AB590" s="130"/>
      <c r="AC590" s="130"/>
      <c r="AD590" s="130"/>
      <c r="AE590" s="130"/>
      <c r="AF590" s="130"/>
      <c r="AG590" s="130"/>
      <c r="AH590" s="130"/>
      <c r="AI590" s="130"/>
      <c r="AJ590" s="130"/>
      <c r="AK590" s="130"/>
    </row>
    <row r="591">
      <c r="A591" s="130"/>
      <c r="B591" s="130"/>
      <c r="C591" s="143"/>
      <c r="D591" s="130"/>
      <c r="E591" s="143"/>
      <c r="F591" s="143"/>
      <c r="G591" s="143"/>
      <c r="H591" s="143"/>
      <c r="I591" s="143"/>
      <c r="J591" s="143"/>
      <c r="K591" s="143"/>
      <c r="L591" s="143"/>
      <c r="M591" s="143"/>
      <c r="N591" s="143"/>
      <c r="O591" s="143"/>
      <c r="P591" s="143"/>
      <c r="Q591" s="67"/>
      <c r="R591" s="144"/>
      <c r="S591" s="144"/>
      <c r="T591" s="143"/>
      <c r="U591" s="143"/>
      <c r="V591" s="143"/>
      <c r="W591" s="130"/>
      <c r="X591" s="130"/>
      <c r="Y591" s="130"/>
      <c r="Z591" s="130"/>
      <c r="AA591" s="130"/>
      <c r="AB591" s="130"/>
      <c r="AC591" s="130"/>
      <c r="AD591" s="130"/>
      <c r="AE591" s="130"/>
      <c r="AF591" s="130"/>
      <c r="AG591" s="130"/>
      <c r="AH591" s="130"/>
      <c r="AI591" s="130"/>
      <c r="AJ591" s="130"/>
      <c r="AK591" s="130"/>
    </row>
    <row r="592">
      <c r="A592" s="130"/>
      <c r="B592" s="130"/>
      <c r="C592" s="143"/>
      <c r="D592" s="130"/>
      <c r="E592" s="143"/>
      <c r="F592" s="143"/>
      <c r="G592" s="143"/>
      <c r="H592" s="143"/>
      <c r="I592" s="143"/>
      <c r="J592" s="143"/>
      <c r="K592" s="143"/>
      <c r="L592" s="143"/>
      <c r="M592" s="143"/>
      <c r="N592" s="143"/>
      <c r="O592" s="143"/>
      <c r="P592" s="143"/>
      <c r="Q592" s="67"/>
      <c r="R592" s="144"/>
      <c r="S592" s="144"/>
      <c r="T592" s="143"/>
      <c r="U592" s="143"/>
      <c r="V592" s="143"/>
      <c r="W592" s="130"/>
      <c r="X592" s="130"/>
      <c r="Y592" s="130"/>
      <c r="Z592" s="130"/>
      <c r="AA592" s="130"/>
      <c r="AB592" s="130"/>
      <c r="AC592" s="130"/>
      <c r="AD592" s="130"/>
      <c r="AE592" s="130"/>
      <c r="AF592" s="130"/>
      <c r="AG592" s="130"/>
      <c r="AH592" s="130"/>
      <c r="AI592" s="130"/>
      <c r="AJ592" s="130"/>
      <c r="AK592" s="130"/>
    </row>
    <row r="593">
      <c r="A593" s="130"/>
      <c r="B593" s="130"/>
      <c r="C593" s="143"/>
      <c r="D593" s="130"/>
      <c r="E593" s="143"/>
      <c r="F593" s="143"/>
      <c r="G593" s="143"/>
      <c r="H593" s="143"/>
      <c r="I593" s="143"/>
      <c r="J593" s="143"/>
      <c r="K593" s="143"/>
      <c r="L593" s="143"/>
      <c r="M593" s="143"/>
      <c r="N593" s="143"/>
      <c r="O593" s="143"/>
      <c r="P593" s="143"/>
      <c r="Q593" s="67"/>
      <c r="R593" s="144"/>
      <c r="S593" s="144"/>
      <c r="T593" s="143"/>
      <c r="U593" s="143"/>
      <c r="V593" s="143"/>
      <c r="W593" s="130"/>
      <c r="X593" s="130"/>
      <c r="Y593" s="130"/>
      <c r="Z593" s="130"/>
      <c r="AA593" s="130"/>
      <c r="AB593" s="130"/>
      <c r="AC593" s="130"/>
      <c r="AD593" s="130"/>
      <c r="AE593" s="130"/>
      <c r="AF593" s="130"/>
      <c r="AG593" s="130"/>
      <c r="AH593" s="130"/>
      <c r="AI593" s="130"/>
      <c r="AJ593" s="130"/>
      <c r="AK593" s="130"/>
    </row>
    <row r="594">
      <c r="A594" s="130"/>
      <c r="B594" s="130"/>
      <c r="C594" s="143"/>
      <c r="D594" s="130"/>
      <c r="E594" s="143"/>
      <c r="F594" s="143"/>
      <c r="G594" s="143"/>
      <c r="H594" s="143"/>
      <c r="I594" s="143"/>
      <c r="J594" s="143"/>
      <c r="K594" s="143"/>
      <c r="L594" s="143"/>
      <c r="M594" s="143"/>
      <c r="N594" s="143"/>
      <c r="O594" s="143"/>
      <c r="P594" s="143"/>
      <c r="Q594" s="67"/>
      <c r="R594" s="144"/>
      <c r="S594" s="144"/>
      <c r="T594" s="143"/>
      <c r="U594" s="143"/>
      <c r="V594" s="143"/>
      <c r="W594" s="130"/>
      <c r="X594" s="130"/>
      <c r="Y594" s="130"/>
      <c r="Z594" s="130"/>
      <c r="AA594" s="130"/>
      <c r="AB594" s="130"/>
      <c r="AC594" s="130"/>
      <c r="AD594" s="130"/>
      <c r="AE594" s="130"/>
      <c r="AF594" s="130"/>
      <c r="AG594" s="130"/>
      <c r="AH594" s="130"/>
      <c r="AI594" s="130"/>
      <c r="AJ594" s="130"/>
      <c r="AK594" s="130"/>
    </row>
    <row r="595">
      <c r="A595" s="130"/>
      <c r="B595" s="130"/>
      <c r="C595" s="143"/>
      <c r="D595" s="130"/>
      <c r="E595" s="143"/>
      <c r="F595" s="143"/>
      <c r="G595" s="143"/>
      <c r="H595" s="143"/>
      <c r="I595" s="143"/>
      <c r="J595" s="143"/>
      <c r="K595" s="143"/>
      <c r="L595" s="143"/>
      <c r="M595" s="143"/>
      <c r="N595" s="143"/>
      <c r="O595" s="143"/>
      <c r="P595" s="143"/>
      <c r="Q595" s="67"/>
      <c r="R595" s="144"/>
      <c r="S595" s="144"/>
      <c r="T595" s="143"/>
      <c r="U595" s="143"/>
      <c r="V595" s="143"/>
      <c r="W595" s="130"/>
      <c r="X595" s="130"/>
      <c r="Y595" s="130"/>
      <c r="Z595" s="130"/>
      <c r="AA595" s="130"/>
      <c r="AB595" s="130"/>
      <c r="AC595" s="130"/>
      <c r="AD595" s="130"/>
      <c r="AE595" s="130"/>
      <c r="AF595" s="130"/>
      <c r="AG595" s="130"/>
      <c r="AH595" s="130"/>
      <c r="AI595" s="130"/>
      <c r="AJ595" s="130"/>
      <c r="AK595" s="130"/>
    </row>
    <row r="596">
      <c r="A596" s="130"/>
      <c r="B596" s="130"/>
      <c r="C596" s="143"/>
      <c r="D596" s="130"/>
      <c r="E596" s="143"/>
      <c r="F596" s="143"/>
      <c r="G596" s="143"/>
      <c r="H596" s="143"/>
      <c r="I596" s="143"/>
      <c r="J596" s="143"/>
      <c r="K596" s="143"/>
      <c r="L596" s="143"/>
      <c r="M596" s="143"/>
      <c r="N596" s="143"/>
      <c r="O596" s="143"/>
      <c r="P596" s="143"/>
      <c r="Q596" s="67"/>
      <c r="R596" s="144"/>
      <c r="S596" s="144"/>
      <c r="T596" s="143"/>
      <c r="U596" s="143"/>
      <c r="V596" s="143"/>
      <c r="W596" s="130"/>
      <c r="X596" s="130"/>
      <c r="Y596" s="130"/>
      <c r="Z596" s="130"/>
      <c r="AA596" s="130"/>
      <c r="AB596" s="130"/>
      <c r="AC596" s="130"/>
      <c r="AD596" s="130"/>
      <c r="AE596" s="130"/>
      <c r="AF596" s="130"/>
      <c r="AG596" s="130"/>
      <c r="AH596" s="130"/>
      <c r="AI596" s="130"/>
      <c r="AJ596" s="130"/>
      <c r="AK596" s="130"/>
    </row>
    <row r="597">
      <c r="A597" s="130"/>
      <c r="B597" s="130"/>
      <c r="C597" s="143"/>
      <c r="D597" s="130"/>
      <c r="E597" s="143"/>
      <c r="F597" s="143"/>
      <c r="G597" s="143"/>
      <c r="H597" s="143"/>
      <c r="I597" s="143"/>
      <c r="J597" s="143"/>
      <c r="K597" s="143"/>
      <c r="L597" s="143"/>
      <c r="M597" s="143"/>
      <c r="N597" s="143"/>
      <c r="O597" s="143"/>
      <c r="P597" s="143"/>
      <c r="Q597" s="67"/>
      <c r="R597" s="144"/>
      <c r="S597" s="144"/>
      <c r="T597" s="143"/>
      <c r="U597" s="143"/>
      <c r="V597" s="143"/>
      <c r="W597" s="130"/>
      <c r="X597" s="130"/>
      <c r="Y597" s="130"/>
      <c r="Z597" s="130"/>
      <c r="AA597" s="130"/>
      <c r="AB597" s="130"/>
      <c r="AC597" s="130"/>
      <c r="AD597" s="130"/>
      <c r="AE597" s="130"/>
      <c r="AF597" s="130"/>
      <c r="AG597" s="130"/>
      <c r="AH597" s="130"/>
      <c r="AI597" s="130"/>
      <c r="AJ597" s="130"/>
      <c r="AK597" s="130"/>
    </row>
    <row r="598">
      <c r="A598" s="130"/>
      <c r="B598" s="130"/>
      <c r="C598" s="143"/>
      <c r="D598" s="130"/>
      <c r="E598" s="143"/>
      <c r="F598" s="143"/>
      <c r="G598" s="143"/>
      <c r="H598" s="143"/>
      <c r="I598" s="143"/>
      <c r="J598" s="143"/>
      <c r="K598" s="143"/>
      <c r="L598" s="143"/>
      <c r="M598" s="143"/>
      <c r="N598" s="143"/>
      <c r="O598" s="143"/>
      <c r="P598" s="143"/>
      <c r="Q598" s="67"/>
      <c r="R598" s="144"/>
      <c r="S598" s="144"/>
      <c r="T598" s="143"/>
      <c r="U598" s="143"/>
      <c r="V598" s="143"/>
      <c r="W598" s="130"/>
      <c r="X598" s="130"/>
      <c r="Y598" s="130"/>
      <c r="Z598" s="130"/>
      <c r="AA598" s="130"/>
      <c r="AB598" s="130"/>
      <c r="AC598" s="130"/>
      <c r="AD598" s="130"/>
      <c r="AE598" s="130"/>
      <c r="AF598" s="130"/>
      <c r="AG598" s="130"/>
      <c r="AH598" s="130"/>
      <c r="AI598" s="130"/>
      <c r="AJ598" s="130"/>
      <c r="AK598" s="130"/>
    </row>
    <row r="599">
      <c r="A599" s="130"/>
      <c r="B599" s="130"/>
      <c r="C599" s="143"/>
      <c r="D599" s="130"/>
      <c r="E599" s="143"/>
      <c r="F599" s="143"/>
      <c r="G599" s="143"/>
      <c r="H599" s="143"/>
      <c r="I599" s="143"/>
      <c r="J599" s="143"/>
      <c r="K599" s="143"/>
      <c r="L599" s="143"/>
      <c r="M599" s="143"/>
      <c r="N599" s="143"/>
      <c r="O599" s="143"/>
      <c r="P599" s="143"/>
      <c r="Q599" s="67"/>
      <c r="R599" s="144"/>
      <c r="S599" s="144"/>
      <c r="T599" s="143"/>
      <c r="U599" s="143"/>
      <c r="V599" s="143"/>
      <c r="W599" s="130"/>
      <c r="X599" s="130"/>
      <c r="Y599" s="130"/>
      <c r="Z599" s="130"/>
      <c r="AA599" s="130"/>
      <c r="AB599" s="130"/>
      <c r="AC599" s="130"/>
      <c r="AD599" s="130"/>
      <c r="AE599" s="130"/>
      <c r="AF599" s="130"/>
      <c r="AG599" s="130"/>
      <c r="AH599" s="130"/>
      <c r="AI599" s="130"/>
      <c r="AJ599" s="130"/>
      <c r="AK599" s="130"/>
    </row>
    <row r="600">
      <c r="A600" s="130"/>
      <c r="B600" s="130"/>
      <c r="C600" s="143"/>
      <c r="D600" s="130"/>
      <c r="E600" s="143"/>
      <c r="F600" s="143"/>
      <c r="G600" s="143"/>
      <c r="H600" s="143"/>
      <c r="I600" s="143"/>
      <c r="J600" s="143"/>
      <c r="K600" s="143"/>
      <c r="L600" s="143"/>
      <c r="M600" s="143"/>
      <c r="N600" s="143"/>
      <c r="O600" s="143"/>
      <c r="P600" s="143"/>
      <c r="Q600" s="67"/>
      <c r="R600" s="144"/>
      <c r="S600" s="144"/>
      <c r="T600" s="143"/>
      <c r="U600" s="143"/>
      <c r="V600" s="143"/>
      <c r="W600" s="130"/>
      <c r="X600" s="130"/>
      <c r="Y600" s="130"/>
      <c r="Z600" s="130"/>
      <c r="AA600" s="130"/>
      <c r="AB600" s="130"/>
      <c r="AC600" s="130"/>
      <c r="AD600" s="130"/>
      <c r="AE600" s="130"/>
      <c r="AF600" s="130"/>
      <c r="AG600" s="130"/>
      <c r="AH600" s="130"/>
      <c r="AI600" s="130"/>
      <c r="AJ600" s="130"/>
      <c r="AK600" s="130"/>
    </row>
    <row r="601">
      <c r="A601" s="130"/>
      <c r="B601" s="130"/>
      <c r="C601" s="143"/>
      <c r="D601" s="130"/>
      <c r="E601" s="143"/>
      <c r="F601" s="143"/>
      <c r="G601" s="143"/>
      <c r="H601" s="143"/>
      <c r="I601" s="143"/>
      <c r="J601" s="143"/>
      <c r="K601" s="143"/>
      <c r="L601" s="143"/>
      <c r="M601" s="143"/>
      <c r="N601" s="143"/>
      <c r="O601" s="143"/>
      <c r="P601" s="143"/>
      <c r="Q601" s="67"/>
      <c r="R601" s="144"/>
      <c r="S601" s="144"/>
      <c r="T601" s="143"/>
      <c r="U601" s="143"/>
      <c r="V601" s="143"/>
      <c r="W601" s="130"/>
      <c r="X601" s="130"/>
      <c r="Y601" s="130"/>
      <c r="Z601" s="130"/>
      <c r="AA601" s="130"/>
      <c r="AB601" s="130"/>
      <c r="AC601" s="130"/>
      <c r="AD601" s="130"/>
      <c r="AE601" s="130"/>
      <c r="AF601" s="130"/>
      <c r="AG601" s="130"/>
      <c r="AH601" s="130"/>
      <c r="AI601" s="130"/>
      <c r="AJ601" s="130"/>
      <c r="AK601" s="130"/>
    </row>
    <row r="602">
      <c r="A602" s="130"/>
      <c r="B602" s="130"/>
      <c r="C602" s="143"/>
      <c r="D602" s="130"/>
      <c r="E602" s="143"/>
      <c r="F602" s="143"/>
      <c r="G602" s="143"/>
      <c r="H602" s="143"/>
      <c r="I602" s="143"/>
      <c r="J602" s="143"/>
      <c r="K602" s="143"/>
      <c r="L602" s="143"/>
      <c r="M602" s="143"/>
      <c r="N602" s="143"/>
      <c r="O602" s="143"/>
      <c r="P602" s="143"/>
      <c r="Q602" s="67"/>
      <c r="R602" s="144"/>
      <c r="S602" s="144"/>
      <c r="T602" s="143"/>
      <c r="U602" s="143"/>
      <c r="V602" s="143"/>
      <c r="W602" s="130"/>
      <c r="X602" s="130"/>
      <c r="Y602" s="130"/>
      <c r="Z602" s="130"/>
      <c r="AA602" s="130"/>
      <c r="AB602" s="130"/>
      <c r="AC602" s="130"/>
      <c r="AD602" s="130"/>
      <c r="AE602" s="130"/>
      <c r="AF602" s="130"/>
      <c r="AG602" s="130"/>
      <c r="AH602" s="130"/>
      <c r="AI602" s="130"/>
      <c r="AJ602" s="130"/>
      <c r="AK602" s="130"/>
    </row>
    <row r="603">
      <c r="A603" s="130"/>
      <c r="B603" s="130"/>
      <c r="C603" s="143"/>
      <c r="D603" s="130"/>
      <c r="E603" s="143"/>
      <c r="F603" s="143"/>
      <c r="G603" s="143"/>
      <c r="H603" s="143"/>
      <c r="I603" s="143"/>
      <c r="J603" s="143"/>
      <c r="K603" s="143"/>
      <c r="L603" s="143"/>
      <c r="M603" s="143"/>
      <c r="N603" s="143"/>
      <c r="O603" s="143"/>
      <c r="P603" s="143"/>
      <c r="Q603" s="67"/>
      <c r="R603" s="144"/>
      <c r="S603" s="144"/>
      <c r="T603" s="143"/>
      <c r="U603" s="143"/>
      <c r="V603" s="143"/>
      <c r="W603" s="130"/>
      <c r="X603" s="130"/>
      <c r="Y603" s="130"/>
      <c r="Z603" s="130"/>
      <c r="AA603" s="130"/>
      <c r="AB603" s="130"/>
      <c r="AC603" s="130"/>
      <c r="AD603" s="130"/>
      <c r="AE603" s="130"/>
      <c r="AF603" s="130"/>
      <c r="AG603" s="130"/>
      <c r="AH603" s="130"/>
      <c r="AI603" s="130"/>
      <c r="AJ603" s="130"/>
      <c r="AK603" s="130"/>
    </row>
    <row r="604">
      <c r="A604" s="130"/>
      <c r="B604" s="130"/>
      <c r="C604" s="143"/>
      <c r="D604" s="130"/>
      <c r="E604" s="143"/>
      <c r="F604" s="143"/>
      <c r="G604" s="143"/>
      <c r="H604" s="143"/>
      <c r="I604" s="143"/>
      <c r="J604" s="143"/>
      <c r="K604" s="143"/>
      <c r="L604" s="143"/>
      <c r="M604" s="143"/>
      <c r="N604" s="143"/>
      <c r="O604" s="143"/>
      <c r="P604" s="143"/>
      <c r="Q604" s="67"/>
      <c r="R604" s="144"/>
      <c r="S604" s="144"/>
      <c r="T604" s="143"/>
      <c r="U604" s="143"/>
      <c r="V604" s="143"/>
      <c r="W604" s="130"/>
      <c r="X604" s="130"/>
      <c r="Y604" s="130"/>
      <c r="Z604" s="130"/>
      <c r="AA604" s="130"/>
      <c r="AB604" s="130"/>
      <c r="AC604" s="130"/>
      <c r="AD604" s="130"/>
      <c r="AE604" s="130"/>
      <c r="AF604" s="130"/>
      <c r="AG604" s="130"/>
      <c r="AH604" s="130"/>
      <c r="AI604" s="130"/>
      <c r="AJ604" s="130"/>
      <c r="AK604" s="130"/>
    </row>
    <row r="605">
      <c r="A605" s="130"/>
      <c r="B605" s="130"/>
      <c r="C605" s="143"/>
      <c r="D605" s="130"/>
      <c r="E605" s="143"/>
      <c r="F605" s="143"/>
      <c r="G605" s="143"/>
      <c r="H605" s="143"/>
      <c r="I605" s="143"/>
      <c r="J605" s="143"/>
      <c r="K605" s="143"/>
      <c r="L605" s="143"/>
      <c r="M605" s="143"/>
      <c r="N605" s="143"/>
      <c r="O605" s="143"/>
      <c r="P605" s="143"/>
      <c r="Q605" s="67"/>
      <c r="R605" s="144"/>
      <c r="S605" s="144"/>
      <c r="T605" s="143"/>
      <c r="U605" s="143"/>
      <c r="V605" s="143"/>
      <c r="W605" s="130"/>
      <c r="X605" s="130"/>
      <c r="Y605" s="130"/>
      <c r="Z605" s="130"/>
      <c r="AA605" s="130"/>
      <c r="AB605" s="130"/>
      <c r="AC605" s="130"/>
      <c r="AD605" s="130"/>
      <c r="AE605" s="130"/>
      <c r="AF605" s="130"/>
      <c r="AG605" s="130"/>
      <c r="AH605" s="130"/>
      <c r="AI605" s="130"/>
      <c r="AJ605" s="130"/>
      <c r="AK605" s="130"/>
    </row>
    <row r="606">
      <c r="A606" s="130"/>
      <c r="B606" s="130"/>
      <c r="C606" s="143"/>
      <c r="D606" s="130"/>
      <c r="E606" s="143"/>
      <c r="F606" s="143"/>
      <c r="G606" s="143"/>
      <c r="H606" s="143"/>
      <c r="I606" s="143"/>
      <c r="J606" s="143"/>
      <c r="K606" s="143"/>
      <c r="L606" s="143"/>
      <c r="M606" s="143"/>
      <c r="N606" s="143"/>
      <c r="O606" s="143"/>
      <c r="P606" s="143"/>
      <c r="Q606" s="67"/>
      <c r="R606" s="144"/>
      <c r="S606" s="144"/>
      <c r="T606" s="143"/>
      <c r="U606" s="143"/>
      <c r="V606" s="143"/>
      <c r="W606" s="130"/>
      <c r="X606" s="130"/>
      <c r="Y606" s="130"/>
      <c r="Z606" s="130"/>
      <c r="AA606" s="130"/>
      <c r="AB606" s="130"/>
      <c r="AC606" s="130"/>
      <c r="AD606" s="130"/>
      <c r="AE606" s="130"/>
      <c r="AF606" s="130"/>
      <c r="AG606" s="130"/>
      <c r="AH606" s="130"/>
      <c r="AI606" s="130"/>
      <c r="AJ606" s="130"/>
      <c r="AK606" s="130"/>
    </row>
    <row r="607">
      <c r="A607" s="130"/>
      <c r="B607" s="130"/>
      <c r="C607" s="143"/>
      <c r="D607" s="130"/>
      <c r="E607" s="143"/>
      <c r="F607" s="143"/>
      <c r="G607" s="143"/>
      <c r="H607" s="143"/>
      <c r="I607" s="143"/>
      <c r="J607" s="143"/>
      <c r="K607" s="143"/>
      <c r="L607" s="143"/>
      <c r="M607" s="143"/>
      <c r="N607" s="143"/>
      <c r="O607" s="143"/>
      <c r="P607" s="143"/>
      <c r="Q607" s="67"/>
      <c r="R607" s="144"/>
      <c r="S607" s="144"/>
      <c r="T607" s="143"/>
      <c r="U607" s="143"/>
      <c r="V607" s="143"/>
      <c r="W607" s="130"/>
      <c r="X607" s="130"/>
      <c r="Y607" s="130"/>
      <c r="Z607" s="130"/>
      <c r="AA607" s="130"/>
      <c r="AB607" s="130"/>
      <c r="AC607" s="130"/>
      <c r="AD607" s="130"/>
      <c r="AE607" s="130"/>
      <c r="AF607" s="130"/>
      <c r="AG607" s="130"/>
      <c r="AH607" s="130"/>
      <c r="AI607" s="130"/>
      <c r="AJ607" s="130"/>
      <c r="AK607" s="130"/>
    </row>
    <row r="608">
      <c r="A608" s="130"/>
      <c r="B608" s="130"/>
      <c r="C608" s="143"/>
      <c r="D608" s="130"/>
      <c r="E608" s="143"/>
      <c r="F608" s="143"/>
      <c r="G608" s="143"/>
      <c r="H608" s="143"/>
      <c r="I608" s="143"/>
      <c r="J608" s="143"/>
      <c r="K608" s="143"/>
      <c r="L608" s="143"/>
      <c r="M608" s="143"/>
      <c r="N608" s="143"/>
      <c r="O608" s="143"/>
      <c r="P608" s="143"/>
      <c r="Q608" s="67"/>
      <c r="R608" s="144"/>
      <c r="S608" s="144"/>
      <c r="T608" s="143"/>
      <c r="U608" s="143"/>
      <c r="V608" s="143"/>
      <c r="W608" s="130"/>
      <c r="X608" s="130"/>
      <c r="Y608" s="130"/>
      <c r="Z608" s="130"/>
      <c r="AA608" s="130"/>
      <c r="AB608" s="130"/>
      <c r="AC608" s="130"/>
      <c r="AD608" s="130"/>
      <c r="AE608" s="130"/>
      <c r="AF608" s="130"/>
      <c r="AG608" s="130"/>
      <c r="AH608" s="130"/>
      <c r="AI608" s="130"/>
      <c r="AJ608" s="130"/>
      <c r="AK608" s="130"/>
    </row>
    <row r="609">
      <c r="A609" s="130"/>
      <c r="B609" s="130"/>
      <c r="C609" s="143"/>
      <c r="D609" s="130"/>
      <c r="E609" s="143"/>
      <c r="F609" s="143"/>
      <c r="G609" s="143"/>
      <c r="H609" s="143"/>
      <c r="I609" s="143"/>
      <c r="J609" s="143"/>
      <c r="K609" s="143"/>
      <c r="L609" s="143"/>
      <c r="M609" s="143"/>
      <c r="N609" s="143"/>
      <c r="O609" s="143"/>
      <c r="P609" s="143"/>
      <c r="Q609" s="67"/>
      <c r="R609" s="144"/>
      <c r="S609" s="144"/>
      <c r="T609" s="143"/>
      <c r="U609" s="143"/>
      <c r="V609" s="143"/>
      <c r="W609" s="130"/>
      <c r="X609" s="130"/>
      <c r="Y609" s="130"/>
      <c r="Z609" s="130"/>
      <c r="AA609" s="130"/>
      <c r="AB609" s="130"/>
      <c r="AC609" s="130"/>
      <c r="AD609" s="130"/>
      <c r="AE609" s="130"/>
      <c r="AF609" s="130"/>
      <c r="AG609" s="130"/>
      <c r="AH609" s="130"/>
      <c r="AI609" s="130"/>
      <c r="AJ609" s="130"/>
      <c r="AK609" s="130"/>
    </row>
    <row r="610">
      <c r="A610" s="130"/>
      <c r="B610" s="130"/>
      <c r="C610" s="143"/>
      <c r="D610" s="130"/>
      <c r="E610" s="143"/>
      <c r="F610" s="143"/>
      <c r="G610" s="143"/>
      <c r="H610" s="143"/>
      <c r="I610" s="143"/>
      <c r="J610" s="143"/>
      <c r="K610" s="143"/>
      <c r="L610" s="143"/>
      <c r="M610" s="143"/>
      <c r="N610" s="143"/>
      <c r="O610" s="143"/>
      <c r="P610" s="143"/>
      <c r="Q610" s="67"/>
      <c r="R610" s="144"/>
      <c r="S610" s="144"/>
      <c r="T610" s="143"/>
      <c r="U610" s="143"/>
      <c r="V610" s="143"/>
      <c r="W610" s="130"/>
      <c r="X610" s="130"/>
      <c r="Y610" s="130"/>
      <c r="Z610" s="130"/>
      <c r="AA610" s="130"/>
      <c r="AB610" s="130"/>
      <c r="AC610" s="130"/>
      <c r="AD610" s="130"/>
      <c r="AE610" s="130"/>
      <c r="AF610" s="130"/>
      <c r="AG610" s="130"/>
      <c r="AH610" s="130"/>
      <c r="AI610" s="130"/>
      <c r="AJ610" s="130"/>
      <c r="AK610" s="130"/>
    </row>
    <row r="611">
      <c r="A611" s="130"/>
      <c r="B611" s="130"/>
      <c r="C611" s="143"/>
      <c r="D611" s="130"/>
      <c r="E611" s="143"/>
      <c r="F611" s="143"/>
      <c r="G611" s="143"/>
      <c r="H611" s="143"/>
      <c r="I611" s="143"/>
      <c r="J611" s="143"/>
      <c r="K611" s="143"/>
      <c r="L611" s="143"/>
      <c r="M611" s="143"/>
      <c r="N611" s="143"/>
      <c r="O611" s="143"/>
      <c r="P611" s="143"/>
      <c r="Q611" s="67"/>
      <c r="R611" s="144"/>
      <c r="S611" s="144"/>
      <c r="T611" s="143"/>
      <c r="U611" s="143"/>
      <c r="V611" s="143"/>
      <c r="W611" s="130"/>
      <c r="X611" s="130"/>
      <c r="Y611" s="130"/>
      <c r="Z611" s="130"/>
      <c r="AA611" s="130"/>
      <c r="AB611" s="130"/>
      <c r="AC611" s="130"/>
      <c r="AD611" s="130"/>
      <c r="AE611" s="130"/>
      <c r="AF611" s="130"/>
      <c r="AG611" s="130"/>
      <c r="AH611" s="130"/>
      <c r="AI611" s="130"/>
      <c r="AJ611" s="130"/>
      <c r="AK611" s="130"/>
    </row>
    <row r="612">
      <c r="A612" s="130"/>
      <c r="B612" s="130"/>
      <c r="C612" s="143"/>
      <c r="D612" s="130"/>
      <c r="E612" s="143"/>
      <c r="F612" s="143"/>
      <c r="G612" s="143"/>
      <c r="H612" s="143"/>
      <c r="I612" s="143"/>
      <c r="J612" s="143"/>
      <c r="K612" s="143"/>
      <c r="L612" s="143"/>
      <c r="M612" s="143"/>
      <c r="N612" s="143"/>
      <c r="O612" s="143"/>
      <c r="P612" s="143"/>
      <c r="Q612" s="67"/>
      <c r="R612" s="144"/>
      <c r="S612" s="144"/>
      <c r="T612" s="143"/>
      <c r="U612" s="143"/>
      <c r="V612" s="143"/>
      <c r="W612" s="130"/>
      <c r="X612" s="130"/>
      <c r="Y612" s="130"/>
      <c r="Z612" s="130"/>
      <c r="AA612" s="130"/>
      <c r="AB612" s="130"/>
      <c r="AC612" s="130"/>
      <c r="AD612" s="130"/>
      <c r="AE612" s="130"/>
      <c r="AF612" s="130"/>
      <c r="AG612" s="130"/>
      <c r="AH612" s="130"/>
      <c r="AI612" s="130"/>
      <c r="AJ612" s="130"/>
      <c r="AK612" s="130"/>
    </row>
    <row r="613">
      <c r="A613" s="130"/>
      <c r="B613" s="130"/>
      <c r="C613" s="143"/>
      <c r="D613" s="130"/>
      <c r="E613" s="143"/>
      <c r="F613" s="143"/>
      <c r="G613" s="143"/>
      <c r="H613" s="143"/>
      <c r="I613" s="143"/>
      <c r="J613" s="143"/>
      <c r="K613" s="143"/>
      <c r="L613" s="143"/>
      <c r="M613" s="143"/>
      <c r="N613" s="143"/>
      <c r="O613" s="143"/>
      <c r="P613" s="143"/>
      <c r="Q613" s="67"/>
      <c r="R613" s="144"/>
      <c r="S613" s="144"/>
      <c r="T613" s="143"/>
      <c r="U613" s="143"/>
      <c r="V613" s="143"/>
      <c r="W613" s="130"/>
      <c r="X613" s="130"/>
      <c r="Y613" s="130"/>
      <c r="Z613" s="130"/>
      <c r="AA613" s="130"/>
      <c r="AB613" s="130"/>
      <c r="AC613" s="130"/>
      <c r="AD613" s="130"/>
      <c r="AE613" s="130"/>
      <c r="AF613" s="130"/>
      <c r="AG613" s="130"/>
      <c r="AH613" s="130"/>
      <c r="AI613" s="130"/>
      <c r="AJ613" s="130"/>
      <c r="AK613" s="130"/>
    </row>
    <row r="614">
      <c r="A614" s="130"/>
      <c r="B614" s="130"/>
      <c r="C614" s="143"/>
      <c r="D614" s="130"/>
      <c r="E614" s="143"/>
      <c r="F614" s="143"/>
      <c r="G614" s="143"/>
      <c r="H614" s="143"/>
      <c r="I614" s="143"/>
      <c r="J614" s="143"/>
      <c r="K614" s="143"/>
      <c r="L614" s="143"/>
      <c r="M614" s="143"/>
      <c r="N614" s="143"/>
      <c r="O614" s="143"/>
      <c r="P614" s="143"/>
      <c r="Q614" s="67"/>
      <c r="R614" s="144"/>
      <c r="S614" s="144"/>
      <c r="T614" s="143"/>
      <c r="U614" s="143"/>
      <c r="V614" s="143"/>
      <c r="W614" s="130"/>
      <c r="X614" s="130"/>
      <c r="Y614" s="130"/>
      <c r="Z614" s="130"/>
      <c r="AA614" s="130"/>
      <c r="AB614" s="130"/>
      <c r="AC614" s="130"/>
      <c r="AD614" s="130"/>
      <c r="AE614" s="130"/>
      <c r="AF614" s="130"/>
      <c r="AG614" s="130"/>
      <c r="AH614" s="130"/>
      <c r="AI614" s="130"/>
      <c r="AJ614" s="130"/>
      <c r="AK614" s="130"/>
    </row>
    <row r="615">
      <c r="A615" s="130"/>
      <c r="B615" s="130"/>
      <c r="C615" s="143"/>
      <c r="D615" s="130"/>
      <c r="E615" s="143"/>
      <c r="F615" s="143"/>
      <c r="G615" s="143"/>
      <c r="H615" s="143"/>
      <c r="I615" s="143"/>
      <c r="J615" s="143"/>
      <c r="K615" s="143"/>
      <c r="L615" s="143"/>
      <c r="M615" s="143"/>
      <c r="N615" s="143"/>
      <c r="O615" s="143"/>
      <c r="P615" s="143"/>
      <c r="Q615" s="67"/>
      <c r="R615" s="144"/>
      <c r="S615" s="144"/>
      <c r="T615" s="143"/>
      <c r="U615" s="143"/>
      <c r="V615" s="143"/>
      <c r="W615" s="130"/>
      <c r="X615" s="130"/>
      <c r="Y615" s="130"/>
      <c r="Z615" s="130"/>
      <c r="AA615" s="130"/>
      <c r="AB615" s="130"/>
      <c r="AC615" s="130"/>
      <c r="AD615" s="130"/>
      <c r="AE615" s="130"/>
      <c r="AF615" s="130"/>
      <c r="AG615" s="130"/>
      <c r="AH615" s="130"/>
      <c r="AI615" s="130"/>
      <c r="AJ615" s="130"/>
      <c r="AK615" s="130"/>
    </row>
    <row r="616">
      <c r="A616" s="130"/>
      <c r="B616" s="130"/>
      <c r="C616" s="143"/>
      <c r="D616" s="130"/>
      <c r="E616" s="143"/>
      <c r="F616" s="143"/>
      <c r="G616" s="143"/>
      <c r="H616" s="143"/>
      <c r="I616" s="143"/>
      <c r="J616" s="143"/>
      <c r="K616" s="143"/>
      <c r="L616" s="143"/>
      <c r="M616" s="143"/>
      <c r="N616" s="143"/>
      <c r="O616" s="143"/>
      <c r="P616" s="143"/>
      <c r="Q616" s="67"/>
      <c r="R616" s="144"/>
      <c r="S616" s="144"/>
      <c r="T616" s="143"/>
      <c r="U616" s="143"/>
      <c r="V616" s="143"/>
      <c r="W616" s="130"/>
      <c r="X616" s="130"/>
      <c r="Y616" s="130"/>
      <c r="Z616" s="130"/>
      <c r="AA616" s="130"/>
      <c r="AB616" s="130"/>
      <c r="AC616" s="130"/>
      <c r="AD616" s="130"/>
      <c r="AE616" s="130"/>
      <c r="AF616" s="130"/>
      <c r="AG616" s="130"/>
      <c r="AH616" s="130"/>
      <c r="AI616" s="130"/>
      <c r="AJ616" s="130"/>
      <c r="AK616" s="130"/>
    </row>
    <row r="617">
      <c r="A617" s="130"/>
      <c r="B617" s="130"/>
      <c r="C617" s="143"/>
      <c r="D617" s="130"/>
      <c r="E617" s="143"/>
      <c r="F617" s="143"/>
      <c r="G617" s="143"/>
      <c r="H617" s="143"/>
      <c r="I617" s="143"/>
      <c r="J617" s="143"/>
      <c r="K617" s="143"/>
      <c r="L617" s="143"/>
      <c r="M617" s="143"/>
      <c r="N617" s="143"/>
      <c r="O617" s="143"/>
      <c r="P617" s="143"/>
      <c r="Q617" s="67"/>
      <c r="R617" s="144"/>
      <c r="S617" s="144"/>
      <c r="T617" s="143"/>
      <c r="U617" s="143"/>
      <c r="V617" s="143"/>
      <c r="W617" s="130"/>
      <c r="X617" s="130"/>
      <c r="Y617" s="130"/>
      <c r="Z617" s="130"/>
      <c r="AA617" s="130"/>
      <c r="AB617" s="130"/>
      <c r="AC617" s="130"/>
      <c r="AD617" s="130"/>
      <c r="AE617" s="130"/>
      <c r="AF617" s="130"/>
      <c r="AG617" s="130"/>
      <c r="AH617" s="130"/>
      <c r="AI617" s="130"/>
      <c r="AJ617" s="130"/>
      <c r="AK617" s="130"/>
    </row>
    <row r="618">
      <c r="A618" s="130"/>
      <c r="B618" s="130"/>
      <c r="C618" s="143"/>
      <c r="D618" s="130"/>
      <c r="E618" s="143"/>
      <c r="F618" s="143"/>
      <c r="G618" s="143"/>
      <c r="H618" s="143"/>
      <c r="I618" s="143"/>
      <c r="J618" s="143"/>
      <c r="K618" s="143"/>
      <c r="L618" s="143"/>
      <c r="M618" s="143"/>
      <c r="N618" s="143"/>
      <c r="O618" s="143"/>
      <c r="P618" s="143"/>
      <c r="Q618" s="67"/>
      <c r="R618" s="144"/>
      <c r="S618" s="144"/>
      <c r="T618" s="143"/>
      <c r="U618" s="143"/>
      <c r="V618" s="143"/>
      <c r="W618" s="130"/>
      <c r="X618" s="130"/>
      <c r="Y618" s="130"/>
      <c r="Z618" s="130"/>
      <c r="AA618" s="130"/>
      <c r="AB618" s="130"/>
      <c r="AC618" s="130"/>
      <c r="AD618" s="130"/>
      <c r="AE618" s="130"/>
      <c r="AF618" s="130"/>
      <c r="AG618" s="130"/>
      <c r="AH618" s="130"/>
      <c r="AI618" s="130"/>
      <c r="AJ618" s="130"/>
      <c r="AK618" s="130"/>
    </row>
    <row r="619">
      <c r="A619" s="130"/>
      <c r="B619" s="130"/>
      <c r="C619" s="143"/>
      <c r="D619" s="130"/>
      <c r="E619" s="143"/>
      <c r="F619" s="143"/>
      <c r="G619" s="143"/>
      <c r="H619" s="143"/>
      <c r="I619" s="143"/>
      <c r="J619" s="143"/>
      <c r="K619" s="143"/>
      <c r="L619" s="143"/>
      <c r="M619" s="143"/>
      <c r="N619" s="143"/>
      <c r="O619" s="143"/>
      <c r="P619" s="143"/>
      <c r="Q619" s="67"/>
      <c r="R619" s="144"/>
      <c r="S619" s="144"/>
      <c r="T619" s="143"/>
      <c r="U619" s="143"/>
      <c r="V619" s="143"/>
      <c r="W619" s="130"/>
      <c r="X619" s="130"/>
      <c r="Y619" s="130"/>
      <c r="Z619" s="130"/>
      <c r="AA619" s="130"/>
      <c r="AB619" s="130"/>
      <c r="AC619" s="130"/>
      <c r="AD619" s="130"/>
      <c r="AE619" s="130"/>
      <c r="AF619" s="130"/>
      <c r="AG619" s="130"/>
      <c r="AH619" s="130"/>
      <c r="AI619" s="130"/>
      <c r="AJ619" s="130"/>
      <c r="AK619" s="130"/>
    </row>
    <row r="620">
      <c r="A620" s="130"/>
      <c r="B620" s="130"/>
      <c r="C620" s="143"/>
      <c r="D620" s="130"/>
      <c r="E620" s="143"/>
      <c r="F620" s="143"/>
      <c r="G620" s="143"/>
      <c r="H620" s="143"/>
      <c r="I620" s="143"/>
      <c r="J620" s="143"/>
      <c r="K620" s="143"/>
      <c r="L620" s="143"/>
      <c r="M620" s="143"/>
      <c r="N620" s="143"/>
      <c r="O620" s="143"/>
      <c r="P620" s="143"/>
      <c r="Q620" s="67"/>
      <c r="R620" s="144"/>
      <c r="S620" s="144"/>
      <c r="T620" s="143"/>
      <c r="U620" s="143"/>
      <c r="V620" s="143"/>
      <c r="W620" s="130"/>
      <c r="X620" s="130"/>
      <c r="Y620" s="130"/>
      <c r="Z620" s="130"/>
      <c r="AA620" s="130"/>
      <c r="AB620" s="130"/>
      <c r="AC620" s="130"/>
      <c r="AD620" s="130"/>
      <c r="AE620" s="130"/>
      <c r="AF620" s="130"/>
      <c r="AG620" s="130"/>
      <c r="AH620" s="130"/>
      <c r="AI620" s="130"/>
      <c r="AJ620" s="130"/>
      <c r="AK620" s="130"/>
    </row>
    <row r="621">
      <c r="A621" s="130"/>
      <c r="B621" s="130"/>
      <c r="C621" s="143"/>
      <c r="D621" s="130"/>
      <c r="E621" s="143"/>
      <c r="F621" s="143"/>
      <c r="G621" s="143"/>
      <c r="H621" s="143"/>
      <c r="I621" s="143"/>
      <c r="J621" s="143"/>
      <c r="K621" s="143"/>
      <c r="L621" s="143"/>
      <c r="M621" s="143"/>
      <c r="N621" s="143"/>
      <c r="O621" s="143"/>
      <c r="P621" s="143"/>
      <c r="Q621" s="67"/>
      <c r="R621" s="144"/>
      <c r="S621" s="144"/>
      <c r="T621" s="143"/>
      <c r="U621" s="143"/>
      <c r="V621" s="143"/>
      <c r="W621" s="130"/>
      <c r="X621" s="130"/>
      <c r="Y621" s="130"/>
      <c r="Z621" s="130"/>
      <c r="AA621" s="130"/>
      <c r="AB621" s="130"/>
      <c r="AC621" s="130"/>
      <c r="AD621" s="130"/>
      <c r="AE621" s="130"/>
      <c r="AF621" s="130"/>
      <c r="AG621" s="130"/>
      <c r="AH621" s="130"/>
      <c r="AI621" s="130"/>
      <c r="AJ621" s="130"/>
      <c r="AK621" s="130"/>
    </row>
    <row r="622">
      <c r="A622" s="130"/>
      <c r="B622" s="130"/>
      <c r="C622" s="143"/>
      <c r="D622" s="130"/>
      <c r="E622" s="143"/>
      <c r="F622" s="143"/>
      <c r="G622" s="143"/>
      <c r="H622" s="143"/>
      <c r="I622" s="143"/>
      <c r="J622" s="143"/>
      <c r="K622" s="143"/>
      <c r="L622" s="143"/>
      <c r="M622" s="143"/>
      <c r="N622" s="143"/>
      <c r="O622" s="143"/>
      <c r="P622" s="143"/>
      <c r="Q622" s="67"/>
      <c r="R622" s="144"/>
      <c r="S622" s="144"/>
      <c r="T622" s="143"/>
      <c r="U622" s="143"/>
      <c r="V622" s="143"/>
      <c r="W622" s="130"/>
      <c r="X622" s="130"/>
      <c r="Y622" s="130"/>
      <c r="Z622" s="130"/>
      <c r="AA622" s="130"/>
      <c r="AB622" s="130"/>
      <c r="AC622" s="130"/>
      <c r="AD622" s="130"/>
      <c r="AE622" s="130"/>
      <c r="AF622" s="130"/>
      <c r="AG622" s="130"/>
      <c r="AH622" s="130"/>
      <c r="AI622" s="130"/>
      <c r="AJ622" s="130"/>
      <c r="AK622" s="130"/>
    </row>
    <row r="623">
      <c r="A623" s="130"/>
      <c r="B623" s="130"/>
      <c r="C623" s="143"/>
      <c r="D623" s="130"/>
      <c r="E623" s="143"/>
      <c r="F623" s="143"/>
      <c r="G623" s="143"/>
      <c r="H623" s="143"/>
      <c r="I623" s="143"/>
      <c r="J623" s="143"/>
      <c r="K623" s="143"/>
      <c r="L623" s="143"/>
      <c r="M623" s="143"/>
      <c r="N623" s="143"/>
      <c r="O623" s="143"/>
      <c r="P623" s="143"/>
      <c r="Q623" s="67"/>
      <c r="R623" s="144"/>
      <c r="S623" s="144"/>
      <c r="T623" s="143"/>
      <c r="U623" s="143"/>
      <c r="V623" s="143"/>
      <c r="W623" s="130"/>
      <c r="X623" s="130"/>
      <c r="Y623" s="130"/>
      <c r="Z623" s="130"/>
      <c r="AA623" s="130"/>
      <c r="AB623" s="130"/>
      <c r="AC623" s="130"/>
      <c r="AD623" s="130"/>
      <c r="AE623" s="130"/>
      <c r="AF623" s="130"/>
      <c r="AG623" s="130"/>
      <c r="AH623" s="130"/>
      <c r="AI623" s="130"/>
      <c r="AJ623" s="130"/>
      <c r="AK623" s="130"/>
    </row>
    <row r="624">
      <c r="A624" s="130"/>
      <c r="B624" s="130"/>
      <c r="C624" s="143"/>
      <c r="D624" s="130"/>
      <c r="E624" s="143"/>
      <c r="F624" s="143"/>
      <c r="G624" s="143"/>
      <c r="H624" s="143"/>
      <c r="I624" s="143"/>
      <c r="J624" s="143"/>
      <c r="K624" s="143"/>
      <c r="L624" s="143"/>
      <c r="M624" s="143"/>
      <c r="N624" s="143"/>
      <c r="O624" s="143"/>
      <c r="P624" s="143"/>
      <c r="Q624" s="67"/>
      <c r="R624" s="144"/>
      <c r="S624" s="144"/>
      <c r="T624" s="143"/>
      <c r="U624" s="143"/>
      <c r="V624" s="143"/>
      <c r="W624" s="130"/>
      <c r="X624" s="130"/>
      <c r="Y624" s="130"/>
      <c r="Z624" s="130"/>
      <c r="AA624" s="130"/>
      <c r="AB624" s="130"/>
      <c r="AC624" s="130"/>
      <c r="AD624" s="130"/>
      <c r="AE624" s="130"/>
      <c r="AF624" s="130"/>
      <c r="AG624" s="130"/>
      <c r="AH624" s="130"/>
      <c r="AI624" s="130"/>
      <c r="AJ624" s="130"/>
      <c r="AK624" s="130"/>
    </row>
    <row r="625">
      <c r="A625" s="130"/>
      <c r="B625" s="130"/>
      <c r="C625" s="143"/>
      <c r="D625" s="130"/>
      <c r="E625" s="143"/>
      <c r="F625" s="143"/>
      <c r="G625" s="143"/>
      <c r="H625" s="143"/>
      <c r="I625" s="143"/>
      <c r="J625" s="143"/>
      <c r="K625" s="143"/>
      <c r="L625" s="143"/>
      <c r="M625" s="143"/>
      <c r="N625" s="143"/>
      <c r="O625" s="143"/>
      <c r="P625" s="143"/>
      <c r="Q625" s="67"/>
      <c r="R625" s="144"/>
      <c r="S625" s="144"/>
      <c r="T625" s="143"/>
      <c r="U625" s="143"/>
      <c r="V625" s="143"/>
      <c r="W625" s="130"/>
      <c r="X625" s="130"/>
      <c r="Y625" s="130"/>
      <c r="Z625" s="130"/>
      <c r="AA625" s="130"/>
      <c r="AB625" s="130"/>
      <c r="AC625" s="130"/>
      <c r="AD625" s="130"/>
      <c r="AE625" s="130"/>
      <c r="AF625" s="130"/>
      <c r="AG625" s="130"/>
      <c r="AH625" s="130"/>
      <c r="AI625" s="130"/>
      <c r="AJ625" s="130"/>
      <c r="AK625" s="130"/>
    </row>
    <row r="626">
      <c r="A626" s="130"/>
      <c r="B626" s="130"/>
      <c r="C626" s="143"/>
      <c r="D626" s="130"/>
      <c r="E626" s="143"/>
      <c r="F626" s="143"/>
      <c r="G626" s="143"/>
      <c r="H626" s="143"/>
      <c r="I626" s="143"/>
      <c r="J626" s="143"/>
      <c r="K626" s="143"/>
      <c r="L626" s="143"/>
      <c r="M626" s="143"/>
      <c r="N626" s="143"/>
      <c r="O626" s="143"/>
      <c r="P626" s="143"/>
      <c r="Q626" s="67"/>
      <c r="R626" s="144"/>
      <c r="S626" s="144"/>
      <c r="T626" s="143"/>
      <c r="U626" s="143"/>
      <c r="V626" s="143"/>
      <c r="W626" s="130"/>
      <c r="X626" s="130"/>
      <c r="Y626" s="130"/>
      <c r="Z626" s="130"/>
      <c r="AA626" s="130"/>
      <c r="AB626" s="130"/>
      <c r="AC626" s="130"/>
      <c r="AD626" s="130"/>
      <c r="AE626" s="130"/>
      <c r="AF626" s="130"/>
      <c r="AG626" s="130"/>
      <c r="AH626" s="130"/>
      <c r="AI626" s="130"/>
      <c r="AJ626" s="130"/>
      <c r="AK626" s="130"/>
    </row>
    <row r="627">
      <c r="A627" s="130"/>
      <c r="B627" s="130"/>
      <c r="C627" s="143"/>
      <c r="D627" s="130"/>
      <c r="E627" s="143"/>
      <c r="F627" s="143"/>
      <c r="G627" s="143"/>
      <c r="H627" s="143"/>
      <c r="I627" s="143"/>
      <c r="J627" s="143"/>
      <c r="K627" s="143"/>
      <c r="L627" s="143"/>
      <c r="M627" s="143"/>
      <c r="N627" s="143"/>
      <c r="O627" s="143"/>
      <c r="P627" s="143"/>
      <c r="Q627" s="67"/>
      <c r="R627" s="144"/>
      <c r="S627" s="144"/>
      <c r="T627" s="143"/>
      <c r="U627" s="143"/>
      <c r="V627" s="143"/>
      <c r="W627" s="130"/>
      <c r="X627" s="130"/>
      <c r="Y627" s="130"/>
      <c r="Z627" s="130"/>
      <c r="AA627" s="130"/>
      <c r="AB627" s="130"/>
      <c r="AC627" s="130"/>
      <c r="AD627" s="130"/>
      <c r="AE627" s="130"/>
      <c r="AF627" s="130"/>
      <c r="AG627" s="130"/>
      <c r="AH627" s="130"/>
      <c r="AI627" s="130"/>
      <c r="AJ627" s="130"/>
      <c r="AK627" s="130"/>
    </row>
    <row r="628">
      <c r="A628" s="130"/>
      <c r="B628" s="130"/>
      <c r="C628" s="143"/>
      <c r="D628" s="130"/>
      <c r="E628" s="143"/>
      <c r="F628" s="143"/>
      <c r="G628" s="143"/>
      <c r="H628" s="143"/>
      <c r="I628" s="143"/>
      <c r="J628" s="143"/>
      <c r="K628" s="143"/>
      <c r="L628" s="143"/>
      <c r="M628" s="143"/>
      <c r="N628" s="143"/>
      <c r="O628" s="143"/>
      <c r="P628" s="143"/>
      <c r="Q628" s="67"/>
      <c r="R628" s="144"/>
      <c r="S628" s="144"/>
      <c r="T628" s="143"/>
      <c r="U628" s="143"/>
      <c r="V628" s="143"/>
      <c r="W628" s="130"/>
      <c r="X628" s="130"/>
      <c r="Y628" s="130"/>
      <c r="Z628" s="130"/>
      <c r="AA628" s="130"/>
      <c r="AB628" s="130"/>
      <c r="AC628" s="130"/>
      <c r="AD628" s="130"/>
      <c r="AE628" s="130"/>
      <c r="AF628" s="130"/>
      <c r="AG628" s="130"/>
      <c r="AH628" s="130"/>
      <c r="AI628" s="130"/>
      <c r="AJ628" s="130"/>
      <c r="AK628" s="130"/>
    </row>
    <row r="629">
      <c r="A629" s="130"/>
      <c r="B629" s="130"/>
      <c r="C629" s="143"/>
      <c r="D629" s="130"/>
      <c r="E629" s="143"/>
      <c r="F629" s="143"/>
      <c r="G629" s="143"/>
      <c r="H629" s="143"/>
      <c r="I629" s="143"/>
      <c r="J629" s="143"/>
      <c r="K629" s="143"/>
      <c r="L629" s="143"/>
      <c r="M629" s="143"/>
      <c r="N629" s="143"/>
      <c r="O629" s="143"/>
      <c r="P629" s="143"/>
      <c r="Q629" s="67"/>
      <c r="R629" s="144"/>
      <c r="S629" s="144"/>
      <c r="T629" s="143"/>
      <c r="U629" s="143"/>
      <c r="V629" s="143"/>
      <c r="W629" s="130"/>
      <c r="X629" s="130"/>
      <c r="Y629" s="130"/>
      <c r="Z629" s="130"/>
      <c r="AA629" s="130"/>
      <c r="AB629" s="130"/>
      <c r="AC629" s="130"/>
      <c r="AD629" s="130"/>
      <c r="AE629" s="130"/>
      <c r="AF629" s="130"/>
      <c r="AG629" s="130"/>
      <c r="AH629" s="130"/>
      <c r="AI629" s="130"/>
      <c r="AJ629" s="130"/>
      <c r="AK629" s="130"/>
    </row>
    <row r="630">
      <c r="A630" s="130"/>
      <c r="B630" s="130"/>
      <c r="C630" s="143"/>
      <c r="D630" s="130"/>
      <c r="E630" s="143"/>
      <c r="F630" s="143"/>
      <c r="G630" s="143"/>
      <c r="H630" s="143"/>
      <c r="I630" s="143"/>
      <c r="J630" s="143"/>
      <c r="K630" s="143"/>
      <c r="L630" s="143"/>
      <c r="M630" s="143"/>
      <c r="N630" s="143"/>
      <c r="O630" s="143"/>
      <c r="P630" s="143"/>
      <c r="Q630" s="67"/>
      <c r="R630" s="144"/>
      <c r="S630" s="144"/>
      <c r="T630" s="143"/>
      <c r="U630" s="143"/>
      <c r="V630" s="143"/>
      <c r="W630" s="130"/>
      <c r="X630" s="130"/>
      <c r="Y630" s="130"/>
      <c r="Z630" s="130"/>
      <c r="AA630" s="130"/>
      <c r="AB630" s="130"/>
      <c r="AC630" s="130"/>
      <c r="AD630" s="130"/>
      <c r="AE630" s="130"/>
      <c r="AF630" s="130"/>
      <c r="AG630" s="130"/>
      <c r="AH630" s="130"/>
      <c r="AI630" s="130"/>
      <c r="AJ630" s="130"/>
      <c r="AK630" s="130"/>
    </row>
    <row r="631">
      <c r="A631" s="130"/>
      <c r="B631" s="130"/>
      <c r="C631" s="143"/>
      <c r="D631" s="130"/>
      <c r="E631" s="143"/>
      <c r="F631" s="143"/>
      <c r="G631" s="143"/>
      <c r="H631" s="143"/>
      <c r="I631" s="143"/>
      <c r="J631" s="143"/>
      <c r="K631" s="143"/>
      <c r="L631" s="143"/>
      <c r="M631" s="143"/>
      <c r="N631" s="143"/>
      <c r="O631" s="143"/>
      <c r="P631" s="143"/>
      <c r="Q631" s="67"/>
      <c r="R631" s="144"/>
      <c r="S631" s="144"/>
      <c r="T631" s="143"/>
      <c r="U631" s="143"/>
      <c r="V631" s="143"/>
      <c r="W631" s="130"/>
      <c r="X631" s="130"/>
      <c r="Y631" s="130"/>
      <c r="Z631" s="130"/>
      <c r="AA631" s="130"/>
      <c r="AB631" s="130"/>
      <c r="AC631" s="130"/>
      <c r="AD631" s="130"/>
      <c r="AE631" s="130"/>
      <c r="AF631" s="130"/>
      <c r="AG631" s="130"/>
      <c r="AH631" s="130"/>
      <c r="AI631" s="130"/>
      <c r="AJ631" s="130"/>
      <c r="AK631" s="130"/>
    </row>
    <row r="632">
      <c r="A632" s="130"/>
      <c r="B632" s="130"/>
      <c r="C632" s="143"/>
      <c r="D632" s="130"/>
      <c r="E632" s="143"/>
      <c r="F632" s="143"/>
      <c r="G632" s="143"/>
      <c r="H632" s="143"/>
      <c r="I632" s="143"/>
      <c r="J632" s="143"/>
      <c r="K632" s="143"/>
      <c r="L632" s="143"/>
      <c r="M632" s="143"/>
      <c r="N632" s="143"/>
      <c r="O632" s="143"/>
      <c r="P632" s="143"/>
      <c r="Q632" s="67"/>
      <c r="R632" s="144"/>
      <c r="S632" s="144"/>
      <c r="T632" s="143"/>
      <c r="U632" s="143"/>
      <c r="V632" s="143"/>
      <c r="W632" s="130"/>
      <c r="X632" s="130"/>
      <c r="Y632" s="130"/>
      <c r="Z632" s="130"/>
      <c r="AA632" s="130"/>
      <c r="AB632" s="130"/>
      <c r="AC632" s="130"/>
      <c r="AD632" s="130"/>
      <c r="AE632" s="130"/>
      <c r="AF632" s="130"/>
      <c r="AG632" s="130"/>
      <c r="AH632" s="130"/>
      <c r="AI632" s="130"/>
      <c r="AJ632" s="130"/>
      <c r="AK632" s="130"/>
    </row>
    <row r="633">
      <c r="A633" s="130"/>
      <c r="B633" s="130"/>
      <c r="C633" s="143"/>
      <c r="D633" s="130"/>
      <c r="E633" s="143"/>
      <c r="F633" s="143"/>
      <c r="G633" s="143"/>
      <c r="H633" s="143"/>
      <c r="I633" s="143"/>
      <c r="J633" s="143"/>
      <c r="K633" s="143"/>
      <c r="L633" s="143"/>
      <c r="M633" s="143"/>
      <c r="N633" s="143"/>
      <c r="O633" s="143"/>
      <c r="P633" s="143"/>
      <c r="Q633" s="67"/>
      <c r="R633" s="144"/>
      <c r="S633" s="144"/>
      <c r="T633" s="143"/>
      <c r="U633" s="143"/>
      <c r="V633" s="143"/>
      <c r="W633" s="130"/>
      <c r="X633" s="130"/>
      <c r="Y633" s="130"/>
      <c r="Z633" s="130"/>
      <c r="AA633" s="130"/>
      <c r="AB633" s="130"/>
      <c r="AC633" s="130"/>
      <c r="AD633" s="130"/>
      <c r="AE633" s="130"/>
      <c r="AF633" s="130"/>
      <c r="AG633" s="130"/>
      <c r="AH633" s="130"/>
      <c r="AI633" s="130"/>
      <c r="AJ633" s="130"/>
      <c r="AK633" s="130"/>
    </row>
    <row r="634">
      <c r="A634" s="130"/>
      <c r="B634" s="130"/>
      <c r="C634" s="143"/>
      <c r="D634" s="130"/>
      <c r="E634" s="143"/>
      <c r="F634" s="143"/>
      <c r="G634" s="143"/>
      <c r="H634" s="143"/>
      <c r="I634" s="143"/>
      <c r="J634" s="143"/>
      <c r="K634" s="143"/>
      <c r="L634" s="143"/>
      <c r="M634" s="143"/>
      <c r="N634" s="143"/>
      <c r="O634" s="143"/>
      <c r="P634" s="143"/>
      <c r="Q634" s="67"/>
      <c r="R634" s="144"/>
      <c r="S634" s="144"/>
      <c r="T634" s="143"/>
      <c r="U634" s="143"/>
      <c r="V634" s="143"/>
      <c r="W634" s="130"/>
      <c r="X634" s="130"/>
      <c r="Y634" s="130"/>
      <c r="Z634" s="130"/>
      <c r="AA634" s="130"/>
      <c r="AB634" s="130"/>
      <c r="AC634" s="130"/>
      <c r="AD634" s="130"/>
      <c r="AE634" s="130"/>
      <c r="AF634" s="130"/>
      <c r="AG634" s="130"/>
      <c r="AH634" s="130"/>
      <c r="AI634" s="130"/>
      <c r="AJ634" s="130"/>
      <c r="AK634" s="130"/>
    </row>
    <row r="635">
      <c r="A635" s="130"/>
      <c r="B635" s="130"/>
      <c r="C635" s="143"/>
      <c r="D635" s="130"/>
      <c r="E635" s="143"/>
      <c r="F635" s="143"/>
      <c r="G635" s="143"/>
      <c r="H635" s="143"/>
      <c r="I635" s="143"/>
      <c r="J635" s="143"/>
      <c r="K635" s="143"/>
      <c r="L635" s="143"/>
      <c r="M635" s="143"/>
      <c r="N635" s="143"/>
      <c r="O635" s="143"/>
      <c r="P635" s="143"/>
      <c r="Q635" s="67"/>
      <c r="R635" s="144"/>
      <c r="S635" s="144"/>
      <c r="T635" s="143"/>
      <c r="U635" s="143"/>
      <c r="V635" s="143"/>
      <c r="W635" s="130"/>
      <c r="X635" s="130"/>
      <c r="Y635" s="130"/>
      <c r="Z635" s="130"/>
      <c r="AA635" s="130"/>
      <c r="AB635" s="130"/>
      <c r="AC635" s="130"/>
      <c r="AD635" s="130"/>
      <c r="AE635" s="130"/>
      <c r="AF635" s="130"/>
      <c r="AG635" s="130"/>
      <c r="AH635" s="130"/>
      <c r="AI635" s="130"/>
      <c r="AJ635" s="130"/>
      <c r="AK635" s="130"/>
    </row>
    <row r="636">
      <c r="A636" s="130"/>
      <c r="B636" s="130"/>
      <c r="C636" s="143"/>
      <c r="D636" s="130"/>
      <c r="E636" s="143"/>
      <c r="F636" s="143"/>
      <c r="G636" s="143"/>
      <c r="H636" s="143"/>
      <c r="I636" s="143"/>
      <c r="J636" s="143"/>
      <c r="K636" s="143"/>
      <c r="L636" s="143"/>
      <c r="M636" s="143"/>
      <c r="N636" s="143"/>
      <c r="O636" s="143"/>
      <c r="P636" s="143"/>
      <c r="Q636" s="67"/>
      <c r="R636" s="144"/>
      <c r="S636" s="144"/>
      <c r="T636" s="143"/>
      <c r="U636" s="143"/>
      <c r="V636" s="143"/>
      <c r="W636" s="130"/>
      <c r="X636" s="130"/>
      <c r="Y636" s="130"/>
      <c r="Z636" s="130"/>
      <c r="AA636" s="130"/>
      <c r="AB636" s="130"/>
      <c r="AC636" s="130"/>
      <c r="AD636" s="130"/>
      <c r="AE636" s="130"/>
      <c r="AF636" s="130"/>
      <c r="AG636" s="130"/>
      <c r="AH636" s="130"/>
      <c r="AI636" s="130"/>
      <c r="AJ636" s="130"/>
      <c r="AK636" s="130"/>
    </row>
    <row r="637">
      <c r="A637" s="130"/>
      <c r="B637" s="130"/>
      <c r="C637" s="143"/>
      <c r="D637" s="130"/>
      <c r="E637" s="143"/>
      <c r="F637" s="143"/>
      <c r="G637" s="143"/>
      <c r="H637" s="143"/>
      <c r="I637" s="143"/>
      <c r="J637" s="143"/>
      <c r="K637" s="143"/>
      <c r="L637" s="143"/>
      <c r="M637" s="143"/>
      <c r="N637" s="143"/>
      <c r="O637" s="143"/>
      <c r="P637" s="143"/>
      <c r="Q637" s="67"/>
      <c r="R637" s="144"/>
      <c r="S637" s="144"/>
      <c r="T637" s="143"/>
      <c r="U637" s="143"/>
      <c r="V637" s="143"/>
      <c r="W637" s="130"/>
      <c r="X637" s="130"/>
      <c r="Y637" s="130"/>
      <c r="Z637" s="130"/>
      <c r="AA637" s="130"/>
      <c r="AB637" s="130"/>
      <c r="AC637" s="130"/>
      <c r="AD637" s="130"/>
      <c r="AE637" s="130"/>
      <c r="AF637" s="130"/>
      <c r="AG637" s="130"/>
      <c r="AH637" s="130"/>
      <c r="AI637" s="130"/>
      <c r="AJ637" s="130"/>
      <c r="AK637" s="130"/>
    </row>
    <row r="638">
      <c r="A638" s="130"/>
      <c r="B638" s="130"/>
      <c r="C638" s="143"/>
      <c r="D638" s="130"/>
      <c r="E638" s="143"/>
      <c r="F638" s="143"/>
      <c r="G638" s="143"/>
      <c r="H638" s="143"/>
      <c r="I638" s="143"/>
      <c r="J638" s="143"/>
      <c r="K638" s="143"/>
      <c r="L638" s="143"/>
      <c r="M638" s="143"/>
      <c r="N638" s="143"/>
      <c r="O638" s="143"/>
      <c r="P638" s="143"/>
      <c r="Q638" s="67"/>
      <c r="R638" s="144"/>
      <c r="S638" s="144"/>
      <c r="T638" s="143"/>
      <c r="U638" s="143"/>
      <c r="V638" s="143"/>
      <c r="W638" s="130"/>
      <c r="X638" s="130"/>
      <c r="Y638" s="130"/>
      <c r="Z638" s="130"/>
      <c r="AA638" s="130"/>
      <c r="AB638" s="130"/>
      <c r="AC638" s="130"/>
      <c r="AD638" s="130"/>
      <c r="AE638" s="130"/>
      <c r="AF638" s="130"/>
      <c r="AG638" s="130"/>
      <c r="AH638" s="130"/>
      <c r="AI638" s="130"/>
      <c r="AJ638" s="130"/>
      <c r="AK638" s="130"/>
    </row>
    <row r="639">
      <c r="A639" s="130"/>
      <c r="B639" s="130"/>
      <c r="C639" s="143"/>
      <c r="D639" s="130"/>
      <c r="E639" s="143"/>
      <c r="F639" s="143"/>
      <c r="G639" s="143"/>
      <c r="H639" s="143"/>
      <c r="I639" s="143"/>
      <c r="J639" s="143"/>
      <c r="K639" s="143"/>
      <c r="L639" s="143"/>
      <c r="M639" s="143"/>
      <c r="N639" s="143"/>
      <c r="O639" s="143"/>
      <c r="P639" s="143"/>
      <c r="Q639" s="67"/>
      <c r="R639" s="144"/>
      <c r="S639" s="144"/>
      <c r="T639" s="143"/>
      <c r="U639" s="143"/>
      <c r="V639" s="143"/>
      <c r="W639" s="130"/>
      <c r="X639" s="130"/>
      <c r="Y639" s="130"/>
      <c r="Z639" s="130"/>
      <c r="AA639" s="130"/>
      <c r="AB639" s="130"/>
      <c r="AC639" s="130"/>
      <c r="AD639" s="130"/>
      <c r="AE639" s="130"/>
      <c r="AF639" s="130"/>
      <c r="AG639" s="130"/>
      <c r="AH639" s="130"/>
      <c r="AI639" s="130"/>
      <c r="AJ639" s="130"/>
      <c r="AK639" s="130"/>
    </row>
    <row r="640">
      <c r="A640" s="130"/>
      <c r="B640" s="130"/>
      <c r="C640" s="143"/>
      <c r="D640" s="130"/>
      <c r="E640" s="143"/>
      <c r="F640" s="143"/>
      <c r="G640" s="143"/>
      <c r="H640" s="143"/>
      <c r="I640" s="143"/>
      <c r="J640" s="143"/>
      <c r="K640" s="143"/>
      <c r="L640" s="143"/>
      <c r="M640" s="143"/>
      <c r="N640" s="143"/>
      <c r="O640" s="143"/>
      <c r="P640" s="143"/>
      <c r="Q640" s="67"/>
      <c r="R640" s="144"/>
      <c r="S640" s="144"/>
      <c r="T640" s="143"/>
      <c r="U640" s="143"/>
      <c r="V640" s="143"/>
      <c r="W640" s="130"/>
      <c r="X640" s="130"/>
      <c r="Y640" s="130"/>
      <c r="Z640" s="130"/>
      <c r="AA640" s="130"/>
      <c r="AB640" s="130"/>
      <c r="AC640" s="130"/>
      <c r="AD640" s="130"/>
      <c r="AE640" s="130"/>
      <c r="AF640" s="130"/>
      <c r="AG640" s="130"/>
      <c r="AH640" s="130"/>
      <c r="AI640" s="130"/>
      <c r="AJ640" s="130"/>
      <c r="AK640" s="130"/>
    </row>
    <row r="641">
      <c r="A641" s="130"/>
      <c r="B641" s="130"/>
      <c r="C641" s="143"/>
      <c r="D641" s="130"/>
      <c r="E641" s="143"/>
      <c r="F641" s="143"/>
      <c r="G641" s="143"/>
      <c r="H641" s="143"/>
      <c r="I641" s="143"/>
      <c r="J641" s="143"/>
      <c r="K641" s="143"/>
      <c r="L641" s="143"/>
      <c r="M641" s="143"/>
      <c r="N641" s="143"/>
      <c r="O641" s="143"/>
      <c r="P641" s="143"/>
      <c r="Q641" s="67"/>
      <c r="R641" s="144"/>
      <c r="S641" s="144"/>
      <c r="T641" s="143"/>
      <c r="U641" s="143"/>
      <c r="V641" s="143"/>
      <c r="W641" s="130"/>
      <c r="X641" s="130"/>
      <c r="Y641" s="130"/>
      <c r="Z641" s="130"/>
      <c r="AA641" s="130"/>
      <c r="AB641" s="130"/>
      <c r="AC641" s="130"/>
      <c r="AD641" s="130"/>
      <c r="AE641" s="130"/>
      <c r="AF641" s="130"/>
      <c r="AG641" s="130"/>
      <c r="AH641" s="130"/>
      <c r="AI641" s="130"/>
      <c r="AJ641" s="130"/>
      <c r="AK641" s="130"/>
    </row>
    <row r="642">
      <c r="A642" s="130"/>
      <c r="B642" s="130"/>
      <c r="C642" s="143"/>
      <c r="D642" s="130"/>
      <c r="E642" s="143"/>
      <c r="F642" s="143"/>
      <c r="G642" s="143"/>
      <c r="H642" s="143"/>
      <c r="I642" s="143"/>
      <c r="J642" s="143"/>
      <c r="K642" s="143"/>
      <c r="L642" s="143"/>
      <c r="M642" s="143"/>
      <c r="N642" s="143"/>
      <c r="O642" s="143"/>
      <c r="P642" s="143"/>
      <c r="Q642" s="67"/>
      <c r="R642" s="144"/>
      <c r="S642" s="144"/>
      <c r="T642" s="143"/>
      <c r="U642" s="143"/>
      <c r="V642" s="143"/>
      <c r="W642" s="130"/>
      <c r="X642" s="130"/>
      <c r="Y642" s="130"/>
      <c r="Z642" s="130"/>
      <c r="AA642" s="130"/>
      <c r="AB642" s="130"/>
      <c r="AC642" s="130"/>
      <c r="AD642" s="130"/>
      <c r="AE642" s="130"/>
      <c r="AF642" s="130"/>
      <c r="AG642" s="130"/>
      <c r="AH642" s="130"/>
      <c r="AI642" s="130"/>
      <c r="AJ642" s="130"/>
      <c r="AK642" s="130"/>
    </row>
    <row r="643">
      <c r="A643" s="130"/>
      <c r="B643" s="130"/>
      <c r="C643" s="143"/>
      <c r="D643" s="130"/>
      <c r="E643" s="143"/>
      <c r="F643" s="143"/>
      <c r="G643" s="143"/>
      <c r="H643" s="143"/>
      <c r="I643" s="143"/>
      <c r="J643" s="143"/>
      <c r="K643" s="143"/>
      <c r="L643" s="143"/>
      <c r="M643" s="143"/>
      <c r="N643" s="143"/>
      <c r="O643" s="143"/>
      <c r="P643" s="143"/>
      <c r="Q643" s="67"/>
      <c r="R643" s="144"/>
      <c r="S643" s="144"/>
      <c r="T643" s="143"/>
      <c r="U643" s="143"/>
      <c r="V643" s="143"/>
      <c r="W643" s="130"/>
      <c r="X643" s="130"/>
      <c r="Y643" s="130"/>
      <c r="Z643" s="130"/>
      <c r="AA643" s="130"/>
      <c r="AB643" s="130"/>
      <c r="AC643" s="130"/>
      <c r="AD643" s="130"/>
      <c r="AE643" s="130"/>
      <c r="AF643" s="130"/>
      <c r="AG643" s="130"/>
      <c r="AH643" s="130"/>
      <c r="AI643" s="130"/>
      <c r="AJ643" s="130"/>
      <c r="AK643" s="130"/>
    </row>
    <row r="644">
      <c r="A644" s="130"/>
      <c r="B644" s="130"/>
      <c r="C644" s="143"/>
      <c r="D644" s="130"/>
      <c r="E644" s="143"/>
      <c r="F644" s="143"/>
      <c r="G644" s="143"/>
      <c r="H644" s="143"/>
      <c r="I644" s="143"/>
      <c r="J644" s="143"/>
      <c r="K644" s="143"/>
      <c r="L644" s="143"/>
      <c r="M644" s="143"/>
      <c r="N644" s="143"/>
      <c r="O644" s="143"/>
      <c r="P644" s="143"/>
      <c r="Q644" s="67"/>
      <c r="R644" s="144"/>
      <c r="S644" s="144"/>
      <c r="T644" s="143"/>
      <c r="U644" s="143"/>
      <c r="V644" s="143"/>
      <c r="W644" s="130"/>
      <c r="X644" s="130"/>
      <c r="Y644" s="130"/>
      <c r="Z644" s="130"/>
      <c r="AA644" s="130"/>
      <c r="AB644" s="130"/>
      <c r="AC644" s="130"/>
      <c r="AD644" s="130"/>
      <c r="AE644" s="130"/>
      <c r="AF644" s="130"/>
      <c r="AG644" s="130"/>
      <c r="AH644" s="130"/>
      <c r="AI644" s="130"/>
      <c r="AJ644" s="130"/>
      <c r="AK644" s="130"/>
    </row>
    <row r="645">
      <c r="A645" s="130"/>
      <c r="B645" s="130"/>
      <c r="C645" s="143"/>
      <c r="D645" s="130"/>
      <c r="E645" s="143"/>
      <c r="F645" s="143"/>
      <c r="G645" s="143"/>
      <c r="H645" s="143"/>
      <c r="I645" s="143"/>
      <c r="J645" s="143"/>
      <c r="K645" s="143"/>
      <c r="L645" s="143"/>
      <c r="M645" s="143"/>
      <c r="N645" s="143"/>
      <c r="O645" s="143"/>
      <c r="P645" s="143"/>
      <c r="Q645" s="67"/>
      <c r="R645" s="144"/>
      <c r="S645" s="144"/>
      <c r="T645" s="143"/>
      <c r="U645" s="143"/>
      <c r="V645" s="143"/>
      <c r="W645" s="130"/>
      <c r="X645" s="130"/>
      <c r="Y645" s="130"/>
      <c r="Z645" s="130"/>
      <c r="AA645" s="130"/>
      <c r="AB645" s="130"/>
      <c r="AC645" s="130"/>
      <c r="AD645" s="130"/>
      <c r="AE645" s="130"/>
      <c r="AF645" s="130"/>
      <c r="AG645" s="130"/>
      <c r="AH645" s="130"/>
      <c r="AI645" s="130"/>
      <c r="AJ645" s="130"/>
      <c r="AK645" s="130"/>
    </row>
    <row r="646">
      <c r="A646" s="130"/>
      <c r="B646" s="130"/>
      <c r="C646" s="143"/>
      <c r="D646" s="130"/>
      <c r="E646" s="143"/>
      <c r="F646" s="143"/>
      <c r="G646" s="143"/>
      <c r="H646" s="143"/>
      <c r="I646" s="143"/>
      <c r="J646" s="143"/>
      <c r="K646" s="143"/>
      <c r="L646" s="143"/>
      <c r="M646" s="143"/>
      <c r="N646" s="143"/>
      <c r="O646" s="143"/>
      <c r="P646" s="143"/>
      <c r="Q646" s="67"/>
      <c r="R646" s="144"/>
      <c r="S646" s="144"/>
      <c r="T646" s="143"/>
      <c r="U646" s="143"/>
      <c r="V646" s="143"/>
      <c r="W646" s="130"/>
      <c r="X646" s="130"/>
      <c r="Y646" s="130"/>
      <c r="Z646" s="130"/>
      <c r="AA646" s="130"/>
      <c r="AB646" s="130"/>
      <c r="AC646" s="130"/>
      <c r="AD646" s="130"/>
      <c r="AE646" s="130"/>
      <c r="AF646" s="130"/>
      <c r="AG646" s="130"/>
      <c r="AH646" s="130"/>
      <c r="AI646" s="130"/>
      <c r="AJ646" s="130"/>
      <c r="AK646" s="130"/>
    </row>
    <row r="647">
      <c r="A647" s="130"/>
      <c r="B647" s="130"/>
      <c r="C647" s="143"/>
      <c r="D647" s="130"/>
      <c r="E647" s="143"/>
      <c r="F647" s="143"/>
      <c r="G647" s="143"/>
      <c r="H647" s="143"/>
      <c r="I647" s="143"/>
      <c r="J647" s="143"/>
      <c r="K647" s="143"/>
      <c r="L647" s="143"/>
      <c r="M647" s="143"/>
      <c r="N647" s="143"/>
      <c r="O647" s="143"/>
      <c r="P647" s="143"/>
      <c r="Q647" s="67"/>
      <c r="R647" s="144"/>
      <c r="S647" s="144"/>
      <c r="T647" s="143"/>
      <c r="U647" s="143"/>
      <c r="V647" s="143"/>
      <c r="W647" s="130"/>
      <c r="X647" s="130"/>
      <c r="Y647" s="130"/>
      <c r="Z647" s="130"/>
      <c r="AA647" s="130"/>
      <c r="AB647" s="130"/>
      <c r="AC647" s="130"/>
      <c r="AD647" s="130"/>
      <c r="AE647" s="130"/>
      <c r="AF647" s="130"/>
      <c r="AG647" s="130"/>
      <c r="AH647" s="130"/>
      <c r="AI647" s="130"/>
      <c r="AJ647" s="130"/>
      <c r="AK647" s="130"/>
    </row>
    <row r="648">
      <c r="A648" s="130"/>
      <c r="B648" s="130"/>
      <c r="C648" s="143"/>
      <c r="D648" s="130"/>
      <c r="E648" s="143"/>
      <c r="F648" s="143"/>
      <c r="G648" s="143"/>
      <c r="H648" s="143"/>
      <c r="I648" s="143"/>
      <c r="J648" s="143"/>
      <c r="K648" s="143"/>
      <c r="L648" s="143"/>
      <c r="M648" s="143"/>
      <c r="N648" s="143"/>
      <c r="O648" s="143"/>
      <c r="P648" s="143"/>
      <c r="Q648" s="67"/>
      <c r="R648" s="144"/>
      <c r="S648" s="144"/>
      <c r="T648" s="143"/>
      <c r="U648" s="143"/>
      <c r="V648" s="143"/>
      <c r="W648" s="130"/>
      <c r="X648" s="130"/>
      <c r="Y648" s="130"/>
      <c r="Z648" s="130"/>
      <c r="AA648" s="130"/>
      <c r="AB648" s="130"/>
      <c r="AC648" s="130"/>
      <c r="AD648" s="130"/>
      <c r="AE648" s="130"/>
      <c r="AF648" s="130"/>
      <c r="AG648" s="130"/>
      <c r="AH648" s="130"/>
      <c r="AI648" s="130"/>
      <c r="AJ648" s="130"/>
      <c r="AK648" s="130"/>
    </row>
    <row r="649">
      <c r="A649" s="130"/>
      <c r="B649" s="130"/>
      <c r="C649" s="143"/>
      <c r="D649" s="130"/>
      <c r="E649" s="143"/>
      <c r="F649" s="143"/>
      <c r="G649" s="143"/>
      <c r="H649" s="143"/>
      <c r="I649" s="143"/>
      <c r="J649" s="143"/>
      <c r="K649" s="143"/>
      <c r="L649" s="143"/>
      <c r="M649" s="143"/>
      <c r="N649" s="143"/>
      <c r="O649" s="143"/>
      <c r="P649" s="143"/>
      <c r="Q649" s="67"/>
      <c r="R649" s="144"/>
      <c r="S649" s="144"/>
      <c r="T649" s="143"/>
      <c r="U649" s="143"/>
      <c r="V649" s="143"/>
      <c r="W649" s="130"/>
      <c r="X649" s="130"/>
      <c r="Y649" s="130"/>
      <c r="Z649" s="130"/>
      <c r="AA649" s="130"/>
      <c r="AB649" s="130"/>
      <c r="AC649" s="130"/>
      <c r="AD649" s="130"/>
      <c r="AE649" s="130"/>
      <c r="AF649" s="130"/>
      <c r="AG649" s="130"/>
      <c r="AH649" s="130"/>
      <c r="AI649" s="130"/>
      <c r="AJ649" s="130"/>
      <c r="AK649" s="130"/>
    </row>
    <row r="650">
      <c r="A650" s="130"/>
      <c r="B650" s="130"/>
      <c r="C650" s="143"/>
      <c r="D650" s="130"/>
      <c r="E650" s="143"/>
      <c r="F650" s="143"/>
      <c r="G650" s="143"/>
      <c r="H650" s="143"/>
      <c r="I650" s="143"/>
      <c r="J650" s="143"/>
      <c r="K650" s="143"/>
      <c r="L650" s="143"/>
      <c r="M650" s="143"/>
      <c r="N650" s="143"/>
      <c r="O650" s="143"/>
      <c r="P650" s="143"/>
      <c r="Q650" s="67"/>
      <c r="R650" s="144"/>
      <c r="S650" s="144"/>
      <c r="T650" s="143"/>
      <c r="U650" s="143"/>
      <c r="V650" s="143"/>
      <c r="W650" s="130"/>
      <c r="X650" s="130"/>
      <c r="Y650" s="130"/>
      <c r="Z650" s="130"/>
      <c r="AA650" s="130"/>
      <c r="AB650" s="130"/>
      <c r="AC650" s="130"/>
      <c r="AD650" s="130"/>
      <c r="AE650" s="130"/>
      <c r="AF650" s="130"/>
      <c r="AG650" s="130"/>
      <c r="AH650" s="130"/>
      <c r="AI650" s="130"/>
      <c r="AJ650" s="130"/>
      <c r="AK650" s="130"/>
    </row>
    <row r="651">
      <c r="A651" s="130"/>
      <c r="B651" s="130"/>
      <c r="C651" s="143"/>
      <c r="D651" s="130"/>
      <c r="E651" s="143"/>
      <c r="F651" s="143"/>
      <c r="G651" s="143"/>
      <c r="H651" s="143"/>
      <c r="I651" s="143"/>
      <c r="J651" s="143"/>
      <c r="K651" s="143"/>
      <c r="L651" s="143"/>
      <c r="M651" s="143"/>
      <c r="N651" s="143"/>
      <c r="O651" s="143"/>
      <c r="P651" s="143"/>
      <c r="Q651" s="67"/>
      <c r="R651" s="144"/>
      <c r="S651" s="144"/>
      <c r="T651" s="143"/>
      <c r="U651" s="143"/>
      <c r="V651" s="143"/>
      <c r="W651" s="130"/>
      <c r="X651" s="130"/>
      <c r="Y651" s="130"/>
      <c r="Z651" s="130"/>
      <c r="AA651" s="130"/>
      <c r="AB651" s="130"/>
      <c r="AC651" s="130"/>
      <c r="AD651" s="130"/>
      <c r="AE651" s="130"/>
      <c r="AF651" s="130"/>
      <c r="AG651" s="130"/>
      <c r="AH651" s="130"/>
      <c r="AI651" s="130"/>
      <c r="AJ651" s="130"/>
      <c r="AK651" s="130"/>
    </row>
    <row r="652">
      <c r="A652" s="130"/>
      <c r="B652" s="130"/>
      <c r="C652" s="143"/>
      <c r="D652" s="130"/>
      <c r="E652" s="143"/>
      <c r="F652" s="143"/>
      <c r="G652" s="143"/>
      <c r="H652" s="143"/>
      <c r="I652" s="143"/>
      <c r="J652" s="143"/>
      <c r="K652" s="143"/>
      <c r="L652" s="143"/>
      <c r="M652" s="143"/>
      <c r="N652" s="143"/>
      <c r="O652" s="143"/>
      <c r="P652" s="143"/>
      <c r="Q652" s="67"/>
      <c r="R652" s="144"/>
      <c r="S652" s="144"/>
      <c r="T652" s="143"/>
      <c r="U652" s="143"/>
      <c r="V652" s="143"/>
      <c r="W652" s="130"/>
      <c r="X652" s="130"/>
      <c r="Y652" s="130"/>
      <c r="Z652" s="130"/>
      <c r="AA652" s="130"/>
      <c r="AB652" s="130"/>
      <c r="AC652" s="130"/>
      <c r="AD652" s="130"/>
      <c r="AE652" s="130"/>
      <c r="AF652" s="130"/>
      <c r="AG652" s="130"/>
      <c r="AH652" s="130"/>
      <c r="AI652" s="130"/>
      <c r="AJ652" s="130"/>
      <c r="AK652" s="130"/>
    </row>
    <row r="653">
      <c r="A653" s="130"/>
      <c r="B653" s="130"/>
      <c r="C653" s="143"/>
      <c r="D653" s="130"/>
      <c r="E653" s="143"/>
      <c r="F653" s="143"/>
      <c r="G653" s="143"/>
      <c r="H653" s="143"/>
      <c r="I653" s="143"/>
      <c r="J653" s="143"/>
      <c r="K653" s="143"/>
      <c r="L653" s="143"/>
      <c r="M653" s="143"/>
      <c r="N653" s="143"/>
      <c r="O653" s="143"/>
      <c r="P653" s="143"/>
      <c r="Q653" s="67"/>
      <c r="R653" s="144"/>
      <c r="S653" s="144"/>
      <c r="T653" s="143"/>
      <c r="U653" s="143"/>
      <c r="V653" s="143"/>
      <c r="W653" s="130"/>
      <c r="X653" s="130"/>
      <c r="Y653" s="130"/>
      <c r="Z653" s="130"/>
      <c r="AA653" s="130"/>
      <c r="AB653" s="130"/>
      <c r="AC653" s="130"/>
      <c r="AD653" s="130"/>
      <c r="AE653" s="130"/>
      <c r="AF653" s="130"/>
      <c r="AG653" s="130"/>
      <c r="AH653" s="130"/>
      <c r="AI653" s="130"/>
      <c r="AJ653" s="130"/>
      <c r="AK653" s="130"/>
    </row>
    <row r="654">
      <c r="A654" s="130"/>
      <c r="B654" s="130"/>
      <c r="C654" s="143"/>
      <c r="D654" s="130"/>
      <c r="E654" s="143"/>
      <c r="F654" s="143"/>
      <c r="G654" s="143"/>
      <c r="H654" s="143"/>
      <c r="I654" s="143"/>
      <c r="J654" s="143"/>
      <c r="K654" s="143"/>
      <c r="L654" s="143"/>
      <c r="M654" s="143"/>
      <c r="N654" s="143"/>
      <c r="O654" s="143"/>
      <c r="P654" s="143"/>
      <c r="Q654" s="67"/>
      <c r="R654" s="144"/>
      <c r="S654" s="144"/>
      <c r="T654" s="143"/>
      <c r="U654" s="143"/>
      <c r="V654" s="143"/>
      <c r="W654" s="130"/>
      <c r="X654" s="130"/>
      <c r="Y654" s="130"/>
      <c r="Z654" s="130"/>
      <c r="AA654" s="130"/>
      <c r="AB654" s="130"/>
      <c r="AC654" s="130"/>
      <c r="AD654" s="130"/>
      <c r="AE654" s="130"/>
      <c r="AF654" s="130"/>
      <c r="AG654" s="130"/>
      <c r="AH654" s="130"/>
      <c r="AI654" s="130"/>
      <c r="AJ654" s="130"/>
      <c r="AK654" s="130"/>
    </row>
    <row r="655">
      <c r="A655" s="130"/>
      <c r="B655" s="130"/>
      <c r="C655" s="143"/>
      <c r="D655" s="130"/>
      <c r="E655" s="143"/>
      <c r="F655" s="143"/>
      <c r="G655" s="143"/>
      <c r="H655" s="143"/>
      <c r="I655" s="143"/>
      <c r="J655" s="143"/>
      <c r="K655" s="143"/>
      <c r="L655" s="143"/>
      <c r="M655" s="143"/>
      <c r="N655" s="143"/>
      <c r="O655" s="143"/>
      <c r="P655" s="143"/>
      <c r="Q655" s="67"/>
      <c r="R655" s="144"/>
      <c r="S655" s="144"/>
      <c r="T655" s="143"/>
      <c r="U655" s="143"/>
      <c r="V655" s="143"/>
      <c r="W655" s="130"/>
      <c r="X655" s="130"/>
      <c r="Y655" s="130"/>
      <c r="Z655" s="130"/>
      <c r="AA655" s="130"/>
      <c r="AB655" s="130"/>
      <c r="AC655" s="130"/>
      <c r="AD655" s="130"/>
      <c r="AE655" s="130"/>
      <c r="AF655" s="130"/>
      <c r="AG655" s="130"/>
      <c r="AH655" s="130"/>
      <c r="AI655" s="130"/>
      <c r="AJ655" s="130"/>
      <c r="AK655" s="130"/>
    </row>
    <row r="656">
      <c r="A656" s="130"/>
      <c r="B656" s="130"/>
      <c r="C656" s="143"/>
      <c r="D656" s="130"/>
      <c r="E656" s="143"/>
      <c r="F656" s="143"/>
      <c r="G656" s="143"/>
      <c r="H656" s="143"/>
      <c r="I656" s="143"/>
      <c r="J656" s="143"/>
      <c r="K656" s="143"/>
      <c r="L656" s="143"/>
      <c r="M656" s="143"/>
      <c r="N656" s="143"/>
      <c r="O656" s="143"/>
      <c r="P656" s="143"/>
      <c r="Q656" s="67"/>
      <c r="R656" s="144"/>
      <c r="S656" s="144"/>
      <c r="T656" s="143"/>
      <c r="U656" s="143"/>
      <c r="V656" s="143"/>
      <c r="W656" s="130"/>
      <c r="X656" s="130"/>
      <c r="Y656" s="130"/>
      <c r="Z656" s="130"/>
      <c r="AA656" s="130"/>
      <c r="AB656" s="130"/>
      <c r="AC656" s="130"/>
      <c r="AD656" s="130"/>
      <c r="AE656" s="130"/>
      <c r="AF656" s="130"/>
      <c r="AG656" s="130"/>
      <c r="AH656" s="130"/>
      <c r="AI656" s="130"/>
      <c r="AJ656" s="130"/>
      <c r="AK656" s="130"/>
    </row>
    <row r="657">
      <c r="A657" s="130"/>
      <c r="B657" s="130"/>
      <c r="C657" s="143"/>
      <c r="D657" s="130"/>
      <c r="E657" s="143"/>
      <c r="F657" s="143"/>
      <c r="G657" s="143"/>
      <c r="H657" s="143"/>
      <c r="I657" s="143"/>
      <c r="J657" s="143"/>
      <c r="K657" s="143"/>
      <c r="L657" s="143"/>
      <c r="M657" s="143"/>
      <c r="N657" s="143"/>
      <c r="O657" s="143"/>
      <c r="P657" s="143"/>
      <c r="Q657" s="67"/>
      <c r="R657" s="144"/>
      <c r="S657" s="144"/>
      <c r="T657" s="143"/>
      <c r="U657" s="143"/>
      <c r="V657" s="143"/>
      <c r="W657" s="130"/>
      <c r="X657" s="130"/>
      <c r="Y657" s="130"/>
      <c r="Z657" s="130"/>
      <c r="AA657" s="130"/>
      <c r="AB657" s="130"/>
      <c r="AC657" s="130"/>
      <c r="AD657" s="130"/>
      <c r="AE657" s="130"/>
      <c r="AF657" s="130"/>
      <c r="AG657" s="130"/>
      <c r="AH657" s="130"/>
      <c r="AI657" s="130"/>
      <c r="AJ657" s="130"/>
      <c r="AK657" s="130"/>
    </row>
    <row r="658">
      <c r="A658" s="130"/>
      <c r="B658" s="130"/>
      <c r="C658" s="143"/>
      <c r="D658" s="130"/>
      <c r="E658" s="143"/>
      <c r="F658" s="143"/>
      <c r="G658" s="143"/>
      <c r="H658" s="143"/>
      <c r="I658" s="143"/>
      <c r="J658" s="143"/>
      <c r="K658" s="143"/>
      <c r="L658" s="143"/>
      <c r="M658" s="143"/>
      <c r="N658" s="143"/>
      <c r="O658" s="143"/>
      <c r="P658" s="143"/>
      <c r="Q658" s="67"/>
      <c r="R658" s="144"/>
      <c r="S658" s="144"/>
      <c r="T658" s="143"/>
      <c r="U658" s="143"/>
      <c r="V658" s="143"/>
      <c r="W658" s="130"/>
      <c r="X658" s="130"/>
      <c r="Y658" s="130"/>
      <c r="Z658" s="130"/>
      <c r="AA658" s="130"/>
      <c r="AB658" s="130"/>
      <c r="AC658" s="130"/>
      <c r="AD658" s="130"/>
      <c r="AE658" s="130"/>
      <c r="AF658" s="130"/>
      <c r="AG658" s="130"/>
      <c r="AH658" s="130"/>
      <c r="AI658" s="130"/>
      <c r="AJ658" s="130"/>
      <c r="AK658" s="130"/>
    </row>
    <row r="659">
      <c r="A659" s="130"/>
      <c r="B659" s="130"/>
      <c r="C659" s="143"/>
      <c r="D659" s="130"/>
      <c r="E659" s="143"/>
      <c r="F659" s="143"/>
      <c r="G659" s="143"/>
      <c r="H659" s="143"/>
      <c r="I659" s="143"/>
      <c r="J659" s="143"/>
      <c r="K659" s="143"/>
      <c r="L659" s="143"/>
      <c r="M659" s="143"/>
      <c r="N659" s="143"/>
      <c r="O659" s="143"/>
      <c r="P659" s="143"/>
      <c r="Q659" s="67"/>
      <c r="R659" s="144"/>
      <c r="S659" s="144"/>
      <c r="T659" s="143"/>
      <c r="U659" s="143"/>
      <c r="V659" s="143"/>
      <c r="W659" s="130"/>
      <c r="X659" s="130"/>
      <c r="Y659" s="130"/>
      <c r="Z659" s="130"/>
      <c r="AA659" s="130"/>
      <c r="AB659" s="130"/>
      <c r="AC659" s="130"/>
      <c r="AD659" s="130"/>
      <c r="AE659" s="130"/>
      <c r="AF659" s="130"/>
      <c r="AG659" s="130"/>
      <c r="AH659" s="130"/>
      <c r="AI659" s="130"/>
      <c r="AJ659" s="130"/>
      <c r="AK659" s="130"/>
    </row>
    <row r="660">
      <c r="A660" s="130"/>
      <c r="B660" s="130"/>
      <c r="C660" s="143"/>
      <c r="D660" s="130"/>
      <c r="E660" s="143"/>
      <c r="F660" s="143"/>
      <c r="G660" s="143"/>
      <c r="H660" s="143"/>
      <c r="I660" s="143"/>
      <c r="J660" s="143"/>
      <c r="K660" s="143"/>
      <c r="L660" s="143"/>
      <c r="M660" s="143"/>
      <c r="N660" s="143"/>
      <c r="O660" s="143"/>
      <c r="P660" s="143"/>
      <c r="Q660" s="67"/>
      <c r="R660" s="144"/>
      <c r="S660" s="144"/>
      <c r="T660" s="143"/>
      <c r="U660" s="143"/>
      <c r="V660" s="143"/>
      <c r="W660" s="130"/>
      <c r="X660" s="130"/>
      <c r="Y660" s="130"/>
      <c r="Z660" s="130"/>
      <c r="AA660" s="130"/>
      <c r="AB660" s="130"/>
      <c r="AC660" s="130"/>
      <c r="AD660" s="130"/>
      <c r="AE660" s="130"/>
      <c r="AF660" s="130"/>
      <c r="AG660" s="130"/>
      <c r="AH660" s="130"/>
      <c r="AI660" s="130"/>
      <c r="AJ660" s="130"/>
      <c r="AK660" s="130"/>
    </row>
    <row r="661">
      <c r="A661" s="130"/>
      <c r="B661" s="130"/>
      <c r="C661" s="143"/>
      <c r="D661" s="130"/>
      <c r="E661" s="143"/>
      <c r="F661" s="143"/>
      <c r="G661" s="143"/>
      <c r="H661" s="143"/>
      <c r="I661" s="143"/>
      <c r="J661" s="143"/>
      <c r="K661" s="143"/>
      <c r="L661" s="143"/>
      <c r="M661" s="143"/>
      <c r="N661" s="143"/>
      <c r="O661" s="143"/>
      <c r="P661" s="143"/>
      <c r="Q661" s="67"/>
      <c r="R661" s="144"/>
      <c r="S661" s="144"/>
      <c r="T661" s="143"/>
      <c r="U661" s="143"/>
      <c r="V661" s="143"/>
      <c r="W661" s="130"/>
      <c r="X661" s="130"/>
      <c r="Y661" s="130"/>
      <c r="Z661" s="130"/>
      <c r="AA661" s="130"/>
      <c r="AB661" s="130"/>
      <c r="AC661" s="130"/>
      <c r="AD661" s="130"/>
      <c r="AE661" s="130"/>
      <c r="AF661" s="130"/>
      <c r="AG661" s="130"/>
      <c r="AH661" s="130"/>
      <c r="AI661" s="130"/>
      <c r="AJ661" s="130"/>
      <c r="AK661" s="130"/>
    </row>
    <row r="662">
      <c r="A662" s="130"/>
      <c r="B662" s="130"/>
      <c r="C662" s="143"/>
      <c r="D662" s="130"/>
      <c r="E662" s="143"/>
      <c r="F662" s="143"/>
      <c r="G662" s="143"/>
      <c r="H662" s="143"/>
      <c r="I662" s="143"/>
      <c r="J662" s="143"/>
      <c r="K662" s="143"/>
      <c r="L662" s="143"/>
      <c r="M662" s="143"/>
      <c r="N662" s="143"/>
      <c r="O662" s="143"/>
      <c r="P662" s="143"/>
      <c r="Q662" s="67"/>
      <c r="R662" s="144"/>
      <c r="S662" s="144"/>
      <c r="T662" s="143"/>
      <c r="U662" s="143"/>
      <c r="V662" s="143"/>
      <c r="W662" s="130"/>
      <c r="X662" s="130"/>
      <c r="Y662" s="130"/>
      <c r="Z662" s="130"/>
      <c r="AA662" s="130"/>
      <c r="AB662" s="130"/>
      <c r="AC662" s="130"/>
      <c r="AD662" s="130"/>
      <c r="AE662" s="130"/>
      <c r="AF662" s="130"/>
      <c r="AG662" s="130"/>
      <c r="AH662" s="130"/>
      <c r="AI662" s="130"/>
      <c r="AJ662" s="130"/>
      <c r="AK662" s="130"/>
    </row>
    <row r="663">
      <c r="A663" s="130"/>
      <c r="B663" s="130"/>
      <c r="C663" s="143"/>
      <c r="D663" s="130"/>
      <c r="E663" s="143"/>
      <c r="F663" s="143"/>
      <c r="G663" s="143"/>
      <c r="H663" s="143"/>
      <c r="I663" s="143"/>
      <c r="J663" s="143"/>
      <c r="K663" s="143"/>
      <c r="L663" s="143"/>
      <c r="M663" s="143"/>
      <c r="N663" s="143"/>
      <c r="O663" s="143"/>
      <c r="P663" s="143"/>
      <c r="Q663" s="67"/>
      <c r="R663" s="144"/>
      <c r="S663" s="144"/>
      <c r="T663" s="143"/>
      <c r="U663" s="143"/>
      <c r="V663" s="143"/>
      <c r="W663" s="130"/>
      <c r="X663" s="130"/>
      <c r="Y663" s="130"/>
      <c r="Z663" s="130"/>
      <c r="AA663" s="130"/>
      <c r="AB663" s="130"/>
      <c r="AC663" s="130"/>
      <c r="AD663" s="130"/>
      <c r="AE663" s="130"/>
      <c r="AF663" s="130"/>
      <c r="AG663" s="130"/>
      <c r="AH663" s="130"/>
      <c r="AI663" s="130"/>
      <c r="AJ663" s="130"/>
      <c r="AK663" s="130"/>
    </row>
    <row r="664">
      <c r="A664" s="130"/>
      <c r="B664" s="130"/>
      <c r="C664" s="143"/>
      <c r="D664" s="130"/>
      <c r="E664" s="143"/>
      <c r="F664" s="143"/>
      <c r="G664" s="143"/>
      <c r="H664" s="143"/>
      <c r="I664" s="143"/>
      <c r="J664" s="143"/>
      <c r="K664" s="143"/>
      <c r="L664" s="143"/>
      <c r="M664" s="143"/>
      <c r="N664" s="143"/>
      <c r="O664" s="143"/>
      <c r="P664" s="143"/>
      <c r="Q664" s="67"/>
      <c r="R664" s="144"/>
      <c r="S664" s="144"/>
      <c r="T664" s="143"/>
      <c r="U664" s="143"/>
      <c r="V664" s="143"/>
      <c r="W664" s="130"/>
      <c r="X664" s="130"/>
      <c r="Y664" s="130"/>
      <c r="Z664" s="130"/>
      <c r="AA664" s="130"/>
      <c r="AB664" s="130"/>
      <c r="AC664" s="130"/>
      <c r="AD664" s="130"/>
      <c r="AE664" s="130"/>
      <c r="AF664" s="130"/>
      <c r="AG664" s="130"/>
      <c r="AH664" s="130"/>
      <c r="AI664" s="130"/>
      <c r="AJ664" s="130"/>
      <c r="AK664" s="130"/>
    </row>
    <row r="665">
      <c r="A665" s="130"/>
      <c r="B665" s="130"/>
      <c r="C665" s="143"/>
      <c r="D665" s="130"/>
      <c r="E665" s="143"/>
      <c r="F665" s="143"/>
      <c r="G665" s="143"/>
      <c r="H665" s="143"/>
      <c r="I665" s="143"/>
      <c r="J665" s="143"/>
      <c r="K665" s="143"/>
      <c r="L665" s="143"/>
      <c r="M665" s="143"/>
      <c r="N665" s="143"/>
      <c r="O665" s="143"/>
      <c r="P665" s="143"/>
      <c r="Q665" s="67"/>
      <c r="R665" s="144"/>
      <c r="S665" s="144"/>
      <c r="T665" s="143"/>
      <c r="U665" s="143"/>
      <c r="V665" s="143"/>
      <c r="W665" s="130"/>
      <c r="X665" s="130"/>
      <c r="Y665" s="130"/>
      <c r="Z665" s="130"/>
      <c r="AA665" s="130"/>
      <c r="AB665" s="130"/>
      <c r="AC665" s="130"/>
      <c r="AD665" s="130"/>
      <c r="AE665" s="130"/>
      <c r="AF665" s="130"/>
      <c r="AG665" s="130"/>
      <c r="AH665" s="130"/>
      <c r="AI665" s="130"/>
      <c r="AJ665" s="130"/>
      <c r="AK665" s="130"/>
    </row>
    <row r="666">
      <c r="A666" s="130"/>
      <c r="B666" s="130"/>
      <c r="C666" s="143"/>
      <c r="D666" s="130"/>
      <c r="E666" s="143"/>
      <c r="F666" s="143"/>
      <c r="G666" s="143"/>
      <c r="H666" s="143"/>
      <c r="I666" s="143"/>
      <c r="J666" s="143"/>
      <c r="K666" s="143"/>
      <c r="L666" s="143"/>
      <c r="M666" s="143"/>
      <c r="N666" s="143"/>
      <c r="O666" s="143"/>
      <c r="P666" s="143"/>
      <c r="Q666" s="67"/>
      <c r="R666" s="144"/>
      <c r="S666" s="144"/>
      <c r="T666" s="143"/>
      <c r="U666" s="143"/>
      <c r="V666" s="143"/>
      <c r="W666" s="130"/>
      <c r="X666" s="130"/>
      <c r="Y666" s="130"/>
      <c r="Z666" s="130"/>
      <c r="AA666" s="130"/>
      <c r="AB666" s="130"/>
      <c r="AC666" s="130"/>
      <c r="AD666" s="130"/>
      <c r="AE666" s="130"/>
      <c r="AF666" s="130"/>
      <c r="AG666" s="130"/>
      <c r="AH666" s="130"/>
      <c r="AI666" s="130"/>
      <c r="AJ666" s="130"/>
      <c r="AK666" s="130"/>
    </row>
    <row r="667">
      <c r="A667" s="130"/>
      <c r="B667" s="130"/>
      <c r="C667" s="143"/>
      <c r="D667" s="130"/>
      <c r="E667" s="143"/>
      <c r="F667" s="143"/>
      <c r="G667" s="143"/>
      <c r="H667" s="143"/>
      <c r="I667" s="143"/>
      <c r="J667" s="143"/>
      <c r="K667" s="143"/>
      <c r="L667" s="143"/>
      <c r="M667" s="143"/>
      <c r="N667" s="143"/>
      <c r="O667" s="143"/>
      <c r="P667" s="143"/>
      <c r="Q667" s="67"/>
      <c r="R667" s="144"/>
      <c r="S667" s="144"/>
      <c r="T667" s="143"/>
      <c r="U667" s="143"/>
      <c r="V667" s="143"/>
      <c r="W667" s="130"/>
      <c r="X667" s="130"/>
      <c r="Y667" s="130"/>
      <c r="Z667" s="130"/>
      <c r="AA667" s="130"/>
      <c r="AB667" s="130"/>
      <c r="AC667" s="130"/>
      <c r="AD667" s="130"/>
      <c r="AE667" s="130"/>
      <c r="AF667" s="130"/>
      <c r="AG667" s="130"/>
      <c r="AH667" s="130"/>
      <c r="AI667" s="130"/>
      <c r="AJ667" s="130"/>
      <c r="AK667" s="130"/>
    </row>
    <row r="668">
      <c r="A668" s="130"/>
      <c r="B668" s="130"/>
      <c r="C668" s="143"/>
      <c r="D668" s="130"/>
      <c r="E668" s="143"/>
      <c r="F668" s="143"/>
      <c r="G668" s="143"/>
      <c r="H668" s="143"/>
      <c r="I668" s="143"/>
      <c r="J668" s="143"/>
      <c r="K668" s="143"/>
      <c r="L668" s="143"/>
      <c r="M668" s="143"/>
      <c r="N668" s="143"/>
      <c r="O668" s="143"/>
      <c r="P668" s="143"/>
      <c r="Q668" s="67"/>
      <c r="R668" s="144"/>
      <c r="S668" s="144"/>
      <c r="T668" s="143"/>
      <c r="U668" s="143"/>
      <c r="V668" s="143"/>
      <c r="W668" s="130"/>
      <c r="X668" s="130"/>
      <c r="Y668" s="130"/>
      <c r="Z668" s="130"/>
      <c r="AA668" s="130"/>
      <c r="AB668" s="130"/>
      <c r="AC668" s="130"/>
      <c r="AD668" s="130"/>
      <c r="AE668" s="130"/>
      <c r="AF668" s="130"/>
      <c r="AG668" s="130"/>
      <c r="AH668" s="130"/>
      <c r="AI668" s="130"/>
      <c r="AJ668" s="130"/>
      <c r="AK668" s="130"/>
    </row>
    <row r="669">
      <c r="A669" s="130"/>
      <c r="B669" s="130"/>
      <c r="C669" s="143"/>
      <c r="D669" s="130"/>
      <c r="E669" s="143"/>
      <c r="F669" s="143"/>
      <c r="G669" s="143"/>
      <c r="H669" s="143"/>
      <c r="I669" s="143"/>
      <c r="J669" s="143"/>
      <c r="K669" s="143"/>
      <c r="L669" s="143"/>
      <c r="M669" s="143"/>
      <c r="N669" s="143"/>
      <c r="O669" s="143"/>
      <c r="P669" s="143"/>
      <c r="Q669" s="67"/>
      <c r="R669" s="144"/>
      <c r="S669" s="144"/>
      <c r="T669" s="143"/>
      <c r="U669" s="143"/>
      <c r="V669" s="143"/>
      <c r="W669" s="130"/>
      <c r="X669" s="130"/>
      <c r="Y669" s="130"/>
      <c r="Z669" s="130"/>
      <c r="AA669" s="130"/>
      <c r="AB669" s="130"/>
      <c r="AC669" s="130"/>
      <c r="AD669" s="130"/>
      <c r="AE669" s="130"/>
      <c r="AF669" s="130"/>
      <c r="AG669" s="130"/>
      <c r="AH669" s="130"/>
      <c r="AI669" s="130"/>
      <c r="AJ669" s="130"/>
      <c r="AK669" s="130"/>
    </row>
    <row r="670">
      <c r="A670" s="130"/>
      <c r="B670" s="130"/>
      <c r="C670" s="143"/>
      <c r="D670" s="130"/>
      <c r="E670" s="143"/>
      <c r="F670" s="143"/>
      <c r="G670" s="143"/>
      <c r="H670" s="143"/>
      <c r="I670" s="143"/>
      <c r="J670" s="143"/>
      <c r="K670" s="143"/>
      <c r="L670" s="143"/>
      <c r="M670" s="143"/>
      <c r="N670" s="143"/>
      <c r="O670" s="143"/>
      <c r="P670" s="143"/>
      <c r="Q670" s="67"/>
      <c r="R670" s="144"/>
      <c r="S670" s="144"/>
      <c r="T670" s="143"/>
      <c r="U670" s="143"/>
      <c r="V670" s="143"/>
      <c r="W670" s="130"/>
      <c r="X670" s="130"/>
      <c r="Y670" s="130"/>
      <c r="Z670" s="130"/>
      <c r="AA670" s="130"/>
      <c r="AB670" s="130"/>
      <c r="AC670" s="130"/>
      <c r="AD670" s="130"/>
      <c r="AE670" s="130"/>
      <c r="AF670" s="130"/>
      <c r="AG670" s="130"/>
      <c r="AH670" s="130"/>
      <c r="AI670" s="130"/>
      <c r="AJ670" s="130"/>
      <c r="AK670" s="130"/>
    </row>
    <row r="671">
      <c r="A671" s="130"/>
      <c r="B671" s="130"/>
      <c r="C671" s="143"/>
      <c r="D671" s="130"/>
      <c r="E671" s="143"/>
      <c r="F671" s="143"/>
      <c r="G671" s="143"/>
      <c r="H671" s="143"/>
      <c r="I671" s="143"/>
      <c r="J671" s="143"/>
      <c r="K671" s="143"/>
      <c r="L671" s="143"/>
      <c r="M671" s="143"/>
      <c r="N671" s="143"/>
      <c r="O671" s="143"/>
      <c r="P671" s="143"/>
      <c r="Q671" s="67"/>
      <c r="R671" s="144"/>
      <c r="S671" s="144"/>
      <c r="T671" s="143"/>
      <c r="U671" s="143"/>
      <c r="V671" s="143"/>
      <c r="W671" s="130"/>
      <c r="X671" s="130"/>
      <c r="Y671" s="130"/>
      <c r="Z671" s="130"/>
      <c r="AA671" s="130"/>
      <c r="AB671" s="130"/>
      <c r="AC671" s="130"/>
      <c r="AD671" s="130"/>
      <c r="AE671" s="130"/>
      <c r="AF671" s="130"/>
      <c r="AG671" s="130"/>
      <c r="AH671" s="130"/>
      <c r="AI671" s="130"/>
      <c r="AJ671" s="130"/>
      <c r="AK671" s="130"/>
    </row>
    <row r="672">
      <c r="A672" s="130"/>
      <c r="B672" s="130"/>
      <c r="C672" s="143"/>
      <c r="D672" s="130"/>
      <c r="E672" s="143"/>
      <c r="F672" s="143"/>
      <c r="G672" s="143"/>
      <c r="H672" s="143"/>
      <c r="I672" s="143"/>
      <c r="J672" s="143"/>
      <c r="K672" s="143"/>
      <c r="L672" s="143"/>
      <c r="M672" s="143"/>
      <c r="N672" s="143"/>
      <c r="O672" s="143"/>
      <c r="P672" s="143"/>
      <c r="Q672" s="67"/>
      <c r="R672" s="144"/>
      <c r="S672" s="144"/>
      <c r="T672" s="143"/>
      <c r="U672" s="143"/>
      <c r="V672" s="143"/>
      <c r="W672" s="130"/>
      <c r="X672" s="130"/>
      <c r="Y672" s="130"/>
      <c r="Z672" s="130"/>
      <c r="AA672" s="130"/>
      <c r="AB672" s="130"/>
      <c r="AC672" s="130"/>
      <c r="AD672" s="130"/>
      <c r="AE672" s="130"/>
      <c r="AF672" s="130"/>
      <c r="AG672" s="130"/>
      <c r="AH672" s="130"/>
      <c r="AI672" s="130"/>
      <c r="AJ672" s="130"/>
      <c r="AK672" s="130"/>
    </row>
    <row r="673">
      <c r="A673" s="130"/>
      <c r="B673" s="130"/>
      <c r="C673" s="143"/>
      <c r="D673" s="130"/>
      <c r="E673" s="143"/>
      <c r="F673" s="143"/>
      <c r="G673" s="143"/>
      <c r="H673" s="143"/>
      <c r="I673" s="143"/>
      <c r="J673" s="143"/>
      <c r="K673" s="143"/>
      <c r="L673" s="143"/>
      <c r="M673" s="143"/>
      <c r="N673" s="143"/>
      <c r="O673" s="143"/>
      <c r="P673" s="143"/>
      <c r="Q673" s="67"/>
      <c r="R673" s="144"/>
      <c r="S673" s="144"/>
      <c r="T673" s="143"/>
      <c r="U673" s="143"/>
      <c r="V673" s="143"/>
      <c r="W673" s="130"/>
      <c r="X673" s="130"/>
      <c r="Y673" s="130"/>
      <c r="Z673" s="130"/>
      <c r="AA673" s="130"/>
      <c r="AB673" s="130"/>
      <c r="AC673" s="130"/>
      <c r="AD673" s="130"/>
      <c r="AE673" s="130"/>
      <c r="AF673" s="130"/>
      <c r="AG673" s="130"/>
      <c r="AH673" s="130"/>
      <c r="AI673" s="130"/>
      <c r="AJ673" s="130"/>
      <c r="AK673" s="130"/>
    </row>
    <row r="674">
      <c r="A674" s="130"/>
      <c r="B674" s="130"/>
      <c r="C674" s="143"/>
      <c r="D674" s="130"/>
      <c r="E674" s="143"/>
      <c r="F674" s="143"/>
      <c r="G674" s="143"/>
      <c r="H674" s="143"/>
      <c r="I674" s="143"/>
      <c r="J674" s="143"/>
      <c r="K674" s="143"/>
      <c r="L674" s="143"/>
      <c r="M674" s="143"/>
      <c r="N674" s="143"/>
      <c r="O674" s="143"/>
      <c r="P674" s="143"/>
      <c r="Q674" s="67"/>
      <c r="R674" s="144"/>
      <c r="S674" s="144"/>
      <c r="T674" s="143"/>
      <c r="U674" s="143"/>
      <c r="V674" s="143"/>
      <c r="W674" s="130"/>
      <c r="X674" s="130"/>
      <c r="Y674" s="130"/>
      <c r="Z674" s="130"/>
      <c r="AA674" s="130"/>
      <c r="AB674" s="130"/>
      <c r="AC674" s="130"/>
      <c r="AD674" s="130"/>
      <c r="AE674" s="130"/>
      <c r="AF674" s="130"/>
      <c r="AG674" s="130"/>
      <c r="AH674" s="130"/>
      <c r="AI674" s="130"/>
      <c r="AJ674" s="130"/>
      <c r="AK674" s="130"/>
    </row>
    <row r="675">
      <c r="A675" s="130"/>
      <c r="B675" s="130"/>
      <c r="C675" s="143"/>
      <c r="D675" s="130"/>
      <c r="E675" s="143"/>
      <c r="F675" s="143"/>
      <c r="G675" s="143"/>
      <c r="H675" s="143"/>
      <c r="I675" s="143"/>
      <c r="J675" s="143"/>
      <c r="K675" s="143"/>
      <c r="L675" s="143"/>
      <c r="M675" s="143"/>
      <c r="N675" s="143"/>
      <c r="O675" s="143"/>
      <c r="P675" s="143"/>
      <c r="Q675" s="67"/>
      <c r="R675" s="144"/>
      <c r="S675" s="144"/>
      <c r="T675" s="143"/>
      <c r="U675" s="143"/>
      <c r="V675" s="143"/>
      <c r="W675" s="130"/>
      <c r="X675" s="130"/>
      <c r="Y675" s="130"/>
      <c r="Z675" s="130"/>
      <c r="AA675" s="130"/>
      <c r="AB675" s="130"/>
      <c r="AC675" s="130"/>
      <c r="AD675" s="130"/>
      <c r="AE675" s="130"/>
      <c r="AF675" s="130"/>
      <c r="AG675" s="130"/>
      <c r="AH675" s="130"/>
      <c r="AI675" s="130"/>
      <c r="AJ675" s="130"/>
      <c r="AK675" s="130"/>
    </row>
    <row r="676">
      <c r="A676" s="130"/>
      <c r="B676" s="130"/>
      <c r="C676" s="143"/>
      <c r="D676" s="130"/>
      <c r="E676" s="143"/>
      <c r="F676" s="143"/>
      <c r="G676" s="143"/>
      <c r="H676" s="143"/>
      <c r="I676" s="143"/>
      <c r="J676" s="143"/>
      <c r="K676" s="143"/>
      <c r="L676" s="143"/>
      <c r="M676" s="143"/>
      <c r="N676" s="143"/>
      <c r="O676" s="143"/>
      <c r="P676" s="143"/>
      <c r="Q676" s="67"/>
      <c r="R676" s="144"/>
      <c r="S676" s="144"/>
      <c r="T676" s="143"/>
      <c r="U676" s="143"/>
      <c r="V676" s="143"/>
      <c r="W676" s="130"/>
      <c r="X676" s="130"/>
      <c r="Y676" s="130"/>
      <c r="Z676" s="130"/>
      <c r="AA676" s="130"/>
      <c r="AB676" s="130"/>
      <c r="AC676" s="130"/>
      <c r="AD676" s="130"/>
      <c r="AE676" s="130"/>
      <c r="AF676" s="130"/>
      <c r="AG676" s="130"/>
      <c r="AH676" s="130"/>
      <c r="AI676" s="130"/>
      <c r="AJ676" s="130"/>
      <c r="AK676" s="130"/>
    </row>
    <row r="677">
      <c r="A677" s="130"/>
      <c r="B677" s="130"/>
      <c r="C677" s="143"/>
      <c r="D677" s="130"/>
      <c r="E677" s="143"/>
      <c r="F677" s="143"/>
      <c r="G677" s="143"/>
      <c r="H677" s="143"/>
      <c r="I677" s="143"/>
      <c r="J677" s="143"/>
      <c r="K677" s="143"/>
      <c r="L677" s="143"/>
      <c r="M677" s="143"/>
      <c r="N677" s="143"/>
      <c r="O677" s="143"/>
      <c r="P677" s="143"/>
      <c r="Q677" s="67"/>
      <c r="R677" s="144"/>
      <c r="S677" s="144"/>
      <c r="T677" s="143"/>
      <c r="U677" s="143"/>
      <c r="V677" s="143"/>
      <c r="W677" s="130"/>
      <c r="X677" s="130"/>
      <c r="Y677" s="130"/>
      <c r="Z677" s="130"/>
      <c r="AA677" s="130"/>
      <c r="AB677" s="130"/>
      <c r="AC677" s="130"/>
      <c r="AD677" s="130"/>
      <c r="AE677" s="130"/>
      <c r="AF677" s="130"/>
      <c r="AG677" s="130"/>
      <c r="AH677" s="130"/>
      <c r="AI677" s="130"/>
      <c r="AJ677" s="130"/>
      <c r="AK677" s="130"/>
    </row>
    <row r="678">
      <c r="A678" s="130"/>
      <c r="B678" s="130"/>
      <c r="C678" s="143"/>
      <c r="D678" s="130"/>
      <c r="E678" s="143"/>
      <c r="F678" s="143"/>
      <c r="G678" s="143"/>
      <c r="H678" s="143"/>
      <c r="I678" s="143"/>
      <c r="J678" s="143"/>
      <c r="K678" s="143"/>
      <c r="L678" s="143"/>
      <c r="M678" s="143"/>
      <c r="N678" s="143"/>
      <c r="O678" s="143"/>
      <c r="P678" s="143"/>
      <c r="Q678" s="67"/>
      <c r="R678" s="144"/>
      <c r="S678" s="144"/>
      <c r="T678" s="143"/>
      <c r="U678" s="143"/>
      <c r="V678" s="143"/>
      <c r="W678" s="130"/>
      <c r="X678" s="130"/>
      <c r="Y678" s="130"/>
      <c r="Z678" s="130"/>
      <c r="AA678" s="130"/>
      <c r="AB678" s="130"/>
      <c r="AC678" s="130"/>
      <c r="AD678" s="130"/>
      <c r="AE678" s="130"/>
      <c r="AF678" s="130"/>
      <c r="AG678" s="130"/>
      <c r="AH678" s="130"/>
      <c r="AI678" s="130"/>
      <c r="AJ678" s="130"/>
      <c r="AK678" s="130"/>
    </row>
    <row r="679">
      <c r="A679" s="130"/>
      <c r="B679" s="130"/>
      <c r="C679" s="143"/>
      <c r="D679" s="130"/>
      <c r="E679" s="143"/>
      <c r="F679" s="143"/>
      <c r="G679" s="143"/>
      <c r="H679" s="143"/>
      <c r="I679" s="143"/>
      <c r="J679" s="143"/>
      <c r="K679" s="143"/>
      <c r="L679" s="143"/>
      <c r="M679" s="143"/>
      <c r="N679" s="143"/>
      <c r="O679" s="143"/>
      <c r="P679" s="143"/>
      <c r="Q679" s="67"/>
      <c r="R679" s="144"/>
      <c r="S679" s="144"/>
      <c r="T679" s="143"/>
      <c r="U679" s="143"/>
      <c r="V679" s="143"/>
      <c r="W679" s="130"/>
      <c r="X679" s="130"/>
      <c r="Y679" s="130"/>
      <c r="Z679" s="130"/>
      <c r="AA679" s="130"/>
      <c r="AB679" s="130"/>
      <c r="AC679" s="130"/>
      <c r="AD679" s="130"/>
      <c r="AE679" s="130"/>
      <c r="AF679" s="130"/>
      <c r="AG679" s="130"/>
      <c r="AH679" s="130"/>
      <c r="AI679" s="130"/>
      <c r="AJ679" s="130"/>
      <c r="AK679" s="130"/>
    </row>
    <row r="680">
      <c r="A680" s="130"/>
      <c r="B680" s="130"/>
      <c r="C680" s="143"/>
      <c r="D680" s="130"/>
      <c r="E680" s="143"/>
      <c r="F680" s="143"/>
      <c r="G680" s="143"/>
      <c r="H680" s="143"/>
      <c r="I680" s="143"/>
      <c r="J680" s="143"/>
      <c r="K680" s="143"/>
      <c r="L680" s="143"/>
      <c r="M680" s="143"/>
      <c r="N680" s="143"/>
      <c r="O680" s="143"/>
      <c r="P680" s="143"/>
      <c r="Q680" s="67"/>
      <c r="R680" s="144"/>
      <c r="S680" s="144"/>
      <c r="T680" s="143"/>
      <c r="U680" s="143"/>
      <c r="V680" s="143"/>
      <c r="W680" s="130"/>
      <c r="X680" s="130"/>
      <c r="Y680" s="130"/>
      <c r="Z680" s="130"/>
      <c r="AA680" s="130"/>
      <c r="AB680" s="130"/>
      <c r="AC680" s="130"/>
      <c r="AD680" s="130"/>
      <c r="AE680" s="130"/>
      <c r="AF680" s="130"/>
      <c r="AG680" s="130"/>
      <c r="AH680" s="130"/>
      <c r="AI680" s="130"/>
      <c r="AJ680" s="130"/>
      <c r="AK680" s="130"/>
    </row>
    <row r="681">
      <c r="A681" s="130"/>
      <c r="B681" s="130"/>
      <c r="C681" s="143"/>
      <c r="D681" s="130"/>
      <c r="E681" s="143"/>
      <c r="F681" s="143"/>
      <c r="G681" s="143"/>
      <c r="H681" s="143"/>
      <c r="I681" s="143"/>
      <c r="J681" s="143"/>
      <c r="K681" s="143"/>
      <c r="L681" s="143"/>
      <c r="M681" s="143"/>
      <c r="N681" s="143"/>
      <c r="O681" s="143"/>
      <c r="P681" s="143"/>
      <c r="Q681" s="67"/>
      <c r="R681" s="144"/>
      <c r="S681" s="144"/>
      <c r="T681" s="143"/>
      <c r="U681" s="143"/>
      <c r="V681" s="143"/>
      <c r="W681" s="130"/>
      <c r="X681" s="130"/>
      <c r="Y681" s="130"/>
      <c r="Z681" s="130"/>
      <c r="AA681" s="130"/>
      <c r="AB681" s="130"/>
      <c r="AC681" s="130"/>
      <c r="AD681" s="130"/>
      <c r="AE681" s="130"/>
      <c r="AF681" s="130"/>
      <c r="AG681" s="130"/>
      <c r="AH681" s="130"/>
      <c r="AI681" s="130"/>
      <c r="AJ681" s="130"/>
      <c r="AK681" s="130"/>
    </row>
    <row r="682">
      <c r="A682" s="130"/>
      <c r="B682" s="130"/>
      <c r="C682" s="143"/>
      <c r="D682" s="130"/>
      <c r="E682" s="143"/>
      <c r="F682" s="143"/>
      <c r="G682" s="143"/>
      <c r="H682" s="143"/>
      <c r="I682" s="143"/>
      <c r="J682" s="143"/>
      <c r="K682" s="143"/>
      <c r="L682" s="143"/>
      <c r="M682" s="143"/>
      <c r="N682" s="143"/>
      <c r="O682" s="143"/>
      <c r="P682" s="143"/>
      <c r="Q682" s="67"/>
      <c r="R682" s="144"/>
      <c r="S682" s="144"/>
      <c r="T682" s="143"/>
      <c r="U682" s="143"/>
      <c r="V682" s="143"/>
      <c r="W682" s="130"/>
      <c r="X682" s="130"/>
      <c r="Y682" s="130"/>
      <c r="Z682" s="130"/>
      <c r="AA682" s="130"/>
      <c r="AB682" s="130"/>
      <c r="AC682" s="130"/>
      <c r="AD682" s="130"/>
      <c r="AE682" s="130"/>
      <c r="AF682" s="130"/>
      <c r="AG682" s="130"/>
      <c r="AH682" s="130"/>
      <c r="AI682" s="130"/>
      <c r="AJ682" s="130"/>
      <c r="AK682" s="130"/>
    </row>
    <row r="683">
      <c r="A683" s="130"/>
      <c r="B683" s="130"/>
      <c r="C683" s="143"/>
      <c r="D683" s="130"/>
      <c r="E683" s="143"/>
      <c r="F683" s="143"/>
      <c r="G683" s="143"/>
      <c r="H683" s="143"/>
      <c r="I683" s="143"/>
      <c r="J683" s="143"/>
      <c r="K683" s="143"/>
      <c r="L683" s="143"/>
      <c r="M683" s="143"/>
      <c r="N683" s="143"/>
      <c r="O683" s="143"/>
      <c r="P683" s="143"/>
      <c r="Q683" s="67"/>
      <c r="R683" s="144"/>
      <c r="S683" s="144"/>
      <c r="T683" s="143"/>
      <c r="U683" s="143"/>
      <c r="V683" s="143"/>
      <c r="W683" s="130"/>
      <c r="X683" s="130"/>
      <c r="Y683" s="130"/>
      <c r="Z683" s="130"/>
      <c r="AA683" s="130"/>
      <c r="AB683" s="130"/>
      <c r="AC683" s="130"/>
      <c r="AD683" s="130"/>
      <c r="AE683" s="130"/>
      <c r="AF683" s="130"/>
      <c r="AG683" s="130"/>
      <c r="AH683" s="130"/>
      <c r="AI683" s="130"/>
      <c r="AJ683" s="130"/>
      <c r="AK683" s="130"/>
    </row>
    <row r="684">
      <c r="A684" s="130"/>
      <c r="B684" s="130"/>
      <c r="C684" s="143"/>
      <c r="D684" s="130"/>
      <c r="E684" s="143"/>
      <c r="F684" s="143"/>
      <c r="G684" s="143"/>
      <c r="H684" s="143"/>
      <c r="I684" s="143"/>
      <c r="J684" s="143"/>
      <c r="K684" s="143"/>
      <c r="L684" s="143"/>
      <c r="M684" s="143"/>
      <c r="N684" s="143"/>
      <c r="O684" s="143"/>
      <c r="P684" s="143"/>
      <c r="Q684" s="67"/>
      <c r="R684" s="144"/>
      <c r="S684" s="144"/>
      <c r="T684" s="143"/>
      <c r="U684" s="143"/>
      <c r="V684" s="143"/>
      <c r="W684" s="130"/>
      <c r="X684" s="130"/>
      <c r="Y684" s="130"/>
      <c r="Z684" s="130"/>
      <c r="AA684" s="130"/>
      <c r="AB684" s="130"/>
      <c r="AC684" s="130"/>
      <c r="AD684" s="130"/>
      <c r="AE684" s="130"/>
      <c r="AF684" s="130"/>
      <c r="AG684" s="130"/>
      <c r="AH684" s="130"/>
      <c r="AI684" s="130"/>
      <c r="AJ684" s="130"/>
      <c r="AK684" s="130"/>
    </row>
    <row r="685">
      <c r="A685" s="130"/>
      <c r="B685" s="130"/>
      <c r="C685" s="143"/>
      <c r="D685" s="130"/>
      <c r="E685" s="143"/>
      <c r="F685" s="143"/>
      <c r="G685" s="143"/>
      <c r="H685" s="143"/>
      <c r="I685" s="143"/>
      <c r="J685" s="143"/>
      <c r="K685" s="143"/>
      <c r="L685" s="143"/>
      <c r="M685" s="143"/>
      <c r="N685" s="143"/>
      <c r="O685" s="143"/>
      <c r="P685" s="143"/>
      <c r="Q685" s="67"/>
      <c r="R685" s="144"/>
      <c r="S685" s="144"/>
      <c r="T685" s="143"/>
      <c r="U685" s="143"/>
      <c r="V685" s="143"/>
      <c r="W685" s="130"/>
      <c r="X685" s="130"/>
      <c r="Y685" s="130"/>
      <c r="Z685" s="130"/>
      <c r="AA685" s="130"/>
      <c r="AB685" s="130"/>
      <c r="AC685" s="130"/>
      <c r="AD685" s="130"/>
      <c r="AE685" s="130"/>
      <c r="AF685" s="130"/>
      <c r="AG685" s="130"/>
      <c r="AH685" s="130"/>
      <c r="AI685" s="130"/>
      <c r="AJ685" s="130"/>
      <c r="AK685" s="130"/>
    </row>
    <row r="686">
      <c r="A686" s="130"/>
      <c r="B686" s="130"/>
      <c r="C686" s="143"/>
      <c r="D686" s="130"/>
      <c r="E686" s="143"/>
      <c r="F686" s="143"/>
      <c r="G686" s="143"/>
      <c r="H686" s="143"/>
      <c r="I686" s="143"/>
      <c r="J686" s="143"/>
      <c r="K686" s="143"/>
      <c r="L686" s="143"/>
      <c r="M686" s="143"/>
      <c r="N686" s="143"/>
      <c r="O686" s="143"/>
      <c r="P686" s="143"/>
      <c r="Q686" s="67"/>
      <c r="R686" s="144"/>
      <c r="S686" s="144"/>
      <c r="T686" s="143"/>
      <c r="U686" s="143"/>
      <c r="V686" s="143"/>
      <c r="W686" s="130"/>
      <c r="X686" s="130"/>
      <c r="Y686" s="130"/>
      <c r="Z686" s="130"/>
      <c r="AA686" s="130"/>
      <c r="AB686" s="130"/>
      <c r="AC686" s="130"/>
      <c r="AD686" s="130"/>
      <c r="AE686" s="130"/>
      <c r="AF686" s="130"/>
      <c r="AG686" s="130"/>
      <c r="AH686" s="130"/>
      <c r="AI686" s="130"/>
      <c r="AJ686" s="130"/>
      <c r="AK686" s="130"/>
    </row>
    <row r="687">
      <c r="A687" s="130"/>
      <c r="B687" s="130"/>
      <c r="C687" s="143"/>
      <c r="D687" s="130"/>
      <c r="E687" s="143"/>
      <c r="F687" s="143"/>
      <c r="G687" s="143"/>
      <c r="H687" s="143"/>
      <c r="I687" s="143"/>
      <c r="J687" s="143"/>
      <c r="K687" s="143"/>
      <c r="L687" s="143"/>
      <c r="M687" s="143"/>
      <c r="N687" s="143"/>
      <c r="O687" s="143"/>
      <c r="P687" s="143"/>
      <c r="Q687" s="67"/>
      <c r="R687" s="144"/>
      <c r="S687" s="144"/>
      <c r="T687" s="143"/>
      <c r="U687" s="143"/>
      <c r="V687" s="143"/>
      <c r="W687" s="130"/>
      <c r="X687" s="130"/>
      <c r="Y687" s="130"/>
      <c r="Z687" s="130"/>
      <c r="AA687" s="130"/>
      <c r="AB687" s="130"/>
      <c r="AC687" s="130"/>
      <c r="AD687" s="130"/>
      <c r="AE687" s="130"/>
      <c r="AF687" s="130"/>
      <c r="AG687" s="130"/>
      <c r="AH687" s="130"/>
      <c r="AI687" s="130"/>
      <c r="AJ687" s="130"/>
      <c r="AK687" s="130"/>
    </row>
    <row r="688">
      <c r="A688" s="130"/>
      <c r="B688" s="130"/>
      <c r="C688" s="143"/>
      <c r="D688" s="130"/>
      <c r="E688" s="143"/>
      <c r="F688" s="143"/>
      <c r="G688" s="143"/>
      <c r="H688" s="143"/>
      <c r="I688" s="143"/>
      <c r="J688" s="143"/>
      <c r="K688" s="143"/>
      <c r="L688" s="143"/>
      <c r="M688" s="143"/>
      <c r="N688" s="143"/>
      <c r="O688" s="143"/>
      <c r="P688" s="143"/>
      <c r="Q688" s="67"/>
      <c r="R688" s="144"/>
      <c r="S688" s="144"/>
      <c r="T688" s="143"/>
      <c r="U688" s="143"/>
      <c r="V688" s="143"/>
      <c r="W688" s="130"/>
      <c r="X688" s="130"/>
      <c r="Y688" s="130"/>
      <c r="Z688" s="130"/>
      <c r="AA688" s="130"/>
      <c r="AB688" s="130"/>
      <c r="AC688" s="130"/>
      <c r="AD688" s="130"/>
      <c r="AE688" s="130"/>
      <c r="AF688" s="130"/>
      <c r="AG688" s="130"/>
      <c r="AH688" s="130"/>
      <c r="AI688" s="130"/>
      <c r="AJ688" s="130"/>
      <c r="AK688" s="130"/>
    </row>
    <row r="689">
      <c r="A689" s="130"/>
      <c r="B689" s="130"/>
      <c r="C689" s="143"/>
      <c r="D689" s="130"/>
      <c r="E689" s="143"/>
      <c r="F689" s="143"/>
      <c r="G689" s="143"/>
      <c r="H689" s="143"/>
      <c r="I689" s="143"/>
      <c r="J689" s="143"/>
      <c r="K689" s="143"/>
      <c r="L689" s="143"/>
      <c r="M689" s="143"/>
      <c r="N689" s="143"/>
      <c r="O689" s="143"/>
      <c r="P689" s="143"/>
      <c r="Q689" s="67"/>
      <c r="R689" s="144"/>
      <c r="S689" s="144"/>
      <c r="T689" s="143"/>
      <c r="U689" s="143"/>
      <c r="V689" s="143"/>
      <c r="W689" s="130"/>
      <c r="X689" s="130"/>
      <c r="Y689" s="130"/>
      <c r="Z689" s="130"/>
      <c r="AA689" s="130"/>
      <c r="AB689" s="130"/>
      <c r="AC689" s="130"/>
      <c r="AD689" s="130"/>
      <c r="AE689" s="130"/>
      <c r="AF689" s="130"/>
      <c r="AG689" s="130"/>
      <c r="AH689" s="130"/>
      <c r="AI689" s="130"/>
      <c r="AJ689" s="130"/>
      <c r="AK689" s="130"/>
    </row>
    <row r="690">
      <c r="A690" s="130"/>
      <c r="B690" s="130"/>
      <c r="C690" s="143"/>
      <c r="D690" s="130"/>
      <c r="E690" s="143"/>
      <c r="F690" s="143"/>
      <c r="G690" s="143"/>
      <c r="H690" s="143"/>
      <c r="I690" s="143"/>
      <c r="J690" s="143"/>
      <c r="K690" s="143"/>
      <c r="L690" s="143"/>
      <c r="M690" s="143"/>
      <c r="N690" s="143"/>
      <c r="O690" s="143"/>
      <c r="P690" s="143"/>
      <c r="Q690" s="67"/>
      <c r="R690" s="144"/>
      <c r="S690" s="144"/>
      <c r="T690" s="143"/>
      <c r="U690" s="143"/>
      <c r="V690" s="143"/>
      <c r="W690" s="130"/>
      <c r="X690" s="130"/>
      <c r="Y690" s="130"/>
      <c r="Z690" s="130"/>
      <c r="AA690" s="130"/>
      <c r="AB690" s="130"/>
      <c r="AC690" s="130"/>
      <c r="AD690" s="130"/>
      <c r="AE690" s="130"/>
      <c r="AF690" s="130"/>
      <c r="AG690" s="130"/>
      <c r="AH690" s="130"/>
      <c r="AI690" s="130"/>
      <c r="AJ690" s="130"/>
      <c r="AK690" s="130"/>
    </row>
    <row r="691">
      <c r="A691" s="130"/>
      <c r="B691" s="130"/>
      <c r="C691" s="143"/>
      <c r="D691" s="130"/>
      <c r="E691" s="143"/>
      <c r="F691" s="143"/>
      <c r="G691" s="143"/>
      <c r="H691" s="143"/>
      <c r="I691" s="143"/>
      <c r="J691" s="143"/>
      <c r="K691" s="143"/>
      <c r="L691" s="143"/>
      <c r="M691" s="143"/>
      <c r="N691" s="143"/>
      <c r="O691" s="143"/>
      <c r="P691" s="143"/>
      <c r="Q691" s="67"/>
      <c r="R691" s="144"/>
      <c r="S691" s="144"/>
      <c r="T691" s="143"/>
      <c r="U691" s="143"/>
      <c r="V691" s="143"/>
      <c r="W691" s="130"/>
      <c r="X691" s="130"/>
      <c r="Y691" s="130"/>
      <c r="Z691" s="130"/>
      <c r="AA691" s="130"/>
      <c r="AB691" s="130"/>
      <c r="AC691" s="130"/>
      <c r="AD691" s="130"/>
      <c r="AE691" s="130"/>
      <c r="AF691" s="130"/>
      <c r="AG691" s="130"/>
      <c r="AH691" s="130"/>
      <c r="AI691" s="130"/>
      <c r="AJ691" s="130"/>
      <c r="AK691" s="130"/>
    </row>
    <row r="692">
      <c r="A692" s="130"/>
      <c r="B692" s="130"/>
      <c r="C692" s="143"/>
      <c r="D692" s="130"/>
      <c r="E692" s="143"/>
      <c r="F692" s="143"/>
      <c r="G692" s="143"/>
      <c r="H692" s="143"/>
      <c r="I692" s="143"/>
      <c r="J692" s="143"/>
      <c r="K692" s="143"/>
      <c r="L692" s="143"/>
      <c r="M692" s="143"/>
      <c r="N692" s="143"/>
      <c r="O692" s="143"/>
      <c r="P692" s="143"/>
      <c r="Q692" s="67"/>
      <c r="R692" s="144"/>
      <c r="S692" s="144"/>
      <c r="T692" s="143"/>
      <c r="U692" s="143"/>
      <c r="V692" s="143"/>
      <c r="W692" s="130"/>
      <c r="X692" s="130"/>
      <c r="Y692" s="130"/>
      <c r="Z692" s="130"/>
      <c r="AA692" s="130"/>
      <c r="AB692" s="130"/>
      <c r="AC692" s="130"/>
      <c r="AD692" s="130"/>
      <c r="AE692" s="130"/>
      <c r="AF692" s="130"/>
      <c r="AG692" s="130"/>
      <c r="AH692" s="130"/>
      <c r="AI692" s="130"/>
      <c r="AJ692" s="130"/>
      <c r="AK692" s="130"/>
    </row>
    <row r="693">
      <c r="A693" s="130"/>
      <c r="B693" s="130"/>
      <c r="C693" s="143"/>
      <c r="D693" s="130"/>
      <c r="E693" s="143"/>
      <c r="F693" s="143"/>
      <c r="G693" s="143"/>
      <c r="H693" s="143"/>
      <c r="I693" s="143"/>
      <c r="J693" s="143"/>
      <c r="K693" s="143"/>
      <c r="L693" s="143"/>
      <c r="M693" s="143"/>
      <c r="N693" s="143"/>
      <c r="O693" s="143"/>
      <c r="P693" s="143"/>
      <c r="Q693" s="67"/>
      <c r="R693" s="144"/>
      <c r="S693" s="144"/>
      <c r="T693" s="143"/>
      <c r="U693" s="143"/>
      <c r="V693" s="143"/>
      <c r="W693" s="130"/>
      <c r="X693" s="130"/>
      <c r="Y693" s="130"/>
      <c r="Z693" s="130"/>
      <c r="AA693" s="130"/>
      <c r="AB693" s="130"/>
      <c r="AC693" s="130"/>
      <c r="AD693" s="130"/>
      <c r="AE693" s="130"/>
      <c r="AF693" s="130"/>
      <c r="AG693" s="130"/>
      <c r="AH693" s="130"/>
      <c r="AI693" s="130"/>
      <c r="AJ693" s="130"/>
      <c r="AK693" s="130"/>
    </row>
    <row r="694">
      <c r="A694" s="130"/>
      <c r="B694" s="130"/>
      <c r="C694" s="143"/>
      <c r="D694" s="130"/>
      <c r="E694" s="143"/>
      <c r="F694" s="143"/>
      <c r="G694" s="143"/>
      <c r="H694" s="143"/>
      <c r="I694" s="143"/>
      <c r="J694" s="143"/>
      <c r="K694" s="143"/>
      <c r="L694" s="143"/>
      <c r="M694" s="143"/>
      <c r="N694" s="143"/>
      <c r="O694" s="143"/>
      <c r="P694" s="143"/>
      <c r="Q694" s="67"/>
      <c r="R694" s="144"/>
      <c r="S694" s="144"/>
      <c r="T694" s="143"/>
      <c r="U694" s="143"/>
      <c r="V694" s="143"/>
      <c r="W694" s="130"/>
      <c r="X694" s="130"/>
      <c r="Y694" s="130"/>
      <c r="Z694" s="130"/>
      <c r="AA694" s="130"/>
      <c r="AB694" s="130"/>
      <c r="AC694" s="130"/>
      <c r="AD694" s="130"/>
      <c r="AE694" s="130"/>
      <c r="AF694" s="130"/>
      <c r="AG694" s="130"/>
      <c r="AH694" s="130"/>
      <c r="AI694" s="130"/>
      <c r="AJ694" s="130"/>
      <c r="AK694" s="130"/>
    </row>
    <row r="695">
      <c r="A695" s="130"/>
      <c r="B695" s="130"/>
      <c r="C695" s="143"/>
      <c r="D695" s="130"/>
      <c r="E695" s="143"/>
      <c r="F695" s="143"/>
      <c r="G695" s="143"/>
      <c r="H695" s="143"/>
      <c r="I695" s="143"/>
      <c r="J695" s="143"/>
      <c r="K695" s="143"/>
      <c r="L695" s="143"/>
      <c r="M695" s="143"/>
      <c r="N695" s="143"/>
      <c r="O695" s="143"/>
      <c r="P695" s="143"/>
      <c r="Q695" s="67"/>
      <c r="R695" s="144"/>
      <c r="S695" s="144"/>
      <c r="T695" s="143"/>
      <c r="U695" s="143"/>
      <c r="V695" s="143"/>
      <c r="W695" s="130"/>
      <c r="X695" s="130"/>
      <c r="Y695" s="130"/>
      <c r="Z695" s="130"/>
      <c r="AA695" s="130"/>
      <c r="AB695" s="130"/>
      <c r="AC695" s="130"/>
      <c r="AD695" s="130"/>
      <c r="AE695" s="130"/>
      <c r="AF695" s="130"/>
      <c r="AG695" s="130"/>
      <c r="AH695" s="130"/>
      <c r="AI695" s="130"/>
      <c r="AJ695" s="130"/>
      <c r="AK695" s="130"/>
    </row>
    <row r="696">
      <c r="A696" s="130"/>
      <c r="B696" s="130"/>
      <c r="C696" s="143"/>
      <c r="D696" s="130"/>
      <c r="E696" s="143"/>
      <c r="F696" s="143"/>
      <c r="G696" s="143"/>
      <c r="H696" s="143"/>
      <c r="I696" s="143"/>
      <c r="J696" s="143"/>
      <c r="K696" s="143"/>
      <c r="L696" s="143"/>
      <c r="M696" s="143"/>
      <c r="N696" s="143"/>
      <c r="O696" s="143"/>
      <c r="P696" s="143"/>
      <c r="Q696" s="67"/>
      <c r="R696" s="144"/>
      <c r="S696" s="144"/>
      <c r="T696" s="143"/>
      <c r="U696" s="143"/>
      <c r="V696" s="143"/>
      <c r="W696" s="130"/>
      <c r="X696" s="130"/>
      <c r="Y696" s="130"/>
      <c r="Z696" s="130"/>
      <c r="AA696" s="130"/>
      <c r="AB696" s="130"/>
      <c r="AC696" s="130"/>
      <c r="AD696" s="130"/>
      <c r="AE696" s="130"/>
      <c r="AF696" s="130"/>
      <c r="AG696" s="130"/>
      <c r="AH696" s="130"/>
      <c r="AI696" s="130"/>
      <c r="AJ696" s="130"/>
      <c r="AK696" s="130"/>
    </row>
    <row r="697">
      <c r="A697" s="130"/>
      <c r="B697" s="130"/>
      <c r="C697" s="143"/>
      <c r="D697" s="130"/>
      <c r="E697" s="143"/>
      <c r="F697" s="143"/>
      <c r="G697" s="143"/>
      <c r="H697" s="143"/>
      <c r="I697" s="143"/>
      <c r="J697" s="143"/>
      <c r="K697" s="143"/>
      <c r="L697" s="143"/>
      <c r="M697" s="143"/>
      <c r="N697" s="143"/>
      <c r="O697" s="143"/>
      <c r="P697" s="143"/>
      <c r="Q697" s="67"/>
      <c r="R697" s="144"/>
      <c r="S697" s="144"/>
      <c r="T697" s="143"/>
      <c r="U697" s="143"/>
      <c r="V697" s="143"/>
      <c r="W697" s="130"/>
      <c r="X697" s="130"/>
      <c r="Y697" s="130"/>
      <c r="Z697" s="130"/>
      <c r="AA697" s="130"/>
      <c r="AB697" s="130"/>
      <c r="AC697" s="130"/>
      <c r="AD697" s="130"/>
      <c r="AE697" s="130"/>
      <c r="AF697" s="130"/>
      <c r="AG697" s="130"/>
      <c r="AH697" s="130"/>
      <c r="AI697" s="130"/>
      <c r="AJ697" s="130"/>
      <c r="AK697" s="130"/>
    </row>
    <row r="698">
      <c r="A698" s="130"/>
      <c r="B698" s="130"/>
      <c r="C698" s="143"/>
      <c r="D698" s="130"/>
      <c r="E698" s="143"/>
      <c r="F698" s="143"/>
      <c r="G698" s="143"/>
      <c r="H698" s="143"/>
      <c r="I698" s="143"/>
      <c r="J698" s="143"/>
      <c r="K698" s="143"/>
      <c r="L698" s="143"/>
      <c r="M698" s="143"/>
      <c r="N698" s="143"/>
      <c r="O698" s="143"/>
      <c r="P698" s="143"/>
      <c r="Q698" s="67"/>
      <c r="R698" s="144"/>
      <c r="S698" s="144"/>
      <c r="T698" s="143"/>
      <c r="U698" s="143"/>
      <c r="V698" s="143"/>
      <c r="W698" s="130"/>
      <c r="X698" s="130"/>
      <c r="Y698" s="130"/>
      <c r="Z698" s="130"/>
      <c r="AA698" s="130"/>
      <c r="AB698" s="130"/>
      <c r="AC698" s="130"/>
      <c r="AD698" s="130"/>
      <c r="AE698" s="130"/>
      <c r="AF698" s="130"/>
      <c r="AG698" s="130"/>
      <c r="AH698" s="130"/>
      <c r="AI698" s="130"/>
      <c r="AJ698" s="130"/>
      <c r="AK698" s="130"/>
    </row>
    <row r="699">
      <c r="A699" s="130"/>
      <c r="B699" s="130"/>
      <c r="C699" s="143"/>
      <c r="D699" s="130"/>
      <c r="E699" s="143"/>
      <c r="F699" s="143"/>
      <c r="G699" s="143"/>
      <c r="H699" s="143"/>
      <c r="I699" s="143"/>
      <c r="J699" s="143"/>
      <c r="K699" s="143"/>
      <c r="L699" s="143"/>
      <c r="M699" s="143"/>
      <c r="N699" s="143"/>
      <c r="O699" s="143"/>
      <c r="P699" s="143"/>
      <c r="Q699" s="67"/>
      <c r="R699" s="144"/>
      <c r="S699" s="144"/>
      <c r="T699" s="143"/>
      <c r="U699" s="143"/>
      <c r="V699" s="143"/>
      <c r="W699" s="130"/>
      <c r="X699" s="130"/>
      <c r="Y699" s="130"/>
      <c r="Z699" s="130"/>
      <c r="AA699" s="130"/>
      <c r="AB699" s="130"/>
      <c r="AC699" s="130"/>
      <c r="AD699" s="130"/>
      <c r="AE699" s="130"/>
      <c r="AF699" s="130"/>
      <c r="AG699" s="130"/>
      <c r="AH699" s="130"/>
      <c r="AI699" s="130"/>
      <c r="AJ699" s="130"/>
      <c r="AK699" s="130"/>
    </row>
    <row r="700">
      <c r="A700" s="130"/>
      <c r="B700" s="130"/>
      <c r="C700" s="143"/>
      <c r="D700" s="130"/>
      <c r="E700" s="143"/>
      <c r="F700" s="143"/>
      <c r="G700" s="143"/>
      <c r="H700" s="143"/>
      <c r="I700" s="143"/>
      <c r="J700" s="143"/>
      <c r="K700" s="143"/>
      <c r="L700" s="143"/>
      <c r="M700" s="143"/>
      <c r="N700" s="143"/>
      <c r="O700" s="143"/>
      <c r="P700" s="143"/>
      <c r="Q700" s="67"/>
      <c r="R700" s="144"/>
      <c r="S700" s="144"/>
      <c r="T700" s="143"/>
      <c r="U700" s="143"/>
      <c r="V700" s="143"/>
      <c r="W700" s="130"/>
      <c r="X700" s="130"/>
      <c r="Y700" s="130"/>
      <c r="Z700" s="130"/>
      <c r="AA700" s="130"/>
      <c r="AB700" s="130"/>
      <c r="AC700" s="130"/>
      <c r="AD700" s="130"/>
      <c r="AE700" s="130"/>
      <c r="AF700" s="130"/>
      <c r="AG700" s="130"/>
      <c r="AH700" s="130"/>
      <c r="AI700" s="130"/>
      <c r="AJ700" s="130"/>
      <c r="AK700" s="130"/>
    </row>
    <row r="701">
      <c r="A701" s="130"/>
      <c r="B701" s="130"/>
      <c r="C701" s="143"/>
      <c r="D701" s="130"/>
      <c r="E701" s="143"/>
      <c r="F701" s="143"/>
      <c r="G701" s="143"/>
      <c r="H701" s="143"/>
      <c r="I701" s="143"/>
      <c r="J701" s="143"/>
      <c r="K701" s="143"/>
      <c r="L701" s="143"/>
      <c r="M701" s="143"/>
      <c r="N701" s="143"/>
      <c r="O701" s="143"/>
      <c r="P701" s="143"/>
      <c r="Q701" s="67"/>
      <c r="R701" s="144"/>
      <c r="S701" s="144"/>
      <c r="T701" s="143"/>
      <c r="U701" s="143"/>
      <c r="V701" s="143"/>
      <c r="W701" s="130"/>
      <c r="X701" s="130"/>
      <c r="Y701" s="130"/>
      <c r="Z701" s="130"/>
      <c r="AA701" s="130"/>
      <c r="AB701" s="130"/>
      <c r="AC701" s="130"/>
      <c r="AD701" s="130"/>
      <c r="AE701" s="130"/>
      <c r="AF701" s="130"/>
      <c r="AG701" s="130"/>
      <c r="AH701" s="130"/>
      <c r="AI701" s="130"/>
      <c r="AJ701" s="130"/>
      <c r="AK701" s="130"/>
    </row>
    <row r="702">
      <c r="A702" s="130"/>
      <c r="B702" s="130"/>
      <c r="C702" s="143"/>
      <c r="D702" s="130"/>
      <c r="E702" s="143"/>
      <c r="F702" s="143"/>
      <c r="G702" s="143"/>
      <c r="H702" s="143"/>
      <c r="I702" s="143"/>
      <c r="J702" s="143"/>
      <c r="K702" s="143"/>
      <c r="L702" s="143"/>
      <c r="M702" s="143"/>
      <c r="N702" s="143"/>
      <c r="O702" s="143"/>
      <c r="P702" s="143"/>
      <c r="Q702" s="67"/>
      <c r="R702" s="144"/>
      <c r="S702" s="144"/>
      <c r="T702" s="143"/>
      <c r="U702" s="143"/>
      <c r="V702" s="143"/>
      <c r="W702" s="130"/>
      <c r="X702" s="130"/>
      <c r="Y702" s="130"/>
      <c r="Z702" s="130"/>
      <c r="AA702" s="130"/>
      <c r="AB702" s="130"/>
      <c r="AC702" s="130"/>
      <c r="AD702" s="130"/>
      <c r="AE702" s="130"/>
      <c r="AF702" s="130"/>
      <c r="AG702" s="130"/>
      <c r="AH702" s="130"/>
      <c r="AI702" s="130"/>
      <c r="AJ702" s="130"/>
      <c r="AK702" s="130"/>
    </row>
    <row r="703">
      <c r="A703" s="130"/>
      <c r="B703" s="130"/>
      <c r="C703" s="143"/>
      <c r="D703" s="130"/>
      <c r="E703" s="143"/>
      <c r="F703" s="143"/>
      <c r="G703" s="143"/>
      <c r="H703" s="143"/>
      <c r="I703" s="143"/>
      <c r="J703" s="143"/>
      <c r="K703" s="143"/>
      <c r="L703" s="143"/>
      <c r="M703" s="143"/>
      <c r="N703" s="143"/>
      <c r="O703" s="143"/>
      <c r="P703" s="143"/>
      <c r="Q703" s="67"/>
      <c r="R703" s="144"/>
      <c r="S703" s="144"/>
      <c r="T703" s="143"/>
      <c r="U703" s="143"/>
      <c r="V703" s="143"/>
      <c r="W703" s="130"/>
      <c r="X703" s="130"/>
      <c r="Y703" s="130"/>
      <c r="Z703" s="130"/>
      <c r="AA703" s="130"/>
      <c r="AB703" s="130"/>
      <c r="AC703" s="130"/>
      <c r="AD703" s="130"/>
      <c r="AE703" s="130"/>
      <c r="AF703" s="130"/>
      <c r="AG703" s="130"/>
      <c r="AH703" s="130"/>
      <c r="AI703" s="130"/>
      <c r="AJ703" s="130"/>
      <c r="AK703" s="130"/>
    </row>
    <row r="704">
      <c r="A704" s="130"/>
      <c r="B704" s="130"/>
      <c r="C704" s="143"/>
      <c r="D704" s="130"/>
      <c r="E704" s="143"/>
      <c r="F704" s="143"/>
      <c r="G704" s="143"/>
      <c r="H704" s="143"/>
      <c r="I704" s="143"/>
      <c r="J704" s="143"/>
      <c r="K704" s="143"/>
      <c r="L704" s="143"/>
      <c r="M704" s="143"/>
      <c r="N704" s="143"/>
      <c r="O704" s="143"/>
      <c r="P704" s="143"/>
      <c r="Q704" s="67"/>
      <c r="R704" s="144"/>
      <c r="S704" s="144"/>
      <c r="T704" s="143"/>
      <c r="U704" s="143"/>
      <c r="V704" s="143"/>
      <c r="W704" s="130"/>
      <c r="X704" s="130"/>
      <c r="Y704" s="130"/>
      <c r="Z704" s="130"/>
      <c r="AA704" s="130"/>
      <c r="AB704" s="130"/>
      <c r="AC704" s="130"/>
      <c r="AD704" s="130"/>
      <c r="AE704" s="130"/>
      <c r="AF704" s="130"/>
      <c r="AG704" s="130"/>
      <c r="AH704" s="130"/>
      <c r="AI704" s="130"/>
      <c r="AJ704" s="130"/>
      <c r="AK704" s="130"/>
    </row>
    <row r="705">
      <c r="A705" s="130"/>
      <c r="B705" s="130"/>
      <c r="C705" s="143"/>
      <c r="D705" s="130"/>
      <c r="E705" s="143"/>
      <c r="F705" s="143"/>
      <c r="G705" s="143"/>
      <c r="H705" s="143"/>
      <c r="I705" s="143"/>
      <c r="J705" s="143"/>
      <c r="K705" s="143"/>
      <c r="L705" s="143"/>
      <c r="M705" s="143"/>
      <c r="N705" s="143"/>
      <c r="O705" s="143"/>
      <c r="P705" s="143"/>
      <c r="Q705" s="67"/>
      <c r="R705" s="144"/>
      <c r="S705" s="144"/>
      <c r="T705" s="143"/>
      <c r="U705" s="143"/>
      <c r="V705" s="143"/>
      <c r="W705" s="130"/>
      <c r="X705" s="130"/>
      <c r="Y705" s="130"/>
      <c r="Z705" s="130"/>
      <c r="AA705" s="130"/>
      <c r="AB705" s="130"/>
      <c r="AC705" s="130"/>
      <c r="AD705" s="130"/>
      <c r="AE705" s="130"/>
      <c r="AF705" s="130"/>
      <c r="AG705" s="130"/>
      <c r="AH705" s="130"/>
      <c r="AI705" s="130"/>
      <c r="AJ705" s="130"/>
      <c r="AK705" s="130"/>
    </row>
    <row r="706">
      <c r="A706" s="130"/>
      <c r="B706" s="130"/>
      <c r="C706" s="143"/>
      <c r="D706" s="130"/>
      <c r="E706" s="143"/>
      <c r="F706" s="143"/>
      <c r="G706" s="143"/>
      <c r="H706" s="143"/>
      <c r="I706" s="143"/>
      <c r="J706" s="143"/>
      <c r="K706" s="143"/>
      <c r="L706" s="143"/>
      <c r="M706" s="143"/>
      <c r="N706" s="143"/>
      <c r="O706" s="143"/>
      <c r="P706" s="143"/>
      <c r="Q706" s="67"/>
      <c r="R706" s="144"/>
      <c r="S706" s="144"/>
      <c r="T706" s="143"/>
      <c r="U706" s="143"/>
      <c r="V706" s="143"/>
      <c r="W706" s="130"/>
      <c r="X706" s="130"/>
      <c r="Y706" s="130"/>
      <c r="Z706" s="130"/>
      <c r="AA706" s="130"/>
      <c r="AB706" s="130"/>
      <c r="AC706" s="130"/>
      <c r="AD706" s="130"/>
      <c r="AE706" s="130"/>
      <c r="AF706" s="130"/>
      <c r="AG706" s="130"/>
      <c r="AH706" s="130"/>
      <c r="AI706" s="130"/>
      <c r="AJ706" s="130"/>
      <c r="AK706" s="130"/>
    </row>
    <row r="707">
      <c r="A707" s="130"/>
      <c r="B707" s="130"/>
      <c r="C707" s="143"/>
      <c r="D707" s="130"/>
      <c r="E707" s="143"/>
      <c r="F707" s="143"/>
      <c r="G707" s="143"/>
      <c r="H707" s="143"/>
      <c r="I707" s="143"/>
      <c r="J707" s="143"/>
      <c r="K707" s="143"/>
      <c r="L707" s="143"/>
      <c r="M707" s="143"/>
      <c r="N707" s="143"/>
      <c r="O707" s="143"/>
      <c r="P707" s="143"/>
      <c r="Q707" s="67"/>
      <c r="R707" s="144"/>
      <c r="S707" s="144"/>
      <c r="T707" s="143"/>
      <c r="U707" s="143"/>
      <c r="V707" s="143"/>
      <c r="W707" s="130"/>
      <c r="X707" s="130"/>
      <c r="Y707" s="130"/>
      <c r="Z707" s="130"/>
      <c r="AA707" s="130"/>
      <c r="AB707" s="130"/>
      <c r="AC707" s="130"/>
      <c r="AD707" s="130"/>
      <c r="AE707" s="130"/>
      <c r="AF707" s="130"/>
      <c r="AG707" s="130"/>
      <c r="AH707" s="130"/>
      <c r="AI707" s="130"/>
      <c r="AJ707" s="130"/>
      <c r="AK707" s="130"/>
    </row>
    <row r="708">
      <c r="A708" s="130"/>
      <c r="B708" s="130"/>
      <c r="C708" s="143"/>
      <c r="D708" s="130"/>
      <c r="E708" s="143"/>
      <c r="F708" s="143"/>
      <c r="G708" s="143"/>
      <c r="H708" s="143"/>
      <c r="I708" s="143"/>
      <c r="J708" s="143"/>
      <c r="K708" s="143"/>
      <c r="L708" s="143"/>
      <c r="M708" s="143"/>
      <c r="N708" s="143"/>
      <c r="O708" s="143"/>
      <c r="P708" s="143"/>
      <c r="Q708" s="67"/>
      <c r="R708" s="144"/>
      <c r="S708" s="144"/>
      <c r="T708" s="143"/>
      <c r="U708" s="143"/>
      <c r="V708" s="143"/>
      <c r="W708" s="130"/>
      <c r="X708" s="130"/>
      <c r="Y708" s="130"/>
      <c r="Z708" s="130"/>
      <c r="AA708" s="130"/>
      <c r="AB708" s="130"/>
      <c r="AC708" s="130"/>
      <c r="AD708" s="130"/>
      <c r="AE708" s="130"/>
      <c r="AF708" s="130"/>
      <c r="AG708" s="130"/>
      <c r="AH708" s="130"/>
      <c r="AI708" s="130"/>
      <c r="AJ708" s="130"/>
      <c r="AK708" s="130"/>
    </row>
    <row r="709">
      <c r="A709" s="130"/>
      <c r="B709" s="130"/>
      <c r="C709" s="143"/>
      <c r="D709" s="130"/>
      <c r="E709" s="143"/>
      <c r="F709" s="143"/>
      <c r="G709" s="143"/>
      <c r="H709" s="143"/>
      <c r="I709" s="143"/>
      <c r="J709" s="143"/>
      <c r="K709" s="143"/>
      <c r="L709" s="143"/>
      <c r="M709" s="143"/>
      <c r="N709" s="143"/>
      <c r="O709" s="143"/>
      <c r="P709" s="143"/>
      <c r="Q709" s="67"/>
      <c r="R709" s="144"/>
      <c r="S709" s="144"/>
      <c r="T709" s="143"/>
      <c r="U709" s="143"/>
      <c r="V709" s="143"/>
      <c r="W709" s="130"/>
      <c r="X709" s="130"/>
      <c r="Y709" s="130"/>
      <c r="Z709" s="130"/>
      <c r="AA709" s="130"/>
      <c r="AB709" s="130"/>
      <c r="AC709" s="130"/>
      <c r="AD709" s="130"/>
      <c r="AE709" s="130"/>
      <c r="AF709" s="130"/>
      <c r="AG709" s="130"/>
      <c r="AH709" s="130"/>
      <c r="AI709" s="130"/>
      <c r="AJ709" s="130"/>
      <c r="AK709" s="130"/>
    </row>
    <row r="710">
      <c r="A710" s="130"/>
      <c r="B710" s="130"/>
      <c r="C710" s="143"/>
      <c r="D710" s="130"/>
      <c r="E710" s="143"/>
      <c r="F710" s="143"/>
      <c r="G710" s="143"/>
      <c r="H710" s="143"/>
      <c r="I710" s="143"/>
      <c r="J710" s="143"/>
      <c r="K710" s="143"/>
      <c r="L710" s="143"/>
      <c r="M710" s="143"/>
      <c r="N710" s="143"/>
      <c r="O710" s="143"/>
      <c r="P710" s="143"/>
      <c r="Q710" s="67"/>
      <c r="R710" s="144"/>
      <c r="S710" s="144"/>
      <c r="T710" s="143"/>
      <c r="U710" s="143"/>
      <c r="V710" s="143"/>
      <c r="W710" s="130"/>
      <c r="X710" s="130"/>
      <c r="Y710" s="130"/>
      <c r="Z710" s="130"/>
      <c r="AA710" s="130"/>
      <c r="AB710" s="130"/>
      <c r="AC710" s="130"/>
      <c r="AD710" s="130"/>
      <c r="AE710" s="130"/>
      <c r="AF710" s="130"/>
      <c r="AG710" s="130"/>
      <c r="AH710" s="130"/>
      <c r="AI710" s="130"/>
      <c r="AJ710" s="130"/>
      <c r="AK710" s="130"/>
    </row>
    <row r="711">
      <c r="A711" s="130"/>
      <c r="B711" s="130"/>
      <c r="C711" s="143"/>
      <c r="D711" s="130"/>
      <c r="E711" s="143"/>
      <c r="F711" s="143"/>
      <c r="G711" s="143"/>
      <c r="H711" s="143"/>
      <c r="I711" s="143"/>
      <c r="J711" s="143"/>
      <c r="K711" s="143"/>
      <c r="L711" s="143"/>
      <c r="M711" s="143"/>
      <c r="N711" s="143"/>
      <c r="O711" s="143"/>
      <c r="P711" s="143"/>
      <c r="Q711" s="67"/>
      <c r="R711" s="144"/>
      <c r="S711" s="144"/>
      <c r="T711" s="143"/>
      <c r="U711" s="143"/>
      <c r="V711" s="143"/>
      <c r="W711" s="130"/>
      <c r="X711" s="130"/>
      <c r="Y711" s="130"/>
      <c r="Z711" s="130"/>
      <c r="AA711" s="130"/>
      <c r="AB711" s="130"/>
      <c r="AC711" s="130"/>
      <c r="AD711" s="130"/>
      <c r="AE711" s="130"/>
      <c r="AF711" s="130"/>
      <c r="AG711" s="130"/>
      <c r="AH711" s="130"/>
      <c r="AI711" s="130"/>
      <c r="AJ711" s="130"/>
      <c r="AK711" s="130"/>
    </row>
    <row r="712">
      <c r="A712" s="130"/>
      <c r="B712" s="130"/>
      <c r="C712" s="143"/>
      <c r="D712" s="130"/>
      <c r="E712" s="143"/>
      <c r="F712" s="143"/>
      <c r="G712" s="143"/>
      <c r="H712" s="143"/>
      <c r="I712" s="143"/>
      <c r="J712" s="143"/>
      <c r="K712" s="143"/>
      <c r="L712" s="143"/>
      <c r="M712" s="143"/>
      <c r="N712" s="143"/>
      <c r="O712" s="143"/>
      <c r="P712" s="143"/>
      <c r="Q712" s="67"/>
      <c r="R712" s="144"/>
      <c r="S712" s="144"/>
      <c r="T712" s="143"/>
      <c r="U712" s="143"/>
      <c r="V712" s="143"/>
      <c r="W712" s="130"/>
      <c r="X712" s="130"/>
      <c r="Y712" s="130"/>
      <c r="Z712" s="130"/>
      <c r="AA712" s="130"/>
      <c r="AB712" s="130"/>
      <c r="AC712" s="130"/>
      <c r="AD712" s="130"/>
      <c r="AE712" s="130"/>
      <c r="AF712" s="130"/>
      <c r="AG712" s="130"/>
      <c r="AH712" s="130"/>
      <c r="AI712" s="130"/>
      <c r="AJ712" s="130"/>
      <c r="AK712" s="130"/>
    </row>
    <row r="713">
      <c r="A713" s="130"/>
      <c r="B713" s="130"/>
      <c r="C713" s="143"/>
      <c r="D713" s="130"/>
      <c r="E713" s="143"/>
      <c r="F713" s="143"/>
      <c r="G713" s="143"/>
      <c r="H713" s="143"/>
      <c r="I713" s="143"/>
      <c r="J713" s="143"/>
      <c r="K713" s="143"/>
      <c r="L713" s="143"/>
      <c r="M713" s="143"/>
      <c r="N713" s="143"/>
      <c r="O713" s="143"/>
      <c r="P713" s="143"/>
      <c r="Q713" s="67"/>
      <c r="R713" s="144"/>
      <c r="S713" s="144"/>
      <c r="T713" s="143"/>
      <c r="U713" s="143"/>
      <c r="V713" s="143"/>
      <c r="W713" s="130"/>
      <c r="X713" s="130"/>
      <c r="Y713" s="130"/>
      <c r="Z713" s="130"/>
      <c r="AA713" s="130"/>
      <c r="AB713" s="130"/>
      <c r="AC713" s="130"/>
      <c r="AD713" s="130"/>
      <c r="AE713" s="130"/>
      <c r="AF713" s="130"/>
      <c r="AG713" s="130"/>
      <c r="AH713" s="130"/>
      <c r="AI713" s="130"/>
      <c r="AJ713" s="130"/>
      <c r="AK713" s="130"/>
    </row>
    <row r="714">
      <c r="A714" s="130"/>
      <c r="B714" s="130"/>
      <c r="C714" s="143"/>
      <c r="D714" s="130"/>
      <c r="E714" s="143"/>
      <c r="F714" s="143"/>
      <c r="G714" s="143"/>
      <c r="H714" s="143"/>
      <c r="I714" s="143"/>
      <c r="J714" s="143"/>
      <c r="K714" s="143"/>
      <c r="L714" s="143"/>
      <c r="M714" s="143"/>
      <c r="N714" s="143"/>
      <c r="O714" s="143"/>
      <c r="P714" s="143"/>
      <c r="Q714" s="67"/>
      <c r="R714" s="144"/>
      <c r="S714" s="144"/>
      <c r="T714" s="143"/>
      <c r="U714" s="143"/>
      <c r="V714" s="143"/>
      <c r="W714" s="130"/>
      <c r="X714" s="130"/>
      <c r="Y714" s="130"/>
      <c r="Z714" s="130"/>
      <c r="AA714" s="130"/>
      <c r="AB714" s="130"/>
      <c r="AC714" s="130"/>
      <c r="AD714" s="130"/>
      <c r="AE714" s="130"/>
      <c r="AF714" s="130"/>
      <c r="AG714" s="130"/>
      <c r="AH714" s="130"/>
      <c r="AI714" s="130"/>
      <c r="AJ714" s="130"/>
      <c r="AK714" s="130"/>
    </row>
    <row r="715">
      <c r="A715" s="130"/>
      <c r="B715" s="130"/>
      <c r="C715" s="143"/>
      <c r="D715" s="130"/>
      <c r="E715" s="143"/>
      <c r="F715" s="143"/>
      <c r="G715" s="143"/>
      <c r="H715" s="143"/>
      <c r="I715" s="143"/>
      <c r="J715" s="143"/>
      <c r="K715" s="143"/>
      <c r="L715" s="143"/>
      <c r="M715" s="143"/>
      <c r="N715" s="143"/>
      <c r="O715" s="143"/>
      <c r="P715" s="143"/>
      <c r="Q715" s="67"/>
      <c r="R715" s="144"/>
      <c r="S715" s="144"/>
      <c r="T715" s="143"/>
      <c r="U715" s="143"/>
      <c r="V715" s="143"/>
      <c r="W715" s="130"/>
      <c r="X715" s="130"/>
      <c r="Y715" s="130"/>
      <c r="Z715" s="130"/>
      <c r="AA715" s="130"/>
      <c r="AB715" s="130"/>
      <c r="AC715" s="130"/>
      <c r="AD715" s="130"/>
      <c r="AE715" s="130"/>
      <c r="AF715" s="130"/>
      <c r="AG715" s="130"/>
      <c r="AH715" s="130"/>
      <c r="AI715" s="130"/>
      <c r="AJ715" s="130"/>
      <c r="AK715" s="130"/>
    </row>
    <row r="716">
      <c r="A716" s="130"/>
      <c r="B716" s="130"/>
      <c r="C716" s="143"/>
      <c r="D716" s="130"/>
      <c r="E716" s="143"/>
      <c r="F716" s="143"/>
      <c r="G716" s="143"/>
      <c r="H716" s="143"/>
      <c r="I716" s="143"/>
      <c r="J716" s="143"/>
      <c r="K716" s="143"/>
      <c r="L716" s="143"/>
      <c r="M716" s="143"/>
      <c r="N716" s="143"/>
      <c r="O716" s="143"/>
      <c r="P716" s="143"/>
      <c r="Q716" s="67"/>
      <c r="R716" s="144"/>
      <c r="S716" s="144"/>
      <c r="T716" s="143"/>
      <c r="U716" s="143"/>
      <c r="V716" s="143"/>
      <c r="W716" s="130"/>
      <c r="X716" s="130"/>
      <c r="Y716" s="130"/>
      <c r="Z716" s="130"/>
      <c r="AA716" s="130"/>
      <c r="AB716" s="130"/>
      <c r="AC716" s="130"/>
      <c r="AD716" s="130"/>
      <c r="AE716" s="130"/>
      <c r="AF716" s="130"/>
      <c r="AG716" s="130"/>
      <c r="AH716" s="130"/>
      <c r="AI716" s="130"/>
      <c r="AJ716" s="130"/>
      <c r="AK716" s="130"/>
    </row>
    <row r="717">
      <c r="A717" s="130"/>
      <c r="B717" s="130"/>
      <c r="C717" s="143"/>
      <c r="D717" s="130"/>
      <c r="E717" s="143"/>
      <c r="F717" s="143"/>
      <c r="G717" s="143"/>
      <c r="H717" s="143"/>
      <c r="I717" s="143"/>
      <c r="J717" s="143"/>
      <c r="K717" s="143"/>
      <c r="L717" s="143"/>
      <c r="M717" s="143"/>
      <c r="N717" s="143"/>
      <c r="O717" s="143"/>
      <c r="P717" s="143"/>
      <c r="Q717" s="67"/>
      <c r="R717" s="144"/>
      <c r="S717" s="144"/>
      <c r="T717" s="143"/>
      <c r="U717" s="143"/>
      <c r="V717" s="143"/>
      <c r="W717" s="130"/>
      <c r="X717" s="130"/>
      <c r="Y717" s="130"/>
      <c r="Z717" s="130"/>
      <c r="AA717" s="130"/>
      <c r="AB717" s="130"/>
      <c r="AC717" s="130"/>
      <c r="AD717" s="130"/>
      <c r="AE717" s="130"/>
      <c r="AF717" s="130"/>
      <c r="AG717" s="130"/>
      <c r="AH717" s="130"/>
      <c r="AI717" s="130"/>
      <c r="AJ717" s="130"/>
      <c r="AK717" s="130"/>
    </row>
    <row r="718">
      <c r="A718" s="130"/>
      <c r="B718" s="130"/>
      <c r="C718" s="143"/>
      <c r="D718" s="130"/>
      <c r="E718" s="143"/>
      <c r="F718" s="143"/>
      <c r="G718" s="143"/>
      <c r="H718" s="143"/>
      <c r="I718" s="143"/>
      <c r="J718" s="143"/>
      <c r="K718" s="143"/>
      <c r="L718" s="143"/>
      <c r="M718" s="143"/>
      <c r="N718" s="143"/>
      <c r="O718" s="143"/>
      <c r="P718" s="143"/>
      <c r="Q718" s="67"/>
      <c r="R718" s="144"/>
      <c r="S718" s="144"/>
      <c r="T718" s="143"/>
      <c r="U718" s="143"/>
      <c r="V718" s="143"/>
      <c r="W718" s="130"/>
      <c r="X718" s="130"/>
      <c r="Y718" s="130"/>
      <c r="Z718" s="130"/>
      <c r="AA718" s="130"/>
      <c r="AB718" s="130"/>
      <c r="AC718" s="130"/>
      <c r="AD718" s="130"/>
      <c r="AE718" s="130"/>
      <c r="AF718" s="130"/>
      <c r="AG718" s="130"/>
      <c r="AH718" s="130"/>
      <c r="AI718" s="130"/>
      <c r="AJ718" s="130"/>
      <c r="AK718" s="130"/>
    </row>
    <row r="719">
      <c r="A719" s="130"/>
      <c r="B719" s="130"/>
      <c r="C719" s="143"/>
      <c r="D719" s="130"/>
      <c r="E719" s="143"/>
      <c r="F719" s="143"/>
      <c r="G719" s="143"/>
      <c r="H719" s="143"/>
      <c r="I719" s="143"/>
      <c r="J719" s="143"/>
      <c r="K719" s="143"/>
      <c r="L719" s="143"/>
      <c r="M719" s="143"/>
      <c r="N719" s="143"/>
      <c r="O719" s="143"/>
      <c r="P719" s="143"/>
      <c r="Q719" s="67"/>
      <c r="R719" s="144"/>
      <c r="S719" s="144"/>
      <c r="T719" s="143"/>
      <c r="U719" s="143"/>
      <c r="V719" s="143"/>
      <c r="W719" s="130"/>
      <c r="X719" s="130"/>
      <c r="Y719" s="130"/>
      <c r="Z719" s="130"/>
      <c r="AA719" s="130"/>
      <c r="AB719" s="130"/>
      <c r="AC719" s="130"/>
      <c r="AD719" s="130"/>
      <c r="AE719" s="130"/>
      <c r="AF719" s="130"/>
      <c r="AG719" s="130"/>
      <c r="AH719" s="130"/>
      <c r="AI719" s="130"/>
      <c r="AJ719" s="130"/>
      <c r="AK719" s="130"/>
    </row>
    <row r="720">
      <c r="A720" s="130"/>
      <c r="B720" s="130"/>
      <c r="C720" s="143"/>
      <c r="D720" s="130"/>
      <c r="E720" s="143"/>
      <c r="F720" s="143"/>
      <c r="G720" s="143"/>
      <c r="H720" s="143"/>
      <c r="I720" s="143"/>
      <c r="J720" s="143"/>
      <c r="K720" s="143"/>
      <c r="L720" s="143"/>
      <c r="M720" s="143"/>
      <c r="N720" s="143"/>
      <c r="O720" s="143"/>
      <c r="P720" s="143"/>
      <c r="Q720" s="67"/>
      <c r="R720" s="144"/>
      <c r="S720" s="144"/>
      <c r="T720" s="143"/>
      <c r="U720" s="143"/>
      <c r="V720" s="143"/>
      <c r="W720" s="130"/>
      <c r="X720" s="130"/>
      <c r="Y720" s="130"/>
      <c r="Z720" s="130"/>
      <c r="AA720" s="130"/>
      <c r="AB720" s="130"/>
      <c r="AC720" s="130"/>
      <c r="AD720" s="130"/>
      <c r="AE720" s="130"/>
      <c r="AF720" s="130"/>
      <c r="AG720" s="130"/>
      <c r="AH720" s="130"/>
      <c r="AI720" s="130"/>
      <c r="AJ720" s="130"/>
      <c r="AK720" s="130"/>
    </row>
    <row r="721">
      <c r="A721" s="130"/>
      <c r="B721" s="130"/>
      <c r="C721" s="143"/>
      <c r="D721" s="130"/>
      <c r="E721" s="143"/>
      <c r="F721" s="143"/>
      <c r="G721" s="143"/>
      <c r="H721" s="143"/>
      <c r="I721" s="143"/>
      <c r="J721" s="143"/>
      <c r="K721" s="143"/>
      <c r="L721" s="143"/>
      <c r="M721" s="143"/>
      <c r="N721" s="143"/>
      <c r="O721" s="143"/>
      <c r="P721" s="143"/>
      <c r="Q721" s="67"/>
      <c r="R721" s="144"/>
      <c r="S721" s="144"/>
      <c r="T721" s="143"/>
      <c r="U721" s="143"/>
      <c r="V721" s="143"/>
      <c r="W721" s="130"/>
      <c r="X721" s="130"/>
      <c r="Y721" s="130"/>
      <c r="Z721" s="130"/>
      <c r="AA721" s="130"/>
      <c r="AB721" s="130"/>
      <c r="AC721" s="130"/>
      <c r="AD721" s="130"/>
      <c r="AE721" s="130"/>
      <c r="AF721" s="130"/>
      <c r="AG721" s="130"/>
      <c r="AH721" s="130"/>
      <c r="AI721" s="130"/>
      <c r="AJ721" s="130"/>
      <c r="AK721" s="130"/>
    </row>
    <row r="722">
      <c r="A722" s="130"/>
      <c r="B722" s="130"/>
      <c r="C722" s="143"/>
      <c r="D722" s="130"/>
      <c r="E722" s="143"/>
      <c r="F722" s="143"/>
      <c r="G722" s="143"/>
      <c r="H722" s="143"/>
      <c r="I722" s="143"/>
      <c r="J722" s="143"/>
      <c r="K722" s="143"/>
      <c r="L722" s="143"/>
      <c r="M722" s="143"/>
      <c r="N722" s="143"/>
      <c r="O722" s="143"/>
      <c r="P722" s="143"/>
      <c r="Q722" s="67"/>
      <c r="R722" s="144"/>
      <c r="S722" s="144"/>
      <c r="T722" s="143"/>
      <c r="U722" s="143"/>
      <c r="V722" s="143"/>
      <c r="W722" s="130"/>
      <c r="X722" s="130"/>
      <c r="Y722" s="130"/>
      <c r="Z722" s="130"/>
      <c r="AA722" s="130"/>
      <c r="AB722" s="130"/>
      <c r="AC722" s="130"/>
      <c r="AD722" s="130"/>
      <c r="AE722" s="130"/>
      <c r="AF722" s="130"/>
      <c r="AG722" s="130"/>
      <c r="AH722" s="130"/>
      <c r="AI722" s="130"/>
      <c r="AJ722" s="130"/>
      <c r="AK722" s="130"/>
    </row>
    <row r="723">
      <c r="A723" s="130"/>
      <c r="B723" s="130"/>
      <c r="C723" s="143"/>
      <c r="D723" s="130"/>
      <c r="E723" s="143"/>
      <c r="F723" s="143"/>
      <c r="G723" s="143"/>
      <c r="H723" s="143"/>
      <c r="I723" s="143"/>
      <c r="J723" s="143"/>
      <c r="K723" s="143"/>
      <c r="L723" s="143"/>
      <c r="M723" s="143"/>
      <c r="N723" s="143"/>
      <c r="O723" s="143"/>
      <c r="P723" s="143"/>
      <c r="Q723" s="67"/>
      <c r="R723" s="144"/>
      <c r="S723" s="144"/>
      <c r="T723" s="143"/>
      <c r="U723" s="143"/>
      <c r="V723" s="143"/>
      <c r="W723" s="130"/>
      <c r="X723" s="130"/>
      <c r="Y723" s="130"/>
      <c r="Z723" s="130"/>
      <c r="AA723" s="130"/>
      <c r="AB723" s="130"/>
      <c r="AC723" s="130"/>
      <c r="AD723" s="130"/>
      <c r="AE723" s="130"/>
      <c r="AF723" s="130"/>
      <c r="AG723" s="130"/>
      <c r="AH723" s="130"/>
      <c r="AI723" s="130"/>
      <c r="AJ723" s="130"/>
      <c r="AK723" s="130"/>
    </row>
    <row r="724">
      <c r="A724" s="130"/>
      <c r="B724" s="130"/>
      <c r="C724" s="143"/>
      <c r="D724" s="130"/>
      <c r="E724" s="143"/>
      <c r="F724" s="143"/>
      <c r="G724" s="143"/>
      <c r="H724" s="143"/>
      <c r="I724" s="143"/>
      <c r="J724" s="143"/>
      <c r="K724" s="143"/>
      <c r="L724" s="143"/>
      <c r="M724" s="143"/>
      <c r="N724" s="143"/>
      <c r="O724" s="143"/>
      <c r="P724" s="143"/>
      <c r="Q724" s="67"/>
      <c r="R724" s="144"/>
      <c r="S724" s="144"/>
      <c r="T724" s="143"/>
      <c r="U724" s="143"/>
      <c r="V724" s="143"/>
      <c r="W724" s="130"/>
      <c r="X724" s="130"/>
      <c r="Y724" s="130"/>
      <c r="Z724" s="130"/>
      <c r="AA724" s="130"/>
      <c r="AB724" s="130"/>
      <c r="AC724" s="130"/>
      <c r="AD724" s="130"/>
      <c r="AE724" s="130"/>
      <c r="AF724" s="130"/>
      <c r="AG724" s="130"/>
      <c r="AH724" s="130"/>
      <c r="AI724" s="130"/>
      <c r="AJ724" s="130"/>
      <c r="AK724" s="130"/>
    </row>
    <row r="725">
      <c r="A725" s="130"/>
      <c r="B725" s="130"/>
      <c r="C725" s="143"/>
      <c r="D725" s="130"/>
      <c r="E725" s="143"/>
      <c r="F725" s="143"/>
      <c r="G725" s="143"/>
      <c r="H725" s="143"/>
      <c r="I725" s="143"/>
      <c r="J725" s="143"/>
      <c r="K725" s="143"/>
      <c r="L725" s="143"/>
      <c r="M725" s="143"/>
      <c r="N725" s="143"/>
      <c r="O725" s="143"/>
      <c r="P725" s="143"/>
      <c r="Q725" s="67"/>
      <c r="R725" s="144"/>
      <c r="S725" s="144"/>
      <c r="T725" s="143"/>
      <c r="U725" s="143"/>
      <c r="V725" s="143"/>
      <c r="W725" s="130"/>
      <c r="X725" s="130"/>
      <c r="Y725" s="130"/>
      <c r="Z725" s="130"/>
      <c r="AA725" s="130"/>
      <c r="AB725" s="130"/>
      <c r="AC725" s="130"/>
      <c r="AD725" s="130"/>
      <c r="AE725" s="130"/>
      <c r="AF725" s="130"/>
      <c r="AG725" s="130"/>
      <c r="AH725" s="130"/>
      <c r="AI725" s="130"/>
      <c r="AJ725" s="130"/>
      <c r="AK725" s="130"/>
    </row>
    <row r="726">
      <c r="A726" s="130"/>
      <c r="B726" s="130"/>
      <c r="C726" s="143"/>
      <c r="D726" s="130"/>
      <c r="E726" s="143"/>
      <c r="F726" s="143"/>
      <c r="G726" s="143"/>
      <c r="H726" s="143"/>
      <c r="I726" s="143"/>
      <c r="J726" s="143"/>
      <c r="K726" s="143"/>
      <c r="L726" s="143"/>
      <c r="M726" s="143"/>
      <c r="N726" s="143"/>
      <c r="O726" s="143"/>
      <c r="P726" s="143"/>
      <c r="Q726" s="67"/>
      <c r="R726" s="144"/>
      <c r="S726" s="144"/>
      <c r="T726" s="143"/>
      <c r="U726" s="143"/>
      <c r="V726" s="143"/>
      <c r="W726" s="130"/>
      <c r="X726" s="130"/>
      <c r="Y726" s="130"/>
      <c r="Z726" s="130"/>
      <c r="AA726" s="130"/>
      <c r="AB726" s="130"/>
      <c r="AC726" s="130"/>
      <c r="AD726" s="130"/>
      <c r="AE726" s="130"/>
      <c r="AF726" s="130"/>
      <c r="AG726" s="130"/>
      <c r="AH726" s="130"/>
      <c r="AI726" s="130"/>
      <c r="AJ726" s="130"/>
      <c r="AK726" s="130"/>
    </row>
    <row r="727">
      <c r="A727" s="130"/>
      <c r="B727" s="130"/>
      <c r="C727" s="143"/>
      <c r="D727" s="130"/>
      <c r="E727" s="143"/>
      <c r="F727" s="143"/>
      <c r="G727" s="143"/>
      <c r="H727" s="143"/>
      <c r="I727" s="143"/>
      <c r="J727" s="143"/>
      <c r="K727" s="143"/>
      <c r="L727" s="143"/>
      <c r="M727" s="143"/>
      <c r="N727" s="143"/>
      <c r="O727" s="143"/>
      <c r="P727" s="143"/>
      <c r="Q727" s="67"/>
      <c r="R727" s="144"/>
      <c r="S727" s="144"/>
      <c r="T727" s="143"/>
      <c r="U727" s="143"/>
      <c r="V727" s="143"/>
      <c r="W727" s="130"/>
      <c r="X727" s="130"/>
      <c r="Y727" s="130"/>
      <c r="Z727" s="130"/>
      <c r="AA727" s="130"/>
      <c r="AB727" s="130"/>
      <c r="AC727" s="130"/>
      <c r="AD727" s="130"/>
      <c r="AE727" s="130"/>
      <c r="AF727" s="130"/>
      <c r="AG727" s="130"/>
      <c r="AH727" s="130"/>
      <c r="AI727" s="130"/>
      <c r="AJ727" s="130"/>
      <c r="AK727" s="130"/>
    </row>
    <row r="728">
      <c r="A728" s="130"/>
      <c r="B728" s="130"/>
      <c r="C728" s="143"/>
      <c r="D728" s="130"/>
      <c r="E728" s="143"/>
      <c r="F728" s="143"/>
      <c r="G728" s="143"/>
      <c r="H728" s="143"/>
      <c r="I728" s="143"/>
      <c r="J728" s="143"/>
      <c r="K728" s="143"/>
      <c r="L728" s="143"/>
      <c r="M728" s="143"/>
      <c r="N728" s="143"/>
      <c r="O728" s="143"/>
      <c r="P728" s="143"/>
      <c r="Q728" s="67"/>
      <c r="R728" s="144"/>
      <c r="S728" s="144"/>
      <c r="T728" s="143"/>
      <c r="U728" s="143"/>
      <c r="V728" s="143"/>
      <c r="W728" s="130"/>
      <c r="X728" s="130"/>
      <c r="Y728" s="130"/>
      <c r="Z728" s="130"/>
      <c r="AA728" s="130"/>
      <c r="AB728" s="130"/>
      <c r="AC728" s="130"/>
      <c r="AD728" s="130"/>
      <c r="AE728" s="130"/>
      <c r="AF728" s="130"/>
      <c r="AG728" s="130"/>
      <c r="AH728" s="130"/>
      <c r="AI728" s="130"/>
      <c r="AJ728" s="130"/>
      <c r="AK728" s="130"/>
    </row>
    <row r="729">
      <c r="A729" s="130"/>
      <c r="B729" s="130"/>
      <c r="C729" s="143"/>
      <c r="D729" s="130"/>
      <c r="E729" s="143"/>
      <c r="F729" s="143"/>
      <c r="G729" s="143"/>
      <c r="H729" s="143"/>
      <c r="I729" s="143"/>
      <c r="J729" s="143"/>
      <c r="K729" s="143"/>
      <c r="L729" s="143"/>
      <c r="M729" s="143"/>
      <c r="N729" s="143"/>
      <c r="O729" s="143"/>
      <c r="P729" s="143"/>
      <c r="Q729" s="67"/>
      <c r="R729" s="144"/>
      <c r="S729" s="144"/>
      <c r="T729" s="143"/>
      <c r="U729" s="143"/>
      <c r="V729" s="143"/>
      <c r="W729" s="130"/>
      <c r="X729" s="130"/>
      <c r="Y729" s="130"/>
      <c r="Z729" s="130"/>
      <c r="AA729" s="130"/>
      <c r="AB729" s="130"/>
      <c r="AC729" s="130"/>
      <c r="AD729" s="130"/>
      <c r="AE729" s="130"/>
      <c r="AF729" s="130"/>
      <c r="AG729" s="130"/>
      <c r="AH729" s="130"/>
      <c r="AI729" s="130"/>
      <c r="AJ729" s="130"/>
      <c r="AK729" s="130"/>
    </row>
    <row r="730">
      <c r="A730" s="130"/>
      <c r="B730" s="130"/>
      <c r="C730" s="143"/>
      <c r="D730" s="130"/>
      <c r="E730" s="143"/>
      <c r="F730" s="143"/>
      <c r="G730" s="143"/>
      <c r="H730" s="143"/>
      <c r="I730" s="143"/>
      <c r="J730" s="143"/>
      <c r="K730" s="143"/>
      <c r="L730" s="143"/>
      <c r="M730" s="143"/>
      <c r="N730" s="143"/>
      <c r="O730" s="143"/>
      <c r="P730" s="143"/>
      <c r="Q730" s="67"/>
      <c r="R730" s="144"/>
      <c r="S730" s="144"/>
      <c r="T730" s="143"/>
      <c r="U730" s="143"/>
      <c r="V730" s="143"/>
      <c r="W730" s="130"/>
      <c r="X730" s="130"/>
      <c r="Y730" s="130"/>
      <c r="Z730" s="130"/>
      <c r="AA730" s="130"/>
      <c r="AB730" s="130"/>
      <c r="AC730" s="130"/>
      <c r="AD730" s="130"/>
      <c r="AE730" s="130"/>
      <c r="AF730" s="130"/>
      <c r="AG730" s="130"/>
      <c r="AH730" s="130"/>
      <c r="AI730" s="130"/>
      <c r="AJ730" s="130"/>
      <c r="AK730" s="130"/>
    </row>
    <row r="731">
      <c r="A731" s="130"/>
      <c r="B731" s="130"/>
      <c r="C731" s="143"/>
      <c r="D731" s="130"/>
      <c r="E731" s="143"/>
      <c r="F731" s="143"/>
      <c r="G731" s="143"/>
      <c r="H731" s="143"/>
      <c r="I731" s="143"/>
      <c r="J731" s="143"/>
      <c r="K731" s="143"/>
      <c r="L731" s="143"/>
      <c r="M731" s="143"/>
      <c r="N731" s="143"/>
      <c r="O731" s="143"/>
      <c r="P731" s="143"/>
      <c r="Q731" s="67"/>
      <c r="R731" s="144"/>
      <c r="S731" s="144"/>
      <c r="T731" s="143"/>
      <c r="U731" s="143"/>
      <c r="V731" s="143"/>
      <c r="W731" s="130"/>
      <c r="X731" s="130"/>
      <c r="Y731" s="130"/>
      <c r="Z731" s="130"/>
      <c r="AA731" s="130"/>
      <c r="AB731" s="130"/>
      <c r="AC731" s="130"/>
      <c r="AD731" s="130"/>
      <c r="AE731" s="130"/>
      <c r="AF731" s="130"/>
      <c r="AG731" s="130"/>
      <c r="AH731" s="130"/>
      <c r="AI731" s="130"/>
      <c r="AJ731" s="130"/>
      <c r="AK731" s="130"/>
    </row>
    <row r="732">
      <c r="A732" s="130"/>
      <c r="B732" s="130"/>
      <c r="C732" s="143"/>
      <c r="D732" s="130"/>
      <c r="E732" s="143"/>
      <c r="F732" s="143"/>
      <c r="G732" s="143"/>
      <c r="H732" s="143"/>
      <c r="I732" s="143"/>
      <c r="J732" s="143"/>
      <c r="K732" s="143"/>
      <c r="L732" s="143"/>
      <c r="M732" s="143"/>
      <c r="N732" s="143"/>
      <c r="O732" s="143"/>
      <c r="P732" s="143"/>
      <c r="Q732" s="67"/>
      <c r="R732" s="144"/>
      <c r="S732" s="144"/>
      <c r="T732" s="143"/>
      <c r="U732" s="143"/>
      <c r="V732" s="143"/>
      <c r="W732" s="130"/>
      <c r="X732" s="130"/>
      <c r="Y732" s="130"/>
      <c r="Z732" s="130"/>
      <c r="AA732" s="130"/>
      <c r="AB732" s="130"/>
      <c r="AC732" s="130"/>
      <c r="AD732" s="130"/>
      <c r="AE732" s="130"/>
      <c r="AF732" s="130"/>
      <c r="AG732" s="130"/>
      <c r="AH732" s="130"/>
      <c r="AI732" s="130"/>
      <c r="AJ732" s="130"/>
      <c r="AK732" s="130"/>
    </row>
    <row r="733">
      <c r="A733" s="130"/>
      <c r="B733" s="130"/>
      <c r="C733" s="143"/>
      <c r="D733" s="130"/>
      <c r="E733" s="143"/>
      <c r="F733" s="143"/>
      <c r="G733" s="143"/>
      <c r="H733" s="143"/>
      <c r="I733" s="143"/>
      <c r="J733" s="143"/>
      <c r="K733" s="143"/>
      <c r="L733" s="143"/>
      <c r="M733" s="143"/>
      <c r="N733" s="143"/>
      <c r="O733" s="143"/>
      <c r="P733" s="143"/>
      <c r="Q733" s="67"/>
      <c r="R733" s="144"/>
      <c r="S733" s="144"/>
      <c r="T733" s="143"/>
      <c r="U733" s="143"/>
      <c r="V733" s="143"/>
      <c r="W733" s="130"/>
      <c r="X733" s="130"/>
      <c r="Y733" s="130"/>
      <c r="Z733" s="130"/>
      <c r="AA733" s="130"/>
      <c r="AB733" s="130"/>
      <c r="AC733" s="130"/>
      <c r="AD733" s="130"/>
      <c r="AE733" s="130"/>
      <c r="AF733" s="130"/>
      <c r="AG733" s="130"/>
      <c r="AH733" s="130"/>
      <c r="AI733" s="130"/>
      <c r="AJ733" s="130"/>
      <c r="AK733" s="130"/>
    </row>
    <row r="734">
      <c r="A734" s="130"/>
      <c r="B734" s="130"/>
      <c r="C734" s="143"/>
      <c r="D734" s="130"/>
      <c r="E734" s="143"/>
      <c r="F734" s="143"/>
      <c r="G734" s="143"/>
      <c r="H734" s="143"/>
      <c r="I734" s="143"/>
      <c r="J734" s="143"/>
      <c r="K734" s="143"/>
      <c r="L734" s="143"/>
      <c r="M734" s="143"/>
      <c r="N734" s="143"/>
      <c r="O734" s="143"/>
      <c r="P734" s="143"/>
      <c r="Q734" s="67"/>
      <c r="R734" s="144"/>
      <c r="S734" s="144"/>
      <c r="T734" s="143"/>
      <c r="U734" s="143"/>
      <c r="V734" s="143"/>
      <c r="W734" s="130"/>
      <c r="X734" s="130"/>
      <c r="Y734" s="130"/>
      <c r="Z734" s="130"/>
      <c r="AA734" s="130"/>
      <c r="AB734" s="130"/>
      <c r="AC734" s="130"/>
      <c r="AD734" s="130"/>
      <c r="AE734" s="130"/>
      <c r="AF734" s="130"/>
      <c r="AG734" s="130"/>
      <c r="AH734" s="130"/>
      <c r="AI734" s="130"/>
      <c r="AJ734" s="130"/>
      <c r="AK734" s="130"/>
    </row>
    <row r="735">
      <c r="A735" s="130"/>
      <c r="B735" s="130"/>
      <c r="C735" s="143"/>
      <c r="D735" s="130"/>
      <c r="E735" s="143"/>
      <c r="F735" s="143"/>
      <c r="G735" s="143"/>
      <c r="H735" s="143"/>
      <c r="I735" s="143"/>
      <c r="J735" s="143"/>
      <c r="K735" s="143"/>
      <c r="L735" s="143"/>
      <c r="M735" s="143"/>
      <c r="N735" s="143"/>
      <c r="O735" s="143"/>
      <c r="P735" s="143"/>
      <c r="Q735" s="67"/>
      <c r="R735" s="144"/>
      <c r="S735" s="144"/>
      <c r="T735" s="143"/>
      <c r="U735" s="143"/>
      <c r="V735" s="143"/>
      <c r="W735" s="130"/>
      <c r="X735" s="130"/>
      <c r="Y735" s="130"/>
      <c r="Z735" s="130"/>
      <c r="AA735" s="130"/>
      <c r="AB735" s="130"/>
      <c r="AC735" s="130"/>
      <c r="AD735" s="130"/>
      <c r="AE735" s="130"/>
      <c r="AF735" s="130"/>
      <c r="AG735" s="130"/>
      <c r="AH735" s="130"/>
      <c r="AI735" s="130"/>
      <c r="AJ735" s="130"/>
      <c r="AK735" s="130"/>
    </row>
    <row r="736">
      <c r="A736" s="130"/>
      <c r="B736" s="130"/>
      <c r="C736" s="143"/>
      <c r="D736" s="130"/>
      <c r="E736" s="143"/>
      <c r="F736" s="143"/>
      <c r="G736" s="143"/>
      <c r="H736" s="143"/>
      <c r="I736" s="143"/>
      <c r="J736" s="143"/>
      <c r="K736" s="143"/>
      <c r="L736" s="143"/>
      <c r="M736" s="143"/>
      <c r="N736" s="143"/>
      <c r="O736" s="143"/>
      <c r="P736" s="143"/>
      <c r="Q736" s="67"/>
      <c r="R736" s="144"/>
      <c r="S736" s="144"/>
      <c r="T736" s="143"/>
      <c r="U736" s="143"/>
      <c r="V736" s="143"/>
      <c r="W736" s="130"/>
      <c r="X736" s="130"/>
      <c r="Y736" s="130"/>
      <c r="Z736" s="130"/>
      <c r="AA736" s="130"/>
      <c r="AB736" s="130"/>
      <c r="AC736" s="130"/>
      <c r="AD736" s="130"/>
      <c r="AE736" s="130"/>
      <c r="AF736" s="130"/>
      <c r="AG736" s="130"/>
      <c r="AH736" s="130"/>
      <c r="AI736" s="130"/>
      <c r="AJ736" s="130"/>
      <c r="AK736" s="130"/>
    </row>
    <row r="737">
      <c r="A737" s="130"/>
      <c r="B737" s="130"/>
      <c r="C737" s="143"/>
      <c r="D737" s="130"/>
      <c r="E737" s="143"/>
      <c r="F737" s="143"/>
      <c r="G737" s="143"/>
      <c r="H737" s="143"/>
      <c r="I737" s="143"/>
      <c r="J737" s="143"/>
      <c r="K737" s="143"/>
      <c r="L737" s="143"/>
      <c r="M737" s="143"/>
      <c r="N737" s="143"/>
      <c r="O737" s="143"/>
      <c r="P737" s="143"/>
      <c r="Q737" s="67"/>
      <c r="R737" s="144"/>
      <c r="S737" s="144"/>
      <c r="T737" s="143"/>
      <c r="U737" s="143"/>
      <c r="V737" s="143"/>
      <c r="W737" s="130"/>
      <c r="X737" s="130"/>
      <c r="Y737" s="130"/>
      <c r="Z737" s="130"/>
      <c r="AA737" s="130"/>
      <c r="AB737" s="130"/>
      <c r="AC737" s="130"/>
      <c r="AD737" s="130"/>
      <c r="AE737" s="130"/>
      <c r="AF737" s="130"/>
      <c r="AG737" s="130"/>
      <c r="AH737" s="130"/>
      <c r="AI737" s="130"/>
      <c r="AJ737" s="130"/>
      <c r="AK737" s="130"/>
    </row>
    <row r="738">
      <c r="A738" s="130"/>
      <c r="B738" s="130"/>
      <c r="C738" s="143"/>
      <c r="D738" s="130"/>
      <c r="E738" s="143"/>
      <c r="F738" s="143"/>
      <c r="G738" s="143"/>
      <c r="H738" s="143"/>
      <c r="I738" s="143"/>
      <c r="J738" s="143"/>
      <c r="K738" s="143"/>
      <c r="L738" s="143"/>
      <c r="M738" s="143"/>
      <c r="N738" s="143"/>
      <c r="O738" s="143"/>
      <c r="P738" s="143"/>
      <c r="Q738" s="67"/>
      <c r="R738" s="144"/>
      <c r="S738" s="144"/>
      <c r="T738" s="143"/>
      <c r="U738" s="143"/>
      <c r="V738" s="143"/>
      <c r="W738" s="130"/>
      <c r="X738" s="130"/>
      <c r="Y738" s="130"/>
      <c r="Z738" s="130"/>
      <c r="AA738" s="130"/>
      <c r="AB738" s="130"/>
      <c r="AC738" s="130"/>
      <c r="AD738" s="130"/>
      <c r="AE738" s="130"/>
      <c r="AF738" s="130"/>
      <c r="AG738" s="130"/>
      <c r="AH738" s="130"/>
      <c r="AI738" s="130"/>
      <c r="AJ738" s="130"/>
      <c r="AK738" s="130"/>
    </row>
    <row r="739">
      <c r="A739" s="130"/>
      <c r="B739" s="130"/>
      <c r="C739" s="143"/>
      <c r="D739" s="130"/>
      <c r="E739" s="143"/>
      <c r="F739" s="143"/>
      <c r="G739" s="143"/>
      <c r="H739" s="143"/>
      <c r="I739" s="143"/>
      <c r="J739" s="143"/>
      <c r="K739" s="143"/>
      <c r="L739" s="143"/>
      <c r="M739" s="143"/>
      <c r="N739" s="143"/>
      <c r="O739" s="143"/>
      <c r="P739" s="143"/>
      <c r="Q739" s="67"/>
      <c r="R739" s="144"/>
      <c r="S739" s="144"/>
      <c r="T739" s="143"/>
      <c r="U739" s="143"/>
      <c r="V739" s="143"/>
      <c r="W739" s="130"/>
      <c r="X739" s="130"/>
      <c r="Y739" s="130"/>
      <c r="Z739" s="130"/>
      <c r="AA739" s="130"/>
      <c r="AB739" s="130"/>
      <c r="AC739" s="130"/>
      <c r="AD739" s="130"/>
      <c r="AE739" s="130"/>
      <c r="AF739" s="130"/>
      <c r="AG739" s="130"/>
      <c r="AH739" s="130"/>
      <c r="AI739" s="130"/>
      <c r="AJ739" s="130"/>
      <c r="AK739" s="130"/>
    </row>
    <row r="740">
      <c r="A740" s="130"/>
      <c r="B740" s="130"/>
      <c r="C740" s="143"/>
      <c r="D740" s="130"/>
      <c r="E740" s="143"/>
      <c r="F740" s="143"/>
      <c r="G740" s="143"/>
      <c r="H740" s="143"/>
      <c r="I740" s="143"/>
      <c r="J740" s="143"/>
      <c r="K740" s="143"/>
      <c r="L740" s="143"/>
      <c r="M740" s="143"/>
      <c r="N740" s="143"/>
      <c r="O740" s="143"/>
      <c r="P740" s="143"/>
      <c r="Q740" s="67"/>
      <c r="R740" s="144"/>
      <c r="S740" s="144"/>
      <c r="T740" s="143"/>
      <c r="U740" s="143"/>
      <c r="V740" s="143"/>
      <c r="W740" s="130"/>
      <c r="X740" s="130"/>
      <c r="Y740" s="130"/>
      <c r="Z740" s="130"/>
      <c r="AA740" s="130"/>
      <c r="AB740" s="130"/>
      <c r="AC740" s="130"/>
      <c r="AD740" s="130"/>
      <c r="AE740" s="130"/>
      <c r="AF740" s="130"/>
      <c r="AG740" s="130"/>
      <c r="AH740" s="130"/>
      <c r="AI740" s="130"/>
      <c r="AJ740" s="130"/>
      <c r="AK740" s="130"/>
    </row>
    <row r="741">
      <c r="A741" s="130"/>
      <c r="B741" s="130"/>
      <c r="C741" s="143"/>
      <c r="D741" s="130"/>
      <c r="E741" s="143"/>
      <c r="F741" s="143"/>
      <c r="G741" s="143"/>
      <c r="H741" s="143"/>
      <c r="I741" s="143"/>
      <c r="J741" s="143"/>
      <c r="K741" s="143"/>
      <c r="L741" s="143"/>
      <c r="M741" s="143"/>
      <c r="N741" s="143"/>
      <c r="O741" s="143"/>
      <c r="P741" s="143"/>
      <c r="Q741" s="67"/>
      <c r="R741" s="144"/>
      <c r="S741" s="144"/>
      <c r="T741" s="143"/>
      <c r="U741" s="143"/>
      <c r="V741" s="143"/>
      <c r="W741" s="130"/>
      <c r="X741" s="130"/>
      <c r="Y741" s="130"/>
      <c r="Z741" s="130"/>
      <c r="AA741" s="130"/>
      <c r="AB741" s="130"/>
      <c r="AC741" s="130"/>
      <c r="AD741" s="130"/>
      <c r="AE741" s="130"/>
      <c r="AF741" s="130"/>
      <c r="AG741" s="130"/>
      <c r="AH741" s="130"/>
      <c r="AI741" s="130"/>
      <c r="AJ741" s="130"/>
      <c r="AK741" s="130"/>
    </row>
    <row r="742">
      <c r="A742" s="130"/>
      <c r="B742" s="130"/>
      <c r="C742" s="143"/>
      <c r="D742" s="130"/>
      <c r="E742" s="143"/>
      <c r="F742" s="143"/>
      <c r="G742" s="143"/>
      <c r="H742" s="143"/>
      <c r="I742" s="143"/>
      <c r="J742" s="143"/>
      <c r="K742" s="143"/>
      <c r="L742" s="143"/>
      <c r="M742" s="143"/>
      <c r="N742" s="143"/>
      <c r="O742" s="143"/>
      <c r="P742" s="143"/>
      <c r="Q742" s="67"/>
      <c r="R742" s="144"/>
      <c r="S742" s="144"/>
      <c r="T742" s="143"/>
      <c r="U742" s="143"/>
      <c r="V742" s="143"/>
      <c r="W742" s="130"/>
      <c r="X742" s="130"/>
      <c r="Y742" s="130"/>
      <c r="Z742" s="130"/>
      <c r="AA742" s="130"/>
      <c r="AB742" s="130"/>
      <c r="AC742" s="130"/>
      <c r="AD742" s="130"/>
      <c r="AE742" s="130"/>
      <c r="AF742" s="130"/>
      <c r="AG742" s="130"/>
      <c r="AH742" s="130"/>
      <c r="AI742" s="130"/>
      <c r="AJ742" s="130"/>
      <c r="AK742" s="130"/>
    </row>
    <row r="743">
      <c r="A743" s="130"/>
      <c r="B743" s="130"/>
      <c r="C743" s="143"/>
      <c r="D743" s="130"/>
      <c r="E743" s="143"/>
      <c r="F743" s="143"/>
      <c r="G743" s="143"/>
      <c r="H743" s="143"/>
      <c r="I743" s="143"/>
      <c r="J743" s="143"/>
      <c r="K743" s="143"/>
      <c r="L743" s="143"/>
      <c r="M743" s="143"/>
      <c r="N743" s="143"/>
      <c r="O743" s="143"/>
      <c r="P743" s="143"/>
      <c r="Q743" s="67"/>
      <c r="R743" s="144"/>
      <c r="S743" s="144"/>
      <c r="T743" s="143"/>
      <c r="U743" s="143"/>
      <c r="V743" s="143"/>
      <c r="W743" s="130"/>
      <c r="X743" s="130"/>
      <c r="Y743" s="130"/>
      <c r="Z743" s="130"/>
      <c r="AA743" s="130"/>
      <c r="AB743" s="130"/>
      <c r="AC743" s="130"/>
      <c r="AD743" s="130"/>
      <c r="AE743" s="130"/>
      <c r="AF743" s="130"/>
      <c r="AG743" s="130"/>
      <c r="AH743" s="130"/>
      <c r="AI743" s="130"/>
      <c r="AJ743" s="130"/>
      <c r="AK743" s="130"/>
    </row>
    <row r="744">
      <c r="A744" s="130"/>
      <c r="B744" s="130"/>
      <c r="C744" s="143"/>
      <c r="D744" s="130"/>
      <c r="E744" s="143"/>
      <c r="F744" s="143"/>
      <c r="G744" s="143"/>
      <c r="H744" s="143"/>
      <c r="I744" s="143"/>
      <c r="J744" s="143"/>
      <c r="K744" s="143"/>
      <c r="L744" s="143"/>
      <c r="M744" s="143"/>
      <c r="N744" s="143"/>
      <c r="O744" s="143"/>
      <c r="P744" s="143"/>
      <c r="Q744" s="67"/>
      <c r="R744" s="144"/>
      <c r="S744" s="144"/>
      <c r="T744" s="143"/>
      <c r="U744" s="143"/>
      <c r="V744" s="143"/>
      <c r="W744" s="130"/>
      <c r="X744" s="130"/>
      <c r="Y744" s="130"/>
      <c r="Z744" s="130"/>
      <c r="AA744" s="130"/>
      <c r="AB744" s="130"/>
      <c r="AC744" s="130"/>
      <c r="AD744" s="130"/>
      <c r="AE744" s="130"/>
      <c r="AF744" s="130"/>
      <c r="AG744" s="130"/>
      <c r="AH744" s="130"/>
      <c r="AI744" s="130"/>
      <c r="AJ744" s="130"/>
      <c r="AK744" s="130"/>
    </row>
    <row r="745">
      <c r="A745" s="130"/>
      <c r="B745" s="130"/>
      <c r="C745" s="143"/>
      <c r="D745" s="130"/>
      <c r="E745" s="143"/>
      <c r="F745" s="143"/>
      <c r="G745" s="143"/>
      <c r="H745" s="143"/>
      <c r="I745" s="143"/>
      <c r="J745" s="143"/>
      <c r="K745" s="143"/>
      <c r="L745" s="143"/>
      <c r="M745" s="143"/>
      <c r="N745" s="143"/>
      <c r="O745" s="143"/>
      <c r="P745" s="143"/>
      <c r="Q745" s="67"/>
      <c r="R745" s="144"/>
      <c r="S745" s="144"/>
      <c r="T745" s="143"/>
      <c r="U745" s="143"/>
      <c r="V745" s="143"/>
      <c r="W745" s="130"/>
      <c r="X745" s="130"/>
      <c r="Y745" s="130"/>
      <c r="Z745" s="130"/>
      <c r="AA745" s="130"/>
      <c r="AB745" s="130"/>
      <c r="AC745" s="130"/>
      <c r="AD745" s="130"/>
      <c r="AE745" s="130"/>
      <c r="AF745" s="130"/>
      <c r="AG745" s="130"/>
      <c r="AH745" s="130"/>
      <c r="AI745" s="130"/>
      <c r="AJ745" s="130"/>
      <c r="AK745" s="130"/>
    </row>
    <row r="746">
      <c r="A746" s="130"/>
      <c r="B746" s="130"/>
      <c r="C746" s="143"/>
      <c r="D746" s="130"/>
      <c r="E746" s="143"/>
      <c r="F746" s="143"/>
      <c r="G746" s="143"/>
      <c r="H746" s="143"/>
      <c r="I746" s="143"/>
      <c r="J746" s="143"/>
      <c r="K746" s="143"/>
      <c r="L746" s="143"/>
      <c r="M746" s="143"/>
      <c r="N746" s="143"/>
      <c r="O746" s="143"/>
      <c r="P746" s="143"/>
      <c r="Q746" s="67"/>
      <c r="R746" s="144"/>
      <c r="S746" s="144"/>
      <c r="T746" s="143"/>
      <c r="U746" s="143"/>
      <c r="V746" s="143"/>
      <c r="W746" s="130"/>
      <c r="X746" s="130"/>
      <c r="Y746" s="130"/>
      <c r="Z746" s="130"/>
      <c r="AA746" s="130"/>
      <c r="AB746" s="130"/>
      <c r="AC746" s="130"/>
      <c r="AD746" s="130"/>
      <c r="AE746" s="130"/>
      <c r="AF746" s="130"/>
      <c r="AG746" s="130"/>
      <c r="AH746" s="130"/>
      <c r="AI746" s="130"/>
      <c r="AJ746" s="130"/>
      <c r="AK746" s="130"/>
    </row>
    <row r="747">
      <c r="A747" s="130"/>
      <c r="B747" s="130"/>
      <c r="C747" s="143"/>
      <c r="D747" s="130"/>
      <c r="E747" s="143"/>
      <c r="F747" s="143"/>
      <c r="G747" s="143"/>
      <c r="H747" s="143"/>
      <c r="I747" s="143"/>
      <c r="J747" s="143"/>
      <c r="K747" s="143"/>
      <c r="L747" s="143"/>
      <c r="M747" s="143"/>
      <c r="N747" s="143"/>
      <c r="O747" s="143"/>
      <c r="P747" s="143"/>
      <c r="Q747" s="67"/>
      <c r="R747" s="144"/>
      <c r="S747" s="144"/>
      <c r="T747" s="143"/>
      <c r="U747" s="143"/>
      <c r="V747" s="143"/>
      <c r="W747" s="130"/>
      <c r="X747" s="130"/>
      <c r="Y747" s="130"/>
      <c r="Z747" s="130"/>
      <c r="AA747" s="130"/>
      <c r="AB747" s="130"/>
      <c r="AC747" s="130"/>
      <c r="AD747" s="130"/>
      <c r="AE747" s="130"/>
      <c r="AF747" s="130"/>
      <c r="AG747" s="130"/>
      <c r="AH747" s="130"/>
      <c r="AI747" s="130"/>
      <c r="AJ747" s="130"/>
      <c r="AK747" s="130"/>
    </row>
    <row r="748">
      <c r="A748" s="130"/>
      <c r="B748" s="130"/>
      <c r="C748" s="143"/>
      <c r="D748" s="130"/>
      <c r="E748" s="143"/>
      <c r="F748" s="143"/>
      <c r="G748" s="143"/>
      <c r="H748" s="143"/>
      <c r="I748" s="143"/>
      <c r="J748" s="143"/>
      <c r="K748" s="143"/>
      <c r="L748" s="143"/>
      <c r="M748" s="143"/>
      <c r="N748" s="143"/>
      <c r="O748" s="143"/>
      <c r="P748" s="143"/>
      <c r="Q748" s="67"/>
      <c r="R748" s="144"/>
      <c r="S748" s="144"/>
      <c r="T748" s="143"/>
      <c r="U748" s="143"/>
      <c r="V748" s="143"/>
      <c r="W748" s="130"/>
      <c r="X748" s="130"/>
      <c r="Y748" s="130"/>
      <c r="Z748" s="130"/>
      <c r="AA748" s="130"/>
      <c r="AB748" s="130"/>
      <c r="AC748" s="130"/>
      <c r="AD748" s="130"/>
      <c r="AE748" s="130"/>
      <c r="AF748" s="130"/>
      <c r="AG748" s="130"/>
      <c r="AH748" s="130"/>
      <c r="AI748" s="130"/>
      <c r="AJ748" s="130"/>
      <c r="AK748" s="130"/>
    </row>
    <row r="749">
      <c r="A749" s="130"/>
      <c r="B749" s="130"/>
      <c r="C749" s="143"/>
      <c r="D749" s="130"/>
      <c r="E749" s="143"/>
      <c r="F749" s="143"/>
      <c r="G749" s="143"/>
      <c r="H749" s="143"/>
      <c r="I749" s="143"/>
      <c r="J749" s="143"/>
      <c r="K749" s="143"/>
      <c r="L749" s="143"/>
      <c r="M749" s="143"/>
      <c r="N749" s="143"/>
      <c r="O749" s="143"/>
      <c r="P749" s="143"/>
      <c r="Q749" s="67"/>
      <c r="R749" s="144"/>
      <c r="S749" s="144"/>
      <c r="T749" s="143"/>
      <c r="U749" s="143"/>
      <c r="V749" s="143"/>
      <c r="W749" s="130"/>
      <c r="X749" s="130"/>
      <c r="Y749" s="130"/>
      <c r="Z749" s="130"/>
      <c r="AA749" s="130"/>
      <c r="AB749" s="130"/>
      <c r="AC749" s="130"/>
      <c r="AD749" s="130"/>
      <c r="AE749" s="130"/>
      <c r="AF749" s="130"/>
      <c r="AG749" s="130"/>
      <c r="AH749" s="130"/>
      <c r="AI749" s="130"/>
      <c r="AJ749" s="130"/>
      <c r="AK749" s="130"/>
    </row>
    <row r="750">
      <c r="A750" s="130"/>
      <c r="B750" s="130"/>
      <c r="C750" s="143"/>
      <c r="D750" s="130"/>
      <c r="E750" s="143"/>
      <c r="F750" s="143"/>
      <c r="G750" s="143"/>
      <c r="H750" s="143"/>
      <c r="I750" s="143"/>
      <c r="J750" s="143"/>
      <c r="K750" s="143"/>
      <c r="L750" s="143"/>
      <c r="M750" s="143"/>
      <c r="N750" s="143"/>
      <c r="O750" s="143"/>
      <c r="P750" s="143"/>
      <c r="Q750" s="67"/>
      <c r="R750" s="144"/>
      <c r="S750" s="144"/>
      <c r="T750" s="143"/>
      <c r="U750" s="143"/>
      <c r="V750" s="143"/>
      <c r="W750" s="130"/>
      <c r="X750" s="130"/>
      <c r="Y750" s="130"/>
      <c r="Z750" s="130"/>
      <c r="AA750" s="130"/>
      <c r="AB750" s="130"/>
      <c r="AC750" s="130"/>
      <c r="AD750" s="130"/>
      <c r="AE750" s="130"/>
      <c r="AF750" s="130"/>
      <c r="AG750" s="130"/>
      <c r="AH750" s="130"/>
      <c r="AI750" s="130"/>
      <c r="AJ750" s="130"/>
      <c r="AK750" s="130"/>
    </row>
    <row r="751">
      <c r="A751" s="130"/>
      <c r="B751" s="130"/>
      <c r="C751" s="143"/>
      <c r="D751" s="130"/>
      <c r="E751" s="143"/>
      <c r="F751" s="143"/>
      <c r="G751" s="143"/>
      <c r="H751" s="143"/>
      <c r="I751" s="143"/>
      <c r="J751" s="143"/>
      <c r="K751" s="143"/>
      <c r="L751" s="143"/>
      <c r="M751" s="143"/>
      <c r="N751" s="143"/>
      <c r="O751" s="143"/>
      <c r="P751" s="143"/>
      <c r="Q751" s="67"/>
      <c r="R751" s="144"/>
      <c r="S751" s="144"/>
      <c r="T751" s="143"/>
      <c r="U751" s="143"/>
      <c r="V751" s="143"/>
      <c r="W751" s="130"/>
      <c r="X751" s="130"/>
      <c r="Y751" s="130"/>
      <c r="Z751" s="130"/>
      <c r="AA751" s="130"/>
      <c r="AB751" s="130"/>
      <c r="AC751" s="130"/>
      <c r="AD751" s="130"/>
      <c r="AE751" s="130"/>
      <c r="AF751" s="130"/>
      <c r="AG751" s="130"/>
      <c r="AH751" s="130"/>
      <c r="AI751" s="130"/>
      <c r="AJ751" s="130"/>
      <c r="AK751" s="130"/>
    </row>
    <row r="752">
      <c r="A752" s="130"/>
      <c r="B752" s="130"/>
      <c r="C752" s="143"/>
      <c r="D752" s="130"/>
      <c r="E752" s="143"/>
      <c r="F752" s="143"/>
      <c r="G752" s="143"/>
      <c r="H752" s="143"/>
      <c r="I752" s="143"/>
      <c r="J752" s="143"/>
      <c r="K752" s="143"/>
      <c r="L752" s="143"/>
      <c r="M752" s="143"/>
      <c r="N752" s="143"/>
      <c r="O752" s="143"/>
      <c r="P752" s="143"/>
      <c r="Q752" s="67"/>
      <c r="R752" s="144"/>
      <c r="S752" s="144"/>
      <c r="T752" s="143"/>
      <c r="U752" s="143"/>
      <c r="V752" s="143"/>
      <c r="W752" s="130"/>
      <c r="X752" s="130"/>
      <c r="Y752" s="130"/>
      <c r="Z752" s="130"/>
      <c r="AA752" s="130"/>
      <c r="AB752" s="130"/>
      <c r="AC752" s="130"/>
      <c r="AD752" s="130"/>
      <c r="AE752" s="130"/>
      <c r="AF752" s="130"/>
      <c r="AG752" s="130"/>
      <c r="AH752" s="130"/>
      <c r="AI752" s="130"/>
      <c r="AJ752" s="130"/>
      <c r="AK752" s="130"/>
    </row>
    <row r="753">
      <c r="A753" s="130"/>
      <c r="B753" s="130"/>
      <c r="C753" s="143"/>
      <c r="D753" s="130"/>
      <c r="E753" s="143"/>
      <c r="F753" s="143"/>
      <c r="G753" s="143"/>
      <c r="H753" s="143"/>
      <c r="I753" s="143"/>
      <c r="J753" s="143"/>
      <c r="K753" s="143"/>
      <c r="L753" s="143"/>
      <c r="M753" s="143"/>
      <c r="N753" s="143"/>
      <c r="O753" s="143"/>
      <c r="P753" s="143"/>
      <c r="Q753" s="67"/>
      <c r="R753" s="144"/>
      <c r="S753" s="144"/>
      <c r="T753" s="143"/>
      <c r="U753" s="143"/>
      <c r="V753" s="143"/>
      <c r="W753" s="130"/>
      <c r="X753" s="130"/>
      <c r="Y753" s="130"/>
      <c r="Z753" s="130"/>
      <c r="AA753" s="130"/>
      <c r="AB753" s="130"/>
      <c r="AC753" s="130"/>
      <c r="AD753" s="130"/>
      <c r="AE753" s="130"/>
      <c r="AF753" s="130"/>
      <c r="AG753" s="130"/>
      <c r="AH753" s="130"/>
      <c r="AI753" s="130"/>
      <c r="AJ753" s="130"/>
      <c r="AK753" s="130"/>
    </row>
    <row r="754">
      <c r="A754" s="130"/>
      <c r="B754" s="130"/>
      <c r="C754" s="143"/>
      <c r="D754" s="130"/>
      <c r="E754" s="143"/>
      <c r="F754" s="143"/>
      <c r="G754" s="143"/>
      <c r="H754" s="143"/>
      <c r="I754" s="143"/>
      <c r="J754" s="143"/>
      <c r="K754" s="143"/>
      <c r="L754" s="143"/>
      <c r="M754" s="143"/>
      <c r="N754" s="143"/>
      <c r="O754" s="143"/>
      <c r="P754" s="143"/>
      <c r="Q754" s="67"/>
      <c r="R754" s="144"/>
      <c r="S754" s="144"/>
      <c r="T754" s="143"/>
      <c r="U754" s="143"/>
      <c r="V754" s="143"/>
      <c r="W754" s="130"/>
      <c r="X754" s="130"/>
      <c r="Y754" s="130"/>
      <c r="Z754" s="130"/>
      <c r="AA754" s="130"/>
      <c r="AB754" s="130"/>
      <c r="AC754" s="130"/>
      <c r="AD754" s="130"/>
      <c r="AE754" s="130"/>
      <c r="AF754" s="130"/>
      <c r="AG754" s="130"/>
      <c r="AH754" s="130"/>
      <c r="AI754" s="130"/>
      <c r="AJ754" s="130"/>
      <c r="AK754" s="130"/>
    </row>
    <row r="755">
      <c r="A755" s="130"/>
      <c r="B755" s="130"/>
      <c r="C755" s="143"/>
      <c r="D755" s="130"/>
      <c r="E755" s="143"/>
      <c r="F755" s="143"/>
      <c r="G755" s="143"/>
      <c r="H755" s="143"/>
      <c r="I755" s="143"/>
      <c r="J755" s="143"/>
      <c r="K755" s="143"/>
      <c r="L755" s="143"/>
      <c r="M755" s="143"/>
      <c r="N755" s="143"/>
      <c r="O755" s="143"/>
      <c r="P755" s="143"/>
      <c r="Q755" s="67"/>
      <c r="R755" s="144"/>
      <c r="S755" s="144"/>
      <c r="T755" s="143"/>
      <c r="U755" s="143"/>
      <c r="V755" s="143"/>
      <c r="W755" s="130"/>
      <c r="X755" s="130"/>
      <c r="Y755" s="130"/>
      <c r="Z755" s="130"/>
      <c r="AA755" s="130"/>
      <c r="AB755" s="130"/>
      <c r="AC755" s="130"/>
      <c r="AD755" s="130"/>
      <c r="AE755" s="130"/>
      <c r="AF755" s="130"/>
      <c r="AG755" s="130"/>
      <c r="AH755" s="130"/>
      <c r="AI755" s="130"/>
      <c r="AJ755" s="130"/>
      <c r="AK755" s="130"/>
    </row>
    <row r="756">
      <c r="A756" s="130"/>
      <c r="B756" s="130"/>
      <c r="C756" s="143"/>
      <c r="D756" s="130"/>
      <c r="E756" s="143"/>
      <c r="F756" s="143"/>
      <c r="G756" s="143"/>
      <c r="H756" s="143"/>
      <c r="I756" s="143"/>
      <c r="J756" s="143"/>
      <c r="K756" s="143"/>
      <c r="L756" s="143"/>
      <c r="M756" s="143"/>
      <c r="N756" s="143"/>
      <c r="O756" s="143"/>
      <c r="P756" s="143"/>
      <c r="Q756" s="67"/>
      <c r="R756" s="144"/>
      <c r="S756" s="144"/>
      <c r="T756" s="143"/>
      <c r="U756" s="143"/>
      <c r="V756" s="143"/>
      <c r="W756" s="130"/>
      <c r="X756" s="130"/>
      <c r="Y756" s="130"/>
      <c r="Z756" s="130"/>
      <c r="AA756" s="130"/>
      <c r="AB756" s="130"/>
      <c r="AC756" s="130"/>
      <c r="AD756" s="130"/>
      <c r="AE756" s="130"/>
      <c r="AF756" s="130"/>
      <c r="AG756" s="130"/>
      <c r="AH756" s="130"/>
      <c r="AI756" s="130"/>
      <c r="AJ756" s="130"/>
      <c r="AK756" s="130"/>
    </row>
    <row r="757">
      <c r="A757" s="130"/>
      <c r="B757" s="130"/>
      <c r="C757" s="143"/>
      <c r="D757" s="130"/>
      <c r="E757" s="143"/>
      <c r="F757" s="143"/>
      <c r="G757" s="143"/>
      <c r="H757" s="143"/>
      <c r="I757" s="143"/>
      <c r="J757" s="143"/>
      <c r="K757" s="143"/>
      <c r="L757" s="143"/>
      <c r="M757" s="143"/>
      <c r="N757" s="143"/>
      <c r="O757" s="143"/>
      <c r="P757" s="143"/>
      <c r="Q757" s="67"/>
      <c r="R757" s="144"/>
      <c r="S757" s="144"/>
      <c r="T757" s="143"/>
      <c r="U757" s="143"/>
      <c r="V757" s="143"/>
      <c r="W757" s="130"/>
      <c r="X757" s="130"/>
      <c r="Y757" s="130"/>
      <c r="Z757" s="130"/>
      <c r="AA757" s="130"/>
      <c r="AB757" s="130"/>
      <c r="AC757" s="130"/>
      <c r="AD757" s="130"/>
      <c r="AE757" s="130"/>
      <c r="AF757" s="130"/>
      <c r="AG757" s="130"/>
      <c r="AH757" s="130"/>
      <c r="AI757" s="130"/>
      <c r="AJ757" s="130"/>
      <c r="AK757" s="130"/>
    </row>
    <row r="758">
      <c r="A758" s="130"/>
      <c r="B758" s="130"/>
      <c r="C758" s="143"/>
      <c r="D758" s="130"/>
      <c r="E758" s="143"/>
      <c r="F758" s="143"/>
      <c r="G758" s="143"/>
      <c r="H758" s="143"/>
      <c r="I758" s="143"/>
      <c r="J758" s="143"/>
      <c r="K758" s="143"/>
      <c r="L758" s="143"/>
      <c r="M758" s="143"/>
      <c r="N758" s="143"/>
      <c r="O758" s="143"/>
      <c r="P758" s="143"/>
      <c r="Q758" s="67"/>
      <c r="R758" s="144"/>
      <c r="S758" s="144"/>
      <c r="T758" s="143"/>
      <c r="U758" s="143"/>
      <c r="V758" s="143"/>
      <c r="W758" s="130"/>
      <c r="X758" s="130"/>
      <c r="Y758" s="130"/>
      <c r="Z758" s="130"/>
      <c r="AA758" s="130"/>
      <c r="AB758" s="130"/>
      <c r="AC758" s="130"/>
      <c r="AD758" s="130"/>
      <c r="AE758" s="130"/>
      <c r="AF758" s="130"/>
      <c r="AG758" s="130"/>
      <c r="AH758" s="130"/>
      <c r="AI758" s="130"/>
      <c r="AJ758" s="130"/>
      <c r="AK758" s="130"/>
    </row>
    <row r="759">
      <c r="A759" s="130"/>
      <c r="B759" s="130"/>
      <c r="C759" s="143"/>
      <c r="D759" s="130"/>
      <c r="E759" s="143"/>
      <c r="F759" s="143"/>
      <c r="G759" s="143"/>
      <c r="H759" s="143"/>
      <c r="I759" s="143"/>
      <c r="J759" s="143"/>
      <c r="K759" s="143"/>
      <c r="L759" s="143"/>
      <c r="M759" s="143"/>
      <c r="N759" s="143"/>
      <c r="O759" s="143"/>
      <c r="P759" s="143"/>
      <c r="Q759" s="67"/>
      <c r="R759" s="144"/>
      <c r="S759" s="144"/>
      <c r="T759" s="143"/>
      <c r="U759" s="143"/>
      <c r="V759" s="143"/>
      <c r="W759" s="130"/>
      <c r="X759" s="130"/>
      <c r="Y759" s="130"/>
      <c r="Z759" s="130"/>
      <c r="AA759" s="130"/>
      <c r="AB759" s="130"/>
      <c r="AC759" s="130"/>
      <c r="AD759" s="130"/>
      <c r="AE759" s="130"/>
      <c r="AF759" s="130"/>
      <c r="AG759" s="130"/>
      <c r="AH759" s="130"/>
      <c r="AI759" s="130"/>
      <c r="AJ759" s="130"/>
      <c r="AK759" s="130"/>
    </row>
    <row r="760">
      <c r="A760" s="130"/>
      <c r="B760" s="130"/>
      <c r="C760" s="143"/>
      <c r="D760" s="130"/>
      <c r="E760" s="143"/>
      <c r="F760" s="143"/>
      <c r="G760" s="143"/>
      <c r="H760" s="143"/>
      <c r="I760" s="143"/>
      <c r="J760" s="143"/>
      <c r="K760" s="143"/>
      <c r="L760" s="143"/>
      <c r="M760" s="143"/>
      <c r="N760" s="143"/>
      <c r="O760" s="143"/>
      <c r="P760" s="143"/>
      <c r="Q760" s="67"/>
      <c r="R760" s="144"/>
      <c r="S760" s="144"/>
      <c r="T760" s="143"/>
      <c r="U760" s="143"/>
      <c r="V760" s="143"/>
      <c r="W760" s="130"/>
      <c r="X760" s="130"/>
      <c r="Y760" s="130"/>
      <c r="Z760" s="130"/>
      <c r="AA760" s="130"/>
      <c r="AB760" s="130"/>
      <c r="AC760" s="130"/>
      <c r="AD760" s="130"/>
      <c r="AE760" s="130"/>
      <c r="AF760" s="130"/>
      <c r="AG760" s="130"/>
      <c r="AH760" s="130"/>
      <c r="AI760" s="130"/>
      <c r="AJ760" s="130"/>
      <c r="AK760" s="130"/>
    </row>
    <row r="761">
      <c r="A761" s="130"/>
      <c r="B761" s="130"/>
      <c r="C761" s="143"/>
      <c r="D761" s="130"/>
      <c r="E761" s="143"/>
      <c r="F761" s="143"/>
      <c r="G761" s="143"/>
      <c r="H761" s="143"/>
      <c r="I761" s="143"/>
      <c r="J761" s="143"/>
      <c r="K761" s="143"/>
      <c r="L761" s="143"/>
      <c r="M761" s="143"/>
      <c r="N761" s="143"/>
      <c r="O761" s="143"/>
      <c r="P761" s="143"/>
      <c r="Q761" s="67"/>
      <c r="R761" s="144"/>
      <c r="S761" s="144"/>
      <c r="T761" s="143"/>
      <c r="U761" s="143"/>
      <c r="V761" s="143"/>
      <c r="W761" s="130"/>
      <c r="X761" s="130"/>
      <c r="Y761" s="130"/>
      <c r="Z761" s="130"/>
      <c r="AA761" s="130"/>
      <c r="AB761" s="130"/>
      <c r="AC761" s="130"/>
      <c r="AD761" s="130"/>
      <c r="AE761" s="130"/>
      <c r="AF761" s="130"/>
      <c r="AG761" s="130"/>
      <c r="AH761" s="130"/>
      <c r="AI761" s="130"/>
      <c r="AJ761" s="130"/>
      <c r="AK761" s="130"/>
    </row>
    <row r="762">
      <c r="A762" s="130"/>
      <c r="B762" s="130"/>
      <c r="C762" s="143"/>
      <c r="D762" s="130"/>
      <c r="E762" s="143"/>
      <c r="F762" s="143"/>
      <c r="G762" s="143"/>
      <c r="H762" s="143"/>
      <c r="I762" s="143"/>
      <c r="J762" s="143"/>
      <c r="K762" s="143"/>
      <c r="L762" s="143"/>
      <c r="M762" s="143"/>
      <c r="N762" s="143"/>
      <c r="O762" s="143"/>
      <c r="P762" s="143"/>
      <c r="Q762" s="67"/>
      <c r="R762" s="144"/>
      <c r="S762" s="144"/>
      <c r="T762" s="143"/>
      <c r="U762" s="143"/>
      <c r="V762" s="143"/>
      <c r="W762" s="130"/>
      <c r="X762" s="130"/>
      <c r="Y762" s="130"/>
      <c r="Z762" s="130"/>
      <c r="AA762" s="130"/>
      <c r="AB762" s="130"/>
      <c r="AC762" s="130"/>
      <c r="AD762" s="130"/>
      <c r="AE762" s="130"/>
      <c r="AF762" s="130"/>
      <c r="AG762" s="130"/>
      <c r="AH762" s="130"/>
      <c r="AI762" s="130"/>
      <c r="AJ762" s="130"/>
      <c r="AK762" s="130"/>
    </row>
    <row r="763">
      <c r="A763" s="130"/>
      <c r="B763" s="130"/>
      <c r="C763" s="143"/>
      <c r="D763" s="130"/>
      <c r="E763" s="143"/>
      <c r="F763" s="143"/>
      <c r="G763" s="143"/>
      <c r="H763" s="143"/>
      <c r="I763" s="143"/>
      <c r="J763" s="143"/>
      <c r="K763" s="143"/>
      <c r="L763" s="143"/>
      <c r="M763" s="143"/>
      <c r="N763" s="143"/>
      <c r="O763" s="143"/>
      <c r="P763" s="143"/>
      <c r="Q763" s="67"/>
      <c r="R763" s="144"/>
      <c r="S763" s="144"/>
      <c r="T763" s="143"/>
      <c r="U763" s="143"/>
      <c r="V763" s="143"/>
      <c r="W763" s="130"/>
      <c r="X763" s="130"/>
      <c r="Y763" s="130"/>
      <c r="Z763" s="130"/>
      <c r="AA763" s="130"/>
      <c r="AB763" s="130"/>
      <c r="AC763" s="130"/>
      <c r="AD763" s="130"/>
      <c r="AE763" s="130"/>
      <c r="AF763" s="130"/>
      <c r="AG763" s="130"/>
      <c r="AH763" s="130"/>
      <c r="AI763" s="130"/>
      <c r="AJ763" s="130"/>
      <c r="AK763" s="130"/>
    </row>
    <row r="764">
      <c r="A764" s="130"/>
      <c r="B764" s="130"/>
      <c r="C764" s="143"/>
      <c r="D764" s="130"/>
      <c r="E764" s="143"/>
      <c r="F764" s="143"/>
      <c r="G764" s="143"/>
      <c r="H764" s="143"/>
      <c r="I764" s="143"/>
      <c r="J764" s="143"/>
      <c r="K764" s="143"/>
      <c r="L764" s="143"/>
      <c r="M764" s="143"/>
      <c r="N764" s="143"/>
      <c r="O764" s="143"/>
      <c r="P764" s="143"/>
      <c r="Q764" s="67"/>
      <c r="R764" s="144"/>
      <c r="S764" s="144"/>
      <c r="T764" s="143"/>
      <c r="U764" s="143"/>
      <c r="V764" s="143"/>
      <c r="W764" s="130"/>
      <c r="X764" s="130"/>
      <c r="Y764" s="130"/>
      <c r="Z764" s="130"/>
      <c r="AA764" s="130"/>
      <c r="AB764" s="130"/>
      <c r="AC764" s="130"/>
      <c r="AD764" s="130"/>
      <c r="AE764" s="130"/>
      <c r="AF764" s="130"/>
      <c r="AG764" s="130"/>
      <c r="AH764" s="130"/>
      <c r="AI764" s="130"/>
      <c r="AJ764" s="130"/>
      <c r="AK764" s="130"/>
    </row>
    <row r="765">
      <c r="A765" s="130"/>
      <c r="B765" s="130"/>
      <c r="C765" s="143"/>
      <c r="D765" s="130"/>
      <c r="E765" s="143"/>
      <c r="F765" s="143"/>
      <c r="G765" s="143"/>
      <c r="H765" s="143"/>
      <c r="I765" s="143"/>
      <c r="J765" s="143"/>
      <c r="K765" s="143"/>
      <c r="L765" s="143"/>
      <c r="M765" s="143"/>
      <c r="N765" s="143"/>
      <c r="O765" s="143"/>
      <c r="P765" s="143"/>
      <c r="Q765" s="67"/>
      <c r="R765" s="144"/>
      <c r="S765" s="144"/>
      <c r="T765" s="143"/>
      <c r="U765" s="143"/>
      <c r="V765" s="143"/>
      <c r="W765" s="130"/>
      <c r="X765" s="130"/>
      <c r="Y765" s="130"/>
      <c r="Z765" s="130"/>
      <c r="AA765" s="130"/>
      <c r="AB765" s="130"/>
      <c r="AC765" s="130"/>
      <c r="AD765" s="130"/>
      <c r="AE765" s="130"/>
      <c r="AF765" s="130"/>
      <c r="AG765" s="130"/>
      <c r="AH765" s="130"/>
      <c r="AI765" s="130"/>
      <c r="AJ765" s="130"/>
      <c r="AK765" s="130"/>
    </row>
    <row r="766">
      <c r="A766" s="130"/>
      <c r="B766" s="130"/>
      <c r="C766" s="143"/>
      <c r="D766" s="130"/>
      <c r="E766" s="143"/>
      <c r="F766" s="143"/>
      <c r="G766" s="143"/>
      <c r="H766" s="143"/>
      <c r="I766" s="143"/>
      <c r="J766" s="143"/>
      <c r="K766" s="143"/>
      <c r="L766" s="143"/>
      <c r="M766" s="143"/>
      <c r="N766" s="143"/>
      <c r="O766" s="143"/>
      <c r="P766" s="143"/>
      <c r="Q766" s="67"/>
      <c r="R766" s="144"/>
      <c r="S766" s="144"/>
      <c r="T766" s="143"/>
      <c r="U766" s="143"/>
      <c r="V766" s="143"/>
      <c r="W766" s="130"/>
      <c r="X766" s="130"/>
      <c r="Y766" s="130"/>
      <c r="Z766" s="130"/>
      <c r="AA766" s="130"/>
      <c r="AB766" s="130"/>
      <c r="AC766" s="130"/>
      <c r="AD766" s="130"/>
      <c r="AE766" s="130"/>
      <c r="AF766" s="130"/>
      <c r="AG766" s="130"/>
      <c r="AH766" s="130"/>
      <c r="AI766" s="130"/>
      <c r="AJ766" s="130"/>
      <c r="AK766" s="130"/>
    </row>
    <row r="767">
      <c r="A767" s="130"/>
      <c r="B767" s="130"/>
      <c r="C767" s="143"/>
      <c r="D767" s="130"/>
      <c r="E767" s="143"/>
      <c r="F767" s="143"/>
      <c r="G767" s="143"/>
      <c r="H767" s="143"/>
      <c r="I767" s="143"/>
      <c r="J767" s="143"/>
      <c r="K767" s="143"/>
      <c r="L767" s="143"/>
      <c r="M767" s="143"/>
      <c r="N767" s="143"/>
      <c r="O767" s="143"/>
      <c r="P767" s="143"/>
      <c r="Q767" s="67"/>
      <c r="R767" s="144"/>
      <c r="S767" s="144"/>
      <c r="T767" s="143"/>
      <c r="U767" s="143"/>
      <c r="V767" s="143"/>
      <c r="W767" s="130"/>
      <c r="X767" s="130"/>
      <c r="Y767" s="130"/>
      <c r="Z767" s="130"/>
      <c r="AA767" s="130"/>
      <c r="AB767" s="130"/>
      <c r="AC767" s="130"/>
      <c r="AD767" s="130"/>
      <c r="AE767" s="130"/>
      <c r="AF767" s="130"/>
      <c r="AG767" s="130"/>
      <c r="AH767" s="130"/>
      <c r="AI767" s="130"/>
      <c r="AJ767" s="130"/>
      <c r="AK767" s="130"/>
    </row>
    <row r="768">
      <c r="A768" s="130"/>
      <c r="B768" s="130"/>
      <c r="C768" s="143"/>
      <c r="D768" s="130"/>
      <c r="E768" s="143"/>
      <c r="F768" s="143"/>
      <c r="G768" s="143"/>
      <c r="H768" s="143"/>
      <c r="I768" s="143"/>
      <c r="J768" s="143"/>
      <c r="K768" s="143"/>
      <c r="L768" s="143"/>
      <c r="M768" s="143"/>
      <c r="N768" s="143"/>
      <c r="O768" s="143"/>
      <c r="P768" s="143"/>
      <c r="Q768" s="67"/>
      <c r="R768" s="144"/>
      <c r="S768" s="144"/>
      <c r="T768" s="143"/>
      <c r="U768" s="143"/>
      <c r="V768" s="143"/>
      <c r="W768" s="130"/>
      <c r="X768" s="130"/>
      <c r="Y768" s="130"/>
      <c r="Z768" s="130"/>
      <c r="AA768" s="130"/>
      <c r="AB768" s="130"/>
      <c r="AC768" s="130"/>
      <c r="AD768" s="130"/>
      <c r="AE768" s="130"/>
      <c r="AF768" s="130"/>
      <c r="AG768" s="130"/>
      <c r="AH768" s="130"/>
      <c r="AI768" s="130"/>
      <c r="AJ768" s="130"/>
      <c r="AK768" s="130"/>
    </row>
    <row r="769">
      <c r="A769" s="130"/>
      <c r="B769" s="130"/>
      <c r="C769" s="143"/>
      <c r="D769" s="130"/>
      <c r="E769" s="143"/>
      <c r="F769" s="143"/>
      <c r="G769" s="143"/>
      <c r="H769" s="143"/>
      <c r="I769" s="143"/>
      <c r="J769" s="143"/>
      <c r="K769" s="143"/>
      <c r="L769" s="143"/>
      <c r="M769" s="143"/>
      <c r="N769" s="143"/>
      <c r="O769" s="143"/>
      <c r="P769" s="143"/>
      <c r="Q769" s="67"/>
      <c r="R769" s="144"/>
      <c r="S769" s="144"/>
      <c r="T769" s="143"/>
      <c r="U769" s="143"/>
      <c r="V769" s="143"/>
      <c r="W769" s="130"/>
      <c r="X769" s="130"/>
      <c r="Y769" s="130"/>
      <c r="Z769" s="130"/>
      <c r="AA769" s="130"/>
      <c r="AB769" s="130"/>
      <c r="AC769" s="130"/>
      <c r="AD769" s="130"/>
      <c r="AE769" s="130"/>
      <c r="AF769" s="130"/>
      <c r="AG769" s="130"/>
      <c r="AH769" s="130"/>
      <c r="AI769" s="130"/>
      <c r="AJ769" s="130"/>
      <c r="AK769" s="130"/>
    </row>
    <row r="770">
      <c r="A770" s="130"/>
      <c r="B770" s="130"/>
      <c r="C770" s="143"/>
      <c r="D770" s="130"/>
      <c r="E770" s="143"/>
      <c r="F770" s="143"/>
      <c r="G770" s="143"/>
      <c r="H770" s="143"/>
      <c r="I770" s="143"/>
      <c r="J770" s="143"/>
      <c r="K770" s="143"/>
      <c r="L770" s="143"/>
      <c r="M770" s="143"/>
      <c r="N770" s="143"/>
      <c r="O770" s="143"/>
      <c r="P770" s="143"/>
      <c r="Q770" s="67"/>
      <c r="R770" s="144"/>
      <c r="S770" s="144"/>
      <c r="T770" s="143"/>
      <c r="U770" s="143"/>
      <c r="V770" s="143"/>
      <c r="W770" s="130"/>
      <c r="X770" s="130"/>
      <c r="Y770" s="130"/>
      <c r="Z770" s="130"/>
      <c r="AA770" s="130"/>
      <c r="AB770" s="130"/>
      <c r="AC770" s="130"/>
      <c r="AD770" s="130"/>
      <c r="AE770" s="130"/>
      <c r="AF770" s="130"/>
      <c r="AG770" s="130"/>
      <c r="AH770" s="130"/>
      <c r="AI770" s="130"/>
      <c r="AJ770" s="130"/>
      <c r="AK770" s="130"/>
    </row>
    <row r="771">
      <c r="A771" s="130"/>
      <c r="B771" s="130"/>
      <c r="C771" s="143"/>
      <c r="D771" s="130"/>
      <c r="E771" s="143"/>
      <c r="F771" s="143"/>
      <c r="G771" s="143"/>
      <c r="H771" s="143"/>
      <c r="I771" s="143"/>
      <c r="J771" s="143"/>
      <c r="K771" s="143"/>
      <c r="L771" s="143"/>
      <c r="M771" s="143"/>
      <c r="N771" s="143"/>
      <c r="O771" s="143"/>
      <c r="P771" s="143"/>
      <c r="Q771" s="67"/>
      <c r="R771" s="144"/>
      <c r="S771" s="144"/>
      <c r="T771" s="143"/>
      <c r="U771" s="143"/>
      <c r="V771" s="143"/>
      <c r="W771" s="130"/>
      <c r="X771" s="130"/>
      <c r="Y771" s="130"/>
      <c r="Z771" s="130"/>
      <c r="AA771" s="130"/>
      <c r="AB771" s="130"/>
      <c r="AC771" s="130"/>
      <c r="AD771" s="130"/>
      <c r="AE771" s="130"/>
      <c r="AF771" s="130"/>
      <c r="AG771" s="130"/>
      <c r="AH771" s="130"/>
      <c r="AI771" s="130"/>
      <c r="AJ771" s="130"/>
      <c r="AK771" s="130"/>
    </row>
    <row r="772">
      <c r="A772" s="130"/>
      <c r="B772" s="130"/>
      <c r="C772" s="143"/>
      <c r="D772" s="130"/>
      <c r="E772" s="143"/>
      <c r="F772" s="143"/>
      <c r="G772" s="143"/>
      <c r="H772" s="143"/>
      <c r="I772" s="143"/>
      <c r="J772" s="143"/>
      <c r="K772" s="143"/>
      <c r="L772" s="143"/>
      <c r="M772" s="143"/>
      <c r="N772" s="143"/>
      <c r="O772" s="143"/>
      <c r="P772" s="143"/>
      <c r="Q772" s="67"/>
      <c r="R772" s="144"/>
      <c r="S772" s="144"/>
      <c r="T772" s="143"/>
      <c r="U772" s="143"/>
      <c r="V772" s="143"/>
      <c r="W772" s="130"/>
      <c r="X772" s="130"/>
      <c r="Y772" s="130"/>
      <c r="Z772" s="130"/>
      <c r="AA772" s="130"/>
      <c r="AB772" s="130"/>
      <c r="AC772" s="130"/>
      <c r="AD772" s="130"/>
      <c r="AE772" s="130"/>
      <c r="AF772" s="130"/>
      <c r="AG772" s="130"/>
      <c r="AH772" s="130"/>
      <c r="AI772" s="130"/>
      <c r="AJ772" s="130"/>
      <c r="AK772" s="130"/>
    </row>
    <row r="773">
      <c r="A773" s="130"/>
      <c r="B773" s="130"/>
      <c r="C773" s="143"/>
      <c r="D773" s="130"/>
      <c r="E773" s="143"/>
      <c r="F773" s="143"/>
      <c r="G773" s="143"/>
      <c r="H773" s="143"/>
      <c r="I773" s="143"/>
      <c r="J773" s="143"/>
      <c r="K773" s="143"/>
      <c r="L773" s="143"/>
      <c r="M773" s="143"/>
      <c r="N773" s="143"/>
      <c r="O773" s="143"/>
      <c r="P773" s="143"/>
      <c r="Q773" s="67"/>
      <c r="R773" s="144"/>
      <c r="S773" s="144"/>
      <c r="T773" s="143"/>
      <c r="U773" s="143"/>
      <c r="V773" s="143"/>
      <c r="W773" s="130"/>
      <c r="X773" s="130"/>
      <c r="Y773" s="130"/>
      <c r="Z773" s="130"/>
      <c r="AA773" s="130"/>
      <c r="AB773" s="130"/>
      <c r="AC773" s="130"/>
      <c r="AD773" s="130"/>
      <c r="AE773" s="130"/>
      <c r="AF773" s="130"/>
      <c r="AG773" s="130"/>
      <c r="AH773" s="130"/>
      <c r="AI773" s="130"/>
      <c r="AJ773" s="130"/>
      <c r="AK773" s="130"/>
    </row>
    <row r="774">
      <c r="A774" s="130"/>
      <c r="B774" s="130"/>
      <c r="C774" s="143"/>
      <c r="D774" s="130"/>
      <c r="E774" s="143"/>
      <c r="F774" s="143"/>
      <c r="G774" s="143"/>
      <c r="H774" s="143"/>
      <c r="I774" s="143"/>
      <c r="J774" s="143"/>
      <c r="K774" s="143"/>
      <c r="L774" s="143"/>
      <c r="M774" s="143"/>
      <c r="N774" s="143"/>
      <c r="O774" s="143"/>
      <c r="P774" s="143"/>
      <c r="Q774" s="67"/>
      <c r="R774" s="144"/>
      <c r="S774" s="144"/>
      <c r="T774" s="143"/>
      <c r="U774" s="143"/>
      <c r="V774" s="143"/>
      <c r="W774" s="130"/>
      <c r="X774" s="130"/>
      <c r="Y774" s="130"/>
      <c r="Z774" s="130"/>
      <c r="AA774" s="130"/>
      <c r="AB774" s="130"/>
      <c r="AC774" s="130"/>
      <c r="AD774" s="130"/>
      <c r="AE774" s="130"/>
      <c r="AF774" s="130"/>
      <c r="AG774" s="130"/>
      <c r="AH774" s="130"/>
      <c r="AI774" s="130"/>
      <c r="AJ774" s="130"/>
      <c r="AK774" s="130"/>
    </row>
    <row r="775">
      <c r="A775" s="130"/>
      <c r="B775" s="130"/>
      <c r="C775" s="143"/>
      <c r="D775" s="130"/>
      <c r="E775" s="143"/>
      <c r="F775" s="143"/>
      <c r="G775" s="143"/>
      <c r="H775" s="143"/>
      <c r="I775" s="143"/>
      <c r="J775" s="143"/>
      <c r="K775" s="143"/>
      <c r="L775" s="143"/>
      <c r="M775" s="143"/>
      <c r="N775" s="143"/>
      <c r="O775" s="143"/>
      <c r="P775" s="143"/>
      <c r="Q775" s="67"/>
      <c r="R775" s="144"/>
      <c r="S775" s="144"/>
      <c r="T775" s="143"/>
      <c r="U775" s="143"/>
      <c r="V775" s="143"/>
      <c r="W775" s="130"/>
      <c r="X775" s="130"/>
      <c r="Y775" s="130"/>
      <c r="Z775" s="130"/>
      <c r="AA775" s="130"/>
      <c r="AB775" s="130"/>
      <c r="AC775" s="130"/>
      <c r="AD775" s="130"/>
      <c r="AE775" s="130"/>
      <c r="AF775" s="130"/>
      <c r="AG775" s="130"/>
      <c r="AH775" s="130"/>
      <c r="AI775" s="130"/>
      <c r="AJ775" s="130"/>
      <c r="AK775" s="130"/>
    </row>
    <row r="776">
      <c r="A776" s="130"/>
      <c r="B776" s="130"/>
      <c r="C776" s="143"/>
      <c r="D776" s="130"/>
      <c r="E776" s="143"/>
      <c r="F776" s="143"/>
      <c r="G776" s="143"/>
      <c r="H776" s="143"/>
      <c r="I776" s="143"/>
      <c r="J776" s="143"/>
      <c r="K776" s="143"/>
      <c r="L776" s="143"/>
      <c r="M776" s="143"/>
      <c r="N776" s="143"/>
      <c r="O776" s="143"/>
      <c r="P776" s="143"/>
      <c r="Q776" s="67"/>
      <c r="R776" s="144"/>
      <c r="S776" s="144"/>
      <c r="T776" s="143"/>
      <c r="U776" s="143"/>
      <c r="V776" s="143"/>
      <c r="W776" s="130"/>
      <c r="X776" s="130"/>
      <c r="Y776" s="130"/>
      <c r="Z776" s="130"/>
      <c r="AA776" s="130"/>
      <c r="AB776" s="130"/>
      <c r="AC776" s="130"/>
      <c r="AD776" s="130"/>
      <c r="AE776" s="130"/>
      <c r="AF776" s="130"/>
      <c r="AG776" s="130"/>
      <c r="AH776" s="130"/>
      <c r="AI776" s="130"/>
      <c r="AJ776" s="130"/>
      <c r="AK776" s="130"/>
    </row>
    <row r="777">
      <c r="A777" s="130"/>
      <c r="B777" s="130"/>
      <c r="C777" s="143"/>
      <c r="D777" s="130"/>
      <c r="E777" s="143"/>
      <c r="F777" s="143"/>
      <c r="G777" s="143"/>
      <c r="H777" s="143"/>
      <c r="I777" s="143"/>
      <c r="J777" s="143"/>
      <c r="K777" s="143"/>
      <c r="L777" s="143"/>
      <c r="M777" s="143"/>
      <c r="N777" s="143"/>
      <c r="O777" s="143"/>
      <c r="P777" s="143"/>
      <c r="Q777" s="67"/>
      <c r="R777" s="144"/>
      <c r="S777" s="144"/>
      <c r="T777" s="143"/>
      <c r="U777" s="143"/>
      <c r="V777" s="143"/>
      <c r="W777" s="130"/>
      <c r="X777" s="130"/>
      <c r="Y777" s="130"/>
      <c r="Z777" s="130"/>
      <c r="AA777" s="130"/>
      <c r="AB777" s="130"/>
      <c r="AC777" s="130"/>
      <c r="AD777" s="130"/>
      <c r="AE777" s="130"/>
      <c r="AF777" s="130"/>
      <c r="AG777" s="130"/>
      <c r="AH777" s="130"/>
      <c r="AI777" s="130"/>
      <c r="AJ777" s="130"/>
      <c r="AK777" s="130"/>
    </row>
    <row r="778">
      <c r="A778" s="130"/>
      <c r="B778" s="130"/>
      <c r="C778" s="143"/>
      <c r="D778" s="130"/>
      <c r="E778" s="143"/>
      <c r="F778" s="143"/>
      <c r="G778" s="143"/>
      <c r="H778" s="143"/>
      <c r="I778" s="143"/>
      <c r="J778" s="143"/>
      <c r="K778" s="143"/>
      <c r="L778" s="143"/>
      <c r="M778" s="143"/>
      <c r="N778" s="143"/>
      <c r="O778" s="143"/>
      <c r="P778" s="143"/>
      <c r="Q778" s="67"/>
      <c r="R778" s="144"/>
      <c r="S778" s="144"/>
      <c r="T778" s="143"/>
      <c r="U778" s="143"/>
      <c r="V778" s="143"/>
      <c r="W778" s="130"/>
      <c r="X778" s="130"/>
      <c r="Y778" s="130"/>
      <c r="Z778" s="130"/>
      <c r="AA778" s="130"/>
      <c r="AB778" s="130"/>
      <c r="AC778" s="130"/>
      <c r="AD778" s="130"/>
      <c r="AE778" s="130"/>
      <c r="AF778" s="130"/>
      <c r="AG778" s="130"/>
      <c r="AH778" s="130"/>
      <c r="AI778" s="130"/>
      <c r="AJ778" s="130"/>
      <c r="AK778" s="130"/>
    </row>
    <row r="779">
      <c r="A779" s="130"/>
      <c r="B779" s="130"/>
      <c r="C779" s="143"/>
      <c r="D779" s="130"/>
      <c r="E779" s="143"/>
      <c r="F779" s="143"/>
      <c r="G779" s="143"/>
      <c r="H779" s="143"/>
      <c r="I779" s="143"/>
      <c r="J779" s="143"/>
      <c r="K779" s="143"/>
      <c r="L779" s="143"/>
      <c r="M779" s="143"/>
      <c r="N779" s="143"/>
      <c r="O779" s="143"/>
      <c r="P779" s="143"/>
      <c r="Q779" s="67"/>
      <c r="R779" s="144"/>
      <c r="S779" s="144"/>
      <c r="T779" s="143"/>
      <c r="U779" s="143"/>
      <c r="V779" s="143"/>
      <c r="W779" s="130"/>
      <c r="X779" s="130"/>
      <c r="Y779" s="130"/>
      <c r="Z779" s="130"/>
      <c r="AA779" s="130"/>
      <c r="AB779" s="130"/>
      <c r="AC779" s="130"/>
      <c r="AD779" s="130"/>
      <c r="AE779" s="130"/>
      <c r="AF779" s="130"/>
      <c r="AG779" s="130"/>
      <c r="AH779" s="130"/>
      <c r="AI779" s="130"/>
      <c r="AJ779" s="130"/>
      <c r="AK779" s="130"/>
    </row>
    <row r="780">
      <c r="A780" s="130"/>
      <c r="B780" s="130"/>
      <c r="C780" s="143"/>
      <c r="D780" s="130"/>
      <c r="E780" s="143"/>
      <c r="F780" s="143"/>
      <c r="G780" s="143"/>
      <c r="H780" s="143"/>
      <c r="I780" s="143"/>
      <c r="J780" s="143"/>
      <c r="K780" s="143"/>
      <c r="L780" s="143"/>
      <c r="M780" s="143"/>
      <c r="N780" s="143"/>
      <c r="O780" s="143"/>
      <c r="P780" s="143"/>
      <c r="Q780" s="67"/>
      <c r="R780" s="144"/>
      <c r="S780" s="144"/>
      <c r="T780" s="143"/>
      <c r="U780" s="143"/>
      <c r="V780" s="143"/>
      <c r="W780" s="130"/>
      <c r="X780" s="130"/>
      <c r="Y780" s="130"/>
      <c r="Z780" s="130"/>
      <c r="AA780" s="130"/>
      <c r="AB780" s="130"/>
      <c r="AC780" s="130"/>
      <c r="AD780" s="130"/>
      <c r="AE780" s="130"/>
      <c r="AF780" s="130"/>
      <c r="AG780" s="130"/>
      <c r="AH780" s="130"/>
      <c r="AI780" s="130"/>
      <c r="AJ780" s="130"/>
      <c r="AK780" s="130"/>
    </row>
    <row r="781">
      <c r="A781" s="130"/>
      <c r="B781" s="130"/>
      <c r="C781" s="143"/>
      <c r="D781" s="130"/>
      <c r="E781" s="143"/>
      <c r="F781" s="143"/>
      <c r="G781" s="143"/>
      <c r="H781" s="143"/>
      <c r="I781" s="143"/>
      <c r="J781" s="143"/>
      <c r="K781" s="143"/>
      <c r="L781" s="143"/>
      <c r="M781" s="143"/>
      <c r="N781" s="143"/>
      <c r="O781" s="143"/>
      <c r="P781" s="143"/>
      <c r="Q781" s="67"/>
      <c r="R781" s="144"/>
      <c r="S781" s="144"/>
      <c r="T781" s="143"/>
      <c r="U781" s="143"/>
      <c r="V781" s="143"/>
      <c r="W781" s="130"/>
      <c r="X781" s="130"/>
      <c r="Y781" s="130"/>
      <c r="Z781" s="130"/>
      <c r="AA781" s="130"/>
      <c r="AB781" s="130"/>
      <c r="AC781" s="130"/>
      <c r="AD781" s="130"/>
      <c r="AE781" s="130"/>
      <c r="AF781" s="130"/>
      <c r="AG781" s="130"/>
      <c r="AH781" s="130"/>
      <c r="AI781" s="130"/>
      <c r="AJ781" s="130"/>
      <c r="AK781" s="130"/>
    </row>
    <row r="782">
      <c r="A782" s="130"/>
      <c r="B782" s="130"/>
      <c r="C782" s="143"/>
      <c r="D782" s="130"/>
      <c r="E782" s="143"/>
      <c r="F782" s="143"/>
      <c r="G782" s="143"/>
      <c r="H782" s="143"/>
      <c r="I782" s="143"/>
      <c r="J782" s="143"/>
      <c r="K782" s="143"/>
      <c r="L782" s="143"/>
      <c r="M782" s="143"/>
      <c r="N782" s="143"/>
      <c r="O782" s="143"/>
      <c r="P782" s="143"/>
      <c r="Q782" s="67"/>
      <c r="R782" s="144"/>
      <c r="S782" s="144"/>
      <c r="T782" s="143"/>
      <c r="U782" s="143"/>
      <c r="V782" s="143"/>
      <c r="W782" s="130"/>
      <c r="X782" s="130"/>
      <c r="Y782" s="130"/>
      <c r="Z782" s="130"/>
      <c r="AA782" s="130"/>
      <c r="AB782" s="130"/>
      <c r="AC782" s="130"/>
      <c r="AD782" s="130"/>
      <c r="AE782" s="130"/>
      <c r="AF782" s="130"/>
      <c r="AG782" s="130"/>
      <c r="AH782" s="130"/>
      <c r="AI782" s="130"/>
      <c r="AJ782" s="130"/>
      <c r="AK782" s="130"/>
    </row>
    <row r="783">
      <c r="A783" s="130"/>
      <c r="B783" s="130"/>
      <c r="C783" s="143"/>
      <c r="D783" s="130"/>
      <c r="E783" s="143"/>
      <c r="F783" s="143"/>
      <c r="G783" s="143"/>
      <c r="H783" s="143"/>
      <c r="I783" s="143"/>
      <c r="J783" s="143"/>
      <c r="K783" s="143"/>
      <c r="L783" s="143"/>
      <c r="M783" s="143"/>
      <c r="N783" s="143"/>
      <c r="O783" s="143"/>
      <c r="P783" s="143"/>
      <c r="Q783" s="67"/>
      <c r="R783" s="144"/>
      <c r="S783" s="144"/>
      <c r="T783" s="143"/>
      <c r="U783" s="143"/>
      <c r="V783" s="143"/>
      <c r="W783" s="130"/>
      <c r="X783" s="130"/>
      <c r="Y783" s="130"/>
      <c r="Z783" s="130"/>
      <c r="AA783" s="130"/>
      <c r="AB783" s="130"/>
      <c r="AC783" s="130"/>
      <c r="AD783" s="130"/>
      <c r="AE783" s="130"/>
      <c r="AF783" s="130"/>
      <c r="AG783" s="130"/>
      <c r="AH783" s="130"/>
      <c r="AI783" s="130"/>
      <c r="AJ783" s="130"/>
      <c r="AK783" s="130"/>
    </row>
    <row r="784">
      <c r="A784" s="130"/>
      <c r="B784" s="130"/>
      <c r="C784" s="143"/>
      <c r="D784" s="130"/>
      <c r="E784" s="143"/>
      <c r="F784" s="143"/>
      <c r="G784" s="143"/>
      <c r="H784" s="143"/>
      <c r="I784" s="143"/>
      <c r="J784" s="143"/>
      <c r="K784" s="143"/>
      <c r="L784" s="143"/>
      <c r="M784" s="143"/>
      <c r="N784" s="143"/>
      <c r="O784" s="143"/>
      <c r="P784" s="143"/>
      <c r="Q784" s="67"/>
      <c r="R784" s="144"/>
      <c r="S784" s="144"/>
      <c r="T784" s="143"/>
      <c r="U784" s="143"/>
      <c r="V784" s="143"/>
      <c r="W784" s="130"/>
      <c r="X784" s="130"/>
      <c r="Y784" s="130"/>
      <c r="Z784" s="130"/>
      <c r="AA784" s="130"/>
      <c r="AB784" s="130"/>
      <c r="AC784" s="130"/>
      <c r="AD784" s="130"/>
      <c r="AE784" s="130"/>
      <c r="AF784" s="130"/>
      <c r="AG784" s="130"/>
      <c r="AH784" s="130"/>
      <c r="AI784" s="130"/>
      <c r="AJ784" s="130"/>
      <c r="AK784" s="130"/>
    </row>
    <row r="785">
      <c r="A785" s="130"/>
      <c r="B785" s="130"/>
      <c r="C785" s="143"/>
      <c r="D785" s="130"/>
      <c r="E785" s="143"/>
      <c r="F785" s="143"/>
      <c r="G785" s="143"/>
      <c r="H785" s="143"/>
      <c r="I785" s="143"/>
      <c r="J785" s="143"/>
      <c r="K785" s="143"/>
      <c r="L785" s="143"/>
      <c r="M785" s="143"/>
      <c r="N785" s="143"/>
      <c r="O785" s="143"/>
      <c r="P785" s="143"/>
      <c r="Q785" s="67"/>
      <c r="R785" s="144"/>
      <c r="S785" s="144"/>
      <c r="T785" s="143"/>
      <c r="U785" s="143"/>
      <c r="V785" s="143"/>
      <c r="W785" s="130"/>
      <c r="X785" s="130"/>
      <c r="Y785" s="130"/>
      <c r="Z785" s="130"/>
      <c r="AA785" s="130"/>
      <c r="AB785" s="130"/>
      <c r="AC785" s="130"/>
      <c r="AD785" s="130"/>
      <c r="AE785" s="130"/>
      <c r="AF785" s="130"/>
      <c r="AG785" s="130"/>
      <c r="AH785" s="130"/>
      <c r="AI785" s="130"/>
      <c r="AJ785" s="130"/>
      <c r="AK785" s="130"/>
    </row>
    <row r="786">
      <c r="A786" s="130"/>
      <c r="B786" s="130"/>
      <c r="C786" s="143"/>
      <c r="D786" s="130"/>
      <c r="E786" s="143"/>
      <c r="F786" s="143"/>
      <c r="G786" s="143"/>
      <c r="H786" s="143"/>
      <c r="I786" s="143"/>
      <c r="J786" s="143"/>
      <c r="K786" s="143"/>
      <c r="L786" s="143"/>
      <c r="M786" s="143"/>
      <c r="N786" s="143"/>
      <c r="O786" s="143"/>
      <c r="P786" s="143"/>
      <c r="Q786" s="67"/>
      <c r="R786" s="144"/>
      <c r="S786" s="144"/>
      <c r="T786" s="143"/>
      <c r="U786" s="143"/>
      <c r="V786" s="143"/>
      <c r="W786" s="130"/>
      <c r="X786" s="130"/>
      <c r="Y786" s="130"/>
      <c r="Z786" s="130"/>
      <c r="AA786" s="130"/>
      <c r="AB786" s="130"/>
      <c r="AC786" s="130"/>
      <c r="AD786" s="130"/>
      <c r="AE786" s="130"/>
      <c r="AF786" s="130"/>
      <c r="AG786" s="130"/>
      <c r="AH786" s="130"/>
      <c r="AI786" s="130"/>
      <c r="AJ786" s="130"/>
      <c r="AK786" s="130"/>
    </row>
    <row r="787">
      <c r="A787" s="130"/>
      <c r="B787" s="130"/>
      <c r="C787" s="143"/>
      <c r="D787" s="130"/>
      <c r="E787" s="143"/>
      <c r="F787" s="143"/>
      <c r="G787" s="143"/>
      <c r="H787" s="143"/>
      <c r="I787" s="143"/>
      <c r="J787" s="143"/>
      <c r="K787" s="143"/>
      <c r="L787" s="143"/>
      <c r="M787" s="143"/>
      <c r="N787" s="143"/>
      <c r="O787" s="143"/>
      <c r="P787" s="143"/>
      <c r="Q787" s="67"/>
      <c r="R787" s="144"/>
      <c r="S787" s="144"/>
      <c r="T787" s="143"/>
      <c r="U787" s="143"/>
      <c r="V787" s="143"/>
      <c r="W787" s="130"/>
      <c r="X787" s="130"/>
      <c r="Y787" s="130"/>
      <c r="Z787" s="130"/>
      <c r="AA787" s="130"/>
      <c r="AB787" s="130"/>
      <c r="AC787" s="130"/>
      <c r="AD787" s="130"/>
      <c r="AE787" s="130"/>
      <c r="AF787" s="130"/>
      <c r="AG787" s="130"/>
      <c r="AH787" s="130"/>
      <c r="AI787" s="130"/>
      <c r="AJ787" s="130"/>
      <c r="AK787" s="130"/>
    </row>
    <row r="788">
      <c r="A788" s="130"/>
      <c r="B788" s="130"/>
      <c r="C788" s="143"/>
      <c r="D788" s="130"/>
      <c r="E788" s="143"/>
      <c r="F788" s="143"/>
      <c r="G788" s="143"/>
      <c r="H788" s="143"/>
      <c r="I788" s="143"/>
      <c r="J788" s="143"/>
      <c r="K788" s="143"/>
      <c r="L788" s="143"/>
      <c r="M788" s="143"/>
      <c r="N788" s="143"/>
      <c r="O788" s="143"/>
      <c r="P788" s="143"/>
      <c r="Q788" s="67"/>
      <c r="R788" s="144"/>
      <c r="S788" s="144"/>
      <c r="T788" s="143"/>
      <c r="U788" s="143"/>
      <c r="V788" s="143"/>
      <c r="W788" s="130"/>
      <c r="X788" s="130"/>
      <c r="Y788" s="130"/>
      <c r="Z788" s="130"/>
      <c r="AA788" s="130"/>
      <c r="AB788" s="130"/>
      <c r="AC788" s="130"/>
      <c r="AD788" s="130"/>
      <c r="AE788" s="130"/>
      <c r="AF788" s="130"/>
      <c r="AG788" s="130"/>
      <c r="AH788" s="130"/>
      <c r="AI788" s="130"/>
      <c r="AJ788" s="130"/>
      <c r="AK788" s="130"/>
    </row>
    <row r="789">
      <c r="A789" s="130"/>
      <c r="B789" s="130"/>
      <c r="C789" s="143"/>
      <c r="D789" s="130"/>
      <c r="E789" s="143"/>
      <c r="F789" s="143"/>
      <c r="G789" s="143"/>
      <c r="H789" s="143"/>
      <c r="I789" s="143"/>
      <c r="J789" s="143"/>
      <c r="K789" s="143"/>
      <c r="L789" s="143"/>
      <c r="M789" s="143"/>
      <c r="N789" s="143"/>
      <c r="O789" s="143"/>
      <c r="P789" s="143"/>
      <c r="Q789" s="67"/>
      <c r="R789" s="144"/>
      <c r="S789" s="144"/>
      <c r="T789" s="143"/>
      <c r="U789" s="143"/>
      <c r="V789" s="143"/>
      <c r="W789" s="130"/>
      <c r="X789" s="130"/>
      <c r="Y789" s="130"/>
      <c r="Z789" s="130"/>
      <c r="AA789" s="130"/>
      <c r="AB789" s="130"/>
      <c r="AC789" s="130"/>
      <c r="AD789" s="130"/>
      <c r="AE789" s="130"/>
      <c r="AF789" s="130"/>
      <c r="AG789" s="130"/>
      <c r="AH789" s="130"/>
      <c r="AI789" s="130"/>
      <c r="AJ789" s="130"/>
      <c r="AK789" s="130"/>
    </row>
    <row r="790">
      <c r="A790" s="130"/>
      <c r="B790" s="130"/>
      <c r="C790" s="143"/>
      <c r="D790" s="130"/>
      <c r="E790" s="143"/>
      <c r="F790" s="143"/>
      <c r="G790" s="143"/>
      <c r="H790" s="143"/>
      <c r="I790" s="143"/>
      <c r="J790" s="143"/>
      <c r="K790" s="143"/>
      <c r="L790" s="143"/>
      <c r="M790" s="143"/>
      <c r="N790" s="143"/>
      <c r="O790" s="143"/>
      <c r="P790" s="143"/>
      <c r="Q790" s="67"/>
      <c r="R790" s="144"/>
      <c r="S790" s="144"/>
      <c r="T790" s="143"/>
      <c r="U790" s="143"/>
      <c r="V790" s="143"/>
      <c r="W790" s="130"/>
      <c r="X790" s="130"/>
      <c r="Y790" s="130"/>
      <c r="Z790" s="130"/>
      <c r="AA790" s="130"/>
      <c r="AB790" s="130"/>
      <c r="AC790" s="130"/>
      <c r="AD790" s="130"/>
      <c r="AE790" s="130"/>
      <c r="AF790" s="130"/>
      <c r="AG790" s="130"/>
      <c r="AH790" s="130"/>
      <c r="AI790" s="130"/>
      <c r="AJ790" s="130"/>
      <c r="AK790" s="130"/>
    </row>
    <row r="791">
      <c r="A791" s="130"/>
      <c r="B791" s="130"/>
      <c r="C791" s="143"/>
      <c r="D791" s="130"/>
      <c r="E791" s="143"/>
      <c r="F791" s="143"/>
      <c r="G791" s="143"/>
      <c r="H791" s="143"/>
      <c r="I791" s="143"/>
      <c r="J791" s="143"/>
      <c r="K791" s="143"/>
      <c r="L791" s="143"/>
      <c r="M791" s="143"/>
      <c r="N791" s="143"/>
      <c r="O791" s="143"/>
      <c r="P791" s="143"/>
      <c r="Q791" s="67"/>
      <c r="R791" s="144"/>
      <c r="S791" s="144"/>
      <c r="T791" s="143"/>
      <c r="U791" s="143"/>
      <c r="V791" s="143"/>
      <c r="W791" s="130"/>
      <c r="X791" s="130"/>
      <c r="Y791" s="130"/>
      <c r="Z791" s="130"/>
      <c r="AA791" s="130"/>
      <c r="AB791" s="130"/>
      <c r="AC791" s="130"/>
      <c r="AD791" s="130"/>
      <c r="AE791" s="130"/>
      <c r="AF791" s="130"/>
      <c r="AG791" s="130"/>
      <c r="AH791" s="130"/>
      <c r="AI791" s="130"/>
      <c r="AJ791" s="130"/>
      <c r="AK791" s="130"/>
    </row>
    <row r="792">
      <c r="A792" s="130"/>
      <c r="B792" s="130"/>
      <c r="C792" s="143"/>
      <c r="D792" s="130"/>
      <c r="E792" s="143"/>
      <c r="F792" s="143"/>
      <c r="G792" s="143"/>
      <c r="H792" s="143"/>
      <c r="I792" s="143"/>
      <c r="J792" s="143"/>
      <c r="K792" s="143"/>
      <c r="L792" s="143"/>
      <c r="M792" s="143"/>
      <c r="N792" s="143"/>
      <c r="O792" s="143"/>
      <c r="P792" s="143"/>
      <c r="Q792" s="67"/>
      <c r="R792" s="144"/>
      <c r="S792" s="144"/>
      <c r="T792" s="143"/>
      <c r="U792" s="143"/>
      <c r="V792" s="143"/>
      <c r="W792" s="130"/>
      <c r="X792" s="130"/>
      <c r="Y792" s="130"/>
      <c r="Z792" s="130"/>
      <c r="AA792" s="130"/>
      <c r="AB792" s="130"/>
      <c r="AC792" s="130"/>
      <c r="AD792" s="130"/>
      <c r="AE792" s="130"/>
      <c r="AF792" s="130"/>
      <c r="AG792" s="130"/>
      <c r="AH792" s="130"/>
      <c r="AI792" s="130"/>
      <c r="AJ792" s="130"/>
      <c r="AK792" s="130"/>
    </row>
    <row r="793">
      <c r="A793" s="130"/>
      <c r="B793" s="130"/>
      <c r="C793" s="143"/>
      <c r="D793" s="130"/>
      <c r="E793" s="143"/>
      <c r="F793" s="143"/>
      <c r="G793" s="143"/>
      <c r="H793" s="143"/>
      <c r="I793" s="143"/>
      <c r="J793" s="143"/>
      <c r="K793" s="143"/>
      <c r="L793" s="143"/>
      <c r="M793" s="143"/>
      <c r="N793" s="143"/>
      <c r="O793" s="143"/>
      <c r="P793" s="143"/>
      <c r="Q793" s="67"/>
      <c r="R793" s="144"/>
      <c r="S793" s="144"/>
      <c r="T793" s="143"/>
      <c r="U793" s="143"/>
      <c r="V793" s="143"/>
      <c r="W793" s="130"/>
      <c r="X793" s="130"/>
      <c r="Y793" s="130"/>
      <c r="Z793" s="130"/>
      <c r="AA793" s="130"/>
      <c r="AB793" s="130"/>
      <c r="AC793" s="130"/>
      <c r="AD793" s="130"/>
      <c r="AE793" s="130"/>
      <c r="AF793" s="130"/>
      <c r="AG793" s="130"/>
      <c r="AH793" s="130"/>
      <c r="AI793" s="130"/>
      <c r="AJ793" s="130"/>
      <c r="AK793" s="130"/>
    </row>
    <row r="794">
      <c r="A794" s="130"/>
      <c r="B794" s="130"/>
      <c r="C794" s="143"/>
      <c r="D794" s="130"/>
      <c r="E794" s="143"/>
      <c r="F794" s="143"/>
      <c r="G794" s="143"/>
      <c r="H794" s="143"/>
      <c r="I794" s="143"/>
      <c r="J794" s="143"/>
      <c r="K794" s="143"/>
      <c r="L794" s="143"/>
      <c r="M794" s="143"/>
      <c r="N794" s="143"/>
      <c r="O794" s="143"/>
      <c r="P794" s="143"/>
      <c r="Q794" s="67"/>
      <c r="R794" s="144"/>
      <c r="S794" s="144"/>
      <c r="T794" s="143"/>
      <c r="U794" s="143"/>
      <c r="V794" s="143"/>
      <c r="W794" s="130"/>
      <c r="X794" s="130"/>
      <c r="Y794" s="130"/>
      <c r="Z794" s="130"/>
      <c r="AA794" s="130"/>
      <c r="AB794" s="130"/>
      <c r="AC794" s="130"/>
      <c r="AD794" s="130"/>
      <c r="AE794" s="130"/>
      <c r="AF794" s="130"/>
      <c r="AG794" s="130"/>
      <c r="AH794" s="130"/>
      <c r="AI794" s="130"/>
      <c r="AJ794" s="130"/>
      <c r="AK794" s="130"/>
    </row>
    <row r="795">
      <c r="A795" s="130"/>
      <c r="B795" s="130"/>
      <c r="C795" s="143"/>
      <c r="D795" s="130"/>
      <c r="E795" s="143"/>
      <c r="F795" s="143"/>
      <c r="G795" s="143"/>
      <c r="H795" s="143"/>
      <c r="I795" s="143"/>
      <c r="J795" s="143"/>
      <c r="K795" s="143"/>
      <c r="L795" s="143"/>
      <c r="M795" s="143"/>
      <c r="N795" s="143"/>
      <c r="O795" s="143"/>
      <c r="P795" s="143"/>
      <c r="Q795" s="67"/>
      <c r="R795" s="144"/>
      <c r="S795" s="144"/>
      <c r="T795" s="143"/>
      <c r="U795" s="143"/>
      <c r="V795" s="143"/>
      <c r="W795" s="130"/>
      <c r="X795" s="130"/>
      <c r="Y795" s="130"/>
      <c r="Z795" s="130"/>
      <c r="AA795" s="130"/>
      <c r="AB795" s="130"/>
      <c r="AC795" s="130"/>
      <c r="AD795" s="130"/>
      <c r="AE795" s="130"/>
      <c r="AF795" s="130"/>
      <c r="AG795" s="130"/>
      <c r="AH795" s="130"/>
      <c r="AI795" s="130"/>
      <c r="AJ795" s="130"/>
      <c r="AK795" s="130"/>
    </row>
    <row r="796">
      <c r="A796" s="130"/>
      <c r="B796" s="130"/>
      <c r="C796" s="143"/>
      <c r="D796" s="130"/>
      <c r="E796" s="143"/>
      <c r="F796" s="143"/>
      <c r="G796" s="143"/>
      <c r="H796" s="143"/>
      <c r="I796" s="143"/>
      <c r="J796" s="143"/>
      <c r="K796" s="143"/>
      <c r="L796" s="143"/>
      <c r="M796" s="143"/>
      <c r="N796" s="143"/>
      <c r="O796" s="143"/>
      <c r="P796" s="143"/>
      <c r="Q796" s="67"/>
      <c r="R796" s="144"/>
      <c r="S796" s="144"/>
      <c r="T796" s="143"/>
      <c r="U796" s="143"/>
      <c r="V796" s="143"/>
      <c r="W796" s="130"/>
      <c r="X796" s="130"/>
      <c r="Y796" s="130"/>
      <c r="Z796" s="130"/>
      <c r="AA796" s="130"/>
      <c r="AB796" s="130"/>
      <c r="AC796" s="130"/>
      <c r="AD796" s="130"/>
      <c r="AE796" s="130"/>
      <c r="AF796" s="130"/>
      <c r="AG796" s="130"/>
      <c r="AH796" s="130"/>
      <c r="AI796" s="130"/>
      <c r="AJ796" s="130"/>
      <c r="AK796" s="130"/>
    </row>
    <row r="797">
      <c r="A797" s="130"/>
      <c r="B797" s="130"/>
      <c r="C797" s="143"/>
      <c r="D797" s="130"/>
      <c r="E797" s="143"/>
      <c r="F797" s="143"/>
      <c r="G797" s="143"/>
      <c r="H797" s="143"/>
      <c r="I797" s="143"/>
      <c r="J797" s="143"/>
      <c r="K797" s="143"/>
      <c r="L797" s="143"/>
      <c r="M797" s="143"/>
      <c r="N797" s="143"/>
      <c r="O797" s="143"/>
      <c r="P797" s="143"/>
      <c r="Q797" s="67"/>
      <c r="R797" s="144"/>
      <c r="S797" s="144"/>
      <c r="T797" s="143"/>
      <c r="U797" s="143"/>
      <c r="V797" s="143"/>
      <c r="W797" s="130"/>
      <c r="X797" s="130"/>
      <c r="Y797" s="130"/>
      <c r="Z797" s="130"/>
      <c r="AA797" s="130"/>
      <c r="AB797" s="130"/>
      <c r="AC797" s="130"/>
      <c r="AD797" s="130"/>
      <c r="AE797" s="130"/>
      <c r="AF797" s="130"/>
      <c r="AG797" s="130"/>
      <c r="AH797" s="130"/>
      <c r="AI797" s="130"/>
      <c r="AJ797" s="130"/>
      <c r="AK797" s="130"/>
    </row>
    <row r="798">
      <c r="A798" s="130"/>
      <c r="B798" s="130"/>
      <c r="C798" s="143"/>
      <c r="D798" s="130"/>
      <c r="E798" s="143"/>
      <c r="F798" s="143"/>
      <c r="G798" s="143"/>
      <c r="H798" s="143"/>
      <c r="I798" s="143"/>
      <c r="J798" s="143"/>
      <c r="K798" s="143"/>
      <c r="L798" s="143"/>
      <c r="M798" s="143"/>
      <c r="N798" s="143"/>
      <c r="O798" s="143"/>
      <c r="P798" s="143"/>
      <c r="Q798" s="67"/>
      <c r="R798" s="144"/>
      <c r="S798" s="144"/>
      <c r="T798" s="143"/>
      <c r="U798" s="143"/>
      <c r="V798" s="143"/>
      <c r="W798" s="130"/>
      <c r="X798" s="130"/>
      <c r="Y798" s="130"/>
      <c r="Z798" s="130"/>
      <c r="AA798" s="130"/>
      <c r="AB798" s="130"/>
      <c r="AC798" s="130"/>
      <c r="AD798" s="130"/>
      <c r="AE798" s="130"/>
      <c r="AF798" s="130"/>
      <c r="AG798" s="130"/>
      <c r="AH798" s="130"/>
      <c r="AI798" s="130"/>
      <c r="AJ798" s="130"/>
      <c r="AK798" s="130"/>
    </row>
    <row r="799">
      <c r="A799" s="130"/>
      <c r="B799" s="130"/>
      <c r="C799" s="143"/>
      <c r="D799" s="130"/>
      <c r="E799" s="143"/>
      <c r="F799" s="143"/>
      <c r="G799" s="143"/>
      <c r="H799" s="143"/>
      <c r="I799" s="143"/>
      <c r="J799" s="143"/>
      <c r="K799" s="143"/>
      <c r="L799" s="143"/>
      <c r="M799" s="143"/>
      <c r="N799" s="143"/>
      <c r="O799" s="143"/>
      <c r="P799" s="143"/>
      <c r="Q799" s="67"/>
      <c r="R799" s="144"/>
      <c r="S799" s="144"/>
      <c r="T799" s="143"/>
      <c r="U799" s="143"/>
      <c r="V799" s="143"/>
      <c r="W799" s="130"/>
      <c r="X799" s="130"/>
      <c r="Y799" s="130"/>
      <c r="Z799" s="130"/>
      <c r="AA799" s="130"/>
      <c r="AB799" s="130"/>
      <c r="AC799" s="130"/>
      <c r="AD799" s="130"/>
      <c r="AE799" s="130"/>
      <c r="AF799" s="130"/>
      <c r="AG799" s="130"/>
      <c r="AH799" s="130"/>
      <c r="AI799" s="130"/>
      <c r="AJ799" s="130"/>
      <c r="AK799" s="130"/>
    </row>
    <row r="800">
      <c r="A800" s="130"/>
      <c r="B800" s="130"/>
      <c r="C800" s="143"/>
      <c r="D800" s="130"/>
      <c r="E800" s="143"/>
      <c r="F800" s="143"/>
      <c r="G800" s="143"/>
      <c r="H800" s="143"/>
      <c r="I800" s="143"/>
      <c r="J800" s="143"/>
      <c r="K800" s="143"/>
      <c r="L800" s="143"/>
      <c r="M800" s="143"/>
      <c r="N800" s="143"/>
      <c r="O800" s="143"/>
      <c r="P800" s="143"/>
      <c r="Q800" s="67"/>
      <c r="R800" s="144"/>
      <c r="S800" s="144"/>
      <c r="T800" s="143"/>
      <c r="U800" s="143"/>
      <c r="V800" s="143"/>
      <c r="W800" s="130"/>
      <c r="X800" s="130"/>
      <c r="Y800" s="130"/>
      <c r="Z800" s="130"/>
      <c r="AA800" s="130"/>
      <c r="AB800" s="130"/>
      <c r="AC800" s="130"/>
      <c r="AD800" s="130"/>
      <c r="AE800" s="130"/>
      <c r="AF800" s="130"/>
      <c r="AG800" s="130"/>
      <c r="AH800" s="130"/>
      <c r="AI800" s="130"/>
      <c r="AJ800" s="130"/>
      <c r="AK800" s="130"/>
    </row>
    <row r="801">
      <c r="A801" s="130"/>
      <c r="B801" s="130"/>
      <c r="C801" s="143"/>
      <c r="D801" s="130"/>
      <c r="E801" s="143"/>
      <c r="F801" s="143"/>
      <c r="G801" s="143"/>
      <c r="H801" s="143"/>
      <c r="I801" s="143"/>
      <c r="J801" s="143"/>
      <c r="K801" s="143"/>
      <c r="L801" s="143"/>
      <c r="M801" s="143"/>
      <c r="N801" s="143"/>
      <c r="O801" s="143"/>
      <c r="P801" s="143"/>
      <c r="Q801" s="67"/>
      <c r="R801" s="144"/>
      <c r="S801" s="144"/>
      <c r="T801" s="143"/>
      <c r="U801" s="143"/>
      <c r="V801" s="143"/>
      <c r="W801" s="130"/>
      <c r="X801" s="130"/>
      <c r="Y801" s="130"/>
      <c r="Z801" s="130"/>
      <c r="AA801" s="130"/>
      <c r="AB801" s="130"/>
      <c r="AC801" s="130"/>
      <c r="AD801" s="130"/>
      <c r="AE801" s="130"/>
      <c r="AF801" s="130"/>
      <c r="AG801" s="130"/>
      <c r="AH801" s="130"/>
      <c r="AI801" s="130"/>
      <c r="AJ801" s="130"/>
      <c r="AK801" s="130"/>
    </row>
    <row r="802">
      <c r="A802" s="130"/>
      <c r="B802" s="130"/>
      <c r="C802" s="143"/>
      <c r="D802" s="130"/>
      <c r="E802" s="143"/>
      <c r="F802" s="143"/>
      <c r="G802" s="143"/>
      <c r="H802" s="143"/>
      <c r="I802" s="143"/>
      <c r="J802" s="143"/>
      <c r="K802" s="143"/>
      <c r="L802" s="143"/>
      <c r="M802" s="143"/>
      <c r="N802" s="143"/>
      <c r="O802" s="143"/>
      <c r="P802" s="143"/>
      <c r="Q802" s="67"/>
      <c r="R802" s="144"/>
      <c r="S802" s="144"/>
      <c r="T802" s="143"/>
      <c r="U802" s="143"/>
      <c r="V802" s="143"/>
      <c r="W802" s="130"/>
      <c r="X802" s="130"/>
      <c r="Y802" s="130"/>
      <c r="Z802" s="130"/>
      <c r="AA802" s="130"/>
      <c r="AB802" s="130"/>
      <c r="AC802" s="130"/>
      <c r="AD802" s="130"/>
      <c r="AE802" s="130"/>
      <c r="AF802" s="130"/>
      <c r="AG802" s="130"/>
      <c r="AH802" s="130"/>
      <c r="AI802" s="130"/>
      <c r="AJ802" s="130"/>
      <c r="AK802" s="130"/>
    </row>
    <row r="803">
      <c r="A803" s="130"/>
      <c r="B803" s="130"/>
      <c r="C803" s="143"/>
      <c r="D803" s="130"/>
      <c r="E803" s="143"/>
      <c r="F803" s="143"/>
      <c r="G803" s="143"/>
      <c r="H803" s="143"/>
      <c r="I803" s="143"/>
      <c r="J803" s="143"/>
      <c r="K803" s="143"/>
      <c r="L803" s="143"/>
      <c r="M803" s="143"/>
      <c r="N803" s="143"/>
      <c r="O803" s="143"/>
      <c r="P803" s="143"/>
      <c r="Q803" s="67"/>
      <c r="R803" s="144"/>
      <c r="S803" s="144"/>
      <c r="T803" s="143"/>
      <c r="U803" s="143"/>
      <c r="V803" s="143"/>
      <c r="W803" s="130"/>
      <c r="X803" s="130"/>
      <c r="Y803" s="130"/>
      <c r="Z803" s="130"/>
      <c r="AA803" s="130"/>
      <c r="AB803" s="130"/>
      <c r="AC803" s="130"/>
      <c r="AD803" s="130"/>
      <c r="AE803" s="130"/>
      <c r="AF803" s="130"/>
      <c r="AG803" s="130"/>
      <c r="AH803" s="130"/>
      <c r="AI803" s="130"/>
      <c r="AJ803" s="130"/>
      <c r="AK803" s="130"/>
    </row>
    <row r="804">
      <c r="A804" s="130"/>
      <c r="B804" s="130"/>
      <c r="C804" s="143"/>
      <c r="D804" s="130"/>
      <c r="E804" s="143"/>
      <c r="F804" s="143"/>
      <c r="G804" s="143"/>
      <c r="H804" s="143"/>
      <c r="I804" s="143"/>
      <c r="J804" s="143"/>
      <c r="K804" s="143"/>
      <c r="L804" s="143"/>
      <c r="M804" s="143"/>
      <c r="N804" s="143"/>
      <c r="O804" s="143"/>
      <c r="P804" s="143"/>
      <c r="Q804" s="67"/>
      <c r="R804" s="144"/>
      <c r="S804" s="144"/>
      <c r="T804" s="143"/>
      <c r="U804" s="143"/>
      <c r="V804" s="143"/>
      <c r="W804" s="130"/>
      <c r="X804" s="130"/>
      <c r="Y804" s="130"/>
      <c r="Z804" s="130"/>
      <c r="AA804" s="130"/>
      <c r="AB804" s="130"/>
      <c r="AC804" s="130"/>
      <c r="AD804" s="130"/>
      <c r="AE804" s="130"/>
      <c r="AF804" s="130"/>
      <c r="AG804" s="130"/>
      <c r="AH804" s="130"/>
      <c r="AI804" s="130"/>
      <c r="AJ804" s="130"/>
      <c r="AK804" s="130"/>
    </row>
    <row r="805">
      <c r="A805" s="130"/>
      <c r="B805" s="130"/>
      <c r="C805" s="143"/>
      <c r="D805" s="130"/>
      <c r="E805" s="143"/>
      <c r="F805" s="143"/>
      <c r="G805" s="143"/>
      <c r="H805" s="143"/>
      <c r="I805" s="143"/>
      <c r="J805" s="143"/>
      <c r="K805" s="143"/>
      <c r="L805" s="143"/>
      <c r="M805" s="143"/>
      <c r="N805" s="143"/>
      <c r="O805" s="143"/>
      <c r="P805" s="143"/>
      <c r="Q805" s="67"/>
      <c r="R805" s="144"/>
      <c r="S805" s="144"/>
      <c r="T805" s="143"/>
      <c r="U805" s="143"/>
      <c r="V805" s="143"/>
      <c r="W805" s="130"/>
      <c r="X805" s="130"/>
      <c r="Y805" s="130"/>
      <c r="Z805" s="130"/>
      <c r="AA805" s="130"/>
      <c r="AB805" s="130"/>
      <c r="AC805" s="130"/>
      <c r="AD805" s="130"/>
      <c r="AE805" s="130"/>
      <c r="AF805" s="130"/>
      <c r="AG805" s="130"/>
      <c r="AH805" s="130"/>
      <c r="AI805" s="130"/>
      <c r="AJ805" s="130"/>
      <c r="AK805" s="130"/>
    </row>
    <row r="806">
      <c r="A806" s="130"/>
      <c r="B806" s="130"/>
      <c r="C806" s="143"/>
      <c r="D806" s="130"/>
      <c r="E806" s="143"/>
      <c r="F806" s="143"/>
      <c r="G806" s="143"/>
      <c r="H806" s="143"/>
      <c r="I806" s="143"/>
      <c r="J806" s="143"/>
      <c r="K806" s="143"/>
      <c r="L806" s="143"/>
      <c r="M806" s="143"/>
      <c r="N806" s="143"/>
      <c r="O806" s="143"/>
      <c r="P806" s="143"/>
      <c r="Q806" s="67"/>
      <c r="R806" s="144"/>
      <c r="S806" s="144"/>
      <c r="T806" s="143"/>
      <c r="U806" s="143"/>
      <c r="V806" s="143"/>
      <c r="W806" s="130"/>
      <c r="X806" s="130"/>
      <c r="Y806" s="130"/>
      <c r="Z806" s="130"/>
      <c r="AA806" s="130"/>
      <c r="AB806" s="130"/>
      <c r="AC806" s="130"/>
      <c r="AD806" s="130"/>
      <c r="AE806" s="130"/>
      <c r="AF806" s="130"/>
      <c r="AG806" s="130"/>
      <c r="AH806" s="130"/>
      <c r="AI806" s="130"/>
      <c r="AJ806" s="130"/>
      <c r="AK806" s="130"/>
    </row>
    <row r="807">
      <c r="A807" s="130"/>
      <c r="B807" s="130"/>
      <c r="C807" s="143"/>
      <c r="D807" s="130"/>
      <c r="E807" s="143"/>
      <c r="F807" s="143"/>
      <c r="G807" s="143"/>
      <c r="H807" s="143"/>
      <c r="I807" s="143"/>
      <c r="J807" s="143"/>
      <c r="K807" s="143"/>
      <c r="L807" s="143"/>
      <c r="M807" s="143"/>
      <c r="N807" s="143"/>
      <c r="O807" s="143"/>
      <c r="P807" s="143"/>
      <c r="Q807" s="67"/>
      <c r="R807" s="144"/>
      <c r="S807" s="144"/>
      <c r="T807" s="143"/>
      <c r="U807" s="143"/>
      <c r="V807" s="143"/>
      <c r="W807" s="130"/>
      <c r="X807" s="130"/>
      <c r="Y807" s="130"/>
      <c r="Z807" s="130"/>
      <c r="AA807" s="130"/>
      <c r="AB807" s="130"/>
      <c r="AC807" s="130"/>
      <c r="AD807" s="130"/>
      <c r="AE807" s="130"/>
      <c r="AF807" s="130"/>
      <c r="AG807" s="130"/>
      <c r="AH807" s="130"/>
      <c r="AI807" s="130"/>
      <c r="AJ807" s="130"/>
      <c r="AK807" s="130"/>
    </row>
    <row r="808">
      <c r="A808" s="130"/>
      <c r="B808" s="130"/>
      <c r="C808" s="143"/>
      <c r="D808" s="130"/>
      <c r="E808" s="143"/>
      <c r="F808" s="143"/>
      <c r="G808" s="143"/>
      <c r="H808" s="143"/>
      <c r="I808" s="143"/>
      <c r="J808" s="143"/>
      <c r="K808" s="143"/>
      <c r="L808" s="143"/>
      <c r="M808" s="143"/>
      <c r="N808" s="143"/>
      <c r="O808" s="143"/>
      <c r="P808" s="143"/>
      <c r="Q808" s="67"/>
      <c r="R808" s="144"/>
      <c r="S808" s="144"/>
      <c r="T808" s="143"/>
      <c r="U808" s="143"/>
      <c r="V808" s="143"/>
      <c r="W808" s="130"/>
      <c r="X808" s="130"/>
      <c r="Y808" s="130"/>
      <c r="Z808" s="130"/>
      <c r="AA808" s="130"/>
      <c r="AB808" s="130"/>
      <c r="AC808" s="130"/>
      <c r="AD808" s="130"/>
      <c r="AE808" s="130"/>
      <c r="AF808" s="130"/>
      <c r="AG808" s="130"/>
      <c r="AH808" s="130"/>
      <c r="AI808" s="130"/>
      <c r="AJ808" s="130"/>
      <c r="AK808" s="130"/>
    </row>
    <row r="809">
      <c r="A809" s="130"/>
      <c r="B809" s="130"/>
      <c r="C809" s="143"/>
      <c r="D809" s="130"/>
      <c r="E809" s="143"/>
      <c r="F809" s="143"/>
      <c r="G809" s="143"/>
      <c r="H809" s="143"/>
      <c r="I809" s="143"/>
      <c r="J809" s="143"/>
      <c r="K809" s="143"/>
      <c r="L809" s="143"/>
      <c r="M809" s="143"/>
      <c r="N809" s="143"/>
      <c r="O809" s="143"/>
      <c r="P809" s="143"/>
      <c r="Q809" s="67"/>
      <c r="R809" s="144"/>
      <c r="S809" s="144"/>
      <c r="T809" s="143"/>
      <c r="U809" s="143"/>
      <c r="V809" s="143"/>
      <c r="W809" s="130"/>
      <c r="X809" s="130"/>
      <c r="Y809" s="130"/>
      <c r="Z809" s="130"/>
      <c r="AA809" s="130"/>
      <c r="AB809" s="130"/>
      <c r="AC809" s="130"/>
      <c r="AD809" s="130"/>
      <c r="AE809" s="130"/>
      <c r="AF809" s="130"/>
      <c r="AG809" s="130"/>
      <c r="AH809" s="130"/>
      <c r="AI809" s="130"/>
      <c r="AJ809" s="130"/>
      <c r="AK809" s="130"/>
    </row>
    <row r="810">
      <c r="A810" s="130"/>
      <c r="B810" s="130"/>
      <c r="C810" s="143"/>
      <c r="D810" s="130"/>
      <c r="E810" s="143"/>
      <c r="F810" s="143"/>
      <c r="G810" s="143"/>
      <c r="H810" s="143"/>
      <c r="I810" s="143"/>
      <c r="J810" s="143"/>
      <c r="K810" s="143"/>
      <c r="L810" s="143"/>
      <c r="M810" s="143"/>
      <c r="N810" s="143"/>
      <c r="O810" s="143"/>
      <c r="P810" s="143"/>
      <c r="Q810" s="67"/>
      <c r="R810" s="144"/>
      <c r="S810" s="144"/>
      <c r="T810" s="143"/>
      <c r="U810" s="143"/>
      <c r="V810" s="143"/>
      <c r="W810" s="130"/>
      <c r="X810" s="130"/>
      <c r="Y810" s="130"/>
      <c r="Z810" s="130"/>
      <c r="AA810" s="130"/>
      <c r="AB810" s="130"/>
      <c r="AC810" s="130"/>
      <c r="AD810" s="130"/>
      <c r="AE810" s="130"/>
      <c r="AF810" s="130"/>
      <c r="AG810" s="130"/>
      <c r="AH810" s="130"/>
      <c r="AI810" s="130"/>
      <c r="AJ810" s="130"/>
      <c r="AK810" s="130"/>
    </row>
    <row r="811">
      <c r="A811" s="130"/>
      <c r="B811" s="130"/>
      <c r="C811" s="143"/>
      <c r="D811" s="130"/>
      <c r="E811" s="143"/>
      <c r="F811" s="143"/>
      <c r="G811" s="143"/>
      <c r="H811" s="143"/>
      <c r="I811" s="143"/>
      <c r="J811" s="143"/>
      <c r="K811" s="143"/>
      <c r="L811" s="143"/>
      <c r="M811" s="143"/>
      <c r="N811" s="143"/>
      <c r="O811" s="143"/>
      <c r="P811" s="143"/>
      <c r="Q811" s="67"/>
      <c r="R811" s="144"/>
      <c r="S811" s="144"/>
      <c r="T811" s="143"/>
      <c r="U811" s="143"/>
      <c r="V811" s="143"/>
      <c r="W811" s="130"/>
      <c r="X811" s="130"/>
      <c r="Y811" s="130"/>
      <c r="Z811" s="130"/>
      <c r="AA811" s="130"/>
      <c r="AB811" s="130"/>
      <c r="AC811" s="130"/>
      <c r="AD811" s="130"/>
      <c r="AE811" s="130"/>
      <c r="AF811" s="130"/>
      <c r="AG811" s="130"/>
      <c r="AH811" s="130"/>
      <c r="AI811" s="130"/>
      <c r="AJ811" s="130"/>
      <c r="AK811" s="130"/>
    </row>
    <row r="812">
      <c r="A812" s="130"/>
      <c r="B812" s="130"/>
      <c r="C812" s="143"/>
      <c r="D812" s="130"/>
      <c r="E812" s="143"/>
      <c r="F812" s="143"/>
      <c r="G812" s="143"/>
      <c r="H812" s="143"/>
      <c r="I812" s="143"/>
      <c r="J812" s="143"/>
      <c r="K812" s="143"/>
      <c r="L812" s="143"/>
      <c r="M812" s="143"/>
      <c r="N812" s="143"/>
      <c r="O812" s="143"/>
      <c r="P812" s="143"/>
      <c r="Q812" s="67"/>
      <c r="R812" s="144"/>
      <c r="S812" s="144"/>
      <c r="T812" s="143"/>
      <c r="U812" s="143"/>
      <c r="V812" s="143"/>
      <c r="W812" s="130"/>
      <c r="X812" s="130"/>
      <c r="Y812" s="130"/>
      <c r="Z812" s="130"/>
      <c r="AA812" s="130"/>
      <c r="AB812" s="130"/>
      <c r="AC812" s="130"/>
      <c r="AD812" s="130"/>
      <c r="AE812" s="130"/>
      <c r="AF812" s="130"/>
      <c r="AG812" s="130"/>
      <c r="AH812" s="130"/>
      <c r="AI812" s="130"/>
      <c r="AJ812" s="130"/>
      <c r="AK812" s="130"/>
    </row>
    <row r="813">
      <c r="A813" s="130"/>
      <c r="B813" s="130"/>
      <c r="C813" s="143"/>
      <c r="D813" s="130"/>
      <c r="E813" s="143"/>
      <c r="F813" s="143"/>
      <c r="G813" s="143"/>
      <c r="H813" s="143"/>
      <c r="I813" s="143"/>
      <c r="J813" s="143"/>
      <c r="K813" s="143"/>
      <c r="L813" s="143"/>
      <c r="M813" s="143"/>
      <c r="N813" s="143"/>
      <c r="O813" s="143"/>
      <c r="P813" s="143"/>
      <c r="Q813" s="67"/>
      <c r="R813" s="144"/>
      <c r="S813" s="144"/>
      <c r="T813" s="143"/>
      <c r="U813" s="143"/>
      <c r="V813" s="143"/>
      <c r="W813" s="130"/>
      <c r="X813" s="130"/>
      <c r="Y813" s="130"/>
      <c r="Z813" s="130"/>
      <c r="AA813" s="130"/>
      <c r="AB813" s="130"/>
      <c r="AC813" s="130"/>
      <c r="AD813" s="130"/>
      <c r="AE813" s="130"/>
      <c r="AF813" s="130"/>
      <c r="AG813" s="130"/>
      <c r="AH813" s="130"/>
      <c r="AI813" s="130"/>
      <c r="AJ813" s="130"/>
      <c r="AK813" s="130"/>
    </row>
    <row r="814">
      <c r="A814" s="130"/>
      <c r="B814" s="130"/>
      <c r="C814" s="143"/>
      <c r="D814" s="130"/>
      <c r="E814" s="143"/>
      <c r="F814" s="143"/>
      <c r="G814" s="143"/>
      <c r="H814" s="143"/>
      <c r="I814" s="143"/>
      <c r="J814" s="143"/>
      <c r="K814" s="143"/>
      <c r="L814" s="143"/>
      <c r="M814" s="143"/>
      <c r="N814" s="143"/>
      <c r="O814" s="143"/>
      <c r="P814" s="143"/>
      <c r="Q814" s="67"/>
      <c r="R814" s="144"/>
      <c r="S814" s="144"/>
      <c r="T814" s="143"/>
      <c r="U814" s="143"/>
      <c r="V814" s="143"/>
      <c r="W814" s="130"/>
      <c r="X814" s="130"/>
      <c r="Y814" s="130"/>
      <c r="Z814" s="130"/>
      <c r="AA814" s="130"/>
      <c r="AB814" s="130"/>
      <c r="AC814" s="130"/>
      <c r="AD814" s="130"/>
      <c r="AE814" s="130"/>
      <c r="AF814" s="130"/>
      <c r="AG814" s="130"/>
      <c r="AH814" s="130"/>
      <c r="AI814" s="130"/>
      <c r="AJ814" s="130"/>
      <c r="AK814" s="130"/>
    </row>
    <row r="815">
      <c r="A815" s="130"/>
      <c r="B815" s="130"/>
      <c r="C815" s="143"/>
      <c r="D815" s="130"/>
      <c r="E815" s="143"/>
      <c r="F815" s="143"/>
      <c r="G815" s="143"/>
      <c r="H815" s="143"/>
      <c r="I815" s="143"/>
      <c r="J815" s="143"/>
      <c r="K815" s="143"/>
      <c r="L815" s="143"/>
      <c r="M815" s="143"/>
      <c r="N815" s="143"/>
      <c r="O815" s="143"/>
      <c r="P815" s="143"/>
      <c r="Q815" s="67"/>
      <c r="R815" s="144"/>
      <c r="S815" s="144"/>
      <c r="T815" s="143"/>
      <c r="U815" s="143"/>
      <c r="V815" s="143"/>
      <c r="W815" s="130"/>
      <c r="X815" s="130"/>
      <c r="Y815" s="130"/>
      <c r="Z815" s="130"/>
      <c r="AA815" s="130"/>
      <c r="AB815" s="130"/>
      <c r="AC815" s="130"/>
      <c r="AD815" s="130"/>
      <c r="AE815" s="130"/>
      <c r="AF815" s="130"/>
      <c r="AG815" s="130"/>
      <c r="AH815" s="130"/>
      <c r="AI815" s="130"/>
      <c r="AJ815" s="130"/>
      <c r="AK815" s="130"/>
    </row>
    <row r="816">
      <c r="A816" s="130"/>
      <c r="B816" s="130"/>
      <c r="C816" s="143"/>
      <c r="D816" s="130"/>
      <c r="E816" s="143"/>
      <c r="F816" s="143"/>
      <c r="G816" s="143"/>
      <c r="H816" s="143"/>
      <c r="I816" s="143"/>
      <c r="J816" s="143"/>
      <c r="K816" s="143"/>
      <c r="L816" s="143"/>
      <c r="M816" s="143"/>
      <c r="N816" s="143"/>
      <c r="O816" s="143"/>
      <c r="P816" s="143"/>
      <c r="Q816" s="67"/>
      <c r="R816" s="144"/>
      <c r="S816" s="144"/>
      <c r="T816" s="143"/>
      <c r="U816" s="143"/>
      <c r="V816" s="143"/>
      <c r="W816" s="130"/>
      <c r="X816" s="130"/>
      <c r="Y816" s="130"/>
      <c r="Z816" s="130"/>
      <c r="AA816" s="130"/>
      <c r="AB816" s="130"/>
      <c r="AC816" s="130"/>
      <c r="AD816" s="130"/>
      <c r="AE816" s="130"/>
      <c r="AF816" s="130"/>
      <c r="AG816" s="130"/>
      <c r="AH816" s="130"/>
      <c r="AI816" s="130"/>
      <c r="AJ816" s="130"/>
      <c r="AK816" s="130"/>
    </row>
    <row r="817">
      <c r="A817" s="130"/>
      <c r="B817" s="130"/>
      <c r="C817" s="143"/>
      <c r="D817" s="130"/>
      <c r="E817" s="143"/>
      <c r="F817" s="143"/>
      <c r="G817" s="143"/>
      <c r="H817" s="143"/>
      <c r="I817" s="143"/>
      <c r="J817" s="143"/>
      <c r="K817" s="143"/>
      <c r="L817" s="143"/>
      <c r="M817" s="143"/>
      <c r="N817" s="143"/>
      <c r="O817" s="143"/>
      <c r="P817" s="143"/>
      <c r="Q817" s="67"/>
      <c r="R817" s="144"/>
      <c r="S817" s="144"/>
      <c r="T817" s="143"/>
      <c r="U817" s="143"/>
      <c r="V817" s="143"/>
      <c r="W817" s="130"/>
      <c r="X817" s="130"/>
      <c r="Y817" s="130"/>
      <c r="Z817" s="130"/>
      <c r="AA817" s="130"/>
      <c r="AB817" s="130"/>
      <c r="AC817" s="130"/>
      <c r="AD817" s="130"/>
      <c r="AE817" s="130"/>
      <c r="AF817" s="130"/>
      <c r="AG817" s="130"/>
      <c r="AH817" s="130"/>
      <c r="AI817" s="130"/>
      <c r="AJ817" s="130"/>
      <c r="AK817" s="130"/>
    </row>
    <row r="818">
      <c r="A818" s="130"/>
      <c r="B818" s="130"/>
      <c r="C818" s="143"/>
      <c r="D818" s="130"/>
      <c r="E818" s="143"/>
      <c r="F818" s="143"/>
      <c r="G818" s="143"/>
      <c r="H818" s="143"/>
      <c r="I818" s="143"/>
      <c r="J818" s="143"/>
      <c r="K818" s="143"/>
      <c r="L818" s="143"/>
      <c r="M818" s="143"/>
      <c r="N818" s="143"/>
      <c r="O818" s="143"/>
      <c r="P818" s="143"/>
      <c r="Q818" s="67"/>
      <c r="R818" s="144"/>
      <c r="S818" s="144"/>
      <c r="T818" s="143"/>
      <c r="U818" s="143"/>
      <c r="V818" s="143"/>
      <c r="W818" s="130"/>
      <c r="X818" s="130"/>
      <c r="Y818" s="130"/>
      <c r="Z818" s="130"/>
      <c r="AA818" s="130"/>
      <c r="AB818" s="130"/>
      <c r="AC818" s="130"/>
      <c r="AD818" s="130"/>
      <c r="AE818" s="130"/>
      <c r="AF818" s="130"/>
      <c r="AG818" s="130"/>
      <c r="AH818" s="130"/>
      <c r="AI818" s="130"/>
      <c r="AJ818" s="130"/>
      <c r="AK818" s="130"/>
    </row>
    <row r="819">
      <c r="A819" s="130"/>
      <c r="B819" s="130"/>
      <c r="C819" s="143"/>
      <c r="D819" s="130"/>
      <c r="E819" s="143"/>
      <c r="F819" s="143"/>
      <c r="G819" s="143"/>
      <c r="H819" s="143"/>
      <c r="I819" s="143"/>
      <c r="J819" s="143"/>
      <c r="K819" s="143"/>
      <c r="L819" s="143"/>
      <c r="M819" s="143"/>
      <c r="N819" s="143"/>
      <c r="O819" s="143"/>
      <c r="P819" s="143"/>
      <c r="Q819" s="67"/>
      <c r="R819" s="144"/>
      <c r="S819" s="144"/>
      <c r="T819" s="143"/>
      <c r="U819" s="143"/>
      <c r="V819" s="143"/>
      <c r="W819" s="130"/>
      <c r="X819" s="130"/>
      <c r="Y819" s="130"/>
      <c r="Z819" s="130"/>
      <c r="AA819" s="130"/>
      <c r="AB819" s="130"/>
      <c r="AC819" s="130"/>
      <c r="AD819" s="130"/>
      <c r="AE819" s="130"/>
      <c r="AF819" s="130"/>
      <c r="AG819" s="130"/>
      <c r="AH819" s="130"/>
      <c r="AI819" s="130"/>
      <c r="AJ819" s="130"/>
      <c r="AK819" s="130"/>
    </row>
    <row r="820">
      <c r="A820" s="130"/>
      <c r="B820" s="130"/>
      <c r="C820" s="143"/>
      <c r="D820" s="130"/>
      <c r="E820" s="143"/>
      <c r="F820" s="143"/>
      <c r="G820" s="143"/>
      <c r="H820" s="143"/>
      <c r="I820" s="143"/>
      <c r="J820" s="143"/>
      <c r="K820" s="143"/>
      <c r="L820" s="143"/>
      <c r="M820" s="143"/>
      <c r="N820" s="143"/>
      <c r="O820" s="143"/>
      <c r="P820" s="143"/>
      <c r="Q820" s="67"/>
      <c r="R820" s="144"/>
      <c r="S820" s="144"/>
      <c r="T820" s="143"/>
      <c r="U820" s="143"/>
      <c r="V820" s="143"/>
      <c r="W820" s="130"/>
      <c r="X820" s="130"/>
      <c r="Y820" s="130"/>
      <c r="Z820" s="130"/>
      <c r="AA820" s="130"/>
      <c r="AB820" s="130"/>
      <c r="AC820" s="130"/>
      <c r="AD820" s="130"/>
      <c r="AE820" s="130"/>
      <c r="AF820" s="130"/>
      <c r="AG820" s="130"/>
      <c r="AH820" s="130"/>
      <c r="AI820" s="130"/>
      <c r="AJ820" s="130"/>
      <c r="AK820" s="130"/>
    </row>
    <row r="821">
      <c r="A821" s="130"/>
      <c r="B821" s="130"/>
      <c r="C821" s="143"/>
      <c r="D821" s="130"/>
      <c r="E821" s="143"/>
      <c r="F821" s="143"/>
      <c r="G821" s="143"/>
      <c r="H821" s="143"/>
      <c r="I821" s="143"/>
      <c r="J821" s="143"/>
      <c r="K821" s="143"/>
      <c r="L821" s="143"/>
      <c r="M821" s="143"/>
      <c r="N821" s="143"/>
      <c r="O821" s="143"/>
      <c r="P821" s="143"/>
      <c r="Q821" s="67"/>
      <c r="R821" s="144"/>
      <c r="S821" s="144"/>
      <c r="T821" s="143"/>
      <c r="U821" s="143"/>
      <c r="V821" s="143"/>
      <c r="W821" s="130"/>
      <c r="X821" s="130"/>
      <c r="Y821" s="130"/>
      <c r="Z821" s="130"/>
      <c r="AA821" s="130"/>
      <c r="AB821" s="130"/>
      <c r="AC821" s="130"/>
      <c r="AD821" s="130"/>
      <c r="AE821" s="130"/>
      <c r="AF821" s="130"/>
      <c r="AG821" s="130"/>
      <c r="AH821" s="130"/>
      <c r="AI821" s="130"/>
      <c r="AJ821" s="130"/>
      <c r="AK821" s="130"/>
    </row>
    <row r="822">
      <c r="A822" s="130"/>
      <c r="B822" s="130"/>
      <c r="C822" s="143"/>
      <c r="D822" s="130"/>
      <c r="E822" s="143"/>
      <c r="F822" s="143"/>
      <c r="G822" s="143"/>
      <c r="H822" s="143"/>
      <c r="I822" s="143"/>
      <c r="J822" s="143"/>
      <c r="K822" s="143"/>
      <c r="L822" s="143"/>
      <c r="M822" s="143"/>
      <c r="N822" s="143"/>
      <c r="O822" s="143"/>
      <c r="P822" s="143"/>
      <c r="Q822" s="67"/>
      <c r="R822" s="144"/>
      <c r="S822" s="144"/>
      <c r="T822" s="143"/>
      <c r="U822" s="143"/>
      <c r="V822" s="143"/>
      <c r="W822" s="130"/>
      <c r="X822" s="130"/>
      <c r="Y822" s="130"/>
      <c r="Z822" s="130"/>
      <c r="AA822" s="130"/>
      <c r="AB822" s="130"/>
      <c r="AC822" s="130"/>
      <c r="AD822" s="130"/>
      <c r="AE822" s="130"/>
      <c r="AF822" s="130"/>
      <c r="AG822" s="130"/>
      <c r="AH822" s="130"/>
      <c r="AI822" s="130"/>
      <c r="AJ822" s="130"/>
      <c r="AK822" s="130"/>
    </row>
    <row r="823">
      <c r="A823" s="130"/>
      <c r="B823" s="130"/>
      <c r="C823" s="143"/>
      <c r="D823" s="130"/>
      <c r="E823" s="143"/>
      <c r="F823" s="143"/>
      <c r="G823" s="143"/>
      <c r="H823" s="143"/>
      <c r="I823" s="143"/>
      <c r="J823" s="143"/>
      <c r="K823" s="143"/>
      <c r="L823" s="143"/>
      <c r="M823" s="143"/>
      <c r="N823" s="143"/>
      <c r="O823" s="143"/>
      <c r="P823" s="143"/>
      <c r="Q823" s="67"/>
      <c r="R823" s="144"/>
      <c r="S823" s="144"/>
      <c r="T823" s="143"/>
      <c r="U823" s="143"/>
      <c r="V823" s="143"/>
      <c r="W823" s="130"/>
      <c r="X823" s="130"/>
      <c r="Y823" s="130"/>
      <c r="Z823" s="130"/>
      <c r="AA823" s="130"/>
      <c r="AB823" s="130"/>
      <c r="AC823" s="130"/>
      <c r="AD823" s="130"/>
      <c r="AE823" s="130"/>
      <c r="AF823" s="130"/>
      <c r="AG823" s="130"/>
      <c r="AH823" s="130"/>
      <c r="AI823" s="130"/>
      <c r="AJ823" s="130"/>
      <c r="AK823" s="130"/>
    </row>
    <row r="824">
      <c r="A824" s="130"/>
      <c r="B824" s="130"/>
      <c r="C824" s="143"/>
      <c r="D824" s="130"/>
      <c r="E824" s="143"/>
      <c r="F824" s="143"/>
      <c r="G824" s="143"/>
      <c r="H824" s="143"/>
      <c r="I824" s="143"/>
      <c r="J824" s="143"/>
      <c r="K824" s="143"/>
      <c r="L824" s="143"/>
      <c r="M824" s="143"/>
      <c r="N824" s="143"/>
      <c r="O824" s="143"/>
      <c r="P824" s="143"/>
      <c r="Q824" s="67"/>
      <c r="R824" s="144"/>
      <c r="S824" s="144"/>
      <c r="T824" s="143"/>
      <c r="U824" s="143"/>
      <c r="V824" s="143"/>
      <c r="W824" s="130"/>
      <c r="X824" s="130"/>
      <c r="Y824" s="130"/>
      <c r="Z824" s="130"/>
      <c r="AA824" s="130"/>
      <c r="AB824" s="130"/>
      <c r="AC824" s="130"/>
      <c r="AD824" s="130"/>
      <c r="AE824" s="130"/>
      <c r="AF824" s="130"/>
      <c r="AG824" s="130"/>
      <c r="AH824" s="130"/>
      <c r="AI824" s="130"/>
      <c r="AJ824" s="130"/>
      <c r="AK824" s="130"/>
    </row>
    <row r="825">
      <c r="A825" s="130"/>
      <c r="B825" s="130"/>
      <c r="C825" s="143"/>
      <c r="D825" s="130"/>
      <c r="E825" s="143"/>
      <c r="F825" s="143"/>
      <c r="G825" s="143"/>
      <c r="H825" s="143"/>
      <c r="I825" s="143"/>
      <c r="J825" s="143"/>
      <c r="K825" s="143"/>
      <c r="L825" s="143"/>
      <c r="M825" s="143"/>
      <c r="N825" s="143"/>
      <c r="O825" s="143"/>
      <c r="P825" s="143"/>
      <c r="Q825" s="67"/>
      <c r="R825" s="144"/>
      <c r="S825" s="144"/>
      <c r="T825" s="143"/>
      <c r="U825" s="143"/>
      <c r="V825" s="143"/>
      <c r="W825" s="130"/>
      <c r="X825" s="130"/>
      <c r="Y825" s="130"/>
      <c r="Z825" s="130"/>
      <c r="AA825" s="130"/>
      <c r="AB825" s="130"/>
      <c r="AC825" s="130"/>
      <c r="AD825" s="130"/>
      <c r="AE825" s="130"/>
      <c r="AF825" s="130"/>
      <c r="AG825" s="130"/>
      <c r="AH825" s="130"/>
      <c r="AI825" s="130"/>
      <c r="AJ825" s="130"/>
      <c r="AK825" s="130"/>
    </row>
    <row r="826">
      <c r="A826" s="130"/>
      <c r="B826" s="130"/>
      <c r="C826" s="143"/>
      <c r="D826" s="130"/>
      <c r="E826" s="143"/>
      <c r="F826" s="143"/>
      <c r="G826" s="143"/>
      <c r="H826" s="143"/>
      <c r="I826" s="143"/>
      <c r="J826" s="143"/>
      <c r="K826" s="143"/>
      <c r="L826" s="143"/>
      <c r="M826" s="143"/>
      <c r="N826" s="143"/>
      <c r="O826" s="143"/>
      <c r="P826" s="143"/>
      <c r="Q826" s="67"/>
      <c r="R826" s="144"/>
      <c r="S826" s="144"/>
      <c r="T826" s="143"/>
      <c r="U826" s="143"/>
      <c r="V826" s="143"/>
      <c r="W826" s="130"/>
      <c r="X826" s="130"/>
      <c r="Y826" s="130"/>
      <c r="Z826" s="130"/>
      <c r="AA826" s="130"/>
      <c r="AB826" s="130"/>
      <c r="AC826" s="130"/>
      <c r="AD826" s="130"/>
      <c r="AE826" s="130"/>
      <c r="AF826" s="130"/>
      <c r="AG826" s="130"/>
      <c r="AH826" s="130"/>
      <c r="AI826" s="130"/>
      <c r="AJ826" s="130"/>
      <c r="AK826" s="130"/>
    </row>
    <row r="827">
      <c r="A827" s="130"/>
      <c r="B827" s="130"/>
      <c r="C827" s="143"/>
      <c r="D827" s="130"/>
      <c r="E827" s="143"/>
      <c r="F827" s="143"/>
      <c r="G827" s="143"/>
      <c r="H827" s="143"/>
      <c r="I827" s="143"/>
      <c r="J827" s="143"/>
      <c r="K827" s="143"/>
      <c r="L827" s="143"/>
      <c r="M827" s="143"/>
      <c r="N827" s="143"/>
      <c r="O827" s="143"/>
      <c r="P827" s="143"/>
      <c r="Q827" s="67"/>
      <c r="R827" s="144"/>
      <c r="S827" s="144"/>
      <c r="T827" s="143"/>
      <c r="U827" s="143"/>
      <c r="V827" s="143"/>
      <c r="W827" s="130"/>
      <c r="X827" s="130"/>
      <c r="Y827" s="130"/>
      <c r="Z827" s="130"/>
      <c r="AA827" s="130"/>
      <c r="AB827" s="130"/>
      <c r="AC827" s="130"/>
      <c r="AD827" s="130"/>
      <c r="AE827" s="130"/>
      <c r="AF827" s="130"/>
      <c r="AG827" s="130"/>
      <c r="AH827" s="130"/>
      <c r="AI827" s="130"/>
      <c r="AJ827" s="130"/>
      <c r="AK827" s="130"/>
    </row>
    <row r="828">
      <c r="A828" s="130"/>
      <c r="B828" s="130"/>
      <c r="C828" s="143"/>
      <c r="D828" s="130"/>
      <c r="E828" s="143"/>
      <c r="F828" s="143"/>
      <c r="G828" s="143"/>
      <c r="H828" s="143"/>
      <c r="I828" s="143"/>
      <c r="J828" s="143"/>
      <c r="K828" s="143"/>
      <c r="L828" s="143"/>
      <c r="M828" s="143"/>
      <c r="N828" s="143"/>
      <c r="O828" s="143"/>
      <c r="P828" s="143"/>
      <c r="Q828" s="67"/>
      <c r="R828" s="144"/>
      <c r="S828" s="144"/>
      <c r="T828" s="143"/>
      <c r="U828" s="143"/>
      <c r="V828" s="143"/>
      <c r="W828" s="130"/>
      <c r="X828" s="130"/>
      <c r="Y828" s="130"/>
      <c r="Z828" s="130"/>
      <c r="AA828" s="130"/>
      <c r="AB828" s="130"/>
      <c r="AC828" s="130"/>
      <c r="AD828" s="130"/>
      <c r="AE828" s="130"/>
      <c r="AF828" s="130"/>
      <c r="AG828" s="130"/>
      <c r="AH828" s="130"/>
      <c r="AI828" s="130"/>
      <c r="AJ828" s="130"/>
      <c r="AK828" s="130"/>
    </row>
    <row r="829">
      <c r="A829" s="130"/>
      <c r="B829" s="130"/>
      <c r="C829" s="143"/>
      <c r="D829" s="130"/>
      <c r="E829" s="143"/>
      <c r="F829" s="143"/>
      <c r="G829" s="143"/>
      <c r="H829" s="143"/>
      <c r="I829" s="143"/>
      <c r="J829" s="143"/>
      <c r="K829" s="143"/>
      <c r="L829" s="143"/>
      <c r="M829" s="143"/>
      <c r="N829" s="143"/>
      <c r="O829" s="143"/>
      <c r="P829" s="143"/>
      <c r="Q829" s="67"/>
      <c r="R829" s="144"/>
      <c r="S829" s="144"/>
      <c r="T829" s="143"/>
      <c r="U829" s="143"/>
      <c r="V829" s="143"/>
      <c r="W829" s="130"/>
      <c r="X829" s="130"/>
      <c r="Y829" s="130"/>
      <c r="Z829" s="130"/>
      <c r="AA829" s="130"/>
      <c r="AB829" s="130"/>
      <c r="AC829" s="130"/>
      <c r="AD829" s="130"/>
      <c r="AE829" s="130"/>
      <c r="AF829" s="130"/>
      <c r="AG829" s="130"/>
      <c r="AH829" s="130"/>
      <c r="AI829" s="130"/>
      <c r="AJ829" s="130"/>
      <c r="AK829" s="130"/>
    </row>
    <row r="830">
      <c r="A830" s="130"/>
      <c r="B830" s="130"/>
      <c r="C830" s="143"/>
      <c r="D830" s="130"/>
      <c r="E830" s="143"/>
      <c r="F830" s="143"/>
      <c r="G830" s="143"/>
      <c r="H830" s="143"/>
      <c r="I830" s="143"/>
      <c r="J830" s="143"/>
      <c r="K830" s="143"/>
      <c r="L830" s="143"/>
      <c r="M830" s="143"/>
      <c r="N830" s="143"/>
      <c r="O830" s="143"/>
      <c r="P830" s="143"/>
      <c r="Q830" s="67"/>
      <c r="R830" s="144"/>
      <c r="S830" s="144"/>
      <c r="T830" s="143"/>
      <c r="U830" s="143"/>
      <c r="V830" s="143"/>
      <c r="W830" s="130"/>
      <c r="X830" s="130"/>
      <c r="Y830" s="130"/>
      <c r="Z830" s="130"/>
      <c r="AA830" s="130"/>
      <c r="AB830" s="130"/>
      <c r="AC830" s="130"/>
      <c r="AD830" s="130"/>
      <c r="AE830" s="130"/>
      <c r="AF830" s="130"/>
      <c r="AG830" s="130"/>
      <c r="AH830" s="130"/>
      <c r="AI830" s="130"/>
      <c r="AJ830" s="130"/>
      <c r="AK830" s="130"/>
    </row>
    <row r="831">
      <c r="A831" s="130"/>
      <c r="B831" s="130"/>
      <c r="C831" s="143"/>
      <c r="D831" s="130"/>
      <c r="E831" s="143"/>
      <c r="F831" s="143"/>
      <c r="G831" s="143"/>
      <c r="H831" s="143"/>
      <c r="I831" s="143"/>
      <c r="J831" s="143"/>
      <c r="K831" s="143"/>
      <c r="L831" s="143"/>
      <c r="M831" s="143"/>
      <c r="N831" s="143"/>
      <c r="O831" s="143"/>
      <c r="P831" s="143"/>
      <c r="Q831" s="67"/>
      <c r="R831" s="144"/>
      <c r="S831" s="144"/>
      <c r="T831" s="143"/>
      <c r="U831" s="143"/>
      <c r="V831" s="143"/>
      <c r="W831" s="130"/>
      <c r="X831" s="130"/>
      <c r="Y831" s="130"/>
      <c r="Z831" s="130"/>
      <c r="AA831" s="130"/>
      <c r="AB831" s="130"/>
      <c r="AC831" s="130"/>
      <c r="AD831" s="130"/>
      <c r="AE831" s="130"/>
      <c r="AF831" s="130"/>
      <c r="AG831" s="130"/>
      <c r="AH831" s="130"/>
      <c r="AI831" s="130"/>
      <c r="AJ831" s="130"/>
      <c r="AK831" s="130"/>
    </row>
    <row r="832">
      <c r="A832" s="130"/>
      <c r="B832" s="130"/>
      <c r="C832" s="143"/>
      <c r="D832" s="130"/>
      <c r="E832" s="143"/>
      <c r="F832" s="143"/>
      <c r="G832" s="143"/>
      <c r="H832" s="143"/>
      <c r="I832" s="143"/>
      <c r="J832" s="143"/>
      <c r="K832" s="143"/>
      <c r="L832" s="143"/>
      <c r="M832" s="143"/>
      <c r="N832" s="143"/>
      <c r="O832" s="143"/>
      <c r="P832" s="143"/>
      <c r="Q832" s="67"/>
      <c r="R832" s="144"/>
      <c r="S832" s="144"/>
      <c r="T832" s="143"/>
      <c r="U832" s="143"/>
      <c r="V832" s="143"/>
      <c r="W832" s="130"/>
      <c r="X832" s="130"/>
      <c r="Y832" s="130"/>
      <c r="Z832" s="130"/>
      <c r="AA832" s="130"/>
      <c r="AB832" s="130"/>
      <c r="AC832" s="130"/>
      <c r="AD832" s="130"/>
      <c r="AE832" s="130"/>
      <c r="AF832" s="130"/>
      <c r="AG832" s="130"/>
      <c r="AH832" s="130"/>
      <c r="AI832" s="130"/>
      <c r="AJ832" s="130"/>
      <c r="AK832" s="130"/>
    </row>
    <row r="833">
      <c r="A833" s="130"/>
      <c r="B833" s="130"/>
      <c r="C833" s="143"/>
      <c r="D833" s="130"/>
      <c r="E833" s="143"/>
      <c r="F833" s="143"/>
      <c r="G833" s="143"/>
      <c r="H833" s="143"/>
      <c r="I833" s="143"/>
      <c r="J833" s="143"/>
      <c r="K833" s="143"/>
      <c r="L833" s="143"/>
      <c r="M833" s="143"/>
      <c r="N833" s="143"/>
      <c r="O833" s="143"/>
      <c r="P833" s="143"/>
      <c r="Q833" s="67"/>
      <c r="R833" s="144"/>
      <c r="S833" s="144"/>
      <c r="T833" s="143"/>
      <c r="U833" s="143"/>
      <c r="V833" s="143"/>
      <c r="W833" s="130"/>
      <c r="X833" s="130"/>
      <c r="Y833" s="130"/>
      <c r="Z833" s="130"/>
      <c r="AA833" s="130"/>
      <c r="AB833" s="130"/>
      <c r="AC833" s="130"/>
      <c r="AD833" s="130"/>
      <c r="AE833" s="130"/>
      <c r="AF833" s="130"/>
      <c r="AG833" s="130"/>
      <c r="AH833" s="130"/>
      <c r="AI833" s="130"/>
      <c r="AJ833" s="130"/>
      <c r="AK833" s="130"/>
    </row>
    <row r="834">
      <c r="A834" s="130"/>
      <c r="B834" s="130"/>
      <c r="C834" s="143"/>
      <c r="D834" s="130"/>
      <c r="E834" s="143"/>
      <c r="F834" s="143"/>
      <c r="G834" s="143"/>
      <c r="H834" s="143"/>
      <c r="I834" s="143"/>
      <c r="J834" s="143"/>
      <c r="K834" s="143"/>
      <c r="L834" s="143"/>
      <c r="M834" s="143"/>
      <c r="N834" s="143"/>
      <c r="O834" s="143"/>
      <c r="P834" s="143"/>
      <c r="Q834" s="67"/>
      <c r="R834" s="144"/>
      <c r="S834" s="144"/>
      <c r="T834" s="143"/>
      <c r="U834" s="143"/>
      <c r="V834" s="143"/>
      <c r="W834" s="130"/>
      <c r="X834" s="130"/>
      <c r="Y834" s="130"/>
      <c r="Z834" s="130"/>
      <c r="AA834" s="130"/>
      <c r="AB834" s="130"/>
      <c r="AC834" s="130"/>
      <c r="AD834" s="130"/>
      <c r="AE834" s="130"/>
      <c r="AF834" s="130"/>
      <c r="AG834" s="130"/>
      <c r="AH834" s="130"/>
      <c r="AI834" s="130"/>
      <c r="AJ834" s="130"/>
      <c r="AK834" s="130"/>
    </row>
    <row r="835">
      <c r="A835" s="130"/>
      <c r="B835" s="130"/>
      <c r="C835" s="143"/>
      <c r="D835" s="130"/>
      <c r="E835" s="143"/>
      <c r="F835" s="143"/>
      <c r="G835" s="143"/>
      <c r="H835" s="143"/>
      <c r="I835" s="143"/>
      <c r="J835" s="143"/>
      <c r="K835" s="143"/>
      <c r="L835" s="143"/>
      <c r="M835" s="143"/>
      <c r="N835" s="143"/>
      <c r="O835" s="143"/>
      <c r="P835" s="143"/>
      <c r="Q835" s="67"/>
      <c r="R835" s="144"/>
      <c r="S835" s="144"/>
      <c r="T835" s="143"/>
      <c r="U835" s="143"/>
      <c r="V835" s="143"/>
      <c r="W835" s="130"/>
      <c r="X835" s="130"/>
      <c r="Y835" s="130"/>
      <c r="Z835" s="130"/>
      <c r="AA835" s="130"/>
      <c r="AB835" s="130"/>
      <c r="AC835" s="130"/>
      <c r="AD835" s="130"/>
      <c r="AE835" s="130"/>
      <c r="AF835" s="130"/>
      <c r="AG835" s="130"/>
      <c r="AH835" s="130"/>
      <c r="AI835" s="130"/>
      <c r="AJ835" s="130"/>
      <c r="AK835" s="130"/>
    </row>
    <row r="836">
      <c r="A836" s="130"/>
      <c r="B836" s="130"/>
      <c r="C836" s="143"/>
      <c r="D836" s="130"/>
      <c r="E836" s="143"/>
      <c r="F836" s="143"/>
      <c r="G836" s="143"/>
      <c r="H836" s="143"/>
      <c r="I836" s="143"/>
      <c r="J836" s="143"/>
      <c r="K836" s="143"/>
      <c r="L836" s="143"/>
      <c r="M836" s="143"/>
      <c r="N836" s="143"/>
      <c r="O836" s="143"/>
      <c r="P836" s="143"/>
      <c r="Q836" s="67"/>
      <c r="R836" s="144"/>
      <c r="S836" s="144"/>
      <c r="T836" s="143"/>
      <c r="U836" s="143"/>
      <c r="V836" s="143"/>
      <c r="W836" s="130"/>
      <c r="X836" s="130"/>
      <c r="Y836" s="130"/>
      <c r="Z836" s="130"/>
      <c r="AA836" s="130"/>
      <c r="AB836" s="130"/>
      <c r="AC836" s="130"/>
      <c r="AD836" s="130"/>
      <c r="AE836" s="130"/>
      <c r="AF836" s="130"/>
      <c r="AG836" s="130"/>
      <c r="AH836" s="130"/>
      <c r="AI836" s="130"/>
      <c r="AJ836" s="130"/>
      <c r="AK836" s="130"/>
    </row>
    <row r="837">
      <c r="A837" s="130"/>
      <c r="B837" s="130"/>
      <c r="C837" s="143"/>
      <c r="D837" s="130"/>
      <c r="E837" s="143"/>
      <c r="F837" s="143"/>
      <c r="G837" s="143"/>
      <c r="H837" s="143"/>
      <c r="I837" s="143"/>
      <c r="J837" s="143"/>
      <c r="K837" s="143"/>
      <c r="L837" s="143"/>
      <c r="M837" s="143"/>
      <c r="N837" s="143"/>
      <c r="O837" s="143"/>
      <c r="P837" s="143"/>
      <c r="Q837" s="67"/>
      <c r="R837" s="144"/>
      <c r="S837" s="144"/>
      <c r="T837" s="143"/>
      <c r="U837" s="143"/>
      <c r="V837" s="143"/>
      <c r="W837" s="130"/>
      <c r="X837" s="130"/>
      <c r="Y837" s="130"/>
      <c r="Z837" s="130"/>
      <c r="AA837" s="130"/>
      <c r="AB837" s="130"/>
      <c r="AC837" s="130"/>
      <c r="AD837" s="130"/>
      <c r="AE837" s="130"/>
      <c r="AF837" s="130"/>
      <c r="AG837" s="130"/>
      <c r="AH837" s="130"/>
      <c r="AI837" s="130"/>
      <c r="AJ837" s="130"/>
      <c r="AK837" s="130"/>
    </row>
    <row r="838">
      <c r="A838" s="130"/>
      <c r="B838" s="130"/>
      <c r="C838" s="143"/>
      <c r="D838" s="130"/>
      <c r="E838" s="143"/>
      <c r="F838" s="143"/>
      <c r="G838" s="143"/>
      <c r="H838" s="143"/>
      <c r="I838" s="143"/>
      <c r="J838" s="143"/>
      <c r="K838" s="143"/>
      <c r="L838" s="143"/>
      <c r="M838" s="143"/>
      <c r="N838" s="143"/>
      <c r="O838" s="143"/>
      <c r="P838" s="143"/>
      <c r="Q838" s="67"/>
      <c r="R838" s="144"/>
      <c r="S838" s="144"/>
      <c r="T838" s="143"/>
      <c r="U838" s="143"/>
      <c r="V838" s="143"/>
      <c r="W838" s="130"/>
      <c r="X838" s="130"/>
      <c r="Y838" s="130"/>
      <c r="Z838" s="130"/>
      <c r="AA838" s="130"/>
      <c r="AB838" s="130"/>
      <c r="AC838" s="130"/>
      <c r="AD838" s="130"/>
      <c r="AE838" s="130"/>
      <c r="AF838" s="130"/>
      <c r="AG838" s="130"/>
      <c r="AH838" s="130"/>
      <c r="AI838" s="130"/>
      <c r="AJ838" s="130"/>
      <c r="AK838" s="130"/>
    </row>
    <row r="839">
      <c r="A839" s="130"/>
      <c r="B839" s="130"/>
      <c r="C839" s="143"/>
      <c r="D839" s="130"/>
      <c r="E839" s="143"/>
      <c r="F839" s="143"/>
      <c r="G839" s="143"/>
      <c r="H839" s="143"/>
      <c r="I839" s="143"/>
      <c r="J839" s="143"/>
      <c r="K839" s="143"/>
      <c r="L839" s="143"/>
      <c r="M839" s="143"/>
      <c r="N839" s="143"/>
      <c r="O839" s="143"/>
      <c r="P839" s="143"/>
      <c r="Q839" s="67"/>
      <c r="R839" s="144"/>
      <c r="S839" s="144"/>
      <c r="T839" s="143"/>
      <c r="U839" s="143"/>
      <c r="V839" s="143"/>
      <c r="W839" s="130"/>
      <c r="X839" s="130"/>
      <c r="Y839" s="130"/>
      <c r="Z839" s="130"/>
      <c r="AA839" s="130"/>
      <c r="AB839" s="130"/>
      <c r="AC839" s="130"/>
      <c r="AD839" s="130"/>
      <c r="AE839" s="130"/>
      <c r="AF839" s="130"/>
      <c r="AG839" s="130"/>
      <c r="AH839" s="130"/>
      <c r="AI839" s="130"/>
      <c r="AJ839" s="130"/>
      <c r="AK839" s="130"/>
    </row>
    <row r="840">
      <c r="A840" s="130"/>
      <c r="B840" s="130"/>
      <c r="C840" s="143"/>
      <c r="D840" s="130"/>
      <c r="E840" s="143"/>
      <c r="F840" s="143"/>
      <c r="G840" s="143"/>
      <c r="H840" s="143"/>
      <c r="I840" s="143"/>
      <c r="J840" s="143"/>
      <c r="K840" s="143"/>
      <c r="L840" s="143"/>
      <c r="M840" s="143"/>
      <c r="N840" s="143"/>
      <c r="O840" s="143"/>
      <c r="P840" s="143"/>
      <c r="Q840" s="67"/>
      <c r="R840" s="144"/>
      <c r="S840" s="144"/>
      <c r="T840" s="143"/>
      <c r="U840" s="143"/>
      <c r="V840" s="143"/>
      <c r="W840" s="130"/>
      <c r="X840" s="130"/>
      <c r="Y840" s="130"/>
      <c r="Z840" s="130"/>
      <c r="AA840" s="130"/>
      <c r="AB840" s="130"/>
      <c r="AC840" s="130"/>
      <c r="AD840" s="130"/>
      <c r="AE840" s="130"/>
      <c r="AF840" s="130"/>
      <c r="AG840" s="130"/>
      <c r="AH840" s="130"/>
      <c r="AI840" s="130"/>
      <c r="AJ840" s="130"/>
      <c r="AK840" s="130"/>
    </row>
    <row r="841">
      <c r="A841" s="130"/>
      <c r="B841" s="130"/>
      <c r="C841" s="143"/>
      <c r="D841" s="130"/>
      <c r="E841" s="143"/>
      <c r="F841" s="143"/>
      <c r="G841" s="143"/>
      <c r="H841" s="143"/>
      <c r="I841" s="143"/>
      <c r="J841" s="143"/>
      <c r="K841" s="143"/>
      <c r="L841" s="143"/>
      <c r="M841" s="143"/>
      <c r="N841" s="143"/>
      <c r="O841" s="143"/>
      <c r="P841" s="143"/>
      <c r="Q841" s="67"/>
      <c r="R841" s="144"/>
      <c r="S841" s="144"/>
      <c r="T841" s="143"/>
      <c r="U841" s="143"/>
      <c r="V841" s="143"/>
      <c r="W841" s="130"/>
      <c r="X841" s="130"/>
      <c r="Y841" s="130"/>
      <c r="Z841" s="130"/>
      <c r="AA841" s="130"/>
      <c r="AB841" s="130"/>
      <c r="AC841" s="130"/>
      <c r="AD841" s="130"/>
      <c r="AE841" s="130"/>
      <c r="AF841" s="130"/>
      <c r="AG841" s="130"/>
      <c r="AH841" s="130"/>
      <c r="AI841" s="130"/>
      <c r="AJ841" s="130"/>
      <c r="AK841" s="130"/>
    </row>
    <row r="842">
      <c r="A842" s="130"/>
      <c r="B842" s="130"/>
      <c r="C842" s="143"/>
      <c r="D842" s="130"/>
      <c r="E842" s="143"/>
      <c r="F842" s="143"/>
      <c r="G842" s="143"/>
      <c r="H842" s="143"/>
      <c r="I842" s="143"/>
      <c r="J842" s="143"/>
      <c r="K842" s="143"/>
      <c r="L842" s="143"/>
      <c r="M842" s="143"/>
      <c r="N842" s="143"/>
      <c r="O842" s="143"/>
      <c r="P842" s="143"/>
      <c r="Q842" s="67"/>
      <c r="R842" s="144"/>
      <c r="S842" s="144"/>
      <c r="T842" s="143"/>
      <c r="U842" s="143"/>
      <c r="V842" s="143"/>
      <c r="W842" s="130"/>
      <c r="X842" s="130"/>
      <c r="Y842" s="130"/>
      <c r="Z842" s="130"/>
      <c r="AA842" s="130"/>
      <c r="AB842" s="130"/>
      <c r="AC842" s="130"/>
      <c r="AD842" s="130"/>
      <c r="AE842" s="130"/>
      <c r="AF842" s="130"/>
      <c r="AG842" s="130"/>
      <c r="AH842" s="130"/>
      <c r="AI842" s="130"/>
      <c r="AJ842" s="130"/>
      <c r="AK842" s="130"/>
    </row>
    <row r="843">
      <c r="A843" s="130"/>
      <c r="B843" s="130"/>
      <c r="C843" s="143"/>
      <c r="D843" s="130"/>
      <c r="E843" s="143"/>
      <c r="F843" s="143"/>
      <c r="G843" s="143"/>
      <c r="H843" s="143"/>
      <c r="I843" s="143"/>
      <c r="J843" s="143"/>
      <c r="K843" s="143"/>
      <c r="L843" s="143"/>
      <c r="M843" s="143"/>
      <c r="N843" s="143"/>
      <c r="O843" s="143"/>
      <c r="P843" s="143"/>
      <c r="Q843" s="67"/>
      <c r="R843" s="144"/>
      <c r="S843" s="144"/>
      <c r="T843" s="143"/>
      <c r="U843" s="143"/>
      <c r="V843" s="143"/>
      <c r="W843" s="130"/>
      <c r="X843" s="130"/>
      <c r="Y843" s="130"/>
      <c r="Z843" s="130"/>
      <c r="AA843" s="130"/>
      <c r="AB843" s="130"/>
      <c r="AC843" s="130"/>
      <c r="AD843" s="130"/>
      <c r="AE843" s="130"/>
      <c r="AF843" s="130"/>
      <c r="AG843" s="130"/>
      <c r="AH843" s="130"/>
      <c r="AI843" s="130"/>
      <c r="AJ843" s="130"/>
      <c r="AK843" s="130"/>
    </row>
    <row r="844">
      <c r="A844" s="130"/>
      <c r="B844" s="130"/>
      <c r="C844" s="143"/>
      <c r="D844" s="130"/>
      <c r="E844" s="143"/>
      <c r="F844" s="143"/>
      <c r="G844" s="143"/>
      <c r="H844" s="143"/>
      <c r="I844" s="143"/>
      <c r="J844" s="143"/>
      <c r="K844" s="143"/>
      <c r="L844" s="143"/>
      <c r="M844" s="143"/>
      <c r="N844" s="143"/>
      <c r="O844" s="143"/>
      <c r="P844" s="143"/>
      <c r="Q844" s="67"/>
      <c r="R844" s="144"/>
      <c r="S844" s="144"/>
      <c r="T844" s="143"/>
      <c r="U844" s="143"/>
      <c r="V844" s="143"/>
      <c r="W844" s="130"/>
      <c r="X844" s="130"/>
      <c r="Y844" s="130"/>
      <c r="Z844" s="130"/>
      <c r="AA844" s="130"/>
      <c r="AB844" s="130"/>
      <c r="AC844" s="130"/>
      <c r="AD844" s="130"/>
      <c r="AE844" s="130"/>
      <c r="AF844" s="130"/>
      <c r="AG844" s="130"/>
      <c r="AH844" s="130"/>
      <c r="AI844" s="130"/>
      <c r="AJ844" s="130"/>
      <c r="AK844" s="130"/>
    </row>
    <row r="845">
      <c r="A845" s="130"/>
      <c r="B845" s="130"/>
      <c r="C845" s="143"/>
      <c r="D845" s="130"/>
      <c r="E845" s="143"/>
      <c r="F845" s="143"/>
      <c r="G845" s="143"/>
      <c r="H845" s="143"/>
      <c r="I845" s="143"/>
      <c r="J845" s="143"/>
      <c r="K845" s="143"/>
      <c r="L845" s="143"/>
      <c r="M845" s="143"/>
      <c r="N845" s="143"/>
      <c r="O845" s="143"/>
      <c r="P845" s="143"/>
      <c r="Q845" s="67"/>
      <c r="R845" s="144"/>
      <c r="S845" s="144"/>
      <c r="T845" s="143"/>
      <c r="U845" s="143"/>
      <c r="V845" s="143"/>
      <c r="W845" s="130"/>
      <c r="X845" s="130"/>
      <c r="Y845" s="130"/>
      <c r="Z845" s="130"/>
      <c r="AA845" s="130"/>
      <c r="AB845" s="130"/>
      <c r="AC845" s="130"/>
      <c r="AD845" s="130"/>
      <c r="AE845" s="130"/>
      <c r="AF845" s="130"/>
      <c r="AG845" s="130"/>
      <c r="AH845" s="130"/>
      <c r="AI845" s="130"/>
      <c r="AJ845" s="130"/>
      <c r="AK845" s="130"/>
    </row>
    <row r="846">
      <c r="A846" s="130"/>
      <c r="B846" s="130"/>
      <c r="C846" s="143"/>
      <c r="D846" s="130"/>
      <c r="E846" s="143"/>
      <c r="F846" s="143"/>
      <c r="G846" s="143"/>
      <c r="H846" s="143"/>
      <c r="I846" s="143"/>
      <c r="J846" s="143"/>
      <c r="K846" s="143"/>
      <c r="L846" s="143"/>
      <c r="M846" s="143"/>
      <c r="N846" s="143"/>
      <c r="O846" s="143"/>
      <c r="P846" s="143"/>
      <c r="Q846" s="67"/>
      <c r="R846" s="144"/>
      <c r="S846" s="144"/>
      <c r="T846" s="143"/>
      <c r="U846" s="143"/>
      <c r="V846" s="143"/>
      <c r="W846" s="130"/>
      <c r="X846" s="130"/>
      <c r="Y846" s="130"/>
      <c r="Z846" s="130"/>
      <c r="AA846" s="130"/>
      <c r="AB846" s="130"/>
      <c r="AC846" s="130"/>
      <c r="AD846" s="130"/>
      <c r="AE846" s="130"/>
      <c r="AF846" s="130"/>
      <c r="AG846" s="130"/>
      <c r="AH846" s="130"/>
      <c r="AI846" s="130"/>
      <c r="AJ846" s="130"/>
      <c r="AK846" s="130"/>
    </row>
    <row r="847">
      <c r="A847" s="130"/>
      <c r="B847" s="130"/>
      <c r="C847" s="143"/>
      <c r="D847" s="130"/>
      <c r="E847" s="143"/>
      <c r="F847" s="143"/>
      <c r="G847" s="143"/>
      <c r="H847" s="143"/>
      <c r="I847" s="143"/>
      <c r="J847" s="143"/>
      <c r="K847" s="143"/>
      <c r="L847" s="143"/>
      <c r="M847" s="143"/>
      <c r="N847" s="143"/>
      <c r="O847" s="143"/>
      <c r="P847" s="143"/>
      <c r="Q847" s="67"/>
      <c r="R847" s="144"/>
      <c r="S847" s="144"/>
      <c r="T847" s="143"/>
      <c r="U847" s="143"/>
      <c r="V847" s="143"/>
      <c r="W847" s="130"/>
      <c r="X847" s="130"/>
      <c r="Y847" s="130"/>
      <c r="Z847" s="130"/>
      <c r="AA847" s="130"/>
      <c r="AB847" s="130"/>
      <c r="AC847" s="130"/>
      <c r="AD847" s="130"/>
      <c r="AE847" s="130"/>
      <c r="AF847" s="130"/>
      <c r="AG847" s="130"/>
      <c r="AH847" s="130"/>
      <c r="AI847" s="130"/>
      <c r="AJ847" s="130"/>
      <c r="AK847" s="130"/>
    </row>
    <row r="848">
      <c r="A848" s="130"/>
      <c r="B848" s="130"/>
      <c r="C848" s="143"/>
      <c r="D848" s="130"/>
      <c r="E848" s="143"/>
      <c r="F848" s="143"/>
      <c r="G848" s="143"/>
      <c r="H848" s="143"/>
      <c r="I848" s="143"/>
      <c r="J848" s="143"/>
      <c r="K848" s="143"/>
      <c r="L848" s="143"/>
      <c r="M848" s="143"/>
      <c r="N848" s="143"/>
      <c r="O848" s="143"/>
      <c r="P848" s="143"/>
      <c r="Q848" s="67"/>
      <c r="R848" s="144"/>
      <c r="S848" s="144"/>
      <c r="T848" s="143"/>
      <c r="U848" s="143"/>
      <c r="V848" s="143"/>
      <c r="W848" s="130"/>
      <c r="X848" s="130"/>
      <c r="Y848" s="130"/>
      <c r="Z848" s="130"/>
      <c r="AA848" s="130"/>
      <c r="AB848" s="130"/>
      <c r="AC848" s="130"/>
      <c r="AD848" s="130"/>
      <c r="AE848" s="130"/>
      <c r="AF848" s="130"/>
      <c r="AG848" s="130"/>
      <c r="AH848" s="130"/>
      <c r="AI848" s="130"/>
      <c r="AJ848" s="130"/>
      <c r="AK848" s="130"/>
    </row>
    <row r="849">
      <c r="A849" s="130"/>
      <c r="B849" s="130"/>
      <c r="C849" s="143"/>
      <c r="D849" s="130"/>
      <c r="E849" s="143"/>
      <c r="F849" s="143"/>
      <c r="G849" s="143"/>
      <c r="H849" s="143"/>
      <c r="I849" s="143"/>
      <c r="J849" s="143"/>
      <c r="K849" s="143"/>
      <c r="L849" s="143"/>
      <c r="M849" s="143"/>
      <c r="N849" s="143"/>
      <c r="O849" s="143"/>
      <c r="P849" s="143"/>
      <c r="Q849" s="67"/>
      <c r="R849" s="144"/>
      <c r="S849" s="144"/>
      <c r="T849" s="143"/>
      <c r="U849" s="143"/>
      <c r="V849" s="143"/>
      <c r="W849" s="130"/>
      <c r="X849" s="130"/>
      <c r="Y849" s="130"/>
      <c r="Z849" s="130"/>
      <c r="AA849" s="130"/>
      <c r="AB849" s="130"/>
      <c r="AC849" s="130"/>
      <c r="AD849" s="130"/>
      <c r="AE849" s="130"/>
      <c r="AF849" s="130"/>
      <c r="AG849" s="130"/>
      <c r="AH849" s="130"/>
      <c r="AI849" s="130"/>
      <c r="AJ849" s="130"/>
      <c r="AK849" s="130"/>
    </row>
    <row r="850">
      <c r="A850" s="130"/>
      <c r="B850" s="130"/>
      <c r="C850" s="143"/>
      <c r="D850" s="130"/>
      <c r="E850" s="143"/>
      <c r="F850" s="143"/>
      <c r="G850" s="143"/>
      <c r="H850" s="143"/>
      <c r="I850" s="143"/>
      <c r="J850" s="143"/>
      <c r="K850" s="143"/>
      <c r="L850" s="143"/>
      <c r="M850" s="143"/>
      <c r="N850" s="143"/>
      <c r="O850" s="143"/>
      <c r="P850" s="143"/>
      <c r="Q850" s="67"/>
      <c r="R850" s="144"/>
      <c r="S850" s="144"/>
      <c r="T850" s="143"/>
      <c r="U850" s="143"/>
      <c r="V850" s="143"/>
      <c r="W850" s="130"/>
      <c r="X850" s="130"/>
      <c r="Y850" s="130"/>
      <c r="Z850" s="130"/>
      <c r="AA850" s="130"/>
      <c r="AB850" s="130"/>
      <c r="AC850" s="130"/>
      <c r="AD850" s="130"/>
      <c r="AE850" s="130"/>
      <c r="AF850" s="130"/>
      <c r="AG850" s="130"/>
      <c r="AH850" s="130"/>
      <c r="AI850" s="130"/>
      <c r="AJ850" s="130"/>
      <c r="AK850" s="130"/>
    </row>
    <row r="851">
      <c r="A851" s="130"/>
      <c r="B851" s="130"/>
      <c r="C851" s="143"/>
      <c r="D851" s="130"/>
      <c r="E851" s="143"/>
      <c r="F851" s="143"/>
      <c r="G851" s="143"/>
      <c r="H851" s="143"/>
      <c r="I851" s="143"/>
      <c r="J851" s="143"/>
      <c r="K851" s="143"/>
      <c r="L851" s="143"/>
      <c r="M851" s="143"/>
      <c r="N851" s="143"/>
      <c r="O851" s="143"/>
      <c r="P851" s="143"/>
      <c r="Q851" s="67"/>
      <c r="R851" s="144"/>
      <c r="S851" s="144"/>
      <c r="T851" s="143"/>
      <c r="U851" s="143"/>
      <c r="V851" s="143"/>
      <c r="W851" s="130"/>
      <c r="X851" s="130"/>
      <c r="Y851" s="130"/>
      <c r="Z851" s="130"/>
      <c r="AA851" s="130"/>
      <c r="AB851" s="130"/>
      <c r="AC851" s="130"/>
      <c r="AD851" s="130"/>
      <c r="AE851" s="130"/>
      <c r="AF851" s="130"/>
      <c r="AG851" s="130"/>
      <c r="AH851" s="130"/>
      <c r="AI851" s="130"/>
      <c r="AJ851" s="130"/>
      <c r="AK851" s="130"/>
    </row>
    <row r="852">
      <c r="A852" s="130"/>
      <c r="B852" s="130"/>
      <c r="C852" s="143"/>
      <c r="D852" s="130"/>
      <c r="E852" s="143"/>
      <c r="F852" s="143"/>
      <c r="G852" s="143"/>
      <c r="H852" s="143"/>
      <c r="I852" s="143"/>
      <c r="J852" s="143"/>
      <c r="K852" s="143"/>
      <c r="L852" s="143"/>
      <c r="M852" s="143"/>
      <c r="N852" s="143"/>
      <c r="O852" s="143"/>
      <c r="P852" s="143"/>
      <c r="Q852" s="67"/>
      <c r="R852" s="144"/>
      <c r="S852" s="144"/>
      <c r="T852" s="143"/>
      <c r="U852" s="143"/>
      <c r="V852" s="143"/>
      <c r="W852" s="130"/>
      <c r="X852" s="130"/>
      <c r="Y852" s="130"/>
      <c r="Z852" s="130"/>
      <c r="AA852" s="130"/>
      <c r="AB852" s="130"/>
      <c r="AC852" s="130"/>
      <c r="AD852" s="130"/>
      <c r="AE852" s="130"/>
      <c r="AF852" s="130"/>
      <c r="AG852" s="130"/>
      <c r="AH852" s="130"/>
      <c r="AI852" s="130"/>
      <c r="AJ852" s="130"/>
      <c r="AK852" s="130"/>
    </row>
    <row r="853">
      <c r="A853" s="130"/>
      <c r="B853" s="130"/>
      <c r="C853" s="143"/>
      <c r="D853" s="130"/>
      <c r="E853" s="143"/>
      <c r="F853" s="143"/>
      <c r="G853" s="143"/>
      <c r="H853" s="143"/>
      <c r="I853" s="143"/>
      <c r="J853" s="143"/>
      <c r="K853" s="143"/>
      <c r="L853" s="143"/>
      <c r="M853" s="143"/>
      <c r="N853" s="143"/>
      <c r="O853" s="143"/>
      <c r="P853" s="143"/>
      <c r="Q853" s="67"/>
      <c r="R853" s="144"/>
      <c r="S853" s="144"/>
      <c r="T853" s="143"/>
      <c r="U853" s="143"/>
      <c r="V853" s="143"/>
      <c r="W853" s="130"/>
      <c r="X853" s="130"/>
      <c r="Y853" s="130"/>
      <c r="Z853" s="130"/>
      <c r="AA853" s="130"/>
      <c r="AB853" s="130"/>
      <c r="AC853" s="130"/>
      <c r="AD853" s="130"/>
      <c r="AE853" s="130"/>
      <c r="AF853" s="130"/>
      <c r="AG853" s="130"/>
      <c r="AH853" s="130"/>
      <c r="AI853" s="130"/>
      <c r="AJ853" s="130"/>
      <c r="AK853" s="130"/>
    </row>
    <row r="854">
      <c r="A854" s="130"/>
      <c r="B854" s="130"/>
      <c r="C854" s="143"/>
      <c r="D854" s="130"/>
      <c r="E854" s="143"/>
      <c r="F854" s="143"/>
      <c r="G854" s="143"/>
      <c r="H854" s="143"/>
      <c r="I854" s="143"/>
      <c r="J854" s="143"/>
      <c r="K854" s="143"/>
      <c r="L854" s="143"/>
      <c r="M854" s="143"/>
      <c r="N854" s="143"/>
      <c r="O854" s="143"/>
      <c r="P854" s="143"/>
      <c r="Q854" s="67"/>
      <c r="R854" s="144"/>
      <c r="S854" s="144"/>
      <c r="T854" s="143"/>
      <c r="U854" s="143"/>
      <c r="V854" s="143"/>
      <c r="W854" s="130"/>
      <c r="X854" s="130"/>
      <c r="Y854" s="130"/>
      <c r="Z854" s="130"/>
      <c r="AA854" s="130"/>
      <c r="AB854" s="130"/>
      <c r="AC854" s="130"/>
      <c r="AD854" s="130"/>
      <c r="AE854" s="130"/>
      <c r="AF854" s="130"/>
      <c r="AG854" s="130"/>
      <c r="AH854" s="130"/>
      <c r="AI854" s="130"/>
      <c r="AJ854" s="130"/>
      <c r="AK854" s="130"/>
    </row>
    <row r="855">
      <c r="A855" s="130"/>
      <c r="B855" s="130"/>
      <c r="C855" s="143"/>
      <c r="D855" s="130"/>
      <c r="E855" s="143"/>
      <c r="F855" s="143"/>
      <c r="G855" s="143"/>
      <c r="H855" s="143"/>
      <c r="I855" s="143"/>
      <c r="J855" s="143"/>
      <c r="K855" s="143"/>
      <c r="L855" s="143"/>
      <c r="M855" s="143"/>
      <c r="N855" s="143"/>
      <c r="O855" s="143"/>
      <c r="P855" s="143"/>
      <c r="Q855" s="67"/>
      <c r="R855" s="144"/>
      <c r="S855" s="144"/>
      <c r="T855" s="143"/>
      <c r="U855" s="143"/>
      <c r="V855" s="143"/>
      <c r="W855" s="130"/>
      <c r="X855" s="130"/>
      <c r="Y855" s="130"/>
      <c r="Z855" s="130"/>
      <c r="AA855" s="130"/>
      <c r="AB855" s="130"/>
      <c r="AC855" s="130"/>
      <c r="AD855" s="130"/>
      <c r="AE855" s="130"/>
      <c r="AF855" s="130"/>
      <c r="AG855" s="130"/>
      <c r="AH855" s="130"/>
      <c r="AI855" s="130"/>
      <c r="AJ855" s="130"/>
      <c r="AK855" s="130"/>
    </row>
    <row r="856">
      <c r="A856" s="130"/>
      <c r="B856" s="130"/>
      <c r="C856" s="143"/>
      <c r="D856" s="130"/>
      <c r="E856" s="143"/>
      <c r="F856" s="143"/>
      <c r="G856" s="143"/>
      <c r="H856" s="143"/>
      <c r="I856" s="143"/>
      <c r="J856" s="143"/>
      <c r="K856" s="143"/>
      <c r="L856" s="143"/>
      <c r="M856" s="143"/>
      <c r="N856" s="143"/>
      <c r="O856" s="143"/>
      <c r="P856" s="143"/>
      <c r="Q856" s="67"/>
      <c r="R856" s="144"/>
      <c r="S856" s="144"/>
      <c r="T856" s="143"/>
      <c r="U856" s="143"/>
      <c r="V856" s="143"/>
      <c r="W856" s="130"/>
      <c r="X856" s="130"/>
      <c r="Y856" s="130"/>
      <c r="Z856" s="130"/>
      <c r="AA856" s="130"/>
      <c r="AB856" s="130"/>
      <c r="AC856" s="130"/>
      <c r="AD856" s="130"/>
      <c r="AE856" s="130"/>
      <c r="AF856" s="130"/>
      <c r="AG856" s="130"/>
      <c r="AH856" s="130"/>
      <c r="AI856" s="130"/>
      <c r="AJ856" s="130"/>
      <c r="AK856" s="130"/>
    </row>
    <row r="857">
      <c r="A857" s="130"/>
      <c r="B857" s="130"/>
      <c r="C857" s="143"/>
      <c r="D857" s="130"/>
      <c r="E857" s="143"/>
      <c r="F857" s="143"/>
      <c r="G857" s="143"/>
      <c r="H857" s="143"/>
      <c r="I857" s="143"/>
      <c r="J857" s="143"/>
      <c r="K857" s="143"/>
      <c r="L857" s="143"/>
      <c r="M857" s="143"/>
      <c r="N857" s="143"/>
      <c r="O857" s="143"/>
      <c r="P857" s="143"/>
      <c r="Q857" s="67"/>
      <c r="R857" s="144"/>
      <c r="S857" s="144"/>
      <c r="T857" s="143"/>
      <c r="U857" s="143"/>
      <c r="V857" s="143"/>
      <c r="W857" s="130"/>
      <c r="X857" s="130"/>
      <c r="Y857" s="130"/>
      <c r="Z857" s="130"/>
      <c r="AA857" s="130"/>
      <c r="AB857" s="130"/>
      <c r="AC857" s="130"/>
      <c r="AD857" s="130"/>
      <c r="AE857" s="130"/>
      <c r="AF857" s="130"/>
      <c r="AG857" s="130"/>
      <c r="AH857" s="130"/>
      <c r="AI857" s="130"/>
      <c r="AJ857" s="130"/>
      <c r="AK857" s="130"/>
    </row>
    <row r="858">
      <c r="A858" s="130"/>
      <c r="B858" s="130"/>
      <c r="C858" s="143"/>
      <c r="D858" s="130"/>
      <c r="E858" s="143"/>
      <c r="F858" s="143"/>
      <c r="G858" s="143"/>
      <c r="H858" s="143"/>
      <c r="I858" s="143"/>
      <c r="J858" s="143"/>
      <c r="K858" s="143"/>
      <c r="L858" s="143"/>
      <c r="M858" s="143"/>
      <c r="N858" s="143"/>
      <c r="O858" s="143"/>
      <c r="P858" s="143"/>
      <c r="Q858" s="67"/>
      <c r="R858" s="144"/>
      <c r="S858" s="144"/>
      <c r="T858" s="143"/>
      <c r="U858" s="143"/>
      <c r="V858" s="143"/>
      <c r="W858" s="130"/>
      <c r="X858" s="130"/>
      <c r="Y858" s="130"/>
      <c r="Z858" s="130"/>
      <c r="AA858" s="130"/>
      <c r="AB858" s="130"/>
      <c r="AC858" s="130"/>
      <c r="AD858" s="130"/>
      <c r="AE858" s="130"/>
      <c r="AF858" s="130"/>
      <c r="AG858" s="130"/>
      <c r="AH858" s="130"/>
      <c r="AI858" s="130"/>
      <c r="AJ858" s="130"/>
      <c r="AK858" s="130"/>
    </row>
    <row r="859">
      <c r="A859" s="130"/>
      <c r="B859" s="130"/>
      <c r="C859" s="143"/>
      <c r="D859" s="130"/>
      <c r="E859" s="143"/>
      <c r="F859" s="143"/>
      <c r="G859" s="143"/>
      <c r="H859" s="143"/>
      <c r="I859" s="143"/>
      <c r="J859" s="143"/>
      <c r="K859" s="143"/>
      <c r="L859" s="143"/>
      <c r="M859" s="143"/>
      <c r="N859" s="143"/>
      <c r="O859" s="143"/>
      <c r="P859" s="143"/>
      <c r="Q859" s="67"/>
      <c r="R859" s="144"/>
      <c r="S859" s="144"/>
      <c r="T859" s="143"/>
      <c r="U859" s="143"/>
      <c r="V859" s="143"/>
      <c r="W859" s="130"/>
      <c r="X859" s="130"/>
      <c r="Y859" s="130"/>
      <c r="Z859" s="130"/>
      <c r="AA859" s="130"/>
      <c r="AB859" s="130"/>
      <c r="AC859" s="130"/>
      <c r="AD859" s="130"/>
      <c r="AE859" s="130"/>
      <c r="AF859" s="130"/>
      <c r="AG859" s="130"/>
      <c r="AH859" s="130"/>
      <c r="AI859" s="130"/>
      <c r="AJ859" s="130"/>
      <c r="AK859" s="130"/>
    </row>
    <row r="860">
      <c r="A860" s="130"/>
      <c r="B860" s="130"/>
      <c r="C860" s="143"/>
      <c r="D860" s="130"/>
      <c r="E860" s="143"/>
      <c r="F860" s="143"/>
      <c r="G860" s="143"/>
      <c r="H860" s="143"/>
      <c r="I860" s="143"/>
      <c r="J860" s="143"/>
      <c r="K860" s="143"/>
      <c r="L860" s="143"/>
      <c r="M860" s="143"/>
      <c r="N860" s="143"/>
      <c r="O860" s="143"/>
      <c r="P860" s="143"/>
      <c r="Q860" s="67"/>
      <c r="R860" s="144"/>
      <c r="S860" s="144"/>
      <c r="T860" s="143"/>
      <c r="U860" s="143"/>
      <c r="V860" s="143"/>
      <c r="W860" s="130"/>
      <c r="X860" s="130"/>
      <c r="Y860" s="130"/>
      <c r="Z860" s="130"/>
      <c r="AA860" s="130"/>
      <c r="AB860" s="130"/>
      <c r="AC860" s="130"/>
      <c r="AD860" s="130"/>
      <c r="AE860" s="130"/>
      <c r="AF860" s="130"/>
      <c r="AG860" s="130"/>
      <c r="AH860" s="130"/>
      <c r="AI860" s="130"/>
      <c r="AJ860" s="130"/>
      <c r="AK860" s="130"/>
    </row>
    <row r="861">
      <c r="A861" s="130"/>
      <c r="B861" s="130"/>
      <c r="C861" s="143"/>
      <c r="D861" s="130"/>
      <c r="E861" s="143"/>
      <c r="F861" s="143"/>
      <c r="G861" s="143"/>
      <c r="H861" s="143"/>
      <c r="I861" s="143"/>
      <c r="J861" s="143"/>
      <c r="K861" s="143"/>
      <c r="L861" s="143"/>
      <c r="M861" s="143"/>
      <c r="N861" s="143"/>
      <c r="O861" s="143"/>
      <c r="P861" s="143"/>
      <c r="Q861" s="67"/>
      <c r="R861" s="144"/>
      <c r="S861" s="144"/>
      <c r="T861" s="143"/>
      <c r="U861" s="143"/>
      <c r="V861" s="143"/>
      <c r="W861" s="130"/>
      <c r="X861" s="130"/>
      <c r="Y861" s="130"/>
      <c r="Z861" s="130"/>
      <c r="AA861" s="130"/>
      <c r="AB861" s="130"/>
      <c r="AC861" s="130"/>
      <c r="AD861" s="130"/>
      <c r="AE861" s="130"/>
      <c r="AF861" s="130"/>
      <c r="AG861" s="130"/>
      <c r="AH861" s="130"/>
      <c r="AI861" s="130"/>
      <c r="AJ861" s="130"/>
      <c r="AK861" s="130"/>
    </row>
    <row r="862">
      <c r="A862" s="130"/>
      <c r="B862" s="130"/>
      <c r="C862" s="143"/>
      <c r="D862" s="130"/>
      <c r="E862" s="143"/>
      <c r="F862" s="143"/>
      <c r="G862" s="143"/>
      <c r="H862" s="143"/>
      <c r="I862" s="143"/>
      <c r="J862" s="143"/>
      <c r="K862" s="143"/>
      <c r="L862" s="143"/>
      <c r="M862" s="143"/>
      <c r="N862" s="143"/>
      <c r="O862" s="143"/>
      <c r="P862" s="143"/>
      <c r="Q862" s="67"/>
      <c r="R862" s="144"/>
      <c r="S862" s="144"/>
      <c r="T862" s="143"/>
      <c r="U862" s="143"/>
      <c r="V862" s="143"/>
      <c r="W862" s="130"/>
      <c r="X862" s="130"/>
      <c r="Y862" s="130"/>
      <c r="Z862" s="130"/>
      <c r="AA862" s="130"/>
      <c r="AB862" s="130"/>
      <c r="AC862" s="130"/>
      <c r="AD862" s="130"/>
      <c r="AE862" s="130"/>
      <c r="AF862" s="130"/>
      <c r="AG862" s="130"/>
      <c r="AH862" s="130"/>
      <c r="AI862" s="130"/>
      <c r="AJ862" s="130"/>
      <c r="AK862" s="130"/>
    </row>
    <row r="863">
      <c r="A863" s="130"/>
      <c r="B863" s="130"/>
      <c r="C863" s="143"/>
      <c r="D863" s="130"/>
      <c r="E863" s="143"/>
      <c r="F863" s="143"/>
      <c r="G863" s="143"/>
      <c r="H863" s="143"/>
      <c r="I863" s="143"/>
      <c r="J863" s="143"/>
      <c r="K863" s="143"/>
      <c r="L863" s="143"/>
      <c r="M863" s="143"/>
      <c r="N863" s="143"/>
      <c r="O863" s="143"/>
      <c r="P863" s="143"/>
      <c r="Q863" s="67"/>
      <c r="R863" s="144"/>
      <c r="S863" s="144"/>
      <c r="T863" s="143"/>
      <c r="U863" s="143"/>
      <c r="V863" s="143"/>
      <c r="W863" s="130"/>
      <c r="X863" s="130"/>
      <c r="Y863" s="130"/>
      <c r="Z863" s="130"/>
      <c r="AA863" s="130"/>
      <c r="AB863" s="130"/>
      <c r="AC863" s="130"/>
      <c r="AD863" s="130"/>
      <c r="AE863" s="130"/>
      <c r="AF863" s="130"/>
      <c r="AG863" s="130"/>
      <c r="AH863" s="130"/>
      <c r="AI863" s="130"/>
      <c r="AJ863" s="130"/>
      <c r="AK863" s="130"/>
    </row>
    <row r="864">
      <c r="A864" s="130"/>
      <c r="B864" s="130"/>
      <c r="C864" s="143"/>
      <c r="D864" s="130"/>
      <c r="E864" s="143"/>
      <c r="F864" s="143"/>
      <c r="G864" s="143"/>
      <c r="H864" s="143"/>
      <c r="I864" s="143"/>
      <c r="J864" s="143"/>
      <c r="K864" s="143"/>
      <c r="L864" s="143"/>
      <c r="M864" s="143"/>
      <c r="N864" s="143"/>
      <c r="O864" s="143"/>
      <c r="P864" s="143"/>
      <c r="Q864" s="67"/>
      <c r="R864" s="144"/>
      <c r="S864" s="144"/>
      <c r="T864" s="143"/>
      <c r="U864" s="143"/>
      <c r="V864" s="143"/>
      <c r="W864" s="130"/>
      <c r="X864" s="130"/>
      <c r="Y864" s="130"/>
      <c r="Z864" s="130"/>
      <c r="AA864" s="130"/>
      <c r="AB864" s="130"/>
      <c r="AC864" s="130"/>
      <c r="AD864" s="130"/>
      <c r="AE864" s="130"/>
      <c r="AF864" s="130"/>
      <c r="AG864" s="130"/>
      <c r="AH864" s="130"/>
      <c r="AI864" s="130"/>
      <c r="AJ864" s="130"/>
      <c r="AK864" s="130"/>
    </row>
    <row r="865">
      <c r="A865" s="130"/>
      <c r="B865" s="130"/>
      <c r="C865" s="143"/>
      <c r="D865" s="130"/>
      <c r="E865" s="143"/>
      <c r="F865" s="143"/>
      <c r="G865" s="143"/>
      <c r="H865" s="143"/>
      <c r="I865" s="143"/>
      <c r="J865" s="143"/>
      <c r="K865" s="143"/>
      <c r="L865" s="143"/>
      <c r="M865" s="143"/>
      <c r="N865" s="143"/>
      <c r="O865" s="143"/>
      <c r="P865" s="143"/>
      <c r="Q865" s="67"/>
      <c r="R865" s="144"/>
      <c r="S865" s="144"/>
      <c r="T865" s="143"/>
      <c r="U865" s="143"/>
      <c r="V865" s="143"/>
      <c r="W865" s="130"/>
      <c r="X865" s="130"/>
      <c r="Y865" s="130"/>
      <c r="Z865" s="130"/>
      <c r="AA865" s="130"/>
      <c r="AB865" s="130"/>
      <c r="AC865" s="130"/>
      <c r="AD865" s="130"/>
      <c r="AE865" s="130"/>
      <c r="AF865" s="130"/>
      <c r="AG865" s="130"/>
      <c r="AH865" s="130"/>
      <c r="AI865" s="130"/>
      <c r="AJ865" s="130"/>
      <c r="AK865" s="130"/>
    </row>
    <row r="866">
      <c r="A866" s="130"/>
      <c r="B866" s="130"/>
      <c r="C866" s="143"/>
      <c r="D866" s="130"/>
      <c r="E866" s="143"/>
      <c r="F866" s="143"/>
      <c r="G866" s="143"/>
      <c r="H866" s="143"/>
      <c r="I866" s="143"/>
      <c r="J866" s="143"/>
      <c r="K866" s="143"/>
      <c r="L866" s="143"/>
      <c r="M866" s="143"/>
      <c r="N866" s="143"/>
      <c r="O866" s="143"/>
      <c r="P866" s="143"/>
      <c r="Q866" s="67"/>
      <c r="R866" s="144"/>
      <c r="S866" s="144"/>
      <c r="T866" s="143"/>
      <c r="U866" s="143"/>
      <c r="V866" s="143"/>
      <c r="W866" s="130"/>
      <c r="X866" s="130"/>
      <c r="Y866" s="130"/>
      <c r="Z866" s="130"/>
      <c r="AA866" s="130"/>
      <c r="AB866" s="130"/>
      <c r="AC866" s="130"/>
      <c r="AD866" s="130"/>
      <c r="AE866" s="130"/>
      <c r="AF866" s="130"/>
      <c r="AG866" s="130"/>
      <c r="AH866" s="130"/>
      <c r="AI866" s="130"/>
      <c r="AJ866" s="130"/>
      <c r="AK866" s="130"/>
    </row>
    <row r="867">
      <c r="A867" s="130"/>
      <c r="B867" s="130"/>
      <c r="C867" s="143"/>
      <c r="D867" s="130"/>
      <c r="E867" s="143"/>
      <c r="F867" s="143"/>
      <c r="G867" s="143"/>
      <c r="H867" s="143"/>
      <c r="I867" s="143"/>
      <c r="J867" s="143"/>
      <c r="K867" s="143"/>
      <c r="L867" s="143"/>
      <c r="M867" s="143"/>
      <c r="N867" s="143"/>
      <c r="O867" s="143"/>
      <c r="P867" s="143"/>
      <c r="Q867" s="67"/>
      <c r="R867" s="144"/>
      <c r="S867" s="144"/>
      <c r="T867" s="143"/>
      <c r="U867" s="143"/>
      <c r="V867" s="143"/>
      <c r="W867" s="130"/>
      <c r="X867" s="130"/>
      <c r="Y867" s="130"/>
      <c r="Z867" s="130"/>
      <c r="AA867" s="130"/>
      <c r="AB867" s="130"/>
      <c r="AC867" s="130"/>
      <c r="AD867" s="130"/>
      <c r="AE867" s="130"/>
      <c r="AF867" s="130"/>
      <c r="AG867" s="130"/>
      <c r="AH867" s="130"/>
      <c r="AI867" s="130"/>
      <c r="AJ867" s="130"/>
      <c r="AK867" s="130"/>
    </row>
    <row r="868">
      <c r="A868" s="130"/>
      <c r="B868" s="130"/>
      <c r="C868" s="143"/>
      <c r="D868" s="130"/>
      <c r="E868" s="143"/>
      <c r="F868" s="143"/>
      <c r="G868" s="143"/>
      <c r="H868" s="143"/>
      <c r="I868" s="143"/>
      <c r="J868" s="143"/>
      <c r="K868" s="143"/>
      <c r="L868" s="143"/>
      <c r="M868" s="143"/>
      <c r="N868" s="143"/>
      <c r="O868" s="143"/>
      <c r="P868" s="143"/>
      <c r="Q868" s="67"/>
      <c r="R868" s="144"/>
      <c r="S868" s="144"/>
      <c r="T868" s="143"/>
      <c r="U868" s="143"/>
      <c r="V868" s="143"/>
      <c r="W868" s="130"/>
      <c r="X868" s="130"/>
      <c r="Y868" s="130"/>
      <c r="Z868" s="130"/>
      <c r="AA868" s="130"/>
      <c r="AB868" s="130"/>
      <c r="AC868" s="130"/>
      <c r="AD868" s="130"/>
      <c r="AE868" s="130"/>
      <c r="AF868" s="130"/>
      <c r="AG868" s="130"/>
      <c r="AH868" s="130"/>
      <c r="AI868" s="130"/>
      <c r="AJ868" s="130"/>
      <c r="AK868" s="130"/>
    </row>
    <row r="869">
      <c r="A869" s="130"/>
      <c r="B869" s="130"/>
      <c r="C869" s="143"/>
      <c r="D869" s="130"/>
      <c r="E869" s="143"/>
      <c r="F869" s="143"/>
      <c r="G869" s="143"/>
      <c r="H869" s="143"/>
      <c r="I869" s="143"/>
      <c r="J869" s="143"/>
      <c r="K869" s="143"/>
      <c r="L869" s="143"/>
      <c r="M869" s="143"/>
      <c r="N869" s="143"/>
      <c r="O869" s="143"/>
      <c r="P869" s="143"/>
      <c r="Q869" s="67"/>
      <c r="R869" s="144"/>
      <c r="S869" s="144"/>
      <c r="T869" s="143"/>
      <c r="U869" s="143"/>
      <c r="V869" s="143"/>
      <c r="W869" s="130"/>
      <c r="X869" s="130"/>
      <c r="Y869" s="130"/>
      <c r="Z869" s="130"/>
      <c r="AA869" s="130"/>
      <c r="AB869" s="130"/>
      <c r="AC869" s="130"/>
      <c r="AD869" s="130"/>
      <c r="AE869" s="130"/>
      <c r="AF869" s="130"/>
      <c r="AG869" s="130"/>
      <c r="AH869" s="130"/>
      <c r="AI869" s="130"/>
      <c r="AJ869" s="130"/>
      <c r="AK869" s="130"/>
    </row>
    <row r="870">
      <c r="A870" s="130"/>
      <c r="B870" s="130"/>
      <c r="C870" s="143"/>
      <c r="D870" s="130"/>
      <c r="E870" s="143"/>
      <c r="F870" s="143"/>
      <c r="G870" s="143"/>
      <c r="H870" s="143"/>
      <c r="I870" s="143"/>
      <c r="J870" s="143"/>
      <c r="K870" s="143"/>
      <c r="L870" s="143"/>
      <c r="M870" s="143"/>
      <c r="N870" s="143"/>
      <c r="O870" s="143"/>
      <c r="P870" s="143"/>
      <c r="Q870" s="67"/>
      <c r="R870" s="144"/>
      <c r="S870" s="144"/>
      <c r="T870" s="143"/>
      <c r="U870" s="143"/>
      <c r="V870" s="143"/>
      <c r="W870" s="130"/>
      <c r="X870" s="130"/>
      <c r="Y870" s="130"/>
      <c r="Z870" s="130"/>
      <c r="AA870" s="130"/>
      <c r="AB870" s="130"/>
      <c r="AC870" s="130"/>
      <c r="AD870" s="130"/>
      <c r="AE870" s="130"/>
      <c r="AF870" s="130"/>
      <c r="AG870" s="130"/>
      <c r="AH870" s="130"/>
      <c r="AI870" s="130"/>
      <c r="AJ870" s="130"/>
      <c r="AK870" s="130"/>
    </row>
    <row r="871">
      <c r="A871" s="130"/>
      <c r="B871" s="130"/>
      <c r="C871" s="143"/>
      <c r="D871" s="130"/>
      <c r="E871" s="143"/>
      <c r="F871" s="143"/>
      <c r="G871" s="143"/>
      <c r="H871" s="143"/>
      <c r="I871" s="143"/>
      <c r="J871" s="143"/>
      <c r="K871" s="143"/>
      <c r="L871" s="143"/>
      <c r="M871" s="143"/>
      <c r="N871" s="143"/>
      <c r="O871" s="143"/>
      <c r="P871" s="143"/>
      <c r="Q871" s="67"/>
      <c r="R871" s="144"/>
      <c r="S871" s="144"/>
      <c r="T871" s="143"/>
      <c r="U871" s="143"/>
      <c r="V871" s="143"/>
      <c r="W871" s="130"/>
      <c r="X871" s="130"/>
      <c r="Y871" s="130"/>
      <c r="Z871" s="130"/>
      <c r="AA871" s="130"/>
      <c r="AB871" s="130"/>
      <c r="AC871" s="130"/>
      <c r="AD871" s="130"/>
      <c r="AE871" s="130"/>
      <c r="AF871" s="130"/>
      <c r="AG871" s="130"/>
      <c r="AH871" s="130"/>
      <c r="AI871" s="130"/>
      <c r="AJ871" s="130"/>
      <c r="AK871" s="130"/>
    </row>
    <row r="872">
      <c r="A872" s="130"/>
      <c r="B872" s="130"/>
      <c r="C872" s="143"/>
      <c r="D872" s="130"/>
      <c r="E872" s="143"/>
      <c r="F872" s="143"/>
      <c r="G872" s="143"/>
      <c r="H872" s="143"/>
      <c r="I872" s="143"/>
      <c r="J872" s="143"/>
      <c r="K872" s="143"/>
      <c r="L872" s="143"/>
      <c r="M872" s="143"/>
      <c r="N872" s="143"/>
      <c r="O872" s="143"/>
      <c r="P872" s="143"/>
      <c r="Q872" s="67"/>
      <c r="R872" s="144"/>
      <c r="S872" s="144"/>
      <c r="T872" s="143"/>
      <c r="U872" s="143"/>
      <c r="V872" s="143"/>
      <c r="W872" s="130"/>
      <c r="X872" s="130"/>
      <c r="Y872" s="130"/>
      <c r="Z872" s="130"/>
      <c r="AA872" s="130"/>
      <c r="AB872" s="130"/>
      <c r="AC872" s="130"/>
      <c r="AD872" s="130"/>
      <c r="AE872" s="130"/>
      <c r="AF872" s="130"/>
      <c r="AG872" s="130"/>
      <c r="AH872" s="130"/>
      <c r="AI872" s="130"/>
      <c r="AJ872" s="130"/>
      <c r="AK872" s="130"/>
    </row>
    <row r="873">
      <c r="A873" s="130"/>
      <c r="B873" s="130"/>
      <c r="C873" s="143"/>
      <c r="D873" s="130"/>
      <c r="E873" s="143"/>
      <c r="F873" s="143"/>
      <c r="G873" s="143"/>
      <c r="H873" s="143"/>
      <c r="I873" s="143"/>
      <c r="J873" s="143"/>
      <c r="K873" s="143"/>
      <c r="L873" s="143"/>
      <c r="M873" s="143"/>
      <c r="N873" s="143"/>
      <c r="O873" s="143"/>
      <c r="P873" s="143"/>
      <c r="Q873" s="67"/>
      <c r="R873" s="144"/>
      <c r="S873" s="144"/>
      <c r="T873" s="143"/>
      <c r="U873" s="143"/>
      <c r="V873" s="143"/>
      <c r="W873" s="130"/>
      <c r="X873" s="130"/>
      <c r="Y873" s="130"/>
      <c r="Z873" s="130"/>
      <c r="AA873" s="130"/>
      <c r="AB873" s="130"/>
      <c r="AC873" s="130"/>
      <c r="AD873" s="130"/>
      <c r="AE873" s="130"/>
      <c r="AF873" s="130"/>
      <c r="AG873" s="130"/>
      <c r="AH873" s="130"/>
      <c r="AI873" s="130"/>
      <c r="AJ873" s="130"/>
      <c r="AK873" s="130"/>
    </row>
    <row r="874">
      <c r="A874" s="130"/>
      <c r="B874" s="130"/>
      <c r="C874" s="143"/>
      <c r="D874" s="130"/>
      <c r="E874" s="143"/>
      <c r="F874" s="143"/>
      <c r="G874" s="143"/>
      <c r="H874" s="143"/>
      <c r="I874" s="143"/>
      <c r="J874" s="143"/>
      <c r="K874" s="143"/>
      <c r="L874" s="143"/>
      <c r="M874" s="143"/>
      <c r="N874" s="143"/>
      <c r="O874" s="143"/>
      <c r="P874" s="143"/>
      <c r="Q874" s="67"/>
      <c r="R874" s="144"/>
      <c r="S874" s="144"/>
      <c r="T874" s="143"/>
      <c r="U874" s="143"/>
      <c r="V874" s="143"/>
      <c r="W874" s="130"/>
      <c r="X874" s="130"/>
      <c r="Y874" s="130"/>
      <c r="Z874" s="130"/>
      <c r="AA874" s="130"/>
      <c r="AB874" s="130"/>
      <c r="AC874" s="130"/>
      <c r="AD874" s="130"/>
      <c r="AE874" s="130"/>
      <c r="AF874" s="130"/>
      <c r="AG874" s="130"/>
      <c r="AH874" s="130"/>
      <c r="AI874" s="130"/>
      <c r="AJ874" s="130"/>
      <c r="AK874" s="130"/>
    </row>
    <row r="875">
      <c r="A875" s="130"/>
      <c r="B875" s="130"/>
      <c r="C875" s="143"/>
      <c r="D875" s="130"/>
      <c r="E875" s="143"/>
      <c r="F875" s="143"/>
      <c r="G875" s="143"/>
      <c r="H875" s="143"/>
      <c r="I875" s="143"/>
      <c r="J875" s="143"/>
      <c r="K875" s="143"/>
      <c r="L875" s="143"/>
      <c r="M875" s="143"/>
      <c r="N875" s="143"/>
      <c r="O875" s="143"/>
      <c r="P875" s="143"/>
      <c r="Q875" s="67"/>
      <c r="R875" s="144"/>
      <c r="S875" s="144"/>
      <c r="T875" s="143"/>
      <c r="U875" s="143"/>
      <c r="V875" s="143"/>
      <c r="W875" s="130"/>
      <c r="X875" s="130"/>
      <c r="Y875" s="130"/>
      <c r="Z875" s="130"/>
      <c r="AA875" s="130"/>
      <c r="AB875" s="130"/>
      <c r="AC875" s="130"/>
      <c r="AD875" s="130"/>
      <c r="AE875" s="130"/>
      <c r="AF875" s="130"/>
      <c r="AG875" s="130"/>
      <c r="AH875" s="130"/>
      <c r="AI875" s="130"/>
      <c r="AJ875" s="130"/>
      <c r="AK875" s="130"/>
    </row>
    <row r="876">
      <c r="A876" s="130"/>
      <c r="B876" s="130"/>
      <c r="C876" s="143"/>
      <c r="D876" s="130"/>
      <c r="E876" s="143"/>
      <c r="F876" s="143"/>
      <c r="G876" s="143"/>
      <c r="H876" s="143"/>
      <c r="I876" s="143"/>
      <c r="J876" s="143"/>
      <c r="K876" s="143"/>
      <c r="L876" s="143"/>
      <c r="M876" s="143"/>
      <c r="N876" s="143"/>
      <c r="O876" s="143"/>
      <c r="P876" s="143"/>
      <c r="Q876" s="67"/>
      <c r="R876" s="144"/>
      <c r="S876" s="144"/>
      <c r="T876" s="143"/>
      <c r="U876" s="143"/>
      <c r="V876" s="143"/>
      <c r="W876" s="130"/>
      <c r="X876" s="130"/>
      <c r="Y876" s="130"/>
      <c r="Z876" s="130"/>
      <c r="AA876" s="130"/>
      <c r="AB876" s="130"/>
      <c r="AC876" s="130"/>
      <c r="AD876" s="130"/>
      <c r="AE876" s="130"/>
      <c r="AF876" s="130"/>
      <c r="AG876" s="130"/>
      <c r="AH876" s="130"/>
      <c r="AI876" s="130"/>
      <c r="AJ876" s="130"/>
      <c r="AK876" s="130"/>
    </row>
    <row r="877">
      <c r="A877" s="130"/>
      <c r="B877" s="130"/>
      <c r="C877" s="143"/>
      <c r="D877" s="130"/>
      <c r="E877" s="143"/>
      <c r="F877" s="143"/>
      <c r="G877" s="143"/>
      <c r="H877" s="143"/>
      <c r="I877" s="143"/>
      <c r="J877" s="143"/>
      <c r="K877" s="143"/>
      <c r="L877" s="143"/>
      <c r="M877" s="143"/>
      <c r="N877" s="143"/>
      <c r="O877" s="143"/>
      <c r="P877" s="143"/>
      <c r="Q877" s="67"/>
      <c r="R877" s="144"/>
      <c r="S877" s="144"/>
      <c r="T877" s="143"/>
      <c r="U877" s="143"/>
      <c r="V877" s="143"/>
      <c r="W877" s="130"/>
      <c r="X877" s="130"/>
      <c r="Y877" s="130"/>
      <c r="Z877" s="130"/>
      <c r="AA877" s="130"/>
      <c r="AB877" s="130"/>
      <c r="AC877" s="130"/>
      <c r="AD877" s="130"/>
      <c r="AE877" s="130"/>
      <c r="AF877" s="130"/>
      <c r="AG877" s="130"/>
      <c r="AH877" s="130"/>
      <c r="AI877" s="130"/>
      <c r="AJ877" s="130"/>
      <c r="AK877" s="130"/>
    </row>
    <row r="878">
      <c r="A878" s="130"/>
      <c r="B878" s="130"/>
      <c r="C878" s="143"/>
      <c r="D878" s="130"/>
      <c r="E878" s="143"/>
      <c r="F878" s="143"/>
      <c r="G878" s="143"/>
      <c r="H878" s="143"/>
      <c r="I878" s="143"/>
      <c r="J878" s="143"/>
      <c r="K878" s="143"/>
      <c r="L878" s="143"/>
      <c r="M878" s="143"/>
      <c r="N878" s="143"/>
      <c r="O878" s="143"/>
      <c r="P878" s="143"/>
      <c r="Q878" s="67"/>
      <c r="R878" s="144"/>
      <c r="S878" s="144"/>
      <c r="T878" s="143"/>
      <c r="U878" s="143"/>
      <c r="V878" s="143"/>
      <c r="W878" s="130"/>
      <c r="X878" s="130"/>
      <c r="Y878" s="130"/>
      <c r="Z878" s="130"/>
      <c r="AA878" s="130"/>
      <c r="AB878" s="130"/>
      <c r="AC878" s="130"/>
      <c r="AD878" s="130"/>
      <c r="AE878" s="130"/>
      <c r="AF878" s="130"/>
      <c r="AG878" s="130"/>
      <c r="AH878" s="130"/>
      <c r="AI878" s="130"/>
      <c r="AJ878" s="130"/>
      <c r="AK878" s="130"/>
    </row>
    <row r="879">
      <c r="A879" s="130"/>
      <c r="B879" s="130"/>
      <c r="C879" s="143"/>
      <c r="D879" s="130"/>
      <c r="E879" s="143"/>
      <c r="F879" s="143"/>
      <c r="G879" s="143"/>
      <c r="H879" s="143"/>
      <c r="I879" s="143"/>
      <c r="J879" s="143"/>
      <c r="K879" s="143"/>
      <c r="L879" s="143"/>
      <c r="M879" s="143"/>
      <c r="N879" s="143"/>
      <c r="O879" s="143"/>
      <c r="P879" s="143"/>
      <c r="Q879" s="67"/>
      <c r="R879" s="144"/>
      <c r="S879" s="144"/>
      <c r="T879" s="143"/>
      <c r="U879" s="143"/>
      <c r="V879" s="143"/>
      <c r="W879" s="130"/>
      <c r="X879" s="130"/>
      <c r="Y879" s="130"/>
      <c r="Z879" s="130"/>
      <c r="AA879" s="130"/>
      <c r="AB879" s="130"/>
      <c r="AC879" s="130"/>
      <c r="AD879" s="130"/>
      <c r="AE879" s="130"/>
      <c r="AF879" s="130"/>
      <c r="AG879" s="130"/>
      <c r="AH879" s="130"/>
      <c r="AI879" s="130"/>
      <c r="AJ879" s="130"/>
      <c r="AK879" s="130"/>
    </row>
    <row r="880">
      <c r="A880" s="130"/>
      <c r="B880" s="130"/>
      <c r="C880" s="143"/>
      <c r="D880" s="130"/>
      <c r="E880" s="143"/>
      <c r="F880" s="143"/>
      <c r="G880" s="143"/>
      <c r="H880" s="143"/>
      <c r="I880" s="143"/>
      <c r="J880" s="143"/>
      <c r="K880" s="143"/>
      <c r="L880" s="143"/>
      <c r="M880" s="143"/>
      <c r="N880" s="143"/>
      <c r="O880" s="143"/>
      <c r="P880" s="143"/>
      <c r="Q880" s="67"/>
      <c r="R880" s="144"/>
      <c r="S880" s="144"/>
      <c r="T880" s="143"/>
      <c r="U880" s="143"/>
      <c r="V880" s="143"/>
      <c r="W880" s="130"/>
      <c r="X880" s="130"/>
      <c r="Y880" s="130"/>
      <c r="Z880" s="130"/>
      <c r="AA880" s="130"/>
      <c r="AB880" s="130"/>
      <c r="AC880" s="130"/>
      <c r="AD880" s="130"/>
      <c r="AE880" s="130"/>
      <c r="AF880" s="130"/>
      <c r="AG880" s="130"/>
      <c r="AH880" s="130"/>
      <c r="AI880" s="130"/>
      <c r="AJ880" s="130"/>
      <c r="AK880" s="130"/>
    </row>
    <row r="881">
      <c r="A881" s="130"/>
      <c r="B881" s="130"/>
      <c r="C881" s="143"/>
      <c r="D881" s="130"/>
      <c r="E881" s="143"/>
      <c r="F881" s="143"/>
      <c r="G881" s="143"/>
      <c r="H881" s="143"/>
      <c r="I881" s="143"/>
      <c r="J881" s="143"/>
      <c r="K881" s="143"/>
      <c r="L881" s="143"/>
      <c r="M881" s="143"/>
      <c r="N881" s="143"/>
      <c r="O881" s="143"/>
      <c r="P881" s="143"/>
      <c r="Q881" s="67"/>
      <c r="R881" s="144"/>
      <c r="S881" s="144"/>
      <c r="T881" s="143"/>
      <c r="U881" s="143"/>
      <c r="V881" s="143"/>
      <c r="W881" s="130"/>
      <c r="X881" s="130"/>
      <c r="Y881" s="130"/>
      <c r="Z881" s="130"/>
      <c r="AA881" s="130"/>
      <c r="AB881" s="130"/>
      <c r="AC881" s="130"/>
      <c r="AD881" s="130"/>
      <c r="AE881" s="130"/>
      <c r="AF881" s="130"/>
      <c r="AG881" s="130"/>
      <c r="AH881" s="130"/>
      <c r="AI881" s="130"/>
      <c r="AJ881" s="130"/>
      <c r="AK881" s="130"/>
    </row>
    <row r="882">
      <c r="A882" s="130"/>
      <c r="B882" s="130"/>
      <c r="C882" s="143"/>
      <c r="D882" s="130"/>
      <c r="E882" s="143"/>
      <c r="F882" s="143"/>
      <c r="G882" s="143"/>
      <c r="H882" s="143"/>
      <c r="I882" s="143"/>
      <c r="J882" s="143"/>
      <c r="K882" s="143"/>
      <c r="L882" s="143"/>
      <c r="M882" s="143"/>
      <c r="N882" s="143"/>
      <c r="O882" s="143"/>
      <c r="P882" s="143"/>
      <c r="Q882" s="67"/>
      <c r="R882" s="144"/>
      <c r="S882" s="144"/>
      <c r="T882" s="143"/>
      <c r="U882" s="143"/>
      <c r="V882" s="143"/>
      <c r="W882" s="130"/>
      <c r="X882" s="130"/>
      <c r="Y882" s="130"/>
      <c r="Z882" s="130"/>
      <c r="AA882" s="130"/>
      <c r="AB882" s="130"/>
      <c r="AC882" s="130"/>
      <c r="AD882" s="130"/>
      <c r="AE882" s="130"/>
      <c r="AF882" s="130"/>
      <c r="AG882" s="130"/>
      <c r="AH882" s="130"/>
      <c r="AI882" s="130"/>
      <c r="AJ882" s="130"/>
      <c r="AK882" s="130"/>
    </row>
    <row r="883">
      <c r="A883" s="130"/>
      <c r="B883" s="130"/>
      <c r="C883" s="143"/>
      <c r="D883" s="130"/>
      <c r="E883" s="143"/>
      <c r="F883" s="143"/>
      <c r="G883" s="143"/>
      <c r="H883" s="143"/>
      <c r="I883" s="143"/>
      <c r="J883" s="143"/>
      <c r="K883" s="143"/>
      <c r="L883" s="143"/>
      <c r="M883" s="143"/>
      <c r="N883" s="143"/>
      <c r="O883" s="143"/>
      <c r="P883" s="143"/>
      <c r="Q883" s="67"/>
      <c r="R883" s="144"/>
      <c r="S883" s="144"/>
      <c r="T883" s="143"/>
      <c r="U883" s="143"/>
      <c r="V883" s="143"/>
      <c r="W883" s="130"/>
      <c r="X883" s="130"/>
      <c r="Y883" s="130"/>
      <c r="Z883" s="130"/>
      <c r="AA883" s="130"/>
      <c r="AB883" s="130"/>
      <c r="AC883" s="130"/>
      <c r="AD883" s="130"/>
      <c r="AE883" s="130"/>
      <c r="AF883" s="130"/>
      <c r="AG883" s="130"/>
      <c r="AH883" s="130"/>
      <c r="AI883" s="130"/>
      <c r="AJ883" s="130"/>
      <c r="AK883" s="130"/>
    </row>
    <row r="884">
      <c r="A884" s="130"/>
      <c r="B884" s="130"/>
      <c r="C884" s="143"/>
      <c r="D884" s="130"/>
      <c r="E884" s="143"/>
      <c r="F884" s="143"/>
      <c r="G884" s="143"/>
      <c r="H884" s="143"/>
      <c r="I884" s="143"/>
      <c r="J884" s="143"/>
      <c r="K884" s="143"/>
      <c r="L884" s="143"/>
      <c r="M884" s="143"/>
      <c r="N884" s="143"/>
      <c r="O884" s="143"/>
      <c r="P884" s="143"/>
      <c r="Q884" s="67"/>
      <c r="R884" s="144"/>
      <c r="S884" s="144"/>
      <c r="T884" s="143"/>
      <c r="U884" s="143"/>
      <c r="V884" s="143"/>
      <c r="W884" s="130"/>
      <c r="X884" s="130"/>
      <c r="Y884" s="130"/>
      <c r="Z884" s="130"/>
      <c r="AA884" s="130"/>
      <c r="AB884" s="130"/>
      <c r="AC884" s="130"/>
      <c r="AD884" s="130"/>
      <c r="AE884" s="130"/>
      <c r="AF884" s="130"/>
      <c r="AG884" s="130"/>
      <c r="AH884" s="130"/>
      <c r="AI884" s="130"/>
      <c r="AJ884" s="130"/>
      <c r="AK884" s="130"/>
    </row>
    <row r="885">
      <c r="A885" s="130"/>
      <c r="B885" s="130"/>
      <c r="C885" s="143"/>
      <c r="D885" s="130"/>
      <c r="E885" s="143"/>
      <c r="F885" s="143"/>
      <c r="G885" s="143"/>
      <c r="H885" s="143"/>
      <c r="I885" s="143"/>
      <c r="J885" s="143"/>
      <c r="K885" s="143"/>
      <c r="L885" s="143"/>
      <c r="M885" s="143"/>
      <c r="N885" s="143"/>
      <c r="O885" s="143"/>
      <c r="P885" s="143"/>
      <c r="Q885" s="67"/>
      <c r="R885" s="144"/>
      <c r="S885" s="144"/>
      <c r="T885" s="143"/>
      <c r="U885" s="143"/>
      <c r="V885" s="143"/>
      <c r="W885" s="130"/>
      <c r="X885" s="130"/>
      <c r="Y885" s="130"/>
      <c r="Z885" s="130"/>
      <c r="AA885" s="130"/>
      <c r="AB885" s="130"/>
      <c r="AC885" s="130"/>
      <c r="AD885" s="130"/>
      <c r="AE885" s="130"/>
      <c r="AF885" s="130"/>
      <c r="AG885" s="130"/>
      <c r="AH885" s="130"/>
      <c r="AI885" s="130"/>
      <c r="AJ885" s="130"/>
      <c r="AK885" s="130"/>
    </row>
    <row r="886">
      <c r="A886" s="130"/>
      <c r="B886" s="130"/>
      <c r="C886" s="143"/>
      <c r="D886" s="130"/>
      <c r="E886" s="143"/>
      <c r="F886" s="143"/>
      <c r="G886" s="143"/>
      <c r="H886" s="143"/>
      <c r="I886" s="143"/>
      <c r="J886" s="143"/>
      <c r="K886" s="143"/>
      <c r="L886" s="143"/>
      <c r="M886" s="143"/>
      <c r="N886" s="143"/>
      <c r="O886" s="143"/>
      <c r="P886" s="143"/>
      <c r="Q886" s="67"/>
      <c r="R886" s="144"/>
      <c r="S886" s="144"/>
      <c r="T886" s="143"/>
      <c r="U886" s="143"/>
      <c r="V886" s="143"/>
      <c r="W886" s="130"/>
      <c r="X886" s="130"/>
      <c r="Y886" s="130"/>
      <c r="Z886" s="130"/>
      <c r="AA886" s="130"/>
      <c r="AB886" s="130"/>
      <c r="AC886" s="130"/>
      <c r="AD886" s="130"/>
      <c r="AE886" s="130"/>
      <c r="AF886" s="130"/>
      <c r="AG886" s="130"/>
      <c r="AH886" s="130"/>
      <c r="AI886" s="130"/>
      <c r="AJ886" s="130"/>
      <c r="AK886" s="130"/>
    </row>
    <row r="887">
      <c r="A887" s="130"/>
      <c r="B887" s="130"/>
      <c r="C887" s="143"/>
      <c r="D887" s="130"/>
      <c r="E887" s="143"/>
      <c r="F887" s="143"/>
      <c r="G887" s="143"/>
      <c r="H887" s="143"/>
      <c r="I887" s="143"/>
      <c r="J887" s="143"/>
      <c r="K887" s="143"/>
      <c r="L887" s="143"/>
      <c r="M887" s="143"/>
      <c r="N887" s="143"/>
      <c r="O887" s="143"/>
      <c r="P887" s="143"/>
      <c r="Q887" s="67"/>
      <c r="R887" s="144"/>
      <c r="S887" s="144"/>
      <c r="T887" s="143"/>
      <c r="U887" s="143"/>
      <c r="V887" s="143"/>
      <c r="W887" s="130"/>
      <c r="X887" s="130"/>
      <c r="Y887" s="130"/>
      <c r="Z887" s="130"/>
      <c r="AA887" s="130"/>
      <c r="AB887" s="130"/>
      <c r="AC887" s="130"/>
      <c r="AD887" s="130"/>
      <c r="AE887" s="130"/>
      <c r="AF887" s="130"/>
      <c r="AG887" s="130"/>
      <c r="AH887" s="130"/>
      <c r="AI887" s="130"/>
      <c r="AJ887" s="130"/>
      <c r="AK887" s="130"/>
    </row>
    <row r="888">
      <c r="A888" s="130"/>
      <c r="B888" s="130"/>
      <c r="C888" s="143"/>
      <c r="D888" s="130"/>
      <c r="E888" s="143"/>
      <c r="F888" s="143"/>
      <c r="G888" s="143"/>
      <c r="H888" s="143"/>
      <c r="I888" s="143"/>
      <c r="J888" s="143"/>
      <c r="K888" s="143"/>
      <c r="L888" s="143"/>
      <c r="M888" s="143"/>
      <c r="N888" s="143"/>
      <c r="O888" s="143"/>
      <c r="P888" s="143"/>
      <c r="Q888" s="67"/>
      <c r="R888" s="144"/>
      <c r="S888" s="144"/>
      <c r="T888" s="143"/>
      <c r="U888" s="143"/>
      <c r="V888" s="143"/>
      <c r="W888" s="130"/>
      <c r="X888" s="130"/>
      <c r="Y888" s="130"/>
      <c r="Z888" s="130"/>
      <c r="AA888" s="130"/>
      <c r="AB888" s="130"/>
      <c r="AC888" s="130"/>
      <c r="AD888" s="130"/>
      <c r="AE888" s="130"/>
      <c r="AF888" s="130"/>
      <c r="AG888" s="130"/>
      <c r="AH888" s="130"/>
      <c r="AI888" s="130"/>
      <c r="AJ888" s="130"/>
      <c r="AK888" s="130"/>
    </row>
    <row r="889">
      <c r="A889" s="130"/>
      <c r="B889" s="130"/>
      <c r="C889" s="143"/>
      <c r="D889" s="130"/>
      <c r="E889" s="143"/>
      <c r="F889" s="143"/>
      <c r="G889" s="143"/>
      <c r="H889" s="143"/>
      <c r="I889" s="143"/>
      <c r="J889" s="143"/>
      <c r="K889" s="143"/>
      <c r="L889" s="143"/>
      <c r="M889" s="143"/>
      <c r="N889" s="143"/>
      <c r="O889" s="143"/>
      <c r="P889" s="143"/>
      <c r="Q889" s="67"/>
      <c r="R889" s="144"/>
      <c r="S889" s="144"/>
      <c r="T889" s="143"/>
      <c r="U889" s="143"/>
      <c r="V889" s="143"/>
      <c r="W889" s="130"/>
      <c r="X889" s="130"/>
      <c r="Y889" s="130"/>
      <c r="Z889" s="130"/>
      <c r="AA889" s="130"/>
      <c r="AB889" s="130"/>
      <c r="AC889" s="130"/>
      <c r="AD889" s="130"/>
      <c r="AE889" s="130"/>
      <c r="AF889" s="130"/>
      <c r="AG889" s="130"/>
      <c r="AH889" s="130"/>
      <c r="AI889" s="130"/>
      <c r="AJ889" s="130"/>
      <c r="AK889" s="130"/>
    </row>
    <row r="890">
      <c r="A890" s="130"/>
      <c r="B890" s="130"/>
      <c r="C890" s="143"/>
      <c r="D890" s="130"/>
      <c r="E890" s="143"/>
      <c r="F890" s="143"/>
      <c r="G890" s="143"/>
      <c r="H890" s="143"/>
      <c r="I890" s="143"/>
      <c r="J890" s="143"/>
      <c r="K890" s="143"/>
      <c r="L890" s="143"/>
      <c r="M890" s="143"/>
      <c r="N890" s="143"/>
      <c r="O890" s="143"/>
      <c r="P890" s="143"/>
      <c r="Q890" s="67"/>
      <c r="R890" s="144"/>
      <c r="S890" s="144"/>
      <c r="T890" s="143"/>
      <c r="U890" s="143"/>
      <c r="V890" s="143"/>
      <c r="W890" s="130"/>
      <c r="X890" s="130"/>
      <c r="Y890" s="130"/>
      <c r="Z890" s="130"/>
      <c r="AA890" s="130"/>
      <c r="AB890" s="130"/>
      <c r="AC890" s="130"/>
      <c r="AD890" s="130"/>
      <c r="AE890" s="130"/>
      <c r="AF890" s="130"/>
      <c r="AG890" s="130"/>
      <c r="AH890" s="130"/>
      <c r="AI890" s="130"/>
      <c r="AJ890" s="130"/>
      <c r="AK890" s="130"/>
    </row>
    <row r="891">
      <c r="A891" s="130"/>
      <c r="B891" s="130"/>
      <c r="C891" s="143"/>
      <c r="D891" s="130"/>
      <c r="E891" s="143"/>
      <c r="F891" s="143"/>
      <c r="G891" s="143"/>
      <c r="H891" s="143"/>
      <c r="I891" s="143"/>
      <c r="J891" s="143"/>
      <c r="K891" s="143"/>
      <c r="L891" s="143"/>
      <c r="M891" s="143"/>
      <c r="N891" s="143"/>
      <c r="O891" s="143"/>
      <c r="P891" s="143"/>
      <c r="Q891" s="67"/>
      <c r="R891" s="144"/>
      <c r="S891" s="144"/>
      <c r="T891" s="143"/>
      <c r="U891" s="143"/>
      <c r="V891" s="143"/>
      <c r="W891" s="130"/>
      <c r="X891" s="130"/>
      <c r="Y891" s="130"/>
      <c r="Z891" s="130"/>
      <c r="AA891" s="130"/>
      <c r="AB891" s="130"/>
      <c r="AC891" s="130"/>
      <c r="AD891" s="130"/>
      <c r="AE891" s="130"/>
      <c r="AF891" s="130"/>
      <c r="AG891" s="130"/>
      <c r="AH891" s="130"/>
      <c r="AI891" s="130"/>
      <c r="AJ891" s="130"/>
      <c r="AK891" s="130"/>
    </row>
    <row r="892">
      <c r="A892" s="130"/>
      <c r="B892" s="130"/>
      <c r="C892" s="143"/>
      <c r="D892" s="130"/>
      <c r="E892" s="143"/>
      <c r="F892" s="143"/>
      <c r="G892" s="143"/>
      <c r="H892" s="143"/>
      <c r="I892" s="143"/>
      <c r="J892" s="143"/>
      <c r="K892" s="143"/>
      <c r="L892" s="143"/>
      <c r="M892" s="143"/>
      <c r="N892" s="143"/>
      <c r="O892" s="143"/>
      <c r="P892" s="143"/>
      <c r="Q892" s="67"/>
      <c r="R892" s="144"/>
      <c r="S892" s="144"/>
      <c r="T892" s="143"/>
      <c r="U892" s="143"/>
      <c r="V892" s="143"/>
      <c r="W892" s="130"/>
      <c r="X892" s="130"/>
      <c r="Y892" s="130"/>
      <c r="Z892" s="130"/>
      <c r="AA892" s="130"/>
      <c r="AB892" s="130"/>
      <c r="AC892" s="130"/>
      <c r="AD892" s="130"/>
      <c r="AE892" s="130"/>
      <c r="AF892" s="130"/>
      <c r="AG892" s="130"/>
      <c r="AH892" s="130"/>
      <c r="AI892" s="130"/>
      <c r="AJ892" s="130"/>
      <c r="AK892" s="130"/>
    </row>
    <row r="893">
      <c r="A893" s="130"/>
      <c r="B893" s="130"/>
      <c r="C893" s="143"/>
      <c r="D893" s="130"/>
      <c r="E893" s="143"/>
      <c r="F893" s="143"/>
      <c r="G893" s="143"/>
      <c r="H893" s="143"/>
      <c r="I893" s="143"/>
      <c r="J893" s="143"/>
      <c r="K893" s="143"/>
      <c r="L893" s="143"/>
      <c r="M893" s="143"/>
      <c r="N893" s="143"/>
      <c r="O893" s="143"/>
      <c r="P893" s="143"/>
      <c r="Q893" s="67"/>
      <c r="R893" s="144"/>
      <c r="S893" s="144"/>
      <c r="T893" s="143"/>
      <c r="U893" s="143"/>
      <c r="V893" s="143"/>
      <c r="W893" s="130"/>
      <c r="X893" s="130"/>
      <c r="Y893" s="130"/>
      <c r="Z893" s="130"/>
      <c r="AA893" s="130"/>
      <c r="AB893" s="130"/>
      <c r="AC893" s="130"/>
      <c r="AD893" s="130"/>
      <c r="AE893" s="130"/>
      <c r="AF893" s="130"/>
      <c r="AG893" s="130"/>
      <c r="AH893" s="130"/>
      <c r="AI893" s="130"/>
      <c r="AJ893" s="130"/>
      <c r="AK893" s="130"/>
    </row>
    <row r="894">
      <c r="A894" s="130"/>
      <c r="B894" s="130"/>
      <c r="C894" s="143"/>
      <c r="D894" s="130"/>
      <c r="E894" s="143"/>
      <c r="F894" s="143"/>
      <c r="G894" s="143"/>
      <c r="H894" s="143"/>
      <c r="I894" s="143"/>
      <c r="J894" s="143"/>
      <c r="K894" s="143"/>
      <c r="L894" s="143"/>
      <c r="M894" s="143"/>
      <c r="N894" s="143"/>
      <c r="O894" s="143"/>
      <c r="P894" s="143"/>
      <c r="Q894" s="67"/>
      <c r="R894" s="144"/>
      <c r="S894" s="144"/>
      <c r="T894" s="143"/>
      <c r="U894" s="143"/>
      <c r="V894" s="143"/>
      <c r="W894" s="130"/>
      <c r="X894" s="130"/>
      <c r="Y894" s="130"/>
      <c r="Z894" s="130"/>
      <c r="AA894" s="130"/>
      <c r="AB894" s="130"/>
      <c r="AC894" s="130"/>
      <c r="AD894" s="130"/>
      <c r="AE894" s="130"/>
      <c r="AF894" s="130"/>
      <c r="AG894" s="130"/>
      <c r="AH894" s="130"/>
      <c r="AI894" s="130"/>
      <c r="AJ894" s="130"/>
      <c r="AK894" s="130"/>
    </row>
    <row r="895">
      <c r="A895" s="130"/>
      <c r="B895" s="130"/>
      <c r="C895" s="143"/>
      <c r="D895" s="130"/>
      <c r="E895" s="143"/>
      <c r="F895" s="143"/>
      <c r="G895" s="143"/>
      <c r="H895" s="143"/>
      <c r="I895" s="143"/>
      <c r="J895" s="143"/>
      <c r="K895" s="143"/>
      <c r="L895" s="143"/>
      <c r="M895" s="143"/>
      <c r="N895" s="143"/>
      <c r="O895" s="143"/>
      <c r="P895" s="143"/>
      <c r="Q895" s="67"/>
      <c r="R895" s="144"/>
      <c r="S895" s="144"/>
      <c r="T895" s="143"/>
      <c r="U895" s="143"/>
      <c r="V895" s="143"/>
      <c r="W895" s="130"/>
      <c r="X895" s="130"/>
      <c r="Y895" s="130"/>
      <c r="Z895" s="130"/>
      <c r="AA895" s="130"/>
      <c r="AB895" s="130"/>
      <c r="AC895" s="130"/>
      <c r="AD895" s="130"/>
      <c r="AE895" s="130"/>
      <c r="AF895" s="130"/>
      <c r="AG895" s="130"/>
      <c r="AH895" s="130"/>
      <c r="AI895" s="130"/>
      <c r="AJ895" s="130"/>
      <c r="AK895" s="130"/>
    </row>
    <row r="896">
      <c r="A896" s="130"/>
      <c r="B896" s="130"/>
      <c r="C896" s="143"/>
      <c r="D896" s="130"/>
      <c r="E896" s="143"/>
      <c r="F896" s="143"/>
      <c r="G896" s="143"/>
      <c r="H896" s="143"/>
      <c r="I896" s="143"/>
      <c r="J896" s="143"/>
      <c r="K896" s="143"/>
      <c r="L896" s="143"/>
      <c r="M896" s="143"/>
      <c r="N896" s="143"/>
      <c r="O896" s="143"/>
      <c r="P896" s="143"/>
      <c r="Q896" s="67"/>
      <c r="R896" s="144"/>
      <c r="S896" s="144"/>
      <c r="T896" s="143"/>
      <c r="U896" s="143"/>
      <c r="V896" s="143"/>
      <c r="W896" s="130"/>
      <c r="X896" s="130"/>
      <c r="Y896" s="130"/>
      <c r="Z896" s="130"/>
      <c r="AA896" s="130"/>
      <c r="AB896" s="130"/>
      <c r="AC896" s="130"/>
      <c r="AD896" s="130"/>
      <c r="AE896" s="130"/>
      <c r="AF896" s="130"/>
      <c r="AG896" s="130"/>
      <c r="AH896" s="130"/>
      <c r="AI896" s="130"/>
      <c r="AJ896" s="130"/>
      <c r="AK896" s="130"/>
    </row>
    <row r="897">
      <c r="A897" s="130"/>
      <c r="B897" s="130"/>
      <c r="C897" s="143"/>
      <c r="D897" s="130"/>
      <c r="E897" s="143"/>
      <c r="F897" s="143"/>
      <c r="G897" s="143"/>
      <c r="H897" s="143"/>
      <c r="I897" s="143"/>
      <c r="J897" s="143"/>
      <c r="K897" s="143"/>
      <c r="L897" s="143"/>
      <c r="M897" s="143"/>
      <c r="N897" s="143"/>
      <c r="O897" s="143"/>
      <c r="P897" s="143"/>
      <c r="Q897" s="67"/>
      <c r="R897" s="144"/>
      <c r="S897" s="144"/>
      <c r="T897" s="143"/>
      <c r="U897" s="143"/>
      <c r="V897" s="143"/>
      <c r="W897" s="130"/>
      <c r="X897" s="130"/>
      <c r="Y897" s="130"/>
      <c r="Z897" s="130"/>
      <c r="AA897" s="130"/>
      <c r="AB897" s="130"/>
      <c r="AC897" s="130"/>
      <c r="AD897" s="130"/>
      <c r="AE897" s="130"/>
      <c r="AF897" s="130"/>
      <c r="AG897" s="130"/>
      <c r="AH897" s="130"/>
      <c r="AI897" s="130"/>
      <c r="AJ897" s="130"/>
      <c r="AK897" s="130"/>
    </row>
    <row r="898">
      <c r="A898" s="130"/>
      <c r="B898" s="130"/>
      <c r="C898" s="143"/>
      <c r="D898" s="130"/>
      <c r="E898" s="143"/>
      <c r="F898" s="143"/>
      <c r="G898" s="143"/>
      <c r="H898" s="143"/>
      <c r="I898" s="143"/>
      <c r="J898" s="143"/>
      <c r="K898" s="143"/>
      <c r="L898" s="143"/>
      <c r="M898" s="143"/>
      <c r="N898" s="143"/>
      <c r="O898" s="143"/>
      <c r="P898" s="143"/>
      <c r="Q898" s="67"/>
      <c r="R898" s="144"/>
      <c r="S898" s="144"/>
      <c r="T898" s="143"/>
      <c r="U898" s="143"/>
      <c r="V898" s="143"/>
      <c r="W898" s="130"/>
      <c r="X898" s="130"/>
      <c r="Y898" s="130"/>
      <c r="Z898" s="130"/>
      <c r="AA898" s="130"/>
      <c r="AB898" s="130"/>
      <c r="AC898" s="130"/>
      <c r="AD898" s="130"/>
      <c r="AE898" s="130"/>
      <c r="AF898" s="130"/>
      <c r="AG898" s="130"/>
      <c r="AH898" s="130"/>
      <c r="AI898" s="130"/>
      <c r="AJ898" s="130"/>
      <c r="AK898" s="130"/>
    </row>
    <row r="899">
      <c r="A899" s="130"/>
      <c r="B899" s="130"/>
      <c r="C899" s="143"/>
      <c r="D899" s="130"/>
      <c r="E899" s="143"/>
      <c r="F899" s="143"/>
      <c r="G899" s="143"/>
      <c r="H899" s="143"/>
      <c r="I899" s="143"/>
      <c r="J899" s="143"/>
      <c r="K899" s="143"/>
      <c r="L899" s="143"/>
      <c r="M899" s="143"/>
      <c r="N899" s="143"/>
      <c r="O899" s="143"/>
      <c r="P899" s="143"/>
      <c r="Q899" s="67"/>
      <c r="R899" s="144"/>
      <c r="S899" s="144"/>
      <c r="T899" s="143"/>
      <c r="U899" s="143"/>
      <c r="V899" s="143"/>
      <c r="W899" s="130"/>
      <c r="X899" s="130"/>
      <c r="Y899" s="130"/>
      <c r="Z899" s="130"/>
      <c r="AA899" s="130"/>
      <c r="AB899" s="130"/>
      <c r="AC899" s="130"/>
      <c r="AD899" s="130"/>
      <c r="AE899" s="130"/>
      <c r="AF899" s="130"/>
      <c r="AG899" s="130"/>
      <c r="AH899" s="130"/>
      <c r="AI899" s="130"/>
      <c r="AJ899" s="130"/>
      <c r="AK899" s="130"/>
    </row>
    <row r="900">
      <c r="A900" s="130"/>
      <c r="B900" s="130"/>
      <c r="C900" s="143"/>
      <c r="D900" s="130"/>
      <c r="E900" s="143"/>
      <c r="F900" s="143"/>
      <c r="G900" s="143"/>
      <c r="H900" s="143"/>
      <c r="I900" s="143"/>
      <c r="J900" s="143"/>
      <c r="K900" s="143"/>
      <c r="L900" s="143"/>
      <c r="M900" s="143"/>
      <c r="N900" s="143"/>
      <c r="O900" s="143"/>
      <c r="P900" s="143"/>
      <c r="Q900" s="67"/>
      <c r="R900" s="144"/>
      <c r="S900" s="144"/>
      <c r="T900" s="143"/>
      <c r="U900" s="143"/>
      <c r="V900" s="143"/>
      <c r="W900" s="130"/>
      <c r="X900" s="130"/>
      <c r="Y900" s="130"/>
      <c r="Z900" s="130"/>
      <c r="AA900" s="130"/>
      <c r="AB900" s="130"/>
      <c r="AC900" s="130"/>
      <c r="AD900" s="130"/>
      <c r="AE900" s="130"/>
      <c r="AF900" s="130"/>
      <c r="AG900" s="130"/>
      <c r="AH900" s="130"/>
      <c r="AI900" s="130"/>
      <c r="AJ900" s="130"/>
      <c r="AK900" s="130"/>
    </row>
    <row r="901">
      <c r="A901" s="130"/>
      <c r="B901" s="130"/>
      <c r="C901" s="143"/>
      <c r="D901" s="130"/>
      <c r="E901" s="143"/>
      <c r="F901" s="143"/>
      <c r="G901" s="143"/>
      <c r="H901" s="143"/>
      <c r="I901" s="143"/>
      <c r="J901" s="143"/>
      <c r="K901" s="143"/>
      <c r="L901" s="143"/>
      <c r="M901" s="143"/>
      <c r="N901" s="143"/>
      <c r="O901" s="143"/>
      <c r="P901" s="143"/>
      <c r="Q901" s="67"/>
      <c r="R901" s="144"/>
      <c r="S901" s="144"/>
      <c r="T901" s="143"/>
      <c r="U901" s="143"/>
      <c r="V901" s="143"/>
      <c r="W901" s="130"/>
      <c r="X901" s="130"/>
      <c r="Y901" s="130"/>
      <c r="Z901" s="130"/>
      <c r="AA901" s="130"/>
      <c r="AB901" s="130"/>
      <c r="AC901" s="130"/>
      <c r="AD901" s="130"/>
      <c r="AE901" s="130"/>
      <c r="AF901" s="130"/>
      <c r="AG901" s="130"/>
      <c r="AH901" s="130"/>
      <c r="AI901" s="130"/>
      <c r="AJ901" s="130"/>
      <c r="AK901" s="130"/>
    </row>
    <row r="902">
      <c r="A902" s="130"/>
      <c r="B902" s="130"/>
      <c r="C902" s="143"/>
      <c r="D902" s="130"/>
      <c r="E902" s="143"/>
      <c r="F902" s="143"/>
      <c r="G902" s="143"/>
      <c r="H902" s="143"/>
      <c r="I902" s="143"/>
      <c r="J902" s="143"/>
      <c r="K902" s="143"/>
      <c r="L902" s="143"/>
      <c r="M902" s="143"/>
      <c r="N902" s="143"/>
      <c r="O902" s="143"/>
      <c r="P902" s="143"/>
      <c r="Q902" s="67"/>
      <c r="R902" s="144"/>
      <c r="S902" s="144"/>
      <c r="T902" s="143"/>
      <c r="U902" s="143"/>
      <c r="V902" s="143"/>
      <c r="W902" s="130"/>
      <c r="X902" s="130"/>
      <c r="Y902" s="130"/>
      <c r="Z902" s="130"/>
      <c r="AA902" s="130"/>
      <c r="AB902" s="130"/>
      <c r="AC902" s="130"/>
      <c r="AD902" s="130"/>
      <c r="AE902" s="130"/>
      <c r="AF902" s="130"/>
      <c r="AG902" s="130"/>
      <c r="AH902" s="130"/>
      <c r="AI902" s="130"/>
      <c r="AJ902" s="130"/>
      <c r="AK902" s="130"/>
    </row>
    <row r="903">
      <c r="A903" s="130"/>
      <c r="B903" s="130"/>
      <c r="C903" s="143"/>
      <c r="D903" s="130"/>
      <c r="E903" s="143"/>
      <c r="F903" s="143"/>
      <c r="G903" s="143"/>
      <c r="H903" s="143"/>
      <c r="I903" s="143"/>
      <c r="J903" s="143"/>
      <c r="K903" s="143"/>
      <c r="L903" s="143"/>
      <c r="M903" s="143"/>
      <c r="N903" s="143"/>
      <c r="O903" s="143"/>
      <c r="P903" s="143"/>
      <c r="Q903" s="67"/>
      <c r="R903" s="144"/>
      <c r="S903" s="144"/>
      <c r="T903" s="143"/>
      <c r="U903" s="143"/>
      <c r="V903" s="143"/>
      <c r="W903" s="130"/>
      <c r="X903" s="130"/>
      <c r="Y903" s="130"/>
      <c r="Z903" s="130"/>
      <c r="AA903" s="130"/>
      <c r="AB903" s="130"/>
      <c r="AC903" s="130"/>
      <c r="AD903" s="130"/>
      <c r="AE903" s="130"/>
      <c r="AF903" s="130"/>
      <c r="AG903" s="130"/>
      <c r="AH903" s="130"/>
      <c r="AI903" s="130"/>
      <c r="AJ903" s="130"/>
      <c r="AK903" s="130"/>
    </row>
    <row r="904">
      <c r="A904" s="130"/>
      <c r="B904" s="130"/>
      <c r="C904" s="143"/>
      <c r="D904" s="130"/>
      <c r="E904" s="143"/>
      <c r="F904" s="143"/>
      <c r="G904" s="143"/>
      <c r="H904" s="143"/>
      <c r="I904" s="143"/>
      <c r="J904" s="143"/>
      <c r="K904" s="143"/>
      <c r="L904" s="143"/>
      <c r="M904" s="143"/>
      <c r="N904" s="143"/>
      <c r="O904" s="143"/>
      <c r="P904" s="143"/>
      <c r="Q904" s="67"/>
      <c r="R904" s="144"/>
      <c r="S904" s="144"/>
      <c r="T904" s="143"/>
      <c r="U904" s="143"/>
      <c r="V904" s="143"/>
      <c r="W904" s="130"/>
      <c r="X904" s="130"/>
      <c r="Y904" s="130"/>
      <c r="Z904" s="130"/>
      <c r="AA904" s="130"/>
      <c r="AB904" s="130"/>
      <c r="AC904" s="130"/>
      <c r="AD904" s="130"/>
      <c r="AE904" s="130"/>
      <c r="AF904" s="130"/>
      <c r="AG904" s="130"/>
      <c r="AH904" s="130"/>
      <c r="AI904" s="130"/>
      <c r="AJ904" s="130"/>
      <c r="AK904" s="130"/>
    </row>
    <row r="905">
      <c r="A905" s="130"/>
      <c r="B905" s="130"/>
      <c r="C905" s="143"/>
      <c r="D905" s="130"/>
      <c r="E905" s="143"/>
      <c r="F905" s="143"/>
      <c r="G905" s="143"/>
      <c r="H905" s="143"/>
      <c r="I905" s="143"/>
      <c r="J905" s="143"/>
      <c r="K905" s="143"/>
      <c r="L905" s="143"/>
      <c r="M905" s="143"/>
      <c r="N905" s="143"/>
      <c r="O905" s="143"/>
      <c r="P905" s="143"/>
      <c r="Q905" s="67"/>
      <c r="R905" s="144"/>
      <c r="S905" s="144"/>
      <c r="T905" s="143"/>
      <c r="U905" s="143"/>
      <c r="V905" s="143"/>
      <c r="W905" s="130"/>
      <c r="X905" s="130"/>
      <c r="Y905" s="130"/>
      <c r="Z905" s="130"/>
      <c r="AA905" s="130"/>
      <c r="AB905" s="130"/>
      <c r="AC905" s="130"/>
      <c r="AD905" s="130"/>
      <c r="AE905" s="130"/>
      <c r="AF905" s="130"/>
      <c r="AG905" s="130"/>
      <c r="AH905" s="130"/>
      <c r="AI905" s="130"/>
      <c r="AJ905" s="130"/>
      <c r="AK905" s="130"/>
    </row>
    <row r="906">
      <c r="A906" s="130"/>
      <c r="B906" s="130"/>
      <c r="C906" s="143"/>
      <c r="D906" s="130"/>
      <c r="E906" s="143"/>
      <c r="F906" s="143"/>
      <c r="G906" s="143"/>
      <c r="H906" s="143"/>
      <c r="I906" s="143"/>
      <c r="J906" s="143"/>
      <c r="K906" s="143"/>
      <c r="L906" s="143"/>
      <c r="M906" s="143"/>
      <c r="N906" s="143"/>
      <c r="O906" s="143"/>
      <c r="P906" s="143"/>
      <c r="Q906" s="67"/>
      <c r="R906" s="144"/>
      <c r="S906" s="144"/>
      <c r="T906" s="143"/>
      <c r="U906" s="143"/>
      <c r="V906" s="143"/>
      <c r="W906" s="130"/>
      <c r="X906" s="130"/>
      <c r="Y906" s="130"/>
      <c r="Z906" s="130"/>
      <c r="AA906" s="130"/>
      <c r="AB906" s="130"/>
      <c r="AC906" s="130"/>
      <c r="AD906" s="130"/>
      <c r="AE906" s="130"/>
      <c r="AF906" s="130"/>
      <c r="AG906" s="130"/>
      <c r="AH906" s="130"/>
      <c r="AI906" s="130"/>
      <c r="AJ906" s="130"/>
      <c r="AK906" s="130"/>
    </row>
    <row r="907">
      <c r="A907" s="130"/>
      <c r="B907" s="130"/>
      <c r="C907" s="143"/>
      <c r="D907" s="130"/>
      <c r="E907" s="143"/>
      <c r="F907" s="143"/>
      <c r="G907" s="143"/>
      <c r="H907" s="143"/>
      <c r="I907" s="143"/>
      <c r="J907" s="143"/>
      <c r="K907" s="143"/>
      <c r="L907" s="143"/>
      <c r="M907" s="143"/>
      <c r="N907" s="143"/>
      <c r="O907" s="143"/>
      <c r="P907" s="143"/>
      <c r="Q907" s="67"/>
      <c r="R907" s="144"/>
      <c r="S907" s="144"/>
      <c r="T907" s="143"/>
      <c r="U907" s="143"/>
      <c r="V907" s="143"/>
      <c r="W907" s="130"/>
      <c r="X907" s="130"/>
      <c r="Y907" s="130"/>
      <c r="Z907" s="130"/>
      <c r="AA907" s="130"/>
      <c r="AB907" s="130"/>
      <c r="AC907" s="130"/>
      <c r="AD907" s="130"/>
      <c r="AE907" s="130"/>
      <c r="AF907" s="130"/>
      <c r="AG907" s="130"/>
      <c r="AH907" s="130"/>
      <c r="AI907" s="130"/>
      <c r="AJ907" s="130"/>
      <c r="AK907" s="130"/>
    </row>
    <row r="908">
      <c r="A908" s="130"/>
      <c r="B908" s="130"/>
      <c r="C908" s="143"/>
      <c r="D908" s="130"/>
      <c r="E908" s="143"/>
      <c r="F908" s="143"/>
      <c r="G908" s="143"/>
      <c r="H908" s="143"/>
      <c r="I908" s="143"/>
      <c r="J908" s="143"/>
      <c r="K908" s="143"/>
      <c r="L908" s="143"/>
      <c r="M908" s="143"/>
      <c r="N908" s="143"/>
      <c r="O908" s="143"/>
      <c r="P908" s="143"/>
      <c r="Q908" s="67"/>
      <c r="R908" s="144"/>
      <c r="S908" s="144"/>
      <c r="T908" s="143"/>
      <c r="U908" s="143"/>
      <c r="V908" s="143"/>
      <c r="W908" s="130"/>
      <c r="X908" s="130"/>
      <c r="Y908" s="130"/>
      <c r="Z908" s="130"/>
      <c r="AA908" s="130"/>
      <c r="AB908" s="130"/>
      <c r="AC908" s="130"/>
      <c r="AD908" s="130"/>
      <c r="AE908" s="130"/>
      <c r="AF908" s="130"/>
      <c r="AG908" s="130"/>
      <c r="AH908" s="130"/>
      <c r="AI908" s="130"/>
      <c r="AJ908" s="130"/>
      <c r="AK908" s="130"/>
    </row>
    <row r="909">
      <c r="A909" s="130"/>
      <c r="B909" s="130"/>
      <c r="C909" s="143"/>
      <c r="D909" s="130"/>
      <c r="E909" s="143"/>
      <c r="F909" s="143"/>
      <c r="G909" s="143"/>
      <c r="H909" s="143"/>
      <c r="I909" s="143"/>
      <c r="J909" s="143"/>
      <c r="K909" s="143"/>
      <c r="L909" s="143"/>
      <c r="M909" s="143"/>
      <c r="N909" s="143"/>
      <c r="O909" s="143"/>
      <c r="P909" s="143"/>
      <c r="Q909" s="67"/>
      <c r="R909" s="144"/>
      <c r="S909" s="144"/>
      <c r="T909" s="143"/>
      <c r="U909" s="143"/>
      <c r="V909" s="143"/>
      <c r="W909" s="130"/>
      <c r="X909" s="130"/>
      <c r="Y909" s="130"/>
      <c r="Z909" s="130"/>
      <c r="AA909" s="130"/>
      <c r="AB909" s="130"/>
      <c r="AC909" s="130"/>
      <c r="AD909" s="130"/>
      <c r="AE909" s="130"/>
      <c r="AF909" s="130"/>
      <c r="AG909" s="130"/>
      <c r="AH909" s="130"/>
      <c r="AI909" s="130"/>
      <c r="AJ909" s="130"/>
      <c r="AK909" s="130"/>
    </row>
    <row r="910">
      <c r="A910" s="130"/>
      <c r="B910" s="130"/>
      <c r="C910" s="143"/>
      <c r="D910" s="130"/>
      <c r="E910" s="143"/>
      <c r="F910" s="143"/>
      <c r="G910" s="143"/>
      <c r="H910" s="143"/>
      <c r="I910" s="143"/>
      <c r="J910" s="143"/>
      <c r="K910" s="143"/>
      <c r="L910" s="143"/>
      <c r="M910" s="143"/>
      <c r="N910" s="143"/>
      <c r="O910" s="143"/>
      <c r="P910" s="143"/>
      <c r="Q910" s="67"/>
      <c r="R910" s="144"/>
      <c r="S910" s="144"/>
      <c r="T910" s="143"/>
      <c r="U910" s="143"/>
      <c r="V910" s="143"/>
      <c r="W910" s="130"/>
      <c r="X910" s="130"/>
      <c r="Y910" s="130"/>
      <c r="Z910" s="130"/>
      <c r="AA910" s="130"/>
      <c r="AB910" s="130"/>
      <c r="AC910" s="130"/>
      <c r="AD910" s="130"/>
      <c r="AE910" s="130"/>
      <c r="AF910" s="130"/>
      <c r="AG910" s="130"/>
      <c r="AH910" s="130"/>
      <c r="AI910" s="130"/>
      <c r="AJ910" s="130"/>
      <c r="AK910" s="130"/>
    </row>
    <row r="911">
      <c r="A911" s="130"/>
      <c r="B911" s="130"/>
      <c r="C911" s="143"/>
      <c r="D911" s="130"/>
      <c r="E911" s="143"/>
      <c r="F911" s="143"/>
      <c r="G911" s="143"/>
      <c r="H911" s="143"/>
      <c r="I911" s="143"/>
      <c r="J911" s="143"/>
      <c r="K911" s="143"/>
      <c r="L911" s="143"/>
      <c r="M911" s="143"/>
      <c r="N911" s="143"/>
      <c r="O911" s="143"/>
      <c r="P911" s="143"/>
      <c r="Q911" s="67"/>
      <c r="R911" s="144"/>
      <c r="S911" s="144"/>
      <c r="T911" s="143"/>
      <c r="U911" s="143"/>
      <c r="V911" s="143"/>
      <c r="W911" s="130"/>
      <c r="X911" s="130"/>
      <c r="Y911" s="130"/>
      <c r="Z911" s="130"/>
      <c r="AA911" s="130"/>
      <c r="AB911" s="130"/>
      <c r="AC911" s="130"/>
      <c r="AD911" s="130"/>
      <c r="AE911" s="130"/>
      <c r="AF911" s="130"/>
      <c r="AG911" s="130"/>
      <c r="AH911" s="130"/>
      <c r="AI911" s="130"/>
      <c r="AJ911" s="130"/>
      <c r="AK911" s="130"/>
    </row>
    <row r="912">
      <c r="A912" s="130"/>
      <c r="B912" s="130"/>
      <c r="C912" s="143"/>
      <c r="D912" s="130"/>
      <c r="E912" s="143"/>
      <c r="F912" s="143"/>
      <c r="G912" s="143"/>
      <c r="H912" s="143"/>
      <c r="I912" s="143"/>
      <c r="J912" s="143"/>
      <c r="K912" s="143"/>
      <c r="L912" s="143"/>
      <c r="M912" s="143"/>
      <c r="N912" s="143"/>
      <c r="O912" s="143"/>
      <c r="P912" s="143"/>
      <c r="Q912" s="67"/>
      <c r="R912" s="144"/>
      <c r="S912" s="144"/>
      <c r="T912" s="143"/>
      <c r="U912" s="143"/>
      <c r="V912" s="143"/>
      <c r="W912" s="130"/>
      <c r="X912" s="130"/>
      <c r="Y912" s="130"/>
      <c r="Z912" s="130"/>
      <c r="AA912" s="130"/>
      <c r="AB912" s="130"/>
      <c r="AC912" s="130"/>
      <c r="AD912" s="130"/>
      <c r="AE912" s="130"/>
      <c r="AF912" s="130"/>
      <c r="AG912" s="130"/>
      <c r="AH912" s="130"/>
      <c r="AI912" s="130"/>
      <c r="AJ912" s="130"/>
      <c r="AK912" s="130"/>
    </row>
    <row r="913">
      <c r="A913" s="130"/>
      <c r="B913" s="130"/>
      <c r="C913" s="143"/>
      <c r="D913" s="130"/>
      <c r="E913" s="143"/>
      <c r="F913" s="143"/>
      <c r="G913" s="143"/>
      <c r="H913" s="143"/>
      <c r="I913" s="143"/>
      <c r="J913" s="143"/>
      <c r="K913" s="143"/>
      <c r="L913" s="143"/>
      <c r="M913" s="143"/>
      <c r="N913" s="143"/>
      <c r="O913" s="143"/>
      <c r="P913" s="143"/>
      <c r="Q913" s="67"/>
      <c r="R913" s="144"/>
      <c r="S913" s="144"/>
      <c r="T913" s="143"/>
      <c r="U913" s="143"/>
      <c r="V913" s="143"/>
      <c r="W913" s="130"/>
      <c r="X913" s="130"/>
      <c r="Y913" s="130"/>
      <c r="Z913" s="130"/>
      <c r="AA913" s="130"/>
      <c r="AB913" s="130"/>
      <c r="AC913" s="130"/>
      <c r="AD913" s="130"/>
      <c r="AE913" s="130"/>
      <c r="AF913" s="130"/>
      <c r="AG913" s="130"/>
      <c r="AH913" s="130"/>
      <c r="AI913" s="130"/>
      <c r="AJ913" s="130"/>
      <c r="AK913" s="130"/>
    </row>
    <row r="914">
      <c r="A914" s="130"/>
      <c r="B914" s="130"/>
      <c r="C914" s="143"/>
      <c r="D914" s="130"/>
      <c r="E914" s="143"/>
      <c r="F914" s="143"/>
      <c r="G914" s="143"/>
      <c r="H914" s="143"/>
      <c r="I914" s="143"/>
      <c r="J914" s="143"/>
      <c r="K914" s="143"/>
      <c r="L914" s="143"/>
      <c r="M914" s="143"/>
      <c r="N914" s="143"/>
      <c r="O914" s="143"/>
      <c r="P914" s="143"/>
      <c r="Q914" s="67"/>
      <c r="R914" s="144"/>
      <c r="S914" s="144"/>
      <c r="T914" s="143"/>
      <c r="U914" s="143"/>
      <c r="V914" s="143"/>
      <c r="W914" s="130"/>
      <c r="X914" s="130"/>
      <c r="Y914" s="130"/>
      <c r="Z914" s="130"/>
      <c r="AA914" s="130"/>
      <c r="AB914" s="130"/>
      <c r="AC914" s="130"/>
      <c r="AD914" s="130"/>
      <c r="AE914" s="130"/>
      <c r="AF914" s="130"/>
      <c r="AG914" s="130"/>
      <c r="AH914" s="130"/>
      <c r="AI914" s="130"/>
      <c r="AJ914" s="130"/>
      <c r="AK914" s="130"/>
    </row>
    <row r="915">
      <c r="A915" s="130"/>
      <c r="B915" s="130"/>
      <c r="C915" s="143"/>
      <c r="D915" s="130"/>
      <c r="E915" s="143"/>
      <c r="F915" s="143"/>
      <c r="G915" s="143"/>
      <c r="H915" s="143"/>
      <c r="I915" s="143"/>
      <c r="J915" s="143"/>
      <c r="K915" s="143"/>
      <c r="L915" s="143"/>
      <c r="M915" s="143"/>
      <c r="N915" s="143"/>
      <c r="O915" s="143"/>
      <c r="P915" s="143"/>
      <c r="Q915" s="67"/>
      <c r="R915" s="144"/>
      <c r="S915" s="144"/>
      <c r="T915" s="143"/>
      <c r="U915" s="143"/>
      <c r="V915" s="143"/>
      <c r="W915" s="130"/>
      <c r="X915" s="130"/>
      <c r="Y915" s="130"/>
      <c r="Z915" s="130"/>
      <c r="AA915" s="130"/>
      <c r="AB915" s="130"/>
      <c r="AC915" s="130"/>
      <c r="AD915" s="130"/>
      <c r="AE915" s="130"/>
      <c r="AF915" s="130"/>
      <c r="AG915" s="130"/>
      <c r="AH915" s="130"/>
      <c r="AI915" s="130"/>
      <c r="AJ915" s="130"/>
      <c r="AK915" s="130"/>
    </row>
    <row r="916">
      <c r="A916" s="130"/>
      <c r="B916" s="130"/>
      <c r="C916" s="143"/>
      <c r="D916" s="130"/>
      <c r="E916" s="143"/>
      <c r="F916" s="143"/>
      <c r="G916" s="143"/>
      <c r="H916" s="143"/>
      <c r="I916" s="143"/>
      <c r="J916" s="143"/>
      <c r="K916" s="143"/>
      <c r="L916" s="143"/>
      <c r="M916" s="143"/>
      <c r="N916" s="143"/>
      <c r="O916" s="143"/>
      <c r="P916" s="143"/>
      <c r="Q916" s="67"/>
      <c r="R916" s="144"/>
      <c r="S916" s="144"/>
      <c r="T916" s="143"/>
      <c r="U916" s="143"/>
      <c r="V916" s="143"/>
      <c r="W916" s="130"/>
      <c r="X916" s="130"/>
      <c r="Y916" s="130"/>
      <c r="Z916" s="130"/>
      <c r="AA916" s="130"/>
      <c r="AB916" s="130"/>
      <c r="AC916" s="130"/>
      <c r="AD916" s="130"/>
      <c r="AE916" s="130"/>
      <c r="AF916" s="130"/>
      <c r="AG916" s="130"/>
      <c r="AH916" s="130"/>
      <c r="AI916" s="130"/>
      <c r="AJ916" s="130"/>
      <c r="AK916" s="130"/>
    </row>
    <row r="917">
      <c r="A917" s="130"/>
      <c r="B917" s="130"/>
      <c r="C917" s="143"/>
      <c r="D917" s="130"/>
      <c r="E917" s="143"/>
      <c r="F917" s="143"/>
      <c r="G917" s="143"/>
      <c r="H917" s="143"/>
      <c r="I917" s="143"/>
      <c r="J917" s="143"/>
      <c r="K917" s="143"/>
      <c r="L917" s="143"/>
      <c r="M917" s="143"/>
      <c r="N917" s="143"/>
      <c r="O917" s="143"/>
      <c r="P917" s="143"/>
      <c r="Q917" s="67"/>
      <c r="R917" s="144"/>
      <c r="S917" s="144"/>
      <c r="T917" s="143"/>
      <c r="U917" s="143"/>
      <c r="V917" s="143"/>
      <c r="W917" s="130"/>
      <c r="X917" s="130"/>
      <c r="Y917" s="130"/>
      <c r="Z917" s="130"/>
      <c r="AA917" s="130"/>
      <c r="AB917" s="130"/>
      <c r="AC917" s="130"/>
      <c r="AD917" s="130"/>
      <c r="AE917" s="130"/>
      <c r="AF917" s="130"/>
      <c r="AG917" s="130"/>
      <c r="AH917" s="130"/>
      <c r="AI917" s="130"/>
      <c r="AJ917" s="130"/>
      <c r="AK917" s="130"/>
    </row>
    <row r="918">
      <c r="A918" s="130"/>
      <c r="B918" s="130"/>
      <c r="C918" s="143"/>
      <c r="D918" s="130"/>
      <c r="E918" s="143"/>
      <c r="F918" s="143"/>
      <c r="G918" s="143"/>
      <c r="H918" s="143"/>
      <c r="I918" s="143"/>
      <c r="J918" s="143"/>
      <c r="K918" s="143"/>
      <c r="L918" s="143"/>
      <c r="M918" s="143"/>
      <c r="N918" s="143"/>
      <c r="O918" s="143"/>
      <c r="P918" s="143"/>
      <c r="Q918" s="67"/>
      <c r="R918" s="144"/>
      <c r="S918" s="144"/>
      <c r="T918" s="143"/>
      <c r="U918" s="143"/>
      <c r="V918" s="143"/>
      <c r="W918" s="130"/>
      <c r="X918" s="130"/>
      <c r="Y918" s="130"/>
      <c r="Z918" s="130"/>
      <c r="AA918" s="130"/>
      <c r="AB918" s="130"/>
      <c r="AC918" s="130"/>
      <c r="AD918" s="130"/>
      <c r="AE918" s="130"/>
      <c r="AF918" s="130"/>
      <c r="AG918" s="130"/>
      <c r="AH918" s="130"/>
      <c r="AI918" s="130"/>
      <c r="AJ918" s="130"/>
      <c r="AK918" s="130"/>
    </row>
    <row r="919">
      <c r="A919" s="130"/>
      <c r="B919" s="130"/>
      <c r="C919" s="143"/>
      <c r="D919" s="130"/>
      <c r="E919" s="143"/>
      <c r="F919" s="143"/>
      <c r="G919" s="143"/>
      <c r="H919" s="143"/>
      <c r="I919" s="143"/>
      <c r="J919" s="143"/>
      <c r="K919" s="143"/>
      <c r="L919" s="143"/>
      <c r="M919" s="143"/>
      <c r="N919" s="143"/>
      <c r="O919" s="143"/>
      <c r="P919" s="143"/>
      <c r="Q919" s="67"/>
      <c r="R919" s="144"/>
      <c r="S919" s="144"/>
      <c r="T919" s="143"/>
      <c r="U919" s="143"/>
      <c r="V919" s="143"/>
      <c r="W919" s="130"/>
      <c r="X919" s="130"/>
      <c r="Y919" s="130"/>
      <c r="Z919" s="130"/>
      <c r="AA919" s="130"/>
      <c r="AB919" s="130"/>
      <c r="AC919" s="130"/>
      <c r="AD919" s="130"/>
      <c r="AE919" s="130"/>
      <c r="AF919" s="130"/>
      <c r="AG919" s="130"/>
      <c r="AH919" s="130"/>
      <c r="AI919" s="130"/>
      <c r="AJ919" s="130"/>
      <c r="AK919" s="130"/>
    </row>
    <row r="920">
      <c r="A920" s="130"/>
      <c r="B920" s="130"/>
      <c r="C920" s="143"/>
      <c r="D920" s="130"/>
      <c r="E920" s="143"/>
      <c r="F920" s="143"/>
      <c r="G920" s="143"/>
      <c r="H920" s="143"/>
      <c r="I920" s="143"/>
      <c r="J920" s="143"/>
      <c r="K920" s="143"/>
      <c r="L920" s="143"/>
      <c r="M920" s="143"/>
      <c r="N920" s="143"/>
      <c r="O920" s="143"/>
      <c r="P920" s="143"/>
      <c r="Q920" s="67"/>
      <c r="R920" s="144"/>
      <c r="S920" s="144"/>
      <c r="T920" s="143"/>
      <c r="U920" s="143"/>
      <c r="V920" s="143"/>
      <c r="W920" s="130"/>
      <c r="X920" s="130"/>
      <c r="Y920" s="130"/>
      <c r="Z920" s="130"/>
      <c r="AA920" s="130"/>
      <c r="AB920" s="130"/>
      <c r="AC920" s="130"/>
      <c r="AD920" s="130"/>
      <c r="AE920" s="130"/>
      <c r="AF920" s="130"/>
      <c r="AG920" s="130"/>
      <c r="AH920" s="130"/>
      <c r="AI920" s="130"/>
      <c r="AJ920" s="130"/>
      <c r="AK920" s="130"/>
    </row>
    <row r="921">
      <c r="A921" s="130"/>
      <c r="B921" s="130"/>
      <c r="C921" s="143"/>
      <c r="D921" s="130"/>
      <c r="E921" s="143"/>
      <c r="F921" s="143"/>
      <c r="G921" s="143"/>
      <c r="H921" s="143"/>
      <c r="I921" s="143"/>
      <c r="J921" s="143"/>
      <c r="K921" s="143"/>
      <c r="L921" s="143"/>
      <c r="M921" s="143"/>
      <c r="N921" s="143"/>
      <c r="O921" s="143"/>
      <c r="P921" s="143"/>
      <c r="Q921" s="67"/>
      <c r="R921" s="144"/>
      <c r="S921" s="144"/>
      <c r="T921" s="143"/>
      <c r="U921" s="143"/>
      <c r="V921" s="143"/>
      <c r="W921" s="130"/>
      <c r="X921" s="130"/>
      <c r="Y921" s="130"/>
      <c r="Z921" s="130"/>
      <c r="AA921" s="130"/>
      <c r="AB921" s="130"/>
      <c r="AC921" s="130"/>
      <c r="AD921" s="130"/>
      <c r="AE921" s="130"/>
      <c r="AF921" s="130"/>
      <c r="AG921" s="130"/>
      <c r="AH921" s="130"/>
      <c r="AI921" s="130"/>
      <c r="AJ921" s="130"/>
      <c r="AK921" s="130"/>
    </row>
    <row r="922">
      <c r="A922" s="130"/>
      <c r="B922" s="130"/>
      <c r="C922" s="143"/>
      <c r="D922" s="130"/>
      <c r="E922" s="143"/>
      <c r="F922" s="143"/>
      <c r="G922" s="143"/>
      <c r="H922" s="143"/>
      <c r="I922" s="143"/>
      <c r="J922" s="143"/>
      <c r="K922" s="143"/>
      <c r="L922" s="143"/>
      <c r="M922" s="143"/>
      <c r="N922" s="143"/>
      <c r="O922" s="143"/>
      <c r="P922" s="143"/>
      <c r="Q922" s="67"/>
      <c r="R922" s="144"/>
      <c r="S922" s="144"/>
      <c r="T922" s="143"/>
      <c r="U922" s="143"/>
      <c r="V922" s="143"/>
      <c r="W922" s="130"/>
      <c r="X922" s="130"/>
      <c r="Y922" s="130"/>
      <c r="Z922" s="130"/>
      <c r="AA922" s="130"/>
      <c r="AB922" s="130"/>
      <c r="AC922" s="130"/>
      <c r="AD922" s="130"/>
      <c r="AE922" s="130"/>
      <c r="AF922" s="130"/>
      <c r="AG922" s="130"/>
      <c r="AH922" s="130"/>
      <c r="AI922" s="130"/>
      <c r="AJ922" s="130"/>
      <c r="AK922" s="130"/>
    </row>
    <row r="923">
      <c r="A923" s="130"/>
      <c r="B923" s="130"/>
      <c r="C923" s="143"/>
      <c r="D923" s="130"/>
      <c r="E923" s="143"/>
      <c r="F923" s="143"/>
      <c r="G923" s="143"/>
      <c r="H923" s="143"/>
      <c r="I923" s="143"/>
      <c r="J923" s="143"/>
      <c r="K923" s="143"/>
      <c r="L923" s="143"/>
      <c r="M923" s="143"/>
      <c r="N923" s="143"/>
      <c r="O923" s="143"/>
      <c r="P923" s="143"/>
      <c r="Q923" s="67"/>
      <c r="R923" s="144"/>
      <c r="S923" s="144"/>
      <c r="T923" s="143"/>
      <c r="U923" s="143"/>
      <c r="V923" s="143"/>
      <c r="W923" s="130"/>
      <c r="X923" s="130"/>
      <c r="Y923" s="130"/>
      <c r="Z923" s="130"/>
      <c r="AA923" s="130"/>
      <c r="AB923" s="130"/>
      <c r="AC923" s="130"/>
      <c r="AD923" s="130"/>
      <c r="AE923" s="130"/>
      <c r="AF923" s="130"/>
      <c r="AG923" s="130"/>
      <c r="AH923" s="130"/>
      <c r="AI923" s="130"/>
      <c r="AJ923" s="130"/>
      <c r="AK923" s="130"/>
    </row>
    <row r="924">
      <c r="A924" s="130"/>
      <c r="B924" s="130"/>
      <c r="C924" s="143"/>
      <c r="D924" s="130"/>
      <c r="E924" s="143"/>
      <c r="F924" s="143"/>
      <c r="G924" s="143"/>
      <c r="H924" s="143"/>
      <c r="I924" s="143"/>
      <c r="J924" s="143"/>
      <c r="K924" s="143"/>
      <c r="L924" s="143"/>
      <c r="M924" s="143"/>
      <c r="N924" s="143"/>
      <c r="O924" s="143"/>
      <c r="P924" s="143"/>
      <c r="Q924" s="67"/>
      <c r="R924" s="144"/>
      <c r="S924" s="144"/>
      <c r="T924" s="143"/>
      <c r="U924" s="143"/>
      <c r="V924" s="143"/>
      <c r="W924" s="130"/>
      <c r="X924" s="130"/>
      <c r="Y924" s="130"/>
      <c r="Z924" s="130"/>
      <c r="AA924" s="130"/>
      <c r="AB924" s="130"/>
      <c r="AC924" s="130"/>
      <c r="AD924" s="130"/>
      <c r="AE924" s="130"/>
      <c r="AF924" s="130"/>
      <c r="AG924" s="130"/>
      <c r="AH924" s="130"/>
      <c r="AI924" s="130"/>
      <c r="AJ924" s="130"/>
      <c r="AK924" s="130"/>
    </row>
    <row r="925">
      <c r="A925" s="130"/>
      <c r="B925" s="130"/>
      <c r="C925" s="143"/>
      <c r="D925" s="130"/>
      <c r="E925" s="143"/>
      <c r="F925" s="143"/>
      <c r="G925" s="143"/>
      <c r="H925" s="143"/>
      <c r="I925" s="143"/>
      <c r="J925" s="143"/>
      <c r="K925" s="143"/>
      <c r="L925" s="143"/>
      <c r="M925" s="143"/>
      <c r="N925" s="143"/>
      <c r="O925" s="143"/>
      <c r="P925" s="143"/>
      <c r="Q925" s="67"/>
      <c r="R925" s="144"/>
      <c r="S925" s="144"/>
      <c r="T925" s="143"/>
      <c r="U925" s="143"/>
      <c r="V925" s="143"/>
      <c r="W925" s="130"/>
      <c r="X925" s="130"/>
      <c r="Y925" s="130"/>
      <c r="Z925" s="130"/>
      <c r="AA925" s="130"/>
      <c r="AB925" s="130"/>
      <c r="AC925" s="130"/>
      <c r="AD925" s="130"/>
      <c r="AE925" s="130"/>
      <c r="AF925" s="130"/>
      <c r="AG925" s="130"/>
      <c r="AH925" s="130"/>
      <c r="AI925" s="130"/>
      <c r="AJ925" s="130"/>
      <c r="AK925" s="130"/>
    </row>
    <row r="926">
      <c r="A926" s="130"/>
      <c r="B926" s="130"/>
      <c r="C926" s="143"/>
      <c r="D926" s="130"/>
      <c r="E926" s="143"/>
      <c r="F926" s="143"/>
      <c r="G926" s="143"/>
      <c r="H926" s="143"/>
      <c r="I926" s="143"/>
      <c r="J926" s="143"/>
      <c r="K926" s="143"/>
      <c r="L926" s="143"/>
      <c r="M926" s="143"/>
      <c r="N926" s="143"/>
      <c r="O926" s="143"/>
      <c r="P926" s="143"/>
      <c r="Q926" s="67"/>
      <c r="R926" s="144"/>
      <c r="S926" s="144"/>
      <c r="T926" s="143"/>
      <c r="U926" s="143"/>
      <c r="V926" s="143"/>
      <c r="W926" s="130"/>
      <c r="X926" s="130"/>
      <c r="Y926" s="130"/>
      <c r="Z926" s="130"/>
      <c r="AA926" s="130"/>
      <c r="AB926" s="130"/>
      <c r="AC926" s="130"/>
      <c r="AD926" s="130"/>
      <c r="AE926" s="130"/>
      <c r="AF926" s="130"/>
      <c r="AG926" s="130"/>
      <c r="AH926" s="130"/>
      <c r="AI926" s="130"/>
      <c r="AJ926" s="130"/>
      <c r="AK926" s="130"/>
    </row>
    <row r="927">
      <c r="A927" s="130"/>
      <c r="B927" s="130"/>
      <c r="C927" s="143"/>
      <c r="D927" s="130"/>
      <c r="E927" s="143"/>
      <c r="F927" s="143"/>
      <c r="G927" s="143"/>
      <c r="H927" s="143"/>
      <c r="I927" s="143"/>
      <c r="J927" s="143"/>
      <c r="K927" s="143"/>
      <c r="L927" s="143"/>
      <c r="M927" s="143"/>
      <c r="N927" s="143"/>
      <c r="O927" s="143"/>
      <c r="P927" s="143"/>
      <c r="Q927" s="67"/>
      <c r="R927" s="144"/>
      <c r="S927" s="144"/>
      <c r="T927" s="143"/>
      <c r="U927" s="143"/>
      <c r="V927" s="143"/>
      <c r="W927" s="130"/>
      <c r="X927" s="130"/>
      <c r="Y927" s="130"/>
      <c r="Z927" s="130"/>
      <c r="AA927" s="130"/>
      <c r="AB927" s="130"/>
      <c r="AC927" s="130"/>
      <c r="AD927" s="130"/>
      <c r="AE927" s="130"/>
      <c r="AF927" s="130"/>
      <c r="AG927" s="130"/>
      <c r="AH927" s="130"/>
      <c r="AI927" s="130"/>
      <c r="AJ927" s="130"/>
      <c r="AK927" s="130"/>
    </row>
    <row r="928">
      <c r="A928" s="130"/>
      <c r="B928" s="130"/>
      <c r="C928" s="143"/>
      <c r="D928" s="130"/>
      <c r="E928" s="143"/>
      <c r="F928" s="143"/>
      <c r="G928" s="143"/>
      <c r="H928" s="143"/>
      <c r="I928" s="143"/>
      <c r="J928" s="143"/>
      <c r="K928" s="143"/>
      <c r="L928" s="143"/>
      <c r="M928" s="143"/>
      <c r="N928" s="143"/>
      <c r="O928" s="143"/>
      <c r="P928" s="143"/>
      <c r="Q928" s="67"/>
      <c r="R928" s="144"/>
      <c r="S928" s="144"/>
      <c r="T928" s="143"/>
      <c r="U928" s="143"/>
      <c r="V928" s="143"/>
      <c r="W928" s="130"/>
      <c r="X928" s="130"/>
      <c r="Y928" s="130"/>
      <c r="Z928" s="130"/>
      <c r="AA928" s="130"/>
      <c r="AB928" s="130"/>
      <c r="AC928" s="130"/>
      <c r="AD928" s="130"/>
      <c r="AE928" s="130"/>
      <c r="AF928" s="130"/>
      <c r="AG928" s="130"/>
      <c r="AH928" s="130"/>
      <c r="AI928" s="130"/>
      <c r="AJ928" s="130"/>
      <c r="AK928" s="130"/>
    </row>
    <row r="929">
      <c r="A929" s="130"/>
      <c r="B929" s="130"/>
      <c r="C929" s="143"/>
      <c r="D929" s="130"/>
      <c r="E929" s="143"/>
      <c r="F929" s="143"/>
      <c r="G929" s="143"/>
      <c r="H929" s="143"/>
      <c r="I929" s="143"/>
      <c r="J929" s="143"/>
      <c r="K929" s="143"/>
      <c r="L929" s="143"/>
      <c r="M929" s="143"/>
      <c r="N929" s="143"/>
      <c r="O929" s="143"/>
      <c r="P929" s="143"/>
      <c r="Q929" s="67"/>
      <c r="R929" s="144"/>
      <c r="S929" s="144"/>
      <c r="T929" s="143"/>
      <c r="U929" s="143"/>
      <c r="V929" s="143"/>
      <c r="W929" s="130"/>
      <c r="X929" s="130"/>
      <c r="Y929" s="130"/>
      <c r="Z929" s="130"/>
      <c r="AA929" s="130"/>
      <c r="AB929" s="130"/>
      <c r="AC929" s="130"/>
      <c r="AD929" s="130"/>
      <c r="AE929" s="130"/>
      <c r="AF929" s="130"/>
      <c r="AG929" s="130"/>
      <c r="AH929" s="130"/>
      <c r="AI929" s="130"/>
      <c r="AJ929" s="130"/>
      <c r="AK929" s="130"/>
    </row>
    <row r="930">
      <c r="A930" s="130"/>
      <c r="B930" s="130"/>
      <c r="C930" s="143"/>
      <c r="D930" s="130"/>
      <c r="E930" s="143"/>
      <c r="F930" s="143"/>
      <c r="G930" s="143"/>
      <c r="H930" s="143"/>
      <c r="I930" s="143"/>
      <c r="J930" s="143"/>
      <c r="K930" s="143"/>
      <c r="L930" s="143"/>
      <c r="M930" s="143"/>
      <c r="N930" s="143"/>
      <c r="O930" s="143"/>
      <c r="P930" s="143"/>
      <c r="Q930" s="67"/>
      <c r="R930" s="144"/>
      <c r="S930" s="144"/>
      <c r="T930" s="143"/>
      <c r="U930" s="143"/>
      <c r="V930" s="143"/>
      <c r="W930" s="130"/>
      <c r="X930" s="130"/>
      <c r="Y930" s="130"/>
      <c r="Z930" s="130"/>
      <c r="AA930" s="130"/>
      <c r="AB930" s="130"/>
      <c r="AC930" s="130"/>
      <c r="AD930" s="130"/>
      <c r="AE930" s="130"/>
      <c r="AF930" s="130"/>
      <c r="AG930" s="130"/>
      <c r="AH930" s="130"/>
      <c r="AI930" s="130"/>
      <c r="AJ930" s="130"/>
      <c r="AK930" s="130"/>
    </row>
    <row r="931">
      <c r="A931" s="130"/>
      <c r="B931" s="130"/>
      <c r="C931" s="143"/>
      <c r="D931" s="130"/>
      <c r="E931" s="143"/>
      <c r="F931" s="143"/>
      <c r="G931" s="143"/>
      <c r="H931" s="143"/>
      <c r="I931" s="143"/>
      <c r="J931" s="143"/>
      <c r="K931" s="143"/>
      <c r="L931" s="143"/>
      <c r="M931" s="143"/>
      <c r="N931" s="143"/>
      <c r="O931" s="143"/>
      <c r="P931" s="143"/>
      <c r="Q931" s="67"/>
      <c r="R931" s="144"/>
      <c r="S931" s="144"/>
      <c r="T931" s="143"/>
      <c r="U931" s="143"/>
      <c r="V931" s="143"/>
      <c r="W931" s="130"/>
      <c r="X931" s="130"/>
      <c r="Y931" s="130"/>
      <c r="Z931" s="130"/>
      <c r="AA931" s="130"/>
      <c r="AB931" s="130"/>
      <c r="AC931" s="130"/>
      <c r="AD931" s="130"/>
      <c r="AE931" s="130"/>
      <c r="AF931" s="130"/>
      <c r="AG931" s="130"/>
      <c r="AH931" s="130"/>
      <c r="AI931" s="130"/>
      <c r="AJ931" s="130"/>
      <c r="AK931" s="130"/>
    </row>
    <row r="932">
      <c r="A932" s="130"/>
      <c r="B932" s="130"/>
      <c r="C932" s="143"/>
      <c r="D932" s="130"/>
      <c r="E932" s="143"/>
      <c r="F932" s="143"/>
      <c r="G932" s="143"/>
      <c r="H932" s="143"/>
      <c r="I932" s="143"/>
      <c r="J932" s="143"/>
      <c r="K932" s="143"/>
      <c r="L932" s="143"/>
      <c r="M932" s="143"/>
      <c r="N932" s="143"/>
      <c r="O932" s="143"/>
      <c r="P932" s="143"/>
      <c r="Q932" s="67"/>
      <c r="R932" s="144"/>
      <c r="S932" s="144"/>
      <c r="T932" s="143"/>
      <c r="U932" s="143"/>
      <c r="V932" s="143"/>
      <c r="W932" s="130"/>
      <c r="X932" s="130"/>
      <c r="Y932" s="130"/>
      <c r="Z932" s="130"/>
      <c r="AA932" s="130"/>
      <c r="AB932" s="130"/>
      <c r="AC932" s="130"/>
      <c r="AD932" s="130"/>
      <c r="AE932" s="130"/>
      <c r="AF932" s="130"/>
      <c r="AG932" s="130"/>
      <c r="AH932" s="130"/>
      <c r="AI932" s="130"/>
      <c r="AJ932" s="130"/>
      <c r="AK932" s="130"/>
    </row>
    <row r="933">
      <c r="A933" s="130"/>
      <c r="B933" s="130"/>
      <c r="C933" s="143"/>
      <c r="D933" s="130"/>
      <c r="E933" s="143"/>
      <c r="F933" s="143"/>
      <c r="G933" s="143"/>
      <c r="H933" s="143"/>
      <c r="I933" s="143"/>
      <c r="J933" s="143"/>
      <c r="K933" s="143"/>
      <c r="L933" s="143"/>
      <c r="M933" s="143"/>
      <c r="N933" s="143"/>
      <c r="O933" s="143"/>
      <c r="P933" s="143"/>
      <c r="Q933" s="67"/>
      <c r="R933" s="144"/>
      <c r="S933" s="144"/>
      <c r="T933" s="143"/>
      <c r="U933" s="143"/>
      <c r="V933" s="143"/>
      <c r="W933" s="130"/>
      <c r="X933" s="130"/>
      <c r="Y933" s="130"/>
      <c r="Z933" s="130"/>
      <c r="AA933" s="130"/>
      <c r="AB933" s="130"/>
      <c r="AC933" s="130"/>
      <c r="AD933" s="130"/>
      <c r="AE933" s="130"/>
      <c r="AF933" s="130"/>
      <c r="AG933" s="130"/>
      <c r="AH933" s="130"/>
      <c r="AI933" s="130"/>
      <c r="AJ933" s="130"/>
      <c r="AK933" s="130"/>
    </row>
    <row r="934">
      <c r="A934" s="130"/>
      <c r="B934" s="130"/>
      <c r="C934" s="143"/>
      <c r="D934" s="130"/>
      <c r="E934" s="143"/>
      <c r="F934" s="143"/>
      <c r="G934" s="143"/>
      <c r="H934" s="143"/>
      <c r="I934" s="143"/>
      <c r="J934" s="143"/>
      <c r="K934" s="143"/>
      <c r="L934" s="143"/>
      <c r="M934" s="143"/>
      <c r="N934" s="143"/>
      <c r="O934" s="143"/>
      <c r="P934" s="143"/>
      <c r="Q934" s="67"/>
      <c r="R934" s="144"/>
      <c r="S934" s="144"/>
      <c r="T934" s="143"/>
      <c r="U934" s="143"/>
      <c r="V934" s="143"/>
      <c r="W934" s="130"/>
      <c r="X934" s="130"/>
      <c r="Y934" s="130"/>
      <c r="Z934" s="130"/>
      <c r="AA934" s="130"/>
      <c r="AB934" s="130"/>
      <c r="AC934" s="130"/>
      <c r="AD934" s="130"/>
      <c r="AE934" s="130"/>
      <c r="AF934" s="130"/>
      <c r="AG934" s="130"/>
      <c r="AH934" s="130"/>
      <c r="AI934" s="130"/>
      <c r="AJ934" s="130"/>
      <c r="AK934" s="130"/>
    </row>
    <row r="935">
      <c r="A935" s="130"/>
      <c r="B935" s="130"/>
      <c r="C935" s="143"/>
      <c r="D935" s="130"/>
      <c r="E935" s="143"/>
      <c r="F935" s="143"/>
      <c r="G935" s="143"/>
      <c r="H935" s="143"/>
      <c r="I935" s="143"/>
      <c r="J935" s="143"/>
      <c r="K935" s="143"/>
      <c r="L935" s="143"/>
      <c r="M935" s="143"/>
      <c r="N935" s="143"/>
      <c r="O935" s="143"/>
      <c r="P935" s="143"/>
      <c r="Q935" s="67"/>
      <c r="R935" s="144"/>
      <c r="S935" s="144"/>
      <c r="T935" s="143"/>
      <c r="U935" s="143"/>
      <c r="V935" s="143"/>
      <c r="W935" s="130"/>
      <c r="X935" s="130"/>
      <c r="Y935" s="130"/>
      <c r="Z935" s="130"/>
      <c r="AA935" s="130"/>
      <c r="AB935" s="130"/>
      <c r="AC935" s="130"/>
      <c r="AD935" s="130"/>
      <c r="AE935" s="130"/>
      <c r="AF935" s="130"/>
      <c r="AG935" s="130"/>
      <c r="AH935" s="130"/>
      <c r="AI935" s="130"/>
      <c r="AJ935" s="130"/>
      <c r="AK935" s="130"/>
    </row>
    <row r="936">
      <c r="A936" s="130"/>
      <c r="B936" s="130"/>
      <c r="C936" s="143"/>
      <c r="D936" s="130"/>
      <c r="E936" s="143"/>
      <c r="F936" s="143"/>
      <c r="G936" s="143"/>
      <c r="H936" s="143"/>
      <c r="I936" s="143"/>
      <c r="J936" s="143"/>
      <c r="K936" s="143"/>
      <c r="L936" s="143"/>
      <c r="M936" s="143"/>
      <c r="N936" s="143"/>
      <c r="O936" s="143"/>
      <c r="P936" s="143"/>
      <c r="Q936" s="67"/>
      <c r="R936" s="144"/>
      <c r="S936" s="144"/>
      <c r="T936" s="143"/>
      <c r="U936" s="143"/>
      <c r="V936" s="143"/>
      <c r="W936" s="130"/>
      <c r="X936" s="130"/>
      <c r="Y936" s="130"/>
      <c r="Z936" s="130"/>
      <c r="AA936" s="130"/>
      <c r="AB936" s="130"/>
      <c r="AC936" s="130"/>
      <c r="AD936" s="130"/>
      <c r="AE936" s="130"/>
      <c r="AF936" s="130"/>
      <c r="AG936" s="130"/>
      <c r="AH936" s="130"/>
      <c r="AI936" s="130"/>
      <c r="AJ936" s="130"/>
      <c r="AK936" s="130"/>
    </row>
    <row r="937">
      <c r="A937" s="130"/>
      <c r="B937" s="130"/>
      <c r="C937" s="143"/>
      <c r="D937" s="130"/>
      <c r="E937" s="143"/>
      <c r="F937" s="143"/>
      <c r="G937" s="143"/>
      <c r="H937" s="143"/>
      <c r="I937" s="143"/>
      <c r="J937" s="143"/>
      <c r="K937" s="143"/>
      <c r="L937" s="143"/>
      <c r="M937" s="143"/>
      <c r="N937" s="143"/>
      <c r="O937" s="143"/>
      <c r="P937" s="143"/>
      <c r="Q937" s="67"/>
      <c r="R937" s="144"/>
      <c r="S937" s="144"/>
      <c r="T937" s="143"/>
      <c r="U937" s="143"/>
      <c r="V937" s="143"/>
      <c r="W937" s="130"/>
      <c r="X937" s="130"/>
      <c r="Y937" s="130"/>
      <c r="Z937" s="130"/>
      <c r="AA937" s="130"/>
      <c r="AB937" s="130"/>
      <c r="AC937" s="130"/>
      <c r="AD937" s="130"/>
      <c r="AE937" s="130"/>
      <c r="AF937" s="130"/>
      <c r="AG937" s="130"/>
      <c r="AH937" s="130"/>
      <c r="AI937" s="130"/>
      <c r="AJ937" s="130"/>
      <c r="AK937" s="130"/>
    </row>
    <row r="938">
      <c r="A938" s="130"/>
      <c r="B938" s="130"/>
      <c r="C938" s="143"/>
      <c r="D938" s="130"/>
      <c r="E938" s="143"/>
      <c r="F938" s="143"/>
      <c r="G938" s="143"/>
      <c r="H938" s="143"/>
      <c r="I938" s="143"/>
      <c r="J938" s="143"/>
      <c r="K938" s="143"/>
      <c r="L938" s="143"/>
      <c r="M938" s="143"/>
      <c r="N938" s="143"/>
      <c r="O938" s="143"/>
      <c r="P938" s="143"/>
      <c r="Q938" s="67"/>
      <c r="R938" s="144"/>
      <c r="S938" s="144"/>
      <c r="T938" s="143"/>
      <c r="U938" s="143"/>
      <c r="V938" s="143"/>
      <c r="W938" s="130"/>
      <c r="X938" s="130"/>
      <c r="Y938" s="130"/>
      <c r="Z938" s="130"/>
      <c r="AA938" s="130"/>
      <c r="AB938" s="130"/>
      <c r="AC938" s="130"/>
      <c r="AD938" s="130"/>
      <c r="AE938" s="130"/>
      <c r="AF938" s="130"/>
      <c r="AG938" s="130"/>
      <c r="AH938" s="130"/>
      <c r="AI938" s="130"/>
      <c r="AJ938" s="130"/>
      <c r="AK938" s="130"/>
    </row>
    <row r="939">
      <c r="A939" s="130"/>
      <c r="B939" s="130"/>
      <c r="C939" s="143"/>
      <c r="D939" s="130"/>
      <c r="E939" s="143"/>
      <c r="F939" s="143"/>
      <c r="G939" s="143"/>
      <c r="H939" s="143"/>
      <c r="I939" s="143"/>
      <c r="J939" s="143"/>
      <c r="K939" s="143"/>
      <c r="L939" s="143"/>
      <c r="M939" s="143"/>
      <c r="N939" s="143"/>
      <c r="O939" s="143"/>
      <c r="P939" s="143"/>
      <c r="Q939" s="67"/>
      <c r="R939" s="144"/>
      <c r="S939" s="144"/>
      <c r="T939" s="143"/>
      <c r="U939" s="143"/>
      <c r="V939" s="143"/>
      <c r="W939" s="130"/>
      <c r="X939" s="130"/>
      <c r="Y939" s="130"/>
      <c r="Z939" s="130"/>
      <c r="AA939" s="130"/>
      <c r="AB939" s="130"/>
      <c r="AC939" s="130"/>
      <c r="AD939" s="130"/>
      <c r="AE939" s="130"/>
      <c r="AF939" s="130"/>
      <c r="AG939" s="130"/>
      <c r="AH939" s="130"/>
      <c r="AI939" s="130"/>
      <c r="AJ939" s="130"/>
      <c r="AK939" s="130"/>
    </row>
    <row r="940">
      <c r="A940" s="130"/>
      <c r="B940" s="130"/>
      <c r="C940" s="143"/>
      <c r="D940" s="130"/>
      <c r="E940" s="143"/>
      <c r="F940" s="143"/>
      <c r="G940" s="143"/>
      <c r="H940" s="143"/>
      <c r="I940" s="143"/>
      <c r="J940" s="143"/>
      <c r="K940" s="143"/>
      <c r="L940" s="143"/>
      <c r="M940" s="143"/>
      <c r="N940" s="143"/>
      <c r="O940" s="143"/>
      <c r="P940" s="143"/>
      <c r="Q940" s="67"/>
      <c r="R940" s="144"/>
      <c r="S940" s="144"/>
      <c r="T940" s="143"/>
      <c r="U940" s="143"/>
      <c r="V940" s="143"/>
      <c r="W940" s="130"/>
      <c r="X940" s="130"/>
      <c r="Y940" s="130"/>
      <c r="Z940" s="130"/>
      <c r="AA940" s="130"/>
      <c r="AB940" s="130"/>
      <c r="AC940" s="130"/>
      <c r="AD940" s="130"/>
      <c r="AE940" s="130"/>
      <c r="AF940" s="130"/>
      <c r="AG940" s="130"/>
      <c r="AH940" s="130"/>
      <c r="AI940" s="130"/>
      <c r="AJ940" s="130"/>
      <c r="AK940" s="130"/>
    </row>
    <row r="941">
      <c r="A941" s="130"/>
      <c r="B941" s="130"/>
      <c r="C941" s="143"/>
      <c r="D941" s="130"/>
      <c r="E941" s="143"/>
      <c r="F941" s="143"/>
      <c r="G941" s="143"/>
      <c r="H941" s="143"/>
      <c r="I941" s="143"/>
      <c r="J941" s="143"/>
      <c r="K941" s="143"/>
      <c r="L941" s="143"/>
      <c r="M941" s="143"/>
      <c r="N941" s="143"/>
      <c r="O941" s="143"/>
      <c r="P941" s="143"/>
      <c r="Q941" s="67"/>
      <c r="R941" s="144"/>
      <c r="S941" s="144"/>
      <c r="T941" s="143"/>
      <c r="U941" s="143"/>
      <c r="V941" s="143"/>
      <c r="W941" s="130"/>
      <c r="X941" s="130"/>
      <c r="Y941" s="130"/>
      <c r="Z941" s="130"/>
      <c r="AA941" s="130"/>
      <c r="AB941" s="130"/>
      <c r="AC941" s="130"/>
      <c r="AD941" s="130"/>
      <c r="AE941" s="130"/>
      <c r="AF941" s="130"/>
      <c r="AG941" s="130"/>
      <c r="AH941" s="130"/>
      <c r="AI941" s="130"/>
      <c r="AJ941" s="130"/>
      <c r="AK941" s="130"/>
    </row>
    <row r="942">
      <c r="A942" s="130"/>
      <c r="B942" s="130"/>
      <c r="C942" s="143"/>
      <c r="D942" s="130"/>
      <c r="E942" s="143"/>
      <c r="F942" s="143"/>
      <c r="G942" s="143"/>
      <c r="H942" s="143"/>
      <c r="I942" s="143"/>
      <c r="J942" s="143"/>
      <c r="K942" s="143"/>
      <c r="L942" s="143"/>
      <c r="M942" s="143"/>
      <c r="N942" s="143"/>
      <c r="O942" s="143"/>
      <c r="P942" s="143"/>
      <c r="Q942" s="67"/>
      <c r="R942" s="144"/>
      <c r="S942" s="144"/>
      <c r="T942" s="143"/>
      <c r="U942" s="143"/>
      <c r="V942" s="143"/>
      <c r="W942" s="130"/>
      <c r="X942" s="130"/>
      <c r="Y942" s="130"/>
      <c r="Z942" s="130"/>
      <c r="AA942" s="130"/>
      <c r="AB942" s="130"/>
      <c r="AC942" s="130"/>
      <c r="AD942" s="130"/>
      <c r="AE942" s="130"/>
      <c r="AF942" s="130"/>
      <c r="AG942" s="130"/>
      <c r="AH942" s="130"/>
      <c r="AI942" s="130"/>
      <c r="AJ942" s="130"/>
      <c r="AK942" s="130"/>
    </row>
    <row r="943">
      <c r="A943" s="130"/>
      <c r="B943" s="130"/>
      <c r="C943" s="143"/>
      <c r="D943" s="130"/>
      <c r="E943" s="143"/>
      <c r="F943" s="143"/>
      <c r="G943" s="143"/>
      <c r="H943" s="143"/>
      <c r="I943" s="143"/>
      <c r="J943" s="143"/>
      <c r="K943" s="143"/>
      <c r="L943" s="143"/>
      <c r="M943" s="143"/>
      <c r="N943" s="143"/>
      <c r="O943" s="143"/>
      <c r="P943" s="143"/>
      <c r="Q943" s="67"/>
      <c r="R943" s="144"/>
      <c r="S943" s="144"/>
      <c r="T943" s="143"/>
      <c r="U943" s="143"/>
      <c r="V943" s="143"/>
      <c r="W943" s="130"/>
      <c r="X943" s="130"/>
      <c r="Y943" s="130"/>
      <c r="Z943" s="130"/>
      <c r="AA943" s="130"/>
      <c r="AB943" s="130"/>
      <c r="AC943" s="130"/>
      <c r="AD943" s="130"/>
      <c r="AE943" s="130"/>
      <c r="AF943" s="130"/>
      <c r="AG943" s="130"/>
      <c r="AH943" s="130"/>
      <c r="AI943" s="130"/>
      <c r="AJ943" s="130"/>
      <c r="AK943" s="130"/>
    </row>
    <row r="944">
      <c r="A944" s="130"/>
      <c r="B944" s="130"/>
      <c r="C944" s="143"/>
      <c r="D944" s="130"/>
      <c r="E944" s="143"/>
      <c r="F944" s="143"/>
      <c r="G944" s="143"/>
      <c r="H944" s="143"/>
      <c r="I944" s="143"/>
      <c r="J944" s="143"/>
      <c r="K944" s="143"/>
      <c r="L944" s="143"/>
      <c r="M944" s="143"/>
      <c r="N944" s="143"/>
      <c r="O944" s="143"/>
      <c r="P944" s="143"/>
      <c r="Q944" s="67"/>
      <c r="R944" s="144"/>
      <c r="S944" s="144"/>
      <c r="T944" s="143"/>
      <c r="U944" s="143"/>
      <c r="V944" s="143"/>
      <c r="W944" s="130"/>
      <c r="X944" s="130"/>
      <c r="Y944" s="130"/>
      <c r="Z944" s="130"/>
      <c r="AA944" s="130"/>
      <c r="AB944" s="130"/>
      <c r="AC944" s="130"/>
      <c r="AD944" s="130"/>
      <c r="AE944" s="130"/>
      <c r="AF944" s="130"/>
      <c r="AG944" s="130"/>
      <c r="AH944" s="130"/>
      <c r="AI944" s="130"/>
      <c r="AJ944" s="130"/>
      <c r="AK944" s="130"/>
    </row>
    <row r="945">
      <c r="A945" s="130"/>
      <c r="B945" s="130"/>
      <c r="C945" s="143"/>
      <c r="D945" s="130"/>
      <c r="E945" s="143"/>
      <c r="F945" s="143"/>
      <c r="G945" s="143"/>
      <c r="H945" s="143"/>
      <c r="I945" s="143"/>
      <c r="J945" s="143"/>
      <c r="K945" s="143"/>
      <c r="L945" s="143"/>
      <c r="M945" s="143"/>
      <c r="N945" s="143"/>
      <c r="O945" s="143"/>
      <c r="P945" s="143"/>
      <c r="Q945" s="67"/>
      <c r="R945" s="144"/>
      <c r="S945" s="144"/>
      <c r="T945" s="143"/>
      <c r="U945" s="143"/>
      <c r="V945" s="143"/>
      <c r="W945" s="130"/>
      <c r="X945" s="130"/>
      <c r="Y945" s="130"/>
      <c r="Z945" s="130"/>
      <c r="AA945" s="130"/>
      <c r="AB945" s="130"/>
      <c r="AC945" s="130"/>
      <c r="AD945" s="130"/>
      <c r="AE945" s="130"/>
      <c r="AF945" s="130"/>
      <c r="AG945" s="130"/>
      <c r="AH945" s="130"/>
      <c r="AI945" s="130"/>
      <c r="AJ945" s="130"/>
      <c r="AK945" s="130"/>
    </row>
    <row r="946">
      <c r="A946" s="130"/>
      <c r="B946" s="130"/>
      <c r="C946" s="143"/>
      <c r="D946" s="130"/>
      <c r="E946" s="143"/>
      <c r="F946" s="143"/>
      <c r="G946" s="143"/>
      <c r="H946" s="143"/>
      <c r="I946" s="143"/>
      <c r="J946" s="143"/>
      <c r="K946" s="143"/>
      <c r="L946" s="143"/>
      <c r="M946" s="143"/>
      <c r="N946" s="143"/>
      <c r="O946" s="143"/>
      <c r="P946" s="143"/>
      <c r="Q946" s="67"/>
      <c r="R946" s="144"/>
      <c r="S946" s="144"/>
      <c r="T946" s="143"/>
      <c r="U946" s="143"/>
      <c r="V946" s="143"/>
      <c r="W946" s="130"/>
      <c r="X946" s="130"/>
      <c r="Y946" s="130"/>
      <c r="Z946" s="130"/>
      <c r="AA946" s="130"/>
      <c r="AB946" s="130"/>
      <c r="AC946" s="130"/>
      <c r="AD946" s="130"/>
      <c r="AE946" s="130"/>
      <c r="AF946" s="130"/>
      <c r="AG946" s="130"/>
      <c r="AH946" s="130"/>
      <c r="AI946" s="130"/>
      <c r="AJ946" s="130"/>
      <c r="AK946" s="130"/>
    </row>
    <row r="947">
      <c r="A947" s="130"/>
      <c r="B947" s="130"/>
      <c r="C947" s="143"/>
      <c r="D947" s="130"/>
      <c r="E947" s="143"/>
      <c r="F947" s="143"/>
      <c r="G947" s="143"/>
      <c r="H947" s="143"/>
      <c r="I947" s="143"/>
      <c r="J947" s="143"/>
      <c r="K947" s="143"/>
      <c r="L947" s="143"/>
      <c r="M947" s="143"/>
      <c r="N947" s="143"/>
      <c r="O947" s="143"/>
      <c r="P947" s="143"/>
      <c r="Q947" s="67"/>
      <c r="R947" s="144"/>
      <c r="S947" s="144"/>
      <c r="T947" s="143"/>
      <c r="U947" s="143"/>
      <c r="V947" s="143"/>
      <c r="W947" s="130"/>
      <c r="X947" s="130"/>
      <c r="Y947" s="130"/>
      <c r="Z947" s="130"/>
      <c r="AA947" s="130"/>
      <c r="AB947" s="130"/>
      <c r="AC947" s="130"/>
      <c r="AD947" s="130"/>
      <c r="AE947" s="130"/>
      <c r="AF947" s="130"/>
      <c r="AG947" s="130"/>
      <c r="AH947" s="130"/>
      <c r="AI947" s="130"/>
      <c r="AJ947" s="130"/>
      <c r="AK947" s="130"/>
    </row>
    <row r="948">
      <c r="A948" s="130"/>
      <c r="B948" s="130"/>
      <c r="C948" s="143"/>
      <c r="D948" s="130"/>
      <c r="E948" s="143"/>
      <c r="F948" s="143"/>
      <c r="G948" s="143"/>
      <c r="H948" s="143"/>
      <c r="I948" s="143"/>
      <c r="J948" s="143"/>
      <c r="K948" s="143"/>
      <c r="L948" s="143"/>
      <c r="M948" s="143"/>
      <c r="N948" s="143"/>
      <c r="O948" s="143"/>
      <c r="P948" s="143"/>
      <c r="Q948" s="67"/>
      <c r="R948" s="144"/>
      <c r="S948" s="144"/>
      <c r="T948" s="143"/>
      <c r="U948" s="143"/>
      <c r="V948" s="143"/>
      <c r="W948" s="130"/>
      <c r="X948" s="130"/>
      <c r="Y948" s="130"/>
      <c r="Z948" s="130"/>
      <c r="AA948" s="130"/>
      <c r="AB948" s="130"/>
      <c r="AC948" s="130"/>
      <c r="AD948" s="130"/>
      <c r="AE948" s="130"/>
      <c r="AF948" s="130"/>
      <c r="AG948" s="130"/>
      <c r="AH948" s="130"/>
      <c r="AI948" s="130"/>
      <c r="AJ948" s="130"/>
      <c r="AK948" s="130"/>
    </row>
    <row r="949">
      <c r="A949" s="130"/>
      <c r="B949" s="130"/>
      <c r="C949" s="143"/>
      <c r="D949" s="130"/>
      <c r="E949" s="143"/>
      <c r="F949" s="143"/>
      <c r="G949" s="143"/>
      <c r="H949" s="143"/>
      <c r="I949" s="143"/>
      <c r="J949" s="143"/>
      <c r="K949" s="143"/>
      <c r="L949" s="143"/>
      <c r="M949" s="143"/>
      <c r="N949" s="143"/>
      <c r="O949" s="143"/>
      <c r="P949" s="143"/>
      <c r="Q949" s="67"/>
      <c r="R949" s="144"/>
      <c r="S949" s="144"/>
      <c r="T949" s="143"/>
      <c r="U949" s="143"/>
      <c r="V949" s="143"/>
      <c r="W949" s="130"/>
      <c r="X949" s="130"/>
      <c r="Y949" s="130"/>
      <c r="Z949" s="130"/>
      <c r="AA949" s="130"/>
      <c r="AB949" s="130"/>
      <c r="AC949" s="130"/>
      <c r="AD949" s="130"/>
      <c r="AE949" s="130"/>
      <c r="AF949" s="130"/>
      <c r="AG949" s="130"/>
      <c r="AH949" s="130"/>
      <c r="AI949" s="130"/>
      <c r="AJ949" s="130"/>
      <c r="AK949" s="130"/>
    </row>
    <row r="950">
      <c r="A950" s="130"/>
      <c r="B950" s="130"/>
      <c r="C950" s="143"/>
      <c r="D950" s="130"/>
      <c r="E950" s="143"/>
      <c r="F950" s="143"/>
      <c r="G950" s="143"/>
      <c r="H950" s="143"/>
      <c r="I950" s="143"/>
      <c r="J950" s="143"/>
      <c r="K950" s="143"/>
      <c r="L950" s="143"/>
      <c r="M950" s="143"/>
      <c r="N950" s="143"/>
      <c r="O950" s="143"/>
      <c r="P950" s="143"/>
      <c r="Q950" s="67"/>
      <c r="R950" s="144"/>
      <c r="S950" s="144"/>
      <c r="T950" s="143"/>
      <c r="U950" s="143"/>
      <c r="V950" s="143"/>
      <c r="W950" s="130"/>
      <c r="X950" s="130"/>
      <c r="Y950" s="130"/>
      <c r="Z950" s="130"/>
      <c r="AA950" s="130"/>
      <c r="AB950" s="130"/>
      <c r="AC950" s="130"/>
      <c r="AD950" s="130"/>
      <c r="AE950" s="130"/>
      <c r="AF950" s="130"/>
      <c r="AG950" s="130"/>
      <c r="AH950" s="130"/>
      <c r="AI950" s="130"/>
      <c r="AJ950" s="130"/>
      <c r="AK950" s="130"/>
    </row>
    <row r="951">
      <c r="A951" s="130"/>
      <c r="B951" s="130"/>
      <c r="C951" s="143"/>
      <c r="D951" s="130"/>
      <c r="E951" s="143"/>
      <c r="F951" s="143"/>
      <c r="G951" s="143"/>
      <c r="H951" s="143"/>
      <c r="I951" s="143"/>
      <c r="J951" s="143"/>
      <c r="K951" s="143"/>
      <c r="L951" s="143"/>
      <c r="M951" s="143"/>
      <c r="N951" s="143"/>
      <c r="O951" s="143"/>
      <c r="P951" s="143"/>
      <c r="Q951" s="67"/>
      <c r="R951" s="144"/>
      <c r="S951" s="144"/>
      <c r="T951" s="143"/>
      <c r="U951" s="143"/>
      <c r="V951" s="143"/>
      <c r="W951" s="130"/>
      <c r="X951" s="130"/>
      <c r="Y951" s="130"/>
      <c r="Z951" s="130"/>
      <c r="AA951" s="130"/>
      <c r="AB951" s="130"/>
      <c r="AC951" s="130"/>
      <c r="AD951" s="130"/>
      <c r="AE951" s="130"/>
      <c r="AF951" s="130"/>
      <c r="AG951" s="130"/>
      <c r="AH951" s="130"/>
      <c r="AI951" s="130"/>
      <c r="AJ951" s="130"/>
      <c r="AK951" s="130"/>
    </row>
    <row r="952">
      <c r="A952" s="130"/>
      <c r="B952" s="130"/>
      <c r="C952" s="143"/>
      <c r="D952" s="130"/>
      <c r="E952" s="143"/>
      <c r="F952" s="143"/>
      <c r="G952" s="143"/>
      <c r="H952" s="143"/>
      <c r="I952" s="143"/>
      <c r="J952" s="143"/>
      <c r="K952" s="143"/>
      <c r="L952" s="143"/>
      <c r="M952" s="143"/>
      <c r="N952" s="143"/>
      <c r="O952" s="143"/>
      <c r="P952" s="143"/>
      <c r="Q952" s="67"/>
      <c r="R952" s="144"/>
      <c r="S952" s="144"/>
      <c r="T952" s="143"/>
      <c r="U952" s="143"/>
      <c r="V952" s="143"/>
      <c r="W952" s="130"/>
      <c r="X952" s="130"/>
      <c r="Y952" s="130"/>
      <c r="Z952" s="130"/>
      <c r="AA952" s="130"/>
      <c r="AB952" s="130"/>
      <c r="AC952" s="130"/>
      <c r="AD952" s="130"/>
      <c r="AE952" s="130"/>
      <c r="AF952" s="130"/>
      <c r="AG952" s="130"/>
      <c r="AH952" s="130"/>
      <c r="AI952" s="130"/>
      <c r="AJ952" s="130"/>
      <c r="AK952" s="130"/>
    </row>
    <row r="953">
      <c r="A953" s="130"/>
      <c r="B953" s="130"/>
      <c r="C953" s="143"/>
      <c r="D953" s="130"/>
      <c r="E953" s="143"/>
      <c r="F953" s="143"/>
      <c r="G953" s="143"/>
      <c r="H953" s="143"/>
      <c r="I953" s="143"/>
      <c r="J953" s="143"/>
      <c r="K953" s="143"/>
      <c r="L953" s="143"/>
      <c r="M953" s="143"/>
      <c r="N953" s="143"/>
      <c r="O953" s="143"/>
      <c r="P953" s="143"/>
      <c r="Q953" s="67"/>
      <c r="R953" s="144"/>
      <c r="S953" s="144"/>
      <c r="T953" s="143"/>
      <c r="U953" s="143"/>
      <c r="V953" s="143"/>
      <c r="W953" s="130"/>
      <c r="X953" s="130"/>
      <c r="Y953" s="130"/>
      <c r="Z953" s="130"/>
      <c r="AA953" s="130"/>
      <c r="AB953" s="130"/>
      <c r="AC953" s="130"/>
      <c r="AD953" s="130"/>
      <c r="AE953" s="130"/>
      <c r="AF953" s="130"/>
      <c r="AG953" s="130"/>
      <c r="AH953" s="130"/>
      <c r="AI953" s="130"/>
      <c r="AJ953" s="130"/>
      <c r="AK953" s="130"/>
    </row>
    <row r="954">
      <c r="A954" s="130"/>
      <c r="B954" s="130"/>
      <c r="C954" s="143"/>
      <c r="D954" s="130"/>
      <c r="E954" s="143"/>
      <c r="F954" s="143"/>
      <c r="G954" s="143"/>
      <c r="H954" s="143"/>
      <c r="I954" s="143"/>
      <c r="J954" s="143"/>
      <c r="K954" s="143"/>
      <c r="L954" s="143"/>
      <c r="M954" s="143"/>
      <c r="N954" s="143"/>
      <c r="O954" s="143"/>
      <c r="P954" s="143"/>
      <c r="Q954" s="67"/>
      <c r="R954" s="144"/>
      <c r="S954" s="144"/>
      <c r="T954" s="143"/>
      <c r="U954" s="143"/>
      <c r="V954" s="143"/>
      <c r="W954" s="130"/>
      <c r="X954" s="130"/>
      <c r="Y954" s="130"/>
      <c r="Z954" s="130"/>
      <c r="AA954" s="130"/>
      <c r="AB954" s="130"/>
      <c r="AC954" s="130"/>
      <c r="AD954" s="130"/>
      <c r="AE954" s="130"/>
      <c r="AF954" s="130"/>
      <c r="AG954" s="130"/>
      <c r="AH954" s="130"/>
      <c r="AI954" s="130"/>
      <c r="AJ954" s="130"/>
      <c r="AK954" s="130"/>
    </row>
    <row r="955">
      <c r="A955" s="130"/>
      <c r="B955" s="130"/>
      <c r="C955" s="143"/>
      <c r="D955" s="130"/>
      <c r="E955" s="143"/>
      <c r="F955" s="143"/>
      <c r="G955" s="143"/>
      <c r="H955" s="143"/>
      <c r="I955" s="143"/>
      <c r="J955" s="143"/>
      <c r="K955" s="143"/>
      <c r="L955" s="143"/>
      <c r="M955" s="143"/>
      <c r="N955" s="143"/>
      <c r="O955" s="143"/>
      <c r="P955" s="143"/>
      <c r="Q955" s="67"/>
      <c r="R955" s="144"/>
      <c r="S955" s="144"/>
      <c r="T955" s="143"/>
      <c r="U955" s="143"/>
      <c r="V955" s="143"/>
      <c r="W955" s="130"/>
      <c r="X955" s="130"/>
      <c r="Y955" s="130"/>
      <c r="Z955" s="130"/>
      <c r="AA955" s="130"/>
      <c r="AB955" s="130"/>
      <c r="AC955" s="130"/>
      <c r="AD955" s="130"/>
      <c r="AE955" s="130"/>
      <c r="AF955" s="130"/>
      <c r="AG955" s="130"/>
      <c r="AH955" s="130"/>
      <c r="AI955" s="130"/>
      <c r="AJ955" s="130"/>
      <c r="AK955" s="130"/>
    </row>
    <row r="956">
      <c r="A956" s="130"/>
      <c r="B956" s="130"/>
      <c r="C956" s="143"/>
      <c r="D956" s="130"/>
      <c r="E956" s="143"/>
      <c r="F956" s="143"/>
      <c r="G956" s="143"/>
      <c r="H956" s="143"/>
      <c r="I956" s="143"/>
      <c r="J956" s="143"/>
      <c r="K956" s="143"/>
      <c r="L956" s="143"/>
      <c r="M956" s="143"/>
      <c r="N956" s="143"/>
      <c r="O956" s="143"/>
      <c r="P956" s="143"/>
      <c r="Q956" s="67"/>
      <c r="R956" s="144"/>
      <c r="S956" s="144"/>
      <c r="T956" s="143"/>
      <c r="U956" s="143"/>
      <c r="V956" s="143"/>
      <c r="W956" s="130"/>
      <c r="X956" s="130"/>
      <c r="Y956" s="130"/>
      <c r="Z956" s="130"/>
      <c r="AA956" s="130"/>
      <c r="AB956" s="130"/>
      <c r="AC956" s="130"/>
      <c r="AD956" s="130"/>
      <c r="AE956" s="130"/>
      <c r="AF956" s="130"/>
      <c r="AG956" s="130"/>
      <c r="AH956" s="130"/>
      <c r="AI956" s="130"/>
      <c r="AJ956" s="130"/>
      <c r="AK956" s="130"/>
    </row>
    <row r="957">
      <c r="A957" s="130"/>
      <c r="B957" s="130"/>
      <c r="C957" s="143"/>
      <c r="D957" s="130"/>
      <c r="E957" s="143"/>
      <c r="F957" s="143"/>
      <c r="G957" s="143"/>
      <c r="H957" s="143"/>
      <c r="I957" s="143"/>
      <c r="J957" s="143"/>
      <c r="K957" s="143"/>
      <c r="L957" s="143"/>
      <c r="M957" s="143"/>
      <c r="N957" s="143"/>
      <c r="O957" s="143"/>
      <c r="P957" s="143"/>
      <c r="Q957" s="67"/>
      <c r="R957" s="144"/>
      <c r="S957" s="144"/>
      <c r="T957" s="143"/>
      <c r="U957" s="143"/>
      <c r="V957" s="143"/>
      <c r="W957" s="130"/>
      <c r="X957" s="130"/>
      <c r="Y957" s="130"/>
      <c r="Z957" s="130"/>
      <c r="AA957" s="130"/>
      <c r="AB957" s="130"/>
      <c r="AC957" s="130"/>
      <c r="AD957" s="130"/>
      <c r="AE957" s="130"/>
      <c r="AF957" s="130"/>
      <c r="AG957" s="130"/>
      <c r="AH957" s="130"/>
      <c r="AI957" s="130"/>
      <c r="AJ957" s="130"/>
      <c r="AK957" s="130"/>
    </row>
    <row r="958">
      <c r="A958" s="130"/>
      <c r="B958" s="130"/>
      <c r="C958" s="143"/>
      <c r="D958" s="130"/>
      <c r="E958" s="143"/>
      <c r="F958" s="143"/>
      <c r="G958" s="143"/>
      <c r="H958" s="143"/>
      <c r="I958" s="143"/>
      <c r="J958" s="143"/>
      <c r="K958" s="143"/>
      <c r="L958" s="143"/>
      <c r="M958" s="143"/>
      <c r="N958" s="143"/>
      <c r="O958" s="143"/>
      <c r="P958" s="143"/>
      <c r="Q958" s="67"/>
      <c r="R958" s="144"/>
      <c r="S958" s="144"/>
      <c r="T958" s="143"/>
      <c r="U958" s="143"/>
      <c r="V958" s="143"/>
      <c r="W958" s="130"/>
      <c r="X958" s="130"/>
      <c r="Y958" s="130"/>
      <c r="Z958" s="130"/>
      <c r="AA958" s="130"/>
      <c r="AB958" s="130"/>
      <c r="AC958" s="130"/>
      <c r="AD958" s="130"/>
      <c r="AE958" s="130"/>
      <c r="AF958" s="130"/>
      <c r="AG958" s="130"/>
      <c r="AH958" s="130"/>
      <c r="AI958" s="130"/>
      <c r="AJ958" s="130"/>
      <c r="AK958" s="130"/>
    </row>
    <row r="959">
      <c r="A959" s="130"/>
      <c r="B959" s="130"/>
      <c r="C959" s="143"/>
      <c r="D959" s="130"/>
      <c r="E959" s="143"/>
      <c r="F959" s="143"/>
      <c r="G959" s="143"/>
      <c r="H959" s="143"/>
      <c r="I959" s="143"/>
      <c r="J959" s="143"/>
      <c r="K959" s="143"/>
      <c r="L959" s="143"/>
      <c r="M959" s="143"/>
      <c r="N959" s="143"/>
      <c r="O959" s="143"/>
      <c r="P959" s="143"/>
      <c r="Q959" s="67"/>
      <c r="R959" s="144"/>
      <c r="S959" s="144"/>
      <c r="T959" s="143"/>
      <c r="U959" s="143"/>
      <c r="V959" s="143"/>
      <c r="W959" s="130"/>
      <c r="X959" s="130"/>
      <c r="Y959" s="130"/>
      <c r="Z959" s="130"/>
      <c r="AA959" s="130"/>
      <c r="AB959" s="130"/>
      <c r="AC959" s="130"/>
      <c r="AD959" s="130"/>
      <c r="AE959" s="130"/>
      <c r="AF959" s="130"/>
      <c r="AG959" s="130"/>
      <c r="AH959" s="130"/>
      <c r="AI959" s="130"/>
      <c r="AJ959" s="130"/>
      <c r="AK959" s="130"/>
    </row>
    <row r="960">
      <c r="A960" s="130"/>
      <c r="B960" s="130"/>
      <c r="C960" s="143"/>
      <c r="D960" s="130"/>
      <c r="E960" s="143"/>
      <c r="F960" s="143"/>
      <c r="G960" s="143"/>
      <c r="H960" s="143"/>
      <c r="I960" s="143"/>
      <c r="J960" s="143"/>
      <c r="K960" s="143"/>
      <c r="L960" s="143"/>
      <c r="M960" s="143"/>
      <c r="N960" s="143"/>
      <c r="O960" s="143"/>
      <c r="P960" s="143"/>
      <c r="Q960" s="67"/>
      <c r="R960" s="144"/>
      <c r="S960" s="144"/>
      <c r="T960" s="143"/>
      <c r="U960" s="143"/>
      <c r="V960" s="143"/>
      <c r="W960" s="130"/>
      <c r="X960" s="130"/>
      <c r="Y960" s="130"/>
      <c r="Z960" s="130"/>
      <c r="AA960" s="130"/>
      <c r="AB960" s="130"/>
      <c r="AC960" s="130"/>
      <c r="AD960" s="130"/>
      <c r="AE960" s="130"/>
      <c r="AF960" s="130"/>
      <c r="AG960" s="130"/>
      <c r="AH960" s="130"/>
      <c r="AI960" s="130"/>
      <c r="AJ960" s="130"/>
      <c r="AK960" s="130"/>
    </row>
    <row r="961">
      <c r="A961" s="130"/>
      <c r="B961" s="130"/>
      <c r="C961" s="143"/>
      <c r="D961" s="130"/>
      <c r="E961" s="143"/>
      <c r="F961" s="143"/>
      <c r="G961" s="143"/>
      <c r="H961" s="143"/>
      <c r="I961" s="143"/>
      <c r="J961" s="143"/>
      <c r="K961" s="143"/>
      <c r="L961" s="143"/>
      <c r="M961" s="143"/>
      <c r="N961" s="143"/>
      <c r="O961" s="143"/>
      <c r="P961" s="143"/>
      <c r="Q961" s="67"/>
      <c r="R961" s="144"/>
      <c r="S961" s="144"/>
      <c r="T961" s="143"/>
      <c r="U961" s="143"/>
      <c r="V961" s="143"/>
      <c r="W961" s="130"/>
      <c r="X961" s="130"/>
      <c r="Y961" s="130"/>
      <c r="Z961" s="130"/>
      <c r="AA961" s="130"/>
      <c r="AB961" s="130"/>
      <c r="AC961" s="130"/>
      <c r="AD961" s="130"/>
      <c r="AE961" s="130"/>
      <c r="AF961" s="130"/>
      <c r="AG961" s="130"/>
      <c r="AH961" s="130"/>
      <c r="AI961" s="130"/>
      <c r="AJ961" s="130"/>
      <c r="AK961" s="130"/>
    </row>
    <row r="962">
      <c r="A962" s="130"/>
      <c r="B962" s="130"/>
      <c r="C962" s="143"/>
      <c r="D962" s="130"/>
      <c r="E962" s="143"/>
      <c r="F962" s="143"/>
      <c r="G962" s="143"/>
      <c r="H962" s="143"/>
      <c r="I962" s="143"/>
      <c r="J962" s="143"/>
      <c r="K962" s="143"/>
      <c r="L962" s="143"/>
      <c r="M962" s="143"/>
      <c r="N962" s="143"/>
      <c r="O962" s="143"/>
      <c r="P962" s="143"/>
      <c r="Q962" s="67"/>
      <c r="R962" s="144"/>
      <c r="S962" s="144"/>
      <c r="T962" s="143"/>
      <c r="U962" s="143"/>
      <c r="V962" s="143"/>
      <c r="W962" s="130"/>
      <c r="X962" s="130"/>
      <c r="Y962" s="130"/>
      <c r="Z962" s="130"/>
      <c r="AA962" s="130"/>
      <c r="AB962" s="130"/>
      <c r="AC962" s="130"/>
      <c r="AD962" s="130"/>
      <c r="AE962" s="130"/>
      <c r="AF962" s="130"/>
      <c r="AG962" s="130"/>
      <c r="AH962" s="130"/>
      <c r="AI962" s="130"/>
      <c r="AJ962" s="130"/>
      <c r="AK962" s="130"/>
    </row>
    <row r="963">
      <c r="A963" s="130"/>
      <c r="B963" s="130"/>
      <c r="C963" s="143"/>
      <c r="D963" s="130"/>
      <c r="E963" s="143"/>
      <c r="F963" s="143"/>
      <c r="G963" s="143"/>
      <c r="H963" s="143"/>
      <c r="I963" s="143"/>
      <c r="J963" s="143"/>
      <c r="K963" s="143"/>
      <c r="L963" s="143"/>
      <c r="M963" s="143"/>
      <c r="N963" s="143"/>
      <c r="O963" s="143"/>
      <c r="P963" s="143"/>
      <c r="Q963" s="67"/>
      <c r="R963" s="144"/>
      <c r="S963" s="144"/>
      <c r="T963" s="143"/>
      <c r="U963" s="143"/>
      <c r="V963" s="143"/>
      <c r="W963" s="130"/>
      <c r="X963" s="130"/>
      <c r="Y963" s="130"/>
      <c r="Z963" s="130"/>
      <c r="AA963" s="130"/>
      <c r="AB963" s="130"/>
      <c r="AC963" s="130"/>
      <c r="AD963" s="130"/>
      <c r="AE963" s="130"/>
      <c r="AF963" s="130"/>
      <c r="AG963" s="130"/>
      <c r="AH963" s="130"/>
      <c r="AI963" s="130"/>
      <c r="AJ963" s="130"/>
      <c r="AK963" s="130"/>
    </row>
    <row r="964">
      <c r="A964" s="130"/>
      <c r="B964" s="130"/>
      <c r="C964" s="143"/>
      <c r="D964" s="130"/>
      <c r="E964" s="143"/>
      <c r="F964" s="143"/>
      <c r="G964" s="143"/>
      <c r="H964" s="143"/>
      <c r="I964" s="143"/>
      <c r="J964" s="143"/>
      <c r="K964" s="143"/>
      <c r="L964" s="143"/>
      <c r="M964" s="143"/>
      <c r="N964" s="143"/>
      <c r="O964" s="143"/>
      <c r="P964" s="143"/>
      <c r="Q964" s="67"/>
      <c r="R964" s="144"/>
      <c r="S964" s="144"/>
      <c r="T964" s="143"/>
      <c r="U964" s="143"/>
      <c r="V964" s="143"/>
      <c r="W964" s="130"/>
      <c r="X964" s="130"/>
      <c r="Y964" s="130"/>
      <c r="Z964" s="130"/>
      <c r="AA964" s="130"/>
      <c r="AB964" s="130"/>
      <c r="AC964" s="130"/>
      <c r="AD964" s="130"/>
      <c r="AE964" s="130"/>
      <c r="AF964" s="130"/>
      <c r="AG964" s="130"/>
      <c r="AH964" s="130"/>
      <c r="AI964" s="130"/>
      <c r="AJ964" s="130"/>
      <c r="AK964" s="130"/>
    </row>
    <row r="965">
      <c r="A965" s="130"/>
      <c r="B965" s="130"/>
      <c r="C965" s="143"/>
      <c r="D965" s="130"/>
      <c r="E965" s="143"/>
      <c r="F965" s="143"/>
      <c r="G965" s="143"/>
      <c r="H965" s="143"/>
      <c r="I965" s="143"/>
      <c r="J965" s="143"/>
      <c r="K965" s="143"/>
      <c r="L965" s="143"/>
      <c r="M965" s="143"/>
      <c r="N965" s="143"/>
      <c r="O965" s="143"/>
      <c r="P965" s="143"/>
      <c r="Q965" s="67"/>
      <c r="R965" s="144"/>
      <c r="S965" s="144"/>
      <c r="T965" s="143"/>
      <c r="U965" s="143"/>
      <c r="V965" s="143"/>
      <c r="W965" s="130"/>
      <c r="X965" s="130"/>
      <c r="Y965" s="130"/>
      <c r="Z965" s="130"/>
      <c r="AA965" s="130"/>
      <c r="AB965" s="130"/>
      <c r="AC965" s="130"/>
      <c r="AD965" s="130"/>
      <c r="AE965" s="130"/>
      <c r="AF965" s="130"/>
      <c r="AG965" s="130"/>
      <c r="AH965" s="130"/>
      <c r="AI965" s="130"/>
      <c r="AJ965" s="130"/>
      <c r="AK965" s="130"/>
    </row>
    <row r="966">
      <c r="A966" s="130"/>
      <c r="B966" s="130"/>
      <c r="C966" s="143"/>
      <c r="D966" s="130"/>
      <c r="E966" s="143"/>
      <c r="F966" s="143"/>
      <c r="G966" s="143"/>
      <c r="H966" s="143"/>
      <c r="I966" s="143"/>
      <c r="J966" s="143"/>
      <c r="K966" s="143"/>
      <c r="L966" s="143"/>
      <c r="M966" s="143"/>
      <c r="N966" s="143"/>
      <c r="O966" s="143"/>
      <c r="P966" s="143"/>
      <c r="Q966" s="67"/>
      <c r="R966" s="144"/>
      <c r="S966" s="144"/>
      <c r="T966" s="143"/>
      <c r="U966" s="143"/>
      <c r="V966" s="143"/>
      <c r="W966" s="130"/>
      <c r="X966" s="130"/>
      <c r="Y966" s="130"/>
      <c r="Z966" s="130"/>
      <c r="AA966" s="130"/>
      <c r="AB966" s="130"/>
      <c r="AC966" s="130"/>
      <c r="AD966" s="130"/>
      <c r="AE966" s="130"/>
      <c r="AF966" s="130"/>
      <c r="AG966" s="130"/>
      <c r="AH966" s="130"/>
      <c r="AI966" s="130"/>
      <c r="AJ966" s="130"/>
      <c r="AK966" s="130"/>
    </row>
    <row r="967">
      <c r="A967" s="130"/>
      <c r="B967" s="130"/>
      <c r="C967" s="143"/>
      <c r="D967" s="130"/>
      <c r="E967" s="143"/>
      <c r="F967" s="143"/>
      <c r="G967" s="143"/>
      <c r="H967" s="143"/>
      <c r="I967" s="143"/>
      <c r="J967" s="143"/>
      <c r="K967" s="143"/>
      <c r="L967" s="143"/>
      <c r="M967" s="143"/>
      <c r="N967" s="143"/>
      <c r="O967" s="143"/>
      <c r="P967" s="143"/>
      <c r="Q967" s="67"/>
      <c r="R967" s="144"/>
      <c r="S967" s="144"/>
      <c r="T967" s="143"/>
      <c r="U967" s="143"/>
      <c r="V967" s="143"/>
      <c r="W967" s="130"/>
      <c r="X967" s="130"/>
      <c r="Y967" s="130"/>
      <c r="Z967" s="130"/>
      <c r="AA967" s="130"/>
      <c r="AB967" s="130"/>
      <c r="AC967" s="130"/>
      <c r="AD967" s="130"/>
      <c r="AE967" s="130"/>
      <c r="AF967" s="130"/>
      <c r="AG967" s="130"/>
      <c r="AH967" s="130"/>
      <c r="AI967" s="130"/>
      <c r="AJ967" s="130"/>
      <c r="AK967" s="130"/>
    </row>
    <row r="968">
      <c r="A968" s="130"/>
      <c r="B968" s="130"/>
      <c r="C968" s="143"/>
      <c r="D968" s="130"/>
      <c r="E968" s="143"/>
      <c r="F968" s="143"/>
      <c r="G968" s="143"/>
      <c r="H968" s="143"/>
      <c r="I968" s="143"/>
      <c r="J968" s="143"/>
      <c r="K968" s="143"/>
      <c r="L968" s="143"/>
      <c r="M968" s="143"/>
      <c r="N968" s="143"/>
      <c r="O968" s="143"/>
      <c r="P968" s="143"/>
      <c r="Q968" s="67"/>
      <c r="R968" s="144"/>
      <c r="S968" s="144"/>
      <c r="T968" s="143"/>
      <c r="U968" s="143"/>
      <c r="V968" s="143"/>
      <c r="W968" s="130"/>
      <c r="X968" s="130"/>
      <c r="Y968" s="130"/>
      <c r="Z968" s="130"/>
      <c r="AA968" s="130"/>
      <c r="AB968" s="130"/>
      <c r="AC968" s="130"/>
      <c r="AD968" s="130"/>
      <c r="AE968" s="130"/>
      <c r="AF968" s="130"/>
      <c r="AG968" s="130"/>
      <c r="AH968" s="130"/>
      <c r="AI968" s="130"/>
      <c r="AJ968" s="130"/>
      <c r="AK968" s="130"/>
    </row>
    <row r="969">
      <c r="A969" s="130"/>
      <c r="B969" s="130"/>
      <c r="C969" s="143"/>
      <c r="D969" s="130"/>
      <c r="E969" s="143"/>
      <c r="F969" s="143"/>
      <c r="G969" s="143"/>
      <c r="H969" s="143"/>
      <c r="I969" s="143"/>
      <c r="J969" s="143"/>
      <c r="K969" s="143"/>
      <c r="L969" s="143"/>
      <c r="M969" s="143"/>
      <c r="N969" s="143"/>
      <c r="O969" s="143"/>
      <c r="P969" s="143"/>
      <c r="Q969" s="67"/>
      <c r="R969" s="144"/>
      <c r="S969" s="144"/>
      <c r="T969" s="143"/>
      <c r="U969" s="143"/>
      <c r="V969" s="143"/>
      <c r="W969" s="130"/>
      <c r="X969" s="130"/>
      <c r="Y969" s="130"/>
      <c r="Z969" s="130"/>
      <c r="AA969" s="130"/>
      <c r="AB969" s="130"/>
      <c r="AC969" s="130"/>
      <c r="AD969" s="130"/>
      <c r="AE969" s="130"/>
      <c r="AF969" s="130"/>
      <c r="AG969" s="130"/>
      <c r="AH969" s="130"/>
      <c r="AI969" s="130"/>
      <c r="AJ969" s="130"/>
      <c r="AK969" s="130"/>
    </row>
    <row r="970">
      <c r="A970" s="130"/>
      <c r="B970" s="130"/>
      <c r="C970" s="143"/>
      <c r="D970" s="130"/>
      <c r="E970" s="143"/>
      <c r="F970" s="143"/>
      <c r="G970" s="143"/>
      <c r="H970" s="143"/>
      <c r="I970" s="143"/>
      <c r="J970" s="143"/>
      <c r="K970" s="143"/>
      <c r="L970" s="143"/>
      <c r="M970" s="143"/>
      <c r="N970" s="143"/>
      <c r="O970" s="143"/>
      <c r="P970" s="143"/>
      <c r="Q970" s="67"/>
      <c r="R970" s="144"/>
      <c r="S970" s="144"/>
      <c r="T970" s="143"/>
      <c r="U970" s="143"/>
      <c r="V970" s="143"/>
      <c r="W970" s="130"/>
      <c r="X970" s="130"/>
      <c r="Y970" s="130"/>
      <c r="Z970" s="130"/>
      <c r="AA970" s="130"/>
      <c r="AB970" s="130"/>
      <c r="AC970" s="130"/>
      <c r="AD970" s="130"/>
      <c r="AE970" s="130"/>
      <c r="AF970" s="130"/>
      <c r="AG970" s="130"/>
      <c r="AH970" s="130"/>
      <c r="AI970" s="130"/>
      <c r="AJ970" s="130"/>
      <c r="AK970" s="130"/>
    </row>
    <row r="971">
      <c r="A971" s="130"/>
      <c r="B971" s="130"/>
      <c r="C971" s="143"/>
      <c r="D971" s="130"/>
      <c r="E971" s="143"/>
      <c r="F971" s="143"/>
      <c r="G971" s="143"/>
      <c r="H971" s="143"/>
      <c r="I971" s="143"/>
      <c r="J971" s="143"/>
      <c r="K971" s="143"/>
      <c r="L971" s="143"/>
      <c r="M971" s="143"/>
      <c r="N971" s="143"/>
      <c r="O971" s="143"/>
      <c r="P971" s="143"/>
      <c r="Q971" s="67"/>
      <c r="R971" s="144"/>
      <c r="S971" s="144"/>
      <c r="T971" s="143"/>
      <c r="U971" s="143"/>
      <c r="V971" s="143"/>
      <c r="W971" s="130"/>
      <c r="X971" s="130"/>
      <c r="Y971" s="130"/>
      <c r="Z971" s="130"/>
      <c r="AA971" s="130"/>
      <c r="AB971" s="130"/>
      <c r="AC971" s="130"/>
      <c r="AD971" s="130"/>
      <c r="AE971" s="130"/>
      <c r="AF971" s="130"/>
      <c r="AG971" s="130"/>
      <c r="AH971" s="130"/>
      <c r="AI971" s="130"/>
      <c r="AJ971" s="130"/>
      <c r="AK971" s="130"/>
    </row>
    <row r="972">
      <c r="A972" s="130"/>
      <c r="B972" s="130"/>
      <c r="C972" s="143"/>
      <c r="D972" s="130"/>
      <c r="E972" s="143"/>
      <c r="F972" s="143"/>
      <c r="G972" s="143"/>
      <c r="H972" s="143"/>
      <c r="I972" s="143"/>
      <c r="J972" s="143"/>
      <c r="K972" s="143"/>
      <c r="L972" s="143"/>
      <c r="M972" s="143"/>
      <c r="N972" s="143"/>
      <c r="O972" s="143"/>
      <c r="P972" s="143"/>
      <c r="Q972" s="67"/>
      <c r="R972" s="144"/>
      <c r="S972" s="144"/>
      <c r="T972" s="143"/>
      <c r="U972" s="143"/>
      <c r="V972" s="143"/>
      <c r="W972" s="130"/>
      <c r="X972" s="130"/>
      <c r="Y972" s="130"/>
      <c r="Z972" s="130"/>
      <c r="AA972" s="130"/>
      <c r="AB972" s="130"/>
      <c r="AC972" s="130"/>
      <c r="AD972" s="130"/>
      <c r="AE972" s="130"/>
      <c r="AF972" s="130"/>
      <c r="AG972" s="130"/>
      <c r="AH972" s="130"/>
      <c r="AI972" s="130"/>
      <c r="AJ972" s="130"/>
      <c r="AK972" s="130"/>
    </row>
    <row r="973">
      <c r="A973" s="130"/>
      <c r="B973" s="130"/>
      <c r="C973" s="143"/>
      <c r="D973" s="130"/>
      <c r="E973" s="143"/>
      <c r="F973" s="143"/>
      <c r="G973" s="143"/>
      <c r="H973" s="143"/>
      <c r="I973" s="143"/>
      <c r="J973" s="143"/>
      <c r="K973" s="143"/>
      <c r="L973" s="143"/>
      <c r="M973" s="143"/>
      <c r="N973" s="143"/>
      <c r="O973" s="143"/>
      <c r="P973" s="143"/>
      <c r="Q973" s="67"/>
      <c r="R973" s="144"/>
      <c r="S973" s="144"/>
      <c r="T973" s="143"/>
      <c r="U973" s="143"/>
      <c r="V973" s="143"/>
      <c r="W973" s="130"/>
      <c r="X973" s="130"/>
      <c r="Y973" s="130"/>
      <c r="Z973" s="130"/>
      <c r="AA973" s="130"/>
      <c r="AB973" s="130"/>
      <c r="AC973" s="130"/>
      <c r="AD973" s="130"/>
      <c r="AE973" s="130"/>
      <c r="AF973" s="130"/>
      <c r="AG973" s="130"/>
      <c r="AH973" s="130"/>
      <c r="AI973" s="130"/>
      <c r="AJ973" s="130"/>
      <c r="AK973" s="130"/>
    </row>
    <row r="974">
      <c r="A974" s="130"/>
      <c r="B974" s="130"/>
      <c r="C974" s="143"/>
      <c r="D974" s="130"/>
      <c r="E974" s="143"/>
      <c r="F974" s="143"/>
      <c r="G974" s="143"/>
      <c r="H974" s="143"/>
      <c r="I974" s="143"/>
      <c r="J974" s="143"/>
      <c r="K974" s="143"/>
      <c r="L974" s="143"/>
      <c r="M974" s="143"/>
      <c r="N974" s="143"/>
      <c r="O974" s="143"/>
      <c r="P974" s="143"/>
      <c r="Q974" s="67"/>
      <c r="R974" s="144"/>
      <c r="S974" s="144"/>
      <c r="T974" s="143"/>
      <c r="U974" s="143"/>
      <c r="V974" s="143"/>
      <c r="W974" s="130"/>
      <c r="X974" s="130"/>
      <c r="Y974" s="130"/>
      <c r="Z974" s="130"/>
      <c r="AA974" s="130"/>
      <c r="AB974" s="130"/>
      <c r="AC974" s="130"/>
      <c r="AD974" s="130"/>
      <c r="AE974" s="130"/>
      <c r="AF974" s="130"/>
      <c r="AG974" s="130"/>
      <c r="AH974" s="130"/>
      <c r="AI974" s="130"/>
      <c r="AJ974" s="130"/>
      <c r="AK974" s="130"/>
    </row>
    <row r="975">
      <c r="A975" s="130"/>
      <c r="B975" s="130"/>
      <c r="C975" s="143"/>
      <c r="D975" s="130"/>
      <c r="E975" s="143"/>
      <c r="F975" s="143"/>
      <c r="G975" s="143"/>
      <c r="H975" s="143"/>
      <c r="I975" s="143"/>
      <c r="J975" s="143"/>
      <c r="K975" s="143"/>
      <c r="L975" s="143"/>
      <c r="M975" s="143"/>
      <c r="N975" s="143"/>
      <c r="O975" s="143"/>
      <c r="P975" s="143"/>
      <c r="Q975" s="67"/>
      <c r="R975" s="144"/>
      <c r="S975" s="144"/>
      <c r="T975" s="143"/>
      <c r="U975" s="143"/>
      <c r="V975" s="143"/>
      <c r="W975" s="130"/>
      <c r="X975" s="130"/>
      <c r="Y975" s="130"/>
      <c r="Z975" s="130"/>
      <c r="AA975" s="130"/>
      <c r="AB975" s="130"/>
      <c r="AC975" s="130"/>
      <c r="AD975" s="130"/>
      <c r="AE975" s="130"/>
      <c r="AF975" s="130"/>
      <c r="AG975" s="130"/>
      <c r="AH975" s="130"/>
      <c r="AI975" s="130"/>
      <c r="AJ975" s="130"/>
      <c r="AK975" s="130"/>
    </row>
    <row r="976">
      <c r="A976" s="130"/>
      <c r="B976" s="130"/>
      <c r="C976" s="143"/>
      <c r="D976" s="130"/>
      <c r="E976" s="143"/>
      <c r="F976" s="143"/>
      <c r="G976" s="143"/>
      <c r="H976" s="143"/>
      <c r="I976" s="143"/>
      <c r="J976" s="143"/>
      <c r="K976" s="143"/>
      <c r="L976" s="143"/>
      <c r="M976" s="143"/>
      <c r="N976" s="143"/>
      <c r="O976" s="143"/>
      <c r="P976" s="143"/>
      <c r="Q976" s="67"/>
      <c r="R976" s="144"/>
      <c r="S976" s="144"/>
      <c r="T976" s="143"/>
      <c r="U976" s="143"/>
      <c r="V976" s="143"/>
      <c r="W976" s="130"/>
      <c r="X976" s="130"/>
      <c r="Y976" s="130"/>
      <c r="Z976" s="130"/>
      <c r="AA976" s="130"/>
      <c r="AB976" s="130"/>
      <c r="AC976" s="130"/>
      <c r="AD976" s="130"/>
      <c r="AE976" s="130"/>
      <c r="AF976" s="130"/>
      <c r="AG976" s="130"/>
      <c r="AH976" s="130"/>
      <c r="AI976" s="130"/>
      <c r="AJ976" s="130"/>
      <c r="AK976" s="130"/>
    </row>
    <row r="977">
      <c r="A977" s="130"/>
      <c r="B977" s="130"/>
      <c r="C977" s="143"/>
      <c r="D977" s="130"/>
      <c r="E977" s="143"/>
      <c r="F977" s="143"/>
      <c r="G977" s="143"/>
      <c r="H977" s="143"/>
      <c r="I977" s="143"/>
      <c r="J977" s="143"/>
      <c r="K977" s="143"/>
      <c r="L977" s="143"/>
      <c r="M977" s="143"/>
      <c r="N977" s="143"/>
      <c r="O977" s="143"/>
      <c r="P977" s="143"/>
      <c r="Q977" s="67"/>
      <c r="R977" s="144"/>
      <c r="S977" s="144"/>
      <c r="T977" s="143"/>
      <c r="U977" s="143"/>
      <c r="V977" s="143"/>
      <c r="W977" s="130"/>
      <c r="X977" s="130"/>
      <c r="Y977" s="130"/>
      <c r="Z977" s="130"/>
      <c r="AA977" s="130"/>
      <c r="AB977" s="130"/>
      <c r="AC977" s="130"/>
      <c r="AD977" s="130"/>
      <c r="AE977" s="130"/>
      <c r="AF977" s="130"/>
      <c r="AG977" s="130"/>
      <c r="AH977" s="130"/>
      <c r="AI977" s="130"/>
      <c r="AJ977" s="130"/>
      <c r="AK977" s="130"/>
    </row>
    <row r="978">
      <c r="A978" s="130"/>
      <c r="B978" s="130"/>
      <c r="C978" s="143"/>
      <c r="D978" s="130"/>
      <c r="E978" s="143"/>
      <c r="F978" s="143"/>
      <c r="G978" s="143"/>
      <c r="H978" s="143"/>
      <c r="I978" s="143"/>
      <c r="J978" s="143"/>
      <c r="K978" s="143"/>
      <c r="L978" s="143"/>
      <c r="M978" s="143"/>
      <c r="N978" s="143"/>
      <c r="O978" s="143"/>
      <c r="P978" s="143"/>
      <c r="Q978" s="67"/>
      <c r="R978" s="144"/>
      <c r="S978" s="144"/>
      <c r="T978" s="143"/>
      <c r="U978" s="143"/>
      <c r="V978" s="143"/>
      <c r="W978" s="130"/>
      <c r="X978" s="130"/>
      <c r="Y978" s="130"/>
      <c r="Z978" s="130"/>
      <c r="AA978" s="130"/>
      <c r="AB978" s="130"/>
      <c r="AC978" s="130"/>
      <c r="AD978" s="130"/>
      <c r="AE978" s="130"/>
      <c r="AF978" s="130"/>
      <c r="AG978" s="130"/>
      <c r="AH978" s="130"/>
      <c r="AI978" s="130"/>
      <c r="AJ978" s="130"/>
      <c r="AK978" s="130"/>
    </row>
    <row r="979">
      <c r="A979" s="130"/>
      <c r="B979" s="130"/>
      <c r="C979" s="143"/>
      <c r="D979" s="130"/>
      <c r="E979" s="143"/>
      <c r="F979" s="143"/>
      <c r="G979" s="143"/>
      <c r="H979" s="143"/>
      <c r="I979" s="143"/>
      <c r="J979" s="143"/>
      <c r="K979" s="143"/>
      <c r="L979" s="143"/>
      <c r="M979" s="143"/>
      <c r="N979" s="143"/>
      <c r="O979" s="143"/>
      <c r="P979" s="143"/>
      <c r="Q979" s="67"/>
      <c r="R979" s="144"/>
      <c r="S979" s="144"/>
      <c r="T979" s="143"/>
      <c r="U979" s="143"/>
      <c r="V979" s="143"/>
      <c r="W979" s="130"/>
      <c r="X979" s="130"/>
      <c r="Y979" s="130"/>
      <c r="Z979" s="130"/>
      <c r="AA979" s="130"/>
      <c r="AB979" s="130"/>
      <c r="AC979" s="130"/>
      <c r="AD979" s="130"/>
      <c r="AE979" s="130"/>
      <c r="AF979" s="130"/>
      <c r="AG979" s="130"/>
      <c r="AH979" s="130"/>
      <c r="AI979" s="130"/>
      <c r="AJ979" s="130"/>
      <c r="AK979" s="130"/>
    </row>
    <row r="980">
      <c r="A980" s="130"/>
      <c r="B980" s="130"/>
      <c r="C980" s="143"/>
      <c r="D980" s="130"/>
      <c r="E980" s="143"/>
      <c r="F980" s="143"/>
      <c r="G980" s="143"/>
      <c r="H980" s="143"/>
      <c r="I980" s="143"/>
      <c r="J980" s="143"/>
      <c r="K980" s="143"/>
      <c r="L980" s="143"/>
      <c r="M980" s="143"/>
      <c r="N980" s="143"/>
      <c r="O980" s="143"/>
      <c r="P980" s="143"/>
      <c r="Q980" s="67"/>
      <c r="R980" s="144"/>
      <c r="S980" s="144"/>
      <c r="T980" s="143"/>
      <c r="U980" s="143"/>
      <c r="V980" s="143"/>
      <c r="W980" s="130"/>
      <c r="X980" s="130"/>
      <c r="Y980" s="130"/>
      <c r="Z980" s="130"/>
      <c r="AA980" s="130"/>
      <c r="AB980" s="130"/>
      <c r="AC980" s="130"/>
      <c r="AD980" s="130"/>
      <c r="AE980" s="130"/>
      <c r="AF980" s="130"/>
      <c r="AG980" s="130"/>
      <c r="AH980" s="130"/>
      <c r="AI980" s="130"/>
      <c r="AJ980" s="130"/>
      <c r="AK980" s="130"/>
    </row>
    <row r="981">
      <c r="A981" s="130"/>
      <c r="B981" s="130"/>
      <c r="C981" s="143"/>
      <c r="D981" s="130"/>
      <c r="E981" s="143"/>
      <c r="F981" s="143"/>
      <c r="G981" s="143"/>
      <c r="H981" s="143"/>
      <c r="I981" s="143"/>
      <c r="J981" s="143"/>
      <c r="K981" s="143"/>
      <c r="L981" s="143"/>
      <c r="M981" s="143"/>
      <c r="N981" s="143"/>
      <c r="O981" s="143"/>
      <c r="P981" s="143"/>
      <c r="Q981" s="67"/>
      <c r="R981" s="144"/>
      <c r="S981" s="144"/>
      <c r="T981" s="143"/>
      <c r="U981" s="143"/>
      <c r="V981" s="143"/>
      <c r="W981" s="130"/>
      <c r="X981" s="130"/>
      <c r="Y981" s="130"/>
      <c r="Z981" s="130"/>
      <c r="AA981" s="130"/>
      <c r="AB981" s="130"/>
      <c r="AC981" s="130"/>
      <c r="AD981" s="130"/>
      <c r="AE981" s="130"/>
      <c r="AF981" s="130"/>
      <c r="AG981" s="130"/>
      <c r="AH981" s="130"/>
      <c r="AI981" s="130"/>
      <c r="AJ981" s="130"/>
      <c r="AK981" s="130"/>
    </row>
    <row r="982">
      <c r="A982" s="130"/>
      <c r="B982" s="130"/>
      <c r="C982" s="143"/>
      <c r="D982" s="130"/>
      <c r="E982" s="143"/>
      <c r="F982" s="143"/>
      <c r="G982" s="143"/>
      <c r="H982" s="143"/>
      <c r="I982" s="143"/>
      <c r="J982" s="143"/>
      <c r="K982" s="143"/>
      <c r="L982" s="143"/>
      <c r="M982" s="143"/>
      <c r="N982" s="143"/>
      <c r="O982" s="143"/>
      <c r="P982" s="143"/>
      <c r="Q982" s="67"/>
      <c r="R982" s="144"/>
      <c r="S982" s="144"/>
      <c r="T982" s="143"/>
      <c r="U982" s="143"/>
      <c r="V982" s="143"/>
      <c r="W982" s="130"/>
      <c r="X982" s="130"/>
      <c r="Y982" s="130"/>
      <c r="Z982" s="130"/>
      <c r="AA982" s="130"/>
      <c r="AB982" s="130"/>
      <c r="AC982" s="130"/>
      <c r="AD982" s="130"/>
      <c r="AE982" s="130"/>
      <c r="AF982" s="130"/>
      <c r="AG982" s="130"/>
      <c r="AH982" s="130"/>
      <c r="AI982" s="130"/>
      <c r="AJ982" s="130"/>
      <c r="AK982" s="130"/>
    </row>
    <row r="983">
      <c r="A983" s="130"/>
      <c r="B983" s="130"/>
      <c r="C983" s="143"/>
      <c r="D983" s="130"/>
      <c r="E983" s="143"/>
      <c r="F983" s="143"/>
      <c r="G983" s="143"/>
      <c r="H983" s="143"/>
      <c r="I983" s="143"/>
      <c r="J983" s="143"/>
      <c r="K983" s="143"/>
      <c r="L983" s="143"/>
      <c r="M983" s="143"/>
      <c r="N983" s="143"/>
      <c r="O983" s="143"/>
      <c r="P983" s="143"/>
      <c r="Q983" s="67"/>
      <c r="R983" s="144"/>
      <c r="S983" s="144"/>
      <c r="T983" s="143"/>
      <c r="U983" s="143"/>
      <c r="V983" s="143"/>
      <c r="W983" s="130"/>
      <c r="X983" s="130"/>
      <c r="Y983" s="130"/>
      <c r="Z983" s="130"/>
      <c r="AA983" s="130"/>
      <c r="AB983" s="130"/>
      <c r="AC983" s="130"/>
      <c r="AD983" s="130"/>
      <c r="AE983" s="130"/>
      <c r="AF983" s="130"/>
      <c r="AG983" s="130"/>
      <c r="AH983" s="130"/>
      <c r="AI983" s="130"/>
      <c r="AJ983" s="130"/>
      <c r="AK983" s="130"/>
    </row>
    <row r="984">
      <c r="A984" s="130"/>
      <c r="B984" s="130"/>
      <c r="C984" s="143"/>
      <c r="D984" s="130"/>
      <c r="E984" s="143"/>
      <c r="F984" s="143"/>
      <c r="G984" s="143"/>
      <c r="H984" s="143"/>
      <c r="I984" s="143"/>
      <c r="J984" s="143"/>
      <c r="K984" s="143"/>
      <c r="L984" s="143"/>
      <c r="M984" s="143"/>
      <c r="N984" s="143"/>
      <c r="O984" s="143"/>
      <c r="P984" s="143"/>
      <c r="Q984" s="67"/>
      <c r="R984" s="144"/>
      <c r="S984" s="144"/>
      <c r="T984" s="143"/>
      <c r="U984" s="143"/>
      <c r="V984" s="143"/>
      <c r="W984" s="130"/>
      <c r="X984" s="130"/>
      <c r="Y984" s="130"/>
      <c r="Z984" s="130"/>
      <c r="AA984" s="130"/>
      <c r="AB984" s="130"/>
      <c r="AC984" s="130"/>
      <c r="AD984" s="130"/>
      <c r="AE984" s="130"/>
      <c r="AF984" s="130"/>
      <c r="AG984" s="130"/>
      <c r="AH984" s="130"/>
      <c r="AI984" s="130"/>
      <c r="AJ984" s="130"/>
      <c r="AK984" s="130"/>
    </row>
    <row r="985">
      <c r="A985" s="130"/>
      <c r="B985" s="130"/>
      <c r="C985" s="143"/>
      <c r="D985" s="130"/>
      <c r="E985" s="143"/>
      <c r="F985" s="143"/>
      <c r="G985" s="143"/>
      <c r="H985" s="143"/>
      <c r="I985" s="143"/>
      <c r="J985" s="143"/>
      <c r="K985" s="143"/>
      <c r="L985" s="143"/>
      <c r="M985" s="143"/>
      <c r="N985" s="143"/>
      <c r="O985" s="143"/>
      <c r="P985" s="143"/>
      <c r="Q985" s="67"/>
      <c r="R985" s="144"/>
      <c r="S985" s="144"/>
      <c r="T985" s="143"/>
      <c r="U985" s="143"/>
      <c r="V985" s="143"/>
      <c r="W985" s="130"/>
      <c r="X985" s="130"/>
      <c r="Y985" s="130"/>
      <c r="Z985" s="130"/>
      <c r="AA985" s="130"/>
      <c r="AB985" s="130"/>
      <c r="AC985" s="130"/>
      <c r="AD985" s="130"/>
      <c r="AE985" s="130"/>
      <c r="AF985" s="130"/>
      <c r="AG985" s="130"/>
      <c r="AH985" s="130"/>
      <c r="AI985" s="130"/>
      <c r="AJ985" s="130"/>
      <c r="AK985" s="130"/>
    </row>
    <row r="986">
      <c r="A986" s="130"/>
      <c r="B986" s="130"/>
      <c r="C986" s="143"/>
      <c r="D986" s="130"/>
      <c r="E986" s="143"/>
      <c r="F986" s="143"/>
      <c r="G986" s="143"/>
      <c r="H986" s="143"/>
      <c r="I986" s="143"/>
      <c r="J986" s="143"/>
      <c r="K986" s="143"/>
      <c r="L986" s="143"/>
      <c r="M986" s="143"/>
      <c r="N986" s="143"/>
      <c r="O986" s="143"/>
      <c r="P986" s="143"/>
      <c r="Q986" s="67"/>
      <c r="R986" s="144"/>
      <c r="S986" s="144"/>
      <c r="T986" s="143"/>
      <c r="U986" s="143"/>
      <c r="V986" s="143"/>
      <c r="W986" s="130"/>
      <c r="X986" s="130"/>
      <c r="Y986" s="130"/>
      <c r="Z986" s="130"/>
      <c r="AA986" s="130"/>
      <c r="AB986" s="130"/>
      <c r="AC986" s="130"/>
      <c r="AD986" s="130"/>
      <c r="AE986" s="130"/>
      <c r="AF986" s="130"/>
      <c r="AG986" s="130"/>
      <c r="AH986" s="130"/>
      <c r="AI986" s="130"/>
      <c r="AJ986" s="130"/>
      <c r="AK986" s="130"/>
    </row>
    <row r="987">
      <c r="A987" s="130"/>
      <c r="B987" s="130"/>
      <c r="C987" s="143"/>
      <c r="D987" s="130"/>
      <c r="E987" s="143"/>
      <c r="F987" s="143"/>
      <c r="G987" s="143"/>
      <c r="H987" s="143"/>
      <c r="I987" s="143"/>
      <c r="J987" s="143"/>
      <c r="K987" s="143"/>
      <c r="L987" s="143"/>
      <c r="M987" s="143"/>
      <c r="N987" s="143"/>
      <c r="O987" s="143"/>
      <c r="P987" s="143"/>
      <c r="Q987" s="67"/>
      <c r="R987" s="144"/>
      <c r="S987" s="144"/>
      <c r="T987" s="143"/>
      <c r="U987" s="143"/>
      <c r="V987" s="143"/>
      <c r="W987" s="130"/>
      <c r="X987" s="130"/>
      <c r="Y987" s="130"/>
      <c r="Z987" s="130"/>
      <c r="AA987" s="130"/>
      <c r="AB987" s="130"/>
      <c r="AC987" s="130"/>
      <c r="AD987" s="130"/>
      <c r="AE987" s="130"/>
      <c r="AF987" s="130"/>
      <c r="AG987" s="130"/>
      <c r="AH987" s="130"/>
      <c r="AI987" s="130"/>
      <c r="AJ987" s="130"/>
      <c r="AK987" s="130"/>
    </row>
    <row r="988">
      <c r="A988" s="130"/>
      <c r="B988" s="130"/>
      <c r="C988" s="143"/>
      <c r="D988" s="130"/>
      <c r="E988" s="143"/>
      <c r="F988" s="143"/>
      <c r="G988" s="143"/>
      <c r="H988" s="143"/>
      <c r="I988" s="143"/>
      <c r="J988" s="143"/>
      <c r="K988" s="143"/>
      <c r="L988" s="143"/>
      <c r="M988" s="143"/>
      <c r="N988" s="143"/>
      <c r="O988" s="143"/>
      <c r="P988" s="143"/>
      <c r="Q988" s="67"/>
      <c r="R988" s="144"/>
      <c r="S988" s="144"/>
      <c r="T988" s="143"/>
      <c r="U988" s="143"/>
      <c r="V988" s="143"/>
      <c r="W988" s="130"/>
      <c r="X988" s="130"/>
      <c r="Y988" s="130"/>
      <c r="Z988" s="130"/>
      <c r="AA988" s="130"/>
      <c r="AB988" s="130"/>
      <c r="AC988" s="130"/>
      <c r="AD988" s="130"/>
      <c r="AE988" s="130"/>
      <c r="AF988" s="130"/>
      <c r="AG988" s="130"/>
      <c r="AH988" s="130"/>
      <c r="AI988" s="130"/>
      <c r="AJ988" s="130"/>
      <c r="AK988" s="130"/>
    </row>
    <row r="989">
      <c r="A989" s="130"/>
      <c r="B989" s="130"/>
      <c r="C989" s="143"/>
      <c r="D989" s="130"/>
      <c r="E989" s="143"/>
      <c r="F989" s="143"/>
      <c r="G989" s="143"/>
      <c r="H989" s="143"/>
      <c r="I989" s="143"/>
      <c r="J989" s="143"/>
      <c r="K989" s="143"/>
      <c r="L989" s="143"/>
      <c r="M989" s="143"/>
      <c r="N989" s="143"/>
      <c r="O989" s="143"/>
      <c r="P989" s="143"/>
      <c r="Q989" s="67"/>
      <c r="R989" s="144"/>
      <c r="S989" s="144"/>
      <c r="T989" s="143"/>
      <c r="U989" s="143"/>
      <c r="V989" s="143"/>
      <c r="W989" s="130"/>
      <c r="X989" s="130"/>
      <c r="Y989" s="130"/>
      <c r="Z989" s="130"/>
      <c r="AA989" s="130"/>
      <c r="AB989" s="130"/>
      <c r="AC989" s="130"/>
      <c r="AD989" s="130"/>
      <c r="AE989" s="130"/>
      <c r="AF989" s="130"/>
      <c r="AG989" s="130"/>
      <c r="AH989" s="130"/>
      <c r="AI989" s="130"/>
      <c r="AJ989" s="130"/>
      <c r="AK989" s="130"/>
    </row>
    <row r="990">
      <c r="A990" s="130"/>
      <c r="B990" s="130"/>
      <c r="C990" s="143"/>
      <c r="D990" s="130"/>
      <c r="E990" s="143"/>
      <c r="F990" s="143"/>
      <c r="G990" s="143"/>
      <c r="H990" s="143"/>
      <c r="I990" s="143"/>
      <c r="J990" s="143"/>
      <c r="K990" s="143"/>
      <c r="L990" s="143"/>
      <c r="M990" s="143"/>
      <c r="N990" s="143"/>
      <c r="O990" s="143"/>
      <c r="P990" s="143"/>
      <c r="Q990" s="67"/>
      <c r="R990" s="144"/>
      <c r="S990" s="144"/>
      <c r="T990" s="143"/>
      <c r="U990" s="143"/>
      <c r="V990" s="143"/>
      <c r="W990" s="130"/>
      <c r="X990" s="130"/>
      <c r="Y990" s="130"/>
      <c r="Z990" s="130"/>
      <c r="AA990" s="130"/>
      <c r="AB990" s="130"/>
      <c r="AC990" s="130"/>
      <c r="AD990" s="130"/>
      <c r="AE990" s="130"/>
      <c r="AF990" s="130"/>
      <c r="AG990" s="130"/>
      <c r="AH990" s="130"/>
      <c r="AI990" s="130"/>
      <c r="AJ990" s="130"/>
      <c r="AK990" s="130"/>
    </row>
    <row r="991">
      <c r="A991" s="130"/>
      <c r="B991" s="130"/>
      <c r="C991" s="143"/>
      <c r="D991" s="130"/>
      <c r="E991" s="143"/>
      <c r="F991" s="143"/>
      <c r="G991" s="143"/>
      <c r="H991" s="143"/>
      <c r="I991" s="143"/>
      <c r="J991" s="143"/>
      <c r="K991" s="143"/>
      <c r="L991" s="143"/>
      <c r="M991" s="143"/>
      <c r="N991" s="143"/>
      <c r="O991" s="143"/>
      <c r="P991" s="143"/>
      <c r="Q991" s="67"/>
      <c r="R991" s="144"/>
      <c r="S991" s="144"/>
      <c r="T991" s="143"/>
      <c r="U991" s="143"/>
      <c r="V991" s="143"/>
      <c r="W991" s="130"/>
      <c r="X991" s="130"/>
      <c r="Y991" s="130"/>
      <c r="Z991" s="130"/>
      <c r="AA991" s="130"/>
      <c r="AB991" s="130"/>
      <c r="AC991" s="130"/>
      <c r="AD991" s="130"/>
      <c r="AE991" s="130"/>
      <c r="AF991" s="130"/>
      <c r="AG991" s="130"/>
      <c r="AH991" s="130"/>
      <c r="AI991" s="130"/>
      <c r="AJ991" s="130"/>
      <c r="AK991" s="130"/>
    </row>
    <row r="992">
      <c r="A992" s="130"/>
      <c r="B992" s="130"/>
      <c r="C992" s="143"/>
      <c r="D992" s="130"/>
      <c r="E992" s="143"/>
      <c r="F992" s="143"/>
      <c r="G992" s="143"/>
      <c r="H992" s="143"/>
      <c r="I992" s="143"/>
      <c r="J992" s="143"/>
      <c r="K992" s="143"/>
      <c r="L992" s="143"/>
      <c r="M992" s="143"/>
      <c r="N992" s="143"/>
      <c r="O992" s="143"/>
      <c r="P992" s="143"/>
      <c r="Q992" s="67"/>
      <c r="R992" s="144"/>
      <c r="S992" s="144"/>
      <c r="T992" s="143"/>
      <c r="U992" s="143"/>
      <c r="V992" s="143"/>
      <c r="W992" s="130"/>
      <c r="X992" s="130"/>
      <c r="Y992" s="130"/>
      <c r="Z992" s="130"/>
      <c r="AA992" s="130"/>
      <c r="AB992" s="130"/>
      <c r="AC992" s="130"/>
      <c r="AD992" s="130"/>
      <c r="AE992" s="130"/>
      <c r="AF992" s="130"/>
      <c r="AG992" s="130"/>
      <c r="AH992" s="130"/>
      <c r="AI992" s="130"/>
      <c r="AJ992" s="130"/>
      <c r="AK992" s="130"/>
    </row>
    <row r="993">
      <c r="A993" s="130"/>
      <c r="B993" s="130"/>
      <c r="C993" s="143"/>
      <c r="D993" s="130"/>
      <c r="E993" s="143"/>
      <c r="F993" s="143"/>
      <c r="G993" s="143"/>
      <c r="H993" s="143"/>
      <c r="I993" s="143"/>
      <c r="J993" s="143"/>
      <c r="K993" s="143"/>
      <c r="L993" s="143"/>
      <c r="M993" s="143"/>
      <c r="N993" s="143"/>
      <c r="O993" s="143"/>
      <c r="P993" s="143"/>
      <c r="Q993" s="67"/>
      <c r="R993" s="144"/>
      <c r="S993" s="144"/>
      <c r="T993" s="143"/>
      <c r="U993" s="143"/>
      <c r="V993" s="143"/>
      <c r="W993" s="130"/>
      <c r="X993" s="130"/>
      <c r="Y993" s="130"/>
      <c r="Z993" s="130"/>
      <c r="AA993" s="130"/>
      <c r="AB993" s="130"/>
      <c r="AC993" s="130"/>
      <c r="AD993" s="130"/>
      <c r="AE993" s="130"/>
      <c r="AF993" s="130"/>
      <c r="AG993" s="130"/>
      <c r="AH993" s="130"/>
      <c r="AI993" s="130"/>
      <c r="AJ993" s="130"/>
      <c r="AK993" s="130"/>
    </row>
    <row r="994">
      <c r="A994" s="130"/>
      <c r="B994" s="130"/>
      <c r="C994" s="143"/>
      <c r="D994" s="130"/>
      <c r="E994" s="143"/>
      <c r="F994" s="143"/>
      <c r="G994" s="143"/>
      <c r="H994" s="143"/>
      <c r="I994" s="143"/>
      <c r="J994" s="143"/>
      <c r="K994" s="143"/>
      <c r="L994" s="143"/>
      <c r="M994" s="143"/>
      <c r="N994" s="143"/>
      <c r="O994" s="143"/>
      <c r="P994" s="143"/>
      <c r="Q994" s="67"/>
      <c r="R994" s="144"/>
      <c r="S994" s="144"/>
      <c r="T994" s="143"/>
      <c r="U994" s="143"/>
      <c r="V994" s="143"/>
      <c r="W994" s="130"/>
      <c r="X994" s="130"/>
      <c r="Y994" s="130"/>
      <c r="Z994" s="130"/>
      <c r="AA994" s="130"/>
      <c r="AB994" s="130"/>
      <c r="AC994" s="130"/>
      <c r="AD994" s="130"/>
      <c r="AE994" s="130"/>
      <c r="AF994" s="130"/>
      <c r="AG994" s="130"/>
      <c r="AH994" s="130"/>
      <c r="AI994" s="130"/>
      <c r="AJ994" s="130"/>
      <c r="AK994" s="130"/>
    </row>
  </sheetData>
  <autoFilter ref="$A$1:$W$994">
    <sortState ref="A1:W994">
      <sortCondition ref="D1:D994"/>
    </sortState>
  </autoFilter>
  <conditionalFormatting sqref="A86:B87">
    <cfRule type="expression" dxfId="0" priority="1">
      <formula>$E86="Excluded"</formula>
    </cfRule>
  </conditionalFormatting>
  <conditionalFormatting sqref="A84:A87 B84:B85">
    <cfRule type="expression" dxfId="0" priority="2">
      <formula>$E84="Excluded"</formula>
    </cfRule>
  </conditionalFormatting>
  <conditionalFormatting sqref="A81:B81 A83:B83 A85">
    <cfRule type="expression" dxfId="0" priority="3">
      <formula>$E81="Excluded"</formula>
    </cfRule>
  </conditionalFormatting>
  <conditionalFormatting sqref="A80:A84 B80:B82">
    <cfRule type="expression" dxfId="0" priority="4">
      <formula>$E80="Excluded"</formula>
    </cfRule>
  </conditionalFormatting>
  <conditionalFormatting sqref="A78:A81 B78:B79">
    <cfRule type="expression" dxfId="0" priority="5">
      <formula>$E78="Excluded"</formula>
    </cfRule>
  </conditionalFormatting>
  <conditionalFormatting sqref="A76:A79 B76:B77">
    <cfRule type="expression" dxfId="0" priority="6">
      <formula>$E76="Excluded"</formula>
    </cfRule>
  </conditionalFormatting>
  <conditionalFormatting sqref="A76:A77">
    <cfRule type="expression" dxfId="0" priority="7">
      <formula>$E76="Excluded"</formula>
    </cfRule>
  </conditionalFormatting>
  <conditionalFormatting sqref="A74:B75">
    <cfRule type="expression" dxfId="0" priority="8">
      <formula>$E74="Excluded"</formula>
    </cfRule>
  </conditionalFormatting>
  <conditionalFormatting sqref="A72:B73">
    <cfRule type="expression" dxfId="0" priority="9">
      <formula>$E72="Excluded"</formula>
    </cfRule>
  </conditionalFormatting>
  <conditionalFormatting sqref="A70:B71">
    <cfRule type="expression" dxfId="0" priority="10">
      <formula>$E70="Excluded"</formula>
    </cfRule>
  </conditionalFormatting>
  <conditionalFormatting sqref="A69:B69">
    <cfRule type="expression" dxfId="0" priority="11">
      <formula>$E69="Excluded"</formula>
    </cfRule>
  </conditionalFormatting>
  <conditionalFormatting sqref="A68:B68">
    <cfRule type="expression" dxfId="0" priority="12">
      <formula>$E68="Excluded"</formula>
    </cfRule>
  </conditionalFormatting>
  <conditionalFormatting sqref="A67:B67">
    <cfRule type="expression" dxfId="0" priority="13">
      <formula>$E67="Excluded"</formula>
    </cfRule>
  </conditionalFormatting>
  <conditionalFormatting sqref="A66:B66">
    <cfRule type="expression" dxfId="0" priority="14">
      <formula>$E66="Excluded"</formula>
    </cfRule>
  </conditionalFormatting>
  <conditionalFormatting sqref="A64:B65">
    <cfRule type="expression" dxfId="0" priority="15">
      <formula>$E64="Excluded"</formula>
    </cfRule>
  </conditionalFormatting>
  <conditionalFormatting sqref="A62:B63">
    <cfRule type="expression" dxfId="0" priority="16">
      <formula>$E62="Excluded"</formula>
    </cfRule>
  </conditionalFormatting>
  <conditionalFormatting sqref="A60:B61">
    <cfRule type="expression" dxfId="0" priority="17">
      <formula>$E60="Excluded"</formula>
    </cfRule>
  </conditionalFormatting>
  <conditionalFormatting sqref="A60:B60">
    <cfRule type="expression" dxfId="0" priority="18">
      <formula>$E60="Excluded"</formula>
    </cfRule>
  </conditionalFormatting>
  <conditionalFormatting sqref="A59:B59">
    <cfRule type="expression" dxfId="0" priority="19">
      <formula>$E59="Excluded"</formula>
    </cfRule>
  </conditionalFormatting>
  <conditionalFormatting sqref="A58:B58">
    <cfRule type="expression" dxfId="0" priority="20">
      <formula>$E58="Excluded"</formula>
    </cfRule>
  </conditionalFormatting>
  <conditionalFormatting sqref="A57:B57">
    <cfRule type="expression" dxfId="0" priority="21">
      <formula>$E57="Excluded"</formula>
    </cfRule>
  </conditionalFormatting>
  <conditionalFormatting sqref="A56:B56">
    <cfRule type="expression" dxfId="0" priority="22">
      <formula>$E56="Excluded"</formula>
    </cfRule>
  </conditionalFormatting>
  <conditionalFormatting sqref="A55:B55">
    <cfRule type="expression" dxfId="0" priority="23">
      <formula>$E55="Excluded"</formula>
    </cfRule>
  </conditionalFormatting>
  <conditionalFormatting sqref="A54:B54">
    <cfRule type="expression" dxfId="0" priority="24">
      <formula>$E54="Excluded"</formula>
    </cfRule>
  </conditionalFormatting>
  <conditionalFormatting sqref="A52:B53">
    <cfRule type="expression" dxfId="0" priority="25">
      <formula>$E52="Excluded"</formula>
    </cfRule>
  </conditionalFormatting>
  <conditionalFormatting sqref="A50:B51">
    <cfRule type="expression" dxfId="0" priority="26">
      <formula>$E50="Excluded"</formula>
    </cfRule>
  </conditionalFormatting>
  <conditionalFormatting sqref="A49:B49">
    <cfRule type="expression" dxfId="0" priority="27">
      <formula>$E49="Excluded"</formula>
    </cfRule>
  </conditionalFormatting>
  <conditionalFormatting sqref="A48:B48">
    <cfRule type="expression" dxfId="0" priority="28">
      <formula>$E48="Excluded"</formula>
    </cfRule>
  </conditionalFormatting>
  <conditionalFormatting sqref="A47:B47">
    <cfRule type="expression" dxfId="0" priority="29">
      <formula>$E47="Excluded"</formula>
    </cfRule>
  </conditionalFormatting>
  <conditionalFormatting sqref="A46:B46">
    <cfRule type="expression" dxfId="0" priority="30">
      <formula>$E46="Excluded"</formula>
    </cfRule>
  </conditionalFormatting>
  <conditionalFormatting sqref="A45:B45">
    <cfRule type="expression" dxfId="0" priority="31">
      <formula>$E45="Excluded"</formula>
    </cfRule>
  </conditionalFormatting>
  <conditionalFormatting sqref="A44:B44">
    <cfRule type="expression" dxfId="0" priority="32">
      <formula>$E44="Excluded"</formula>
    </cfRule>
  </conditionalFormatting>
  <conditionalFormatting sqref="A42:B43">
    <cfRule type="expression" dxfId="0" priority="33">
      <formula>$E42="Excluded"</formula>
    </cfRule>
  </conditionalFormatting>
  <conditionalFormatting sqref="A40:B41">
    <cfRule type="expression" dxfId="0" priority="34">
      <formula>$E40="Excluded"</formula>
    </cfRule>
  </conditionalFormatting>
  <conditionalFormatting sqref="A39:B39 A41">
    <cfRule type="expression" dxfId="0" priority="35">
      <formula>$E39="Excluded"</formula>
    </cfRule>
  </conditionalFormatting>
  <conditionalFormatting sqref="A37:A40 B37:B38">
    <cfRule type="expression" dxfId="0" priority="36">
      <formula>$E37="Excluded"</formula>
    </cfRule>
  </conditionalFormatting>
  <conditionalFormatting sqref="A35:A38 B35:B36">
    <cfRule type="expression" dxfId="0" priority="37">
      <formula>$E35="Excluded"</formula>
    </cfRule>
  </conditionalFormatting>
  <conditionalFormatting sqref="A34:B34 A36">
    <cfRule type="expression" dxfId="0" priority="38">
      <formula>$E34="Excluded"</formula>
    </cfRule>
  </conditionalFormatting>
  <conditionalFormatting sqref="A33:B33 A35">
    <cfRule type="expression" dxfId="0" priority="39">
      <formula>$E33="Excluded"</formula>
    </cfRule>
  </conditionalFormatting>
  <conditionalFormatting sqref="A32:B32 A34">
    <cfRule type="expression" dxfId="0" priority="40">
      <formula>$E32="Excluded"</formula>
    </cfRule>
  </conditionalFormatting>
  <conditionalFormatting sqref="A30:A33 B30:B31">
    <cfRule type="expression" dxfId="0" priority="41">
      <formula>$E30="Excluded"</formula>
    </cfRule>
  </conditionalFormatting>
  <conditionalFormatting sqref="A30:A31">
    <cfRule type="expression" dxfId="0" priority="42">
      <formula>$E30="Excluded"</formula>
    </cfRule>
  </conditionalFormatting>
  <conditionalFormatting sqref="A28:B29">
    <cfRule type="expression" dxfId="0" priority="43">
      <formula>$E28="Excluded"</formula>
    </cfRule>
  </conditionalFormatting>
  <conditionalFormatting sqref="A26:B27">
    <cfRule type="expression" dxfId="0" priority="44">
      <formula>$E26="Excluded"</formula>
    </cfRule>
  </conditionalFormatting>
  <conditionalFormatting sqref="A25:B25">
    <cfRule type="expression" dxfId="0" priority="45">
      <formula>$E25="Excluded"</formula>
    </cfRule>
  </conditionalFormatting>
  <conditionalFormatting sqref="A24:B24">
    <cfRule type="expression" dxfId="0" priority="46">
      <formula>$E24="Excluded"</formula>
    </cfRule>
  </conditionalFormatting>
  <conditionalFormatting sqref="A22:B23">
    <cfRule type="expression" dxfId="0" priority="47">
      <formula>$E22="Excluded"</formula>
    </cfRule>
  </conditionalFormatting>
  <conditionalFormatting sqref="A20:B21">
    <cfRule type="expression" dxfId="0" priority="48">
      <formula>$E20="Excluded"</formula>
    </cfRule>
  </conditionalFormatting>
  <conditionalFormatting sqref="A19:B19">
    <cfRule type="expression" dxfId="0" priority="49">
      <formula>$E19="Excluded"</formula>
    </cfRule>
  </conditionalFormatting>
  <conditionalFormatting sqref="A18:B18">
    <cfRule type="expression" dxfId="0" priority="50">
      <formula>$E18="Excluded"</formula>
    </cfRule>
  </conditionalFormatting>
  <conditionalFormatting sqref="A17:B17">
    <cfRule type="expression" dxfId="0" priority="51">
      <formula>$E17="Excluded"</formula>
    </cfRule>
  </conditionalFormatting>
  <conditionalFormatting sqref="A16:B16">
    <cfRule type="expression" dxfId="0" priority="52">
      <formula>$E16="Excluded"</formula>
    </cfRule>
  </conditionalFormatting>
  <conditionalFormatting sqref="A14:B15">
    <cfRule type="expression" dxfId="0" priority="53">
      <formula>$E14="Excluded"</formula>
    </cfRule>
  </conditionalFormatting>
  <conditionalFormatting sqref="A12:B13">
    <cfRule type="expression" dxfId="0" priority="54">
      <formula>$E12="Excluded"</formula>
    </cfRule>
  </conditionalFormatting>
  <conditionalFormatting sqref="A11:B11">
    <cfRule type="expression" dxfId="0" priority="55">
      <formula>$E11="Excluded"</formula>
    </cfRule>
  </conditionalFormatting>
  <conditionalFormatting sqref="A10:B10">
    <cfRule type="expression" dxfId="0" priority="56">
      <formula>$E10="Excluded"</formula>
    </cfRule>
  </conditionalFormatting>
  <conditionalFormatting sqref="A8:B9">
    <cfRule type="expression" dxfId="0" priority="57">
      <formula>$E8="Excluded"</formula>
    </cfRule>
  </conditionalFormatting>
  <conditionalFormatting sqref="A6:B7">
    <cfRule type="expression" dxfId="0" priority="58">
      <formula>$E6="Excluded"</formula>
    </cfRule>
  </conditionalFormatting>
  <conditionalFormatting sqref="A5:B5">
    <cfRule type="expression" dxfId="0" priority="59">
      <formula>$E5="Excluded"</formula>
    </cfRule>
  </conditionalFormatting>
  <conditionalFormatting sqref="A4:B4">
    <cfRule type="expression" dxfId="0" priority="60">
      <formula>$E4="Excluded"</formula>
    </cfRule>
  </conditionalFormatting>
  <conditionalFormatting sqref="A3:B3">
    <cfRule type="expression" dxfId="0" priority="61">
      <formula>$E3="Excluded"</formula>
    </cfRule>
  </conditionalFormatting>
  <conditionalFormatting sqref="A2:B2">
    <cfRule type="expression" dxfId="0" priority="62">
      <formula>$E2="Excluded"</formula>
    </cfRule>
  </conditionalFormatting>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sheetData>
    <row r="1">
      <c r="A1" s="110">
        <v>0.0</v>
      </c>
      <c r="B1" s="110" t="s">
        <v>472</v>
      </c>
      <c r="C1" s="110" t="s">
        <v>473</v>
      </c>
      <c r="D1" s="110" t="s">
        <v>474</v>
      </c>
    </row>
    <row r="2">
      <c r="A2" s="125"/>
      <c r="B2" s="125"/>
      <c r="C2" s="125"/>
      <c r="D2" s="125"/>
    </row>
    <row r="3">
      <c r="A3" s="125"/>
      <c r="B3" s="125"/>
      <c r="C3" s="125"/>
      <c r="D3" s="125"/>
    </row>
    <row r="4">
      <c r="A4" s="113" t="s">
        <v>570</v>
      </c>
      <c r="B4" s="113" t="s">
        <v>570</v>
      </c>
      <c r="C4" s="113" t="s">
        <v>571</v>
      </c>
      <c r="D4" s="113" t="s">
        <v>477</v>
      </c>
    </row>
    <row r="5">
      <c r="A5" s="113" t="s">
        <v>489</v>
      </c>
      <c r="B5" s="113" t="s">
        <v>491</v>
      </c>
      <c r="C5" s="113" t="s">
        <v>572</v>
      </c>
      <c r="D5" s="113" t="s">
        <v>573</v>
      </c>
    </row>
    <row r="6">
      <c r="A6" s="113" t="s">
        <v>574</v>
      </c>
      <c r="B6" s="113" t="s">
        <v>575</v>
      </c>
      <c r="C6" s="113" t="s">
        <v>576</v>
      </c>
      <c r="D6" s="113" t="s">
        <v>494</v>
      </c>
    </row>
    <row r="7">
      <c r="A7" s="113" t="s">
        <v>577</v>
      </c>
      <c r="B7" s="113" t="s">
        <v>578</v>
      </c>
      <c r="C7" s="113" t="s">
        <v>502</v>
      </c>
      <c r="D7" s="113" t="s">
        <v>579</v>
      </c>
    </row>
    <row r="8">
      <c r="A8" s="113" t="s">
        <v>580</v>
      </c>
      <c r="B8" s="113" t="s">
        <v>581</v>
      </c>
      <c r="C8" s="113" t="s">
        <v>514</v>
      </c>
      <c r="D8" s="113" t="s">
        <v>477</v>
      </c>
    </row>
    <row r="9">
      <c r="A9" s="113" t="s">
        <v>582</v>
      </c>
      <c r="B9" s="113" t="s">
        <v>583</v>
      </c>
      <c r="C9" s="113" t="s">
        <v>477</v>
      </c>
      <c r="D9" s="113" t="s">
        <v>477</v>
      </c>
    </row>
    <row r="10">
      <c r="A10" s="113" t="s">
        <v>504</v>
      </c>
      <c r="B10" s="113" t="s">
        <v>505</v>
      </c>
      <c r="C10" s="113" t="s">
        <v>477</v>
      </c>
      <c r="D10" s="113" t="s">
        <v>477</v>
      </c>
    </row>
    <row r="11">
      <c r="A11" s="113" t="s">
        <v>506</v>
      </c>
      <c r="B11" s="113" t="s">
        <v>507</v>
      </c>
      <c r="C11" s="113" t="s">
        <v>477</v>
      </c>
      <c r="D11" s="113" t="s">
        <v>477</v>
      </c>
    </row>
    <row r="12">
      <c r="A12" s="113" t="s">
        <v>584</v>
      </c>
      <c r="B12" s="113" t="s">
        <v>585</v>
      </c>
      <c r="C12" s="113" t="s">
        <v>494</v>
      </c>
      <c r="D12" s="113" t="s">
        <v>477</v>
      </c>
    </row>
    <row r="13">
      <c r="A13" s="113" t="s">
        <v>586</v>
      </c>
      <c r="B13" s="113" t="s">
        <v>581</v>
      </c>
      <c r="C13" s="113" t="s">
        <v>517</v>
      </c>
      <c r="D13" s="113" t="s">
        <v>477</v>
      </c>
    </row>
    <row r="14">
      <c r="A14" s="113" t="s">
        <v>587</v>
      </c>
      <c r="B14" s="113" t="s">
        <v>588</v>
      </c>
      <c r="C14" s="113" t="s">
        <v>517</v>
      </c>
      <c r="D14" s="113" t="s">
        <v>517</v>
      </c>
    </row>
    <row r="15">
      <c r="A15" s="113" t="s">
        <v>587</v>
      </c>
      <c r="B15" s="113" t="s">
        <v>589</v>
      </c>
      <c r="C15" s="113" t="s">
        <v>514</v>
      </c>
      <c r="D15" s="113" t="s">
        <v>517</v>
      </c>
    </row>
    <row r="16">
      <c r="A16" s="113" t="s">
        <v>590</v>
      </c>
      <c r="B16" s="113" t="s">
        <v>591</v>
      </c>
      <c r="C16" s="113" t="s">
        <v>477</v>
      </c>
      <c r="D16" s="113" t="s">
        <v>477</v>
      </c>
    </row>
    <row r="17">
      <c r="A17" s="113" t="s">
        <v>592</v>
      </c>
      <c r="B17" s="113" t="s">
        <v>593</v>
      </c>
      <c r="C17" s="113" t="s">
        <v>517</v>
      </c>
      <c r="D17" s="113" t="s">
        <v>477</v>
      </c>
    </row>
    <row r="18">
      <c r="A18" s="113" t="s">
        <v>529</v>
      </c>
      <c r="B18" s="113" t="s">
        <v>530</v>
      </c>
      <c r="C18" s="113" t="s">
        <v>477</v>
      </c>
      <c r="D18" s="113" t="s">
        <v>477</v>
      </c>
    </row>
    <row r="19">
      <c r="A19" s="113" t="s">
        <v>594</v>
      </c>
      <c r="B19" s="113" t="s">
        <v>595</v>
      </c>
      <c r="C19" s="113" t="s">
        <v>477</v>
      </c>
      <c r="D19" s="113" t="s">
        <v>477</v>
      </c>
    </row>
    <row r="20">
      <c r="A20" s="113" t="s">
        <v>596</v>
      </c>
      <c r="B20" s="113" t="s">
        <v>597</v>
      </c>
      <c r="C20" s="113" t="s">
        <v>477</v>
      </c>
      <c r="D20" s="113" t="s">
        <v>477</v>
      </c>
    </row>
    <row r="21">
      <c r="A21" s="113" t="s">
        <v>598</v>
      </c>
      <c r="B21" s="113" t="s">
        <v>552</v>
      </c>
      <c r="C21" s="113" t="s">
        <v>477</v>
      </c>
      <c r="D21" s="113" t="s">
        <v>477</v>
      </c>
    </row>
    <row r="22">
      <c r="A22" s="113" t="s">
        <v>599</v>
      </c>
      <c r="B22" s="113" t="s">
        <v>600</v>
      </c>
      <c r="C22" s="113" t="s">
        <v>477</v>
      </c>
      <c r="D22" s="113" t="s">
        <v>477</v>
      </c>
    </row>
    <row r="23">
      <c r="A23" s="113" t="s">
        <v>601</v>
      </c>
      <c r="B23" s="113" t="s">
        <v>602</v>
      </c>
      <c r="C23" s="113" t="s">
        <v>603</v>
      </c>
      <c r="D23" s="113" t="s">
        <v>603</v>
      </c>
    </row>
    <row r="24">
      <c r="A24" s="113" t="s">
        <v>604</v>
      </c>
      <c r="B24" s="113" t="s">
        <v>546</v>
      </c>
      <c r="C24" s="113" t="s">
        <v>514</v>
      </c>
      <c r="D24" s="113" t="s">
        <v>477</v>
      </c>
    </row>
    <row r="25">
      <c r="A25" s="113" t="s">
        <v>586</v>
      </c>
      <c r="B25" s="113" t="s">
        <v>605</v>
      </c>
      <c r="C25" s="113" t="s">
        <v>481</v>
      </c>
      <c r="D25" s="113" t="s">
        <v>517</v>
      </c>
    </row>
    <row r="26">
      <c r="A26" s="113" t="s">
        <v>606</v>
      </c>
      <c r="B26" s="113" t="s">
        <v>607</v>
      </c>
      <c r="C26" s="113" t="s">
        <v>517</v>
      </c>
      <c r="D26" s="113" t="s">
        <v>477</v>
      </c>
    </row>
    <row r="27">
      <c r="A27" s="113" t="s">
        <v>608</v>
      </c>
      <c r="B27" s="113" t="s">
        <v>547</v>
      </c>
      <c r="C27" s="113" t="s">
        <v>517</v>
      </c>
      <c r="D27" s="113" t="s">
        <v>517</v>
      </c>
    </row>
    <row r="28">
      <c r="A28" s="113" t="s">
        <v>609</v>
      </c>
      <c r="B28" s="113" t="s">
        <v>610</v>
      </c>
      <c r="C28" s="113" t="s">
        <v>477</v>
      </c>
      <c r="D28" s="113" t="s">
        <v>477</v>
      </c>
    </row>
    <row r="29">
      <c r="A29" s="113" t="s">
        <v>611</v>
      </c>
      <c r="B29" s="113" t="s">
        <v>612</v>
      </c>
      <c r="C29" s="113" t="s">
        <v>477</v>
      </c>
      <c r="D29" s="113" t="s">
        <v>477</v>
      </c>
    </row>
    <row r="30">
      <c r="A30" s="113" t="s">
        <v>613</v>
      </c>
      <c r="B30" s="113" t="s">
        <v>614</v>
      </c>
      <c r="C30" s="113" t="s">
        <v>615</v>
      </c>
      <c r="D30" s="113" t="s">
        <v>477</v>
      </c>
    </row>
    <row r="31">
      <c r="A31" s="113" t="s">
        <v>616</v>
      </c>
      <c r="B31" s="113" t="s">
        <v>617</v>
      </c>
      <c r="C31" s="113" t="s">
        <v>618</v>
      </c>
      <c r="D31" s="113" t="s">
        <v>477</v>
      </c>
    </row>
    <row r="32">
      <c r="A32" s="125"/>
      <c r="B32" s="125"/>
      <c r="C32" s="125"/>
      <c r="D32" s="125"/>
    </row>
    <row r="33">
      <c r="A33" s="125"/>
      <c r="B33" s="125"/>
      <c r="C33" s="125"/>
      <c r="D33" s="125"/>
    </row>
    <row r="34">
      <c r="A34" s="113" t="s">
        <v>553</v>
      </c>
      <c r="B34" s="113" t="s">
        <v>554</v>
      </c>
      <c r="C34" s="113" t="s">
        <v>517</v>
      </c>
      <c r="D34" s="113" t="s">
        <v>477</v>
      </c>
    </row>
    <row r="35">
      <c r="A35" s="113" t="s">
        <v>604</v>
      </c>
      <c r="B35" s="113" t="s">
        <v>481</v>
      </c>
      <c r="C35" s="113" t="s">
        <v>481</v>
      </c>
      <c r="D35" s="113" t="s">
        <v>477</v>
      </c>
    </row>
    <row r="36">
      <c r="A36" s="113" t="s">
        <v>619</v>
      </c>
      <c r="B36" s="113" t="s">
        <v>620</v>
      </c>
      <c r="C36" s="113" t="s">
        <v>477</v>
      </c>
      <c r="D36" s="113" t="s">
        <v>477</v>
      </c>
    </row>
    <row r="37">
      <c r="A37" s="113" t="s">
        <v>621</v>
      </c>
      <c r="B37" s="113" t="s">
        <v>622</v>
      </c>
      <c r="C37" s="113" t="s">
        <v>494</v>
      </c>
      <c r="D37" s="113" t="s">
        <v>477</v>
      </c>
    </row>
    <row r="38">
      <c r="A38" s="125"/>
      <c r="B38" s="125"/>
      <c r="C38" s="125"/>
      <c r="D38" s="125"/>
    </row>
    <row r="39">
      <c r="A39" s="125"/>
      <c r="B39" s="125"/>
      <c r="C39" s="125"/>
      <c r="D39" s="125"/>
    </row>
    <row r="40">
      <c r="A40" s="113" t="s">
        <v>559</v>
      </c>
      <c r="B40" s="113" t="s">
        <v>560</v>
      </c>
      <c r="C40" s="113" t="s">
        <v>477</v>
      </c>
      <c r="D40" s="113" t="s">
        <v>477</v>
      </c>
    </row>
    <row r="41">
      <c r="A41" s="113" t="s">
        <v>559</v>
      </c>
      <c r="B41" s="113" t="s">
        <v>560</v>
      </c>
      <c r="C41" s="113" t="s">
        <v>477</v>
      </c>
      <c r="D41" s="113" t="s">
        <v>477</v>
      </c>
    </row>
    <row r="42">
      <c r="A42" s="113" t="s">
        <v>623</v>
      </c>
      <c r="B42" s="113" t="s">
        <v>624</v>
      </c>
      <c r="C42" s="113" t="s">
        <v>591</v>
      </c>
      <c r="D42" s="113" t="s">
        <v>517</v>
      </c>
    </row>
    <row r="43">
      <c r="A43" s="113" t="s">
        <v>625</v>
      </c>
      <c r="B43" s="113" t="s">
        <v>626</v>
      </c>
      <c r="C43" s="113" t="s">
        <v>481</v>
      </c>
      <c r="D43" s="113" t="s">
        <v>477</v>
      </c>
    </row>
    <row r="44">
      <c r="A44" s="113" t="s">
        <v>627</v>
      </c>
      <c r="B44" s="113" t="s">
        <v>628</v>
      </c>
      <c r="C44" s="113" t="s">
        <v>629</v>
      </c>
      <c r="D44" s="113" t="s">
        <v>503</v>
      </c>
    </row>
    <row r="45">
      <c r="A45" s="113" t="s">
        <v>569</v>
      </c>
      <c r="B45" s="113" t="s">
        <v>630</v>
      </c>
      <c r="C45" s="113" t="s">
        <v>631</v>
      </c>
      <c r="D45" s="113" t="s">
        <v>567</v>
      </c>
    </row>
    <row r="46">
      <c r="A46" s="67"/>
      <c r="B46" s="67"/>
      <c r="C46" s="67"/>
      <c r="D46" s="67"/>
    </row>
    <row r="47">
      <c r="A47" s="67"/>
      <c r="B47" s="67"/>
      <c r="C47" s="67"/>
      <c r="D47" s="67"/>
    </row>
    <row r="48">
      <c r="A48" s="67"/>
      <c r="B48" s="67"/>
      <c r="C48" s="67"/>
      <c r="D48" s="67"/>
    </row>
    <row r="49">
      <c r="A49" s="67"/>
      <c r="B49" s="67"/>
      <c r="C49" s="67"/>
      <c r="D49" s="67"/>
    </row>
    <row r="50">
      <c r="A50" s="67"/>
      <c r="B50" s="67"/>
      <c r="C50" s="67"/>
      <c r="D50" s="67"/>
    </row>
    <row r="51">
      <c r="A51" s="67"/>
      <c r="B51" s="67"/>
      <c r="C51" s="67"/>
      <c r="D51" s="67"/>
    </row>
    <row r="52">
      <c r="A52" s="67"/>
      <c r="B52" s="67"/>
      <c r="C52" s="67"/>
      <c r="D52" s="67"/>
    </row>
    <row r="53">
      <c r="A53" s="67"/>
      <c r="B53" s="67"/>
      <c r="C53" s="67"/>
      <c r="D53" s="67"/>
    </row>
    <row r="54">
      <c r="A54" s="67"/>
      <c r="B54" s="67"/>
      <c r="C54" s="67"/>
      <c r="D54" s="67"/>
    </row>
    <row r="55">
      <c r="A55" s="67"/>
      <c r="B55" s="67"/>
      <c r="C55" s="67"/>
      <c r="D55" s="67"/>
    </row>
    <row r="56">
      <c r="A56" s="67"/>
      <c r="B56" s="67"/>
      <c r="C56" s="67"/>
      <c r="D56" s="67"/>
    </row>
    <row r="57">
      <c r="A57" s="67"/>
      <c r="B57" s="67"/>
      <c r="C57" s="67"/>
      <c r="D57" s="67"/>
    </row>
    <row r="58">
      <c r="A58" s="67"/>
      <c r="B58" s="67"/>
      <c r="C58" s="67"/>
      <c r="D58" s="67"/>
    </row>
    <row r="59">
      <c r="A59" s="67"/>
      <c r="B59" s="67"/>
      <c r="C59" s="67"/>
      <c r="D59" s="67"/>
    </row>
    <row r="60">
      <c r="A60" s="67"/>
      <c r="B60" s="67"/>
      <c r="C60" s="67"/>
      <c r="D60" s="67"/>
    </row>
    <row r="61">
      <c r="A61" s="67"/>
      <c r="B61" s="67"/>
      <c r="C61" s="67"/>
      <c r="D61" s="67"/>
    </row>
    <row r="62">
      <c r="A62" s="67"/>
      <c r="B62" s="67"/>
      <c r="C62" s="67"/>
      <c r="D62" s="67"/>
    </row>
    <row r="63">
      <c r="A63" s="67"/>
      <c r="B63" s="67"/>
      <c r="C63" s="67"/>
      <c r="D63" s="67"/>
    </row>
    <row r="64">
      <c r="A64" s="67"/>
      <c r="B64" s="67"/>
      <c r="C64" s="67"/>
      <c r="D64" s="67"/>
    </row>
    <row r="65">
      <c r="A65" s="67"/>
      <c r="B65" s="67"/>
      <c r="C65" s="67"/>
      <c r="D65" s="67"/>
    </row>
    <row r="66">
      <c r="A66" s="67"/>
      <c r="B66" s="67"/>
      <c r="C66" s="67"/>
      <c r="D66" s="67"/>
    </row>
    <row r="67">
      <c r="A67" s="67"/>
      <c r="B67" s="67"/>
      <c r="C67" s="67"/>
      <c r="D67" s="67"/>
    </row>
    <row r="68">
      <c r="A68" s="67"/>
      <c r="B68" s="67"/>
      <c r="C68" s="67"/>
      <c r="D68" s="67"/>
    </row>
    <row r="69">
      <c r="A69" s="67"/>
      <c r="B69" s="67"/>
      <c r="C69" s="67"/>
      <c r="D69" s="67"/>
    </row>
    <row r="70">
      <c r="A70" s="67"/>
      <c r="B70" s="67"/>
      <c r="C70" s="67"/>
      <c r="D70" s="67"/>
    </row>
    <row r="71">
      <c r="A71" s="67"/>
      <c r="B71" s="67"/>
      <c r="C71" s="67"/>
      <c r="D71" s="67"/>
    </row>
    <row r="72">
      <c r="A72" s="67"/>
      <c r="B72" s="67"/>
      <c r="C72" s="67"/>
      <c r="D72" s="67"/>
    </row>
    <row r="73">
      <c r="A73" s="67"/>
      <c r="B73" s="67"/>
      <c r="C73" s="67"/>
      <c r="D73" s="67"/>
    </row>
    <row r="74">
      <c r="A74" s="67"/>
      <c r="B74" s="67"/>
      <c r="C74" s="67"/>
      <c r="D74" s="67"/>
    </row>
    <row r="75">
      <c r="A75" s="67"/>
      <c r="B75" s="67"/>
      <c r="C75" s="67"/>
      <c r="D75" s="67"/>
    </row>
    <row r="76">
      <c r="A76" s="67"/>
      <c r="B76" s="67"/>
      <c r="C76" s="67"/>
      <c r="D76" s="67"/>
    </row>
    <row r="77">
      <c r="A77" s="67"/>
      <c r="B77" s="67"/>
      <c r="C77" s="67"/>
      <c r="D77" s="67"/>
    </row>
    <row r="78">
      <c r="A78" s="67"/>
      <c r="B78" s="67"/>
      <c r="C78" s="67"/>
      <c r="D78" s="67"/>
    </row>
    <row r="79">
      <c r="A79" s="67"/>
      <c r="B79" s="67"/>
      <c r="C79" s="67"/>
      <c r="D79" s="67"/>
    </row>
    <row r="80">
      <c r="A80" s="67"/>
      <c r="B80" s="67"/>
      <c r="C80" s="67"/>
      <c r="D80" s="67"/>
    </row>
    <row r="81">
      <c r="A81" s="67"/>
      <c r="B81" s="67"/>
      <c r="C81" s="67"/>
      <c r="D81" s="67"/>
    </row>
    <row r="82">
      <c r="A82" s="67"/>
      <c r="B82" s="67"/>
      <c r="C82" s="67"/>
      <c r="D82" s="67"/>
    </row>
    <row r="83">
      <c r="A83" s="67"/>
      <c r="B83" s="67"/>
      <c r="C83" s="67"/>
      <c r="D83" s="67"/>
    </row>
    <row r="84">
      <c r="A84" s="67"/>
      <c r="B84" s="67"/>
      <c r="C84" s="67"/>
      <c r="D84" s="67"/>
    </row>
    <row r="85">
      <c r="A85" s="67"/>
      <c r="B85" s="67"/>
      <c r="C85" s="67"/>
      <c r="D85" s="67"/>
    </row>
    <row r="86">
      <c r="A86" s="67"/>
      <c r="B86" s="67"/>
      <c r="C86" s="67"/>
      <c r="D86" s="67"/>
    </row>
    <row r="87">
      <c r="A87" s="67"/>
      <c r="B87" s="67"/>
      <c r="C87" s="67"/>
      <c r="D87" s="67"/>
    </row>
    <row r="88">
      <c r="A88" s="67"/>
      <c r="B88" s="67"/>
      <c r="C88" s="67"/>
      <c r="D88" s="67"/>
    </row>
    <row r="89">
      <c r="A89" s="67"/>
      <c r="B89" s="67"/>
      <c r="C89" s="67"/>
      <c r="D89" s="67"/>
    </row>
    <row r="90">
      <c r="A90" s="67"/>
      <c r="B90" s="67"/>
      <c r="C90" s="67"/>
      <c r="D90" s="67"/>
    </row>
    <row r="91">
      <c r="A91" s="67"/>
      <c r="B91" s="67"/>
      <c r="C91" s="67"/>
      <c r="D91" s="67"/>
    </row>
    <row r="92">
      <c r="A92" s="67"/>
      <c r="B92" s="67"/>
      <c r="C92" s="67"/>
      <c r="D92" s="67"/>
    </row>
    <row r="93">
      <c r="A93" s="67"/>
      <c r="B93" s="67"/>
      <c r="C93" s="67"/>
      <c r="D93" s="67"/>
    </row>
    <row r="94">
      <c r="A94" s="67"/>
      <c r="B94" s="67"/>
      <c r="C94" s="67"/>
      <c r="D94" s="67"/>
    </row>
    <row r="95">
      <c r="A95" s="67"/>
      <c r="B95" s="67"/>
      <c r="C95" s="67"/>
      <c r="D95" s="67"/>
    </row>
    <row r="96">
      <c r="A96" s="67"/>
      <c r="B96" s="67"/>
      <c r="C96" s="67"/>
      <c r="D96" s="67"/>
    </row>
    <row r="97">
      <c r="A97" s="67"/>
      <c r="B97" s="67"/>
      <c r="C97" s="67"/>
      <c r="D97" s="67"/>
    </row>
    <row r="98">
      <c r="A98" s="67"/>
      <c r="B98" s="67"/>
      <c r="C98" s="67"/>
      <c r="D98" s="67"/>
    </row>
    <row r="99">
      <c r="A99" s="67"/>
      <c r="B99" s="67"/>
      <c r="C99" s="67"/>
      <c r="D99" s="67"/>
    </row>
    <row r="100">
      <c r="A100" s="67"/>
      <c r="B100" s="67"/>
      <c r="C100" s="67"/>
      <c r="D100" s="67"/>
    </row>
    <row r="101">
      <c r="A101" s="67"/>
      <c r="B101" s="67"/>
      <c r="C101" s="67"/>
      <c r="D101" s="67"/>
    </row>
    <row r="102">
      <c r="A102" s="67"/>
      <c r="B102" s="67"/>
      <c r="C102" s="67"/>
      <c r="D102" s="67"/>
    </row>
    <row r="103">
      <c r="A103" s="67"/>
      <c r="B103" s="67"/>
      <c r="C103" s="67"/>
      <c r="D103" s="67"/>
    </row>
    <row r="104">
      <c r="A104" s="67"/>
      <c r="B104" s="67"/>
      <c r="C104" s="67"/>
      <c r="D104" s="67"/>
    </row>
    <row r="105">
      <c r="A105" s="67"/>
      <c r="B105" s="67"/>
      <c r="C105" s="67"/>
      <c r="D105" s="67"/>
    </row>
    <row r="106">
      <c r="A106" s="67"/>
      <c r="B106" s="67"/>
      <c r="C106" s="67"/>
      <c r="D106" s="67"/>
    </row>
    <row r="107">
      <c r="A107" s="67"/>
      <c r="B107" s="67"/>
      <c r="C107" s="67"/>
      <c r="D107" s="67"/>
    </row>
    <row r="108">
      <c r="A108" s="67"/>
      <c r="B108" s="67"/>
      <c r="C108" s="67"/>
      <c r="D108" s="67"/>
    </row>
    <row r="109">
      <c r="A109" s="67"/>
      <c r="B109" s="67"/>
      <c r="C109" s="67"/>
      <c r="D109" s="67"/>
    </row>
    <row r="110">
      <c r="A110" s="67"/>
      <c r="B110" s="67"/>
      <c r="C110" s="67"/>
      <c r="D110" s="67"/>
    </row>
    <row r="111">
      <c r="A111" s="67"/>
      <c r="B111" s="67"/>
      <c r="C111" s="67"/>
      <c r="D111" s="67"/>
    </row>
    <row r="112">
      <c r="A112" s="67"/>
      <c r="B112" s="67"/>
      <c r="C112" s="67"/>
      <c r="D112" s="67"/>
    </row>
    <row r="113">
      <c r="A113" s="67"/>
      <c r="B113" s="67"/>
      <c r="C113" s="67"/>
      <c r="D113" s="67"/>
    </row>
    <row r="114">
      <c r="A114" s="67"/>
      <c r="B114" s="67"/>
      <c r="C114" s="67"/>
      <c r="D114" s="67"/>
    </row>
    <row r="115">
      <c r="A115" s="67"/>
      <c r="B115" s="67"/>
      <c r="C115" s="67"/>
      <c r="D115" s="67"/>
    </row>
    <row r="116">
      <c r="A116" s="67"/>
      <c r="B116" s="67"/>
      <c r="C116" s="67"/>
      <c r="D116" s="67"/>
    </row>
    <row r="117">
      <c r="A117" s="67"/>
      <c r="B117" s="67"/>
      <c r="C117" s="67"/>
      <c r="D117" s="67"/>
    </row>
    <row r="118">
      <c r="A118" s="67"/>
      <c r="B118" s="67"/>
      <c r="C118" s="67"/>
      <c r="D118" s="67"/>
    </row>
    <row r="119">
      <c r="A119" s="67"/>
      <c r="B119" s="67"/>
      <c r="C119" s="67"/>
      <c r="D119" s="67"/>
    </row>
    <row r="120">
      <c r="A120" s="67"/>
      <c r="B120" s="67"/>
      <c r="C120" s="67"/>
      <c r="D120" s="67"/>
    </row>
    <row r="121">
      <c r="A121" s="67"/>
      <c r="B121" s="67"/>
      <c r="C121" s="67"/>
      <c r="D121" s="67"/>
    </row>
    <row r="122">
      <c r="A122" s="67"/>
      <c r="B122" s="67"/>
      <c r="C122" s="67"/>
      <c r="D122" s="67"/>
    </row>
    <row r="123">
      <c r="A123" s="67"/>
      <c r="B123" s="67"/>
      <c r="C123" s="67"/>
      <c r="D123" s="67"/>
    </row>
    <row r="124">
      <c r="A124" s="67"/>
      <c r="B124" s="67"/>
      <c r="C124" s="67"/>
      <c r="D124" s="67"/>
    </row>
    <row r="125">
      <c r="A125" s="67"/>
      <c r="B125" s="67"/>
      <c r="C125" s="67"/>
      <c r="D125" s="67"/>
    </row>
    <row r="126">
      <c r="A126" s="67"/>
      <c r="B126" s="67"/>
      <c r="C126" s="67"/>
      <c r="D126" s="67"/>
    </row>
    <row r="127">
      <c r="A127" s="67"/>
      <c r="B127" s="67"/>
      <c r="C127" s="67"/>
      <c r="D127" s="67"/>
    </row>
    <row r="128">
      <c r="A128" s="67"/>
      <c r="B128" s="67"/>
      <c r="C128" s="67"/>
      <c r="D128" s="67"/>
    </row>
    <row r="129">
      <c r="A129" s="67"/>
      <c r="B129" s="67"/>
      <c r="C129" s="67"/>
      <c r="D129" s="67"/>
    </row>
    <row r="130">
      <c r="A130" s="67"/>
      <c r="B130" s="67"/>
      <c r="C130" s="67"/>
      <c r="D130" s="67"/>
    </row>
    <row r="131">
      <c r="A131" s="67"/>
      <c r="B131" s="67"/>
      <c r="C131" s="67"/>
      <c r="D131" s="67"/>
    </row>
    <row r="132">
      <c r="A132" s="67"/>
      <c r="B132" s="67"/>
      <c r="C132" s="67"/>
      <c r="D132" s="67"/>
    </row>
    <row r="133">
      <c r="A133" s="67"/>
      <c r="B133" s="67"/>
      <c r="C133" s="67"/>
      <c r="D133" s="67"/>
    </row>
    <row r="134">
      <c r="A134" s="67"/>
      <c r="B134" s="67"/>
      <c r="C134" s="67"/>
      <c r="D134" s="67"/>
    </row>
    <row r="135">
      <c r="A135" s="67"/>
      <c r="B135" s="67"/>
      <c r="C135" s="67"/>
      <c r="D135" s="67"/>
    </row>
    <row r="136">
      <c r="A136" s="67"/>
      <c r="B136" s="67"/>
      <c r="C136" s="67"/>
      <c r="D136" s="67"/>
    </row>
    <row r="137">
      <c r="A137" s="67"/>
      <c r="B137" s="67"/>
      <c r="C137" s="67"/>
      <c r="D137" s="67"/>
    </row>
    <row r="138">
      <c r="A138" s="67"/>
      <c r="B138" s="67"/>
      <c r="C138" s="67"/>
      <c r="D138" s="67"/>
    </row>
    <row r="139">
      <c r="A139" s="67"/>
      <c r="B139" s="67"/>
      <c r="C139" s="67"/>
      <c r="D139" s="67"/>
    </row>
    <row r="140">
      <c r="A140" s="67"/>
      <c r="B140" s="67"/>
      <c r="C140" s="67"/>
      <c r="D140" s="67"/>
    </row>
    <row r="141">
      <c r="A141" s="67"/>
      <c r="B141" s="67"/>
      <c r="C141" s="67"/>
      <c r="D141" s="67"/>
    </row>
    <row r="142">
      <c r="A142" s="67"/>
      <c r="B142" s="67"/>
      <c r="C142" s="67"/>
      <c r="D142" s="67"/>
    </row>
    <row r="143">
      <c r="A143" s="67"/>
      <c r="B143" s="67"/>
      <c r="C143" s="67"/>
      <c r="D143" s="67"/>
    </row>
    <row r="144">
      <c r="A144" s="67"/>
      <c r="B144" s="67"/>
      <c r="C144" s="67"/>
      <c r="D144" s="67"/>
    </row>
    <row r="145">
      <c r="A145" s="67"/>
      <c r="B145" s="67"/>
      <c r="C145" s="67"/>
      <c r="D145" s="67"/>
    </row>
    <row r="146">
      <c r="A146" s="67"/>
      <c r="B146" s="67"/>
      <c r="C146" s="67"/>
      <c r="D146" s="67"/>
    </row>
    <row r="147">
      <c r="A147" s="67"/>
      <c r="B147" s="67"/>
      <c r="C147" s="67"/>
      <c r="D147" s="67"/>
    </row>
    <row r="148">
      <c r="A148" s="67"/>
      <c r="B148" s="67"/>
      <c r="C148" s="67"/>
      <c r="D148" s="67"/>
    </row>
    <row r="149">
      <c r="A149" s="67"/>
      <c r="B149" s="67"/>
      <c r="C149" s="67"/>
      <c r="D149" s="67"/>
    </row>
    <row r="150">
      <c r="A150" s="67"/>
      <c r="B150" s="67"/>
      <c r="C150" s="67"/>
      <c r="D150" s="67"/>
    </row>
    <row r="151">
      <c r="A151" s="67"/>
      <c r="B151" s="67"/>
      <c r="C151" s="67"/>
      <c r="D151" s="67"/>
    </row>
    <row r="152">
      <c r="A152" s="67"/>
      <c r="B152" s="67"/>
      <c r="C152" s="67"/>
      <c r="D152" s="67"/>
    </row>
    <row r="153">
      <c r="A153" s="67"/>
      <c r="B153" s="67"/>
      <c r="C153" s="67"/>
      <c r="D153" s="67"/>
    </row>
    <row r="154">
      <c r="A154" s="67"/>
      <c r="B154" s="67"/>
      <c r="C154" s="67"/>
      <c r="D154" s="67"/>
    </row>
    <row r="155">
      <c r="A155" s="67"/>
      <c r="B155" s="67"/>
      <c r="C155" s="67"/>
      <c r="D155" s="67"/>
    </row>
    <row r="156">
      <c r="A156" s="67"/>
      <c r="B156" s="67"/>
      <c r="C156" s="67"/>
      <c r="D156" s="67"/>
    </row>
    <row r="157">
      <c r="A157" s="67"/>
      <c r="B157" s="67"/>
      <c r="C157" s="67"/>
      <c r="D157" s="67"/>
    </row>
    <row r="158">
      <c r="A158" s="67"/>
      <c r="B158" s="67"/>
      <c r="C158" s="67"/>
      <c r="D158" s="67"/>
    </row>
    <row r="159">
      <c r="A159" s="67"/>
      <c r="B159" s="67"/>
      <c r="C159" s="67"/>
      <c r="D159" s="67"/>
    </row>
    <row r="160">
      <c r="A160" s="67"/>
      <c r="B160" s="67"/>
      <c r="C160" s="67"/>
      <c r="D160" s="67"/>
    </row>
    <row r="161">
      <c r="A161" s="67"/>
      <c r="B161" s="67"/>
      <c r="C161" s="67"/>
      <c r="D161" s="67"/>
    </row>
    <row r="162">
      <c r="A162" s="67"/>
      <c r="B162" s="67"/>
      <c r="C162" s="67"/>
      <c r="D162" s="67"/>
    </row>
    <row r="163">
      <c r="A163" s="67"/>
      <c r="B163" s="67"/>
      <c r="C163" s="67"/>
      <c r="D163" s="67"/>
    </row>
    <row r="164">
      <c r="A164" s="67"/>
      <c r="B164" s="67"/>
      <c r="C164" s="67"/>
      <c r="D164" s="67"/>
    </row>
    <row r="165">
      <c r="A165" s="67"/>
      <c r="B165" s="67"/>
      <c r="C165" s="67"/>
      <c r="D165" s="67"/>
    </row>
    <row r="166">
      <c r="A166" s="67"/>
      <c r="B166" s="67"/>
      <c r="C166" s="67"/>
      <c r="D166" s="67"/>
    </row>
    <row r="167">
      <c r="A167" s="67"/>
      <c r="B167" s="67"/>
      <c r="C167" s="67"/>
      <c r="D167" s="67"/>
    </row>
    <row r="168">
      <c r="A168" s="67"/>
      <c r="B168" s="67"/>
      <c r="C168" s="67"/>
      <c r="D168" s="67"/>
    </row>
    <row r="169">
      <c r="A169" s="67"/>
      <c r="B169" s="67"/>
      <c r="C169" s="67"/>
      <c r="D169" s="67"/>
    </row>
    <row r="170">
      <c r="A170" s="67"/>
      <c r="B170" s="67"/>
      <c r="C170" s="67"/>
      <c r="D170" s="67"/>
    </row>
    <row r="171">
      <c r="A171" s="67"/>
      <c r="B171" s="67"/>
      <c r="C171" s="67"/>
      <c r="D171" s="67"/>
    </row>
    <row r="172">
      <c r="A172" s="67"/>
      <c r="B172" s="67"/>
      <c r="C172" s="67"/>
      <c r="D172" s="67"/>
    </row>
    <row r="173">
      <c r="A173" s="67"/>
      <c r="B173" s="67"/>
      <c r="C173" s="67"/>
      <c r="D173" s="67"/>
    </row>
    <row r="174">
      <c r="A174" s="67"/>
      <c r="B174" s="67"/>
      <c r="C174" s="67"/>
      <c r="D174" s="67"/>
    </row>
    <row r="175">
      <c r="A175" s="67"/>
      <c r="B175" s="67"/>
      <c r="C175" s="67"/>
      <c r="D175" s="67"/>
    </row>
    <row r="176">
      <c r="A176" s="67"/>
      <c r="B176" s="67"/>
      <c r="C176" s="67"/>
      <c r="D176" s="67"/>
    </row>
    <row r="177">
      <c r="A177" s="67"/>
      <c r="B177" s="67"/>
      <c r="C177" s="67"/>
      <c r="D177" s="67"/>
    </row>
    <row r="178">
      <c r="A178" s="67"/>
      <c r="B178" s="67"/>
      <c r="C178" s="67"/>
      <c r="D178" s="67"/>
    </row>
    <row r="179">
      <c r="A179" s="67"/>
      <c r="B179" s="67"/>
      <c r="C179" s="67"/>
      <c r="D179" s="67"/>
    </row>
    <row r="180">
      <c r="A180" s="67"/>
      <c r="B180" s="67"/>
      <c r="C180" s="67"/>
      <c r="D180" s="67"/>
    </row>
    <row r="181">
      <c r="A181" s="67"/>
      <c r="B181" s="67"/>
      <c r="C181" s="67"/>
      <c r="D181" s="67"/>
    </row>
    <row r="182">
      <c r="A182" s="67"/>
      <c r="B182" s="67"/>
      <c r="C182" s="67"/>
      <c r="D182" s="67"/>
    </row>
    <row r="183">
      <c r="A183" s="67"/>
      <c r="B183" s="67"/>
      <c r="C183" s="67"/>
      <c r="D183" s="67"/>
    </row>
    <row r="184">
      <c r="A184" s="67"/>
      <c r="B184" s="67"/>
      <c r="C184" s="67"/>
      <c r="D184" s="67"/>
    </row>
    <row r="185">
      <c r="A185" s="67"/>
      <c r="B185" s="67"/>
      <c r="C185" s="67"/>
      <c r="D185" s="67"/>
    </row>
    <row r="186">
      <c r="A186" s="67"/>
      <c r="B186" s="67"/>
      <c r="C186" s="67"/>
      <c r="D186" s="67"/>
    </row>
    <row r="187">
      <c r="A187" s="67"/>
      <c r="B187" s="67"/>
      <c r="C187" s="67"/>
      <c r="D187" s="67"/>
    </row>
    <row r="188">
      <c r="A188" s="67"/>
      <c r="B188" s="67"/>
      <c r="C188" s="67"/>
      <c r="D188" s="67"/>
    </row>
    <row r="189">
      <c r="A189" s="67"/>
      <c r="B189" s="67"/>
      <c r="C189" s="67"/>
      <c r="D189" s="67"/>
    </row>
    <row r="190">
      <c r="A190" s="67"/>
      <c r="B190" s="67"/>
      <c r="C190" s="67"/>
      <c r="D190" s="67"/>
    </row>
    <row r="191">
      <c r="A191" s="67"/>
      <c r="B191" s="67"/>
      <c r="C191" s="67"/>
      <c r="D191" s="67"/>
    </row>
    <row r="192">
      <c r="A192" s="67"/>
      <c r="B192" s="67"/>
      <c r="C192" s="67"/>
      <c r="D192" s="67"/>
    </row>
    <row r="193">
      <c r="A193" s="67"/>
      <c r="B193" s="67"/>
      <c r="C193" s="67"/>
      <c r="D193" s="67"/>
    </row>
    <row r="194">
      <c r="A194" s="67"/>
      <c r="B194" s="67"/>
      <c r="C194" s="67"/>
      <c r="D194" s="67"/>
    </row>
    <row r="195">
      <c r="A195" s="67"/>
      <c r="B195" s="67"/>
      <c r="C195" s="67"/>
      <c r="D195" s="67"/>
    </row>
    <row r="196">
      <c r="A196" s="67"/>
      <c r="B196" s="67"/>
      <c r="C196" s="67"/>
      <c r="D196" s="67"/>
    </row>
    <row r="197">
      <c r="A197" s="67"/>
      <c r="B197" s="67"/>
      <c r="C197" s="67"/>
      <c r="D197" s="67"/>
    </row>
    <row r="198">
      <c r="A198" s="67"/>
      <c r="B198" s="67"/>
      <c r="C198" s="67"/>
      <c r="D198" s="67"/>
    </row>
    <row r="199">
      <c r="A199" s="67"/>
      <c r="B199" s="67"/>
      <c r="C199" s="67"/>
      <c r="D199" s="67"/>
    </row>
    <row r="200">
      <c r="A200" s="67"/>
      <c r="B200" s="67"/>
      <c r="C200" s="67"/>
      <c r="D200" s="67"/>
    </row>
    <row r="201">
      <c r="A201" s="67"/>
      <c r="B201" s="67"/>
      <c r="C201" s="67"/>
      <c r="D201" s="67"/>
    </row>
    <row r="202">
      <c r="A202" s="67"/>
      <c r="B202" s="67"/>
      <c r="C202" s="67"/>
      <c r="D202" s="67"/>
    </row>
    <row r="203">
      <c r="A203" s="67"/>
      <c r="B203" s="67"/>
      <c r="C203" s="67"/>
      <c r="D203" s="67"/>
    </row>
    <row r="204">
      <c r="A204" s="67"/>
      <c r="B204" s="67"/>
      <c r="C204" s="67"/>
      <c r="D204" s="67"/>
    </row>
    <row r="205">
      <c r="A205" s="67"/>
      <c r="B205" s="67"/>
      <c r="C205" s="67"/>
      <c r="D205" s="67"/>
    </row>
    <row r="206">
      <c r="A206" s="67"/>
      <c r="B206" s="67"/>
      <c r="C206" s="67"/>
      <c r="D206" s="67"/>
    </row>
    <row r="207">
      <c r="A207" s="67"/>
      <c r="B207" s="67"/>
      <c r="C207" s="67"/>
      <c r="D207" s="67"/>
    </row>
    <row r="208">
      <c r="A208" s="67"/>
      <c r="B208" s="67"/>
      <c r="C208" s="67"/>
      <c r="D208" s="67"/>
    </row>
    <row r="209">
      <c r="A209" s="67"/>
      <c r="B209" s="67"/>
      <c r="C209" s="67"/>
      <c r="D209" s="67"/>
    </row>
    <row r="210">
      <c r="A210" s="67"/>
      <c r="B210" s="67"/>
      <c r="C210" s="67"/>
      <c r="D210" s="67"/>
    </row>
    <row r="211">
      <c r="A211" s="67"/>
      <c r="B211" s="67"/>
      <c r="C211" s="67"/>
      <c r="D211" s="67"/>
    </row>
    <row r="212">
      <c r="A212" s="67"/>
      <c r="B212" s="67"/>
      <c r="C212" s="67"/>
      <c r="D212" s="67"/>
    </row>
    <row r="213">
      <c r="A213" s="67"/>
      <c r="B213" s="67"/>
      <c r="C213" s="67"/>
      <c r="D213" s="67"/>
    </row>
    <row r="214">
      <c r="A214" s="67"/>
      <c r="B214" s="67"/>
      <c r="C214" s="67"/>
      <c r="D214" s="67"/>
    </row>
    <row r="215">
      <c r="A215" s="67"/>
      <c r="B215" s="67"/>
      <c r="C215" s="67"/>
      <c r="D215" s="67"/>
    </row>
    <row r="216">
      <c r="A216" s="67"/>
      <c r="B216" s="67"/>
      <c r="C216" s="67"/>
      <c r="D216" s="67"/>
    </row>
    <row r="217">
      <c r="A217" s="67"/>
      <c r="B217" s="67"/>
      <c r="C217" s="67"/>
      <c r="D217" s="67"/>
    </row>
    <row r="218">
      <c r="A218" s="67"/>
      <c r="B218" s="67"/>
      <c r="C218" s="67"/>
      <c r="D218" s="67"/>
    </row>
    <row r="219">
      <c r="A219" s="67"/>
      <c r="B219" s="67"/>
      <c r="C219" s="67"/>
      <c r="D219" s="67"/>
    </row>
    <row r="220">
      <c r="A220" s="67"/>
      <c r="B220" s="67"/>
      <c r="C220" s="67"/>
      <c r="D220" s="67"/>
    </row>
    <row r="221">
      <c r="A221" s="67"/>
      <c r="B221" s="67"/>
      <c r="C221" s="67"/>
      <c r="D221" s="67"/>
    </row>
    <row r="222">
      <c r="A222" s="67"/>
      <c r="B222" s="67"/>
      <c r="C222" s="67"/>
      <c r="D222" s="67"/>
    </row>
    <row r="223">
      <c r="A223" s="67"/>
      <c r="B223" s="67"/>
      <c r="C223" s="67"/>
      <c r="D223" s="67"/>
    </row>
    <row r="224">
      <c r="A224" s="67"/>
      <c r="B224" s="67"/>
      <c r="C224" s="67"/>
      <c r="D224" s="67"/>
    </row>
    <row r="225">
      <c r="A225" s="67"/>
      <c r="B225" s="67"/>
      <c r="C225" s="67"/>
      <c r="D225" s="67"/>
    </row>
    <row r="226">
      <c r="A226" s="67"/>
      <c r="B226" s="67"/>
      <c r="C226" s="67"/>
      <c r="D226" s="67"/>
    </row>
    <row r="227">
      <c r="A227" s="67"/>
      <c r="B227" s="67"/>
      <c r="C227" s="67"/>
      <c r="D227" s="67"/>
    </row>
    <row r="228">
      <c r="A228" s="67"/>
      <c r="B228" s="67"/>
      <c r="C228" s="67"/>
      <c r="D228" s="67"/>
    </row>
    <row r="229">
      <c r="A229" s="67"/>
      <c r="B229" s="67"/>
      <c r="C229" s="67"/>
      <c r="D229" s="67"/>
    </row>
    <row r="230">
      <c r="A230" s="67"/>
      <c r="B230" s="67"/>
      <c r="C230" s="67"/>
      <c r="D230" s="67"/>
    </row>
    <row r="231">
      <c r="A231" s="67"/>
      <c r="B231" s="67"/>
      <c r="C231" s="67"/>
      <c r="D231" s="67"/>
    </row>
    <row r="232">
      <c r="A232" s="67"/>
      <c r="B232" s="67"/>
      <c r="C232" s="67"/>
      <c r="D232" s="67"/>
    </row>
    <row r="233">
      <c r="A233" s="67"/>
      <c r="B233" s="67"/>
      <c r="C233" s="67"/>
      <c r="D233" s="67"/>
    </row>
    <row r="234">
      <c r="A234" s="67"/>
      <c r="B234" s="67"/>
      <c r="C234" s="67"/>
      <c r="D234" s="67"/>
    </row>
    <row r="235">
      <c r="A235" s="67"/>
      <c r="B235" s="67"/>
      <c r="C235" s="67"/>
      <c r="D235" s="67"/>
    </row>
    <row r="236">
      <c r="A236" s="67"/>
      <c r="B236" s="67"/>
      <c r="C236" s="67"/>
      <c r="D236" s="67"/>
    </row>
    <row r="237">
      <c r="A237" s="67"/>
      <c r="B237" s="67"/>
      <c r="C237" s="67"/>
      <c r="D237" s="67"/>
    </row>
    <row r="238">
      <c r="A238" s="67"/>
      <c r="B238" s="67"/>
      <c r="C238" s="67"/>
      <c r="D238" s="67"/>
    </row>
    <row r="239">
      <c r="A239" s="67"/>
      <c r="B239" s="67"/>
      <c r="C239" s="67"/>
      <c r="D239" s="67"/>
    </row>
    <row r="240">
      <c r="A240" s="67"/>
      <c r="B240" s="67"/>
      <c r="C240" s="67"/>
      <c r="D240" s="67"/>
    </row>
    <row r="241">
      <c r="A241" s="67"/>
      <c r="B241" s="67"/>
      <c r="C241" s="67"/>
      <c r="D241" s="67"/>
    </row>
    <row r="242">
      <c r="A242" s="67"/>
      <c r="B242" s="67"/>
      <c r="C242" s="67"/>
      <c r="D242" s="67"/>
    </row>
    <row r="243">
      <c r="A243" s="67"/>
      <c r="B243" s="67"/>
      <c r="C243" s="67"/>
      <c r="D243" s="67"/>
    </row>
    <row r="244">
      <c r="A244" s="67"/>
      <c r="B244" s="67"/>
      <c r="C244" s="67"/>
      <c r="D244" s="67"/>
    </row>
    <row r="245">
      <c r="A245" s="67"/>
      <c r="B245" s="67"/>
      <c r="C245" s="67"/>
      <c r="D245" s="67"/>
    </row>
    <row r="246">
      <c r="A246" s="67"/>
      <c r="B246" s="67"/>
      <c r="C246" s="67"/>
      <c r="D246" s="67"/>
    </row>
    <row r="247">
      <c r="A247" s="67"/>
      <c r="B247" s="67"/>
      <c r="C247" s="67"/>
      <c r="D247" s="67"/>
    </row>
    <row r="248">
      <c r="A248" s="67"/>
      <c r="B248" s="67"/>
      <c r="C248" s="67"/>
      <c r="D248" s="67"/>
    </row>
    <row r="249">
      <c r="A249" s="67"/>
      <c r="B249" s="67"/>
      <c r="C249" s="67"/>
      <c r="D249" s="67"/>
    </row>
    <row r="250">
      <c r="A250" s="67"/>
      <c r="B250" s="67"/>
      <c r="C250" s="67"/>
      <c r="D250" s="67"/>
    </row>
    <row r="251">
      <c r="A251" s="67"/>
      <c r="B251" s="67"/>
      <c r="C251" s="67"/>
      <c r="D251" s="67"/>
    </row>
    <row r="252">
      <c r="A252" s="67"/>
      <c r="B252" s="67"/>
      <c r="C252" s="67"/>
      <c r="D252" s="67"/>
    </row>
    <row r="253">
      <c r="A253" s="67"/>
      <c r="B253" s="67"/>
      <c r="C253" s="67"/>
      <c r="D253" s="67"/>
    </row>
    <row r="254">
      <c r="A254" s="67"/>
      <c r="B254" s="67"/>
      <c r="C254" s="67"/>
      <c r="D254" s="67"/>
    </row>
    <row r="255">
      <c r="A255" s="67"/>
      <c r="B255" s="67"/>
      <c r="C255" s="67"/>
      <c r="D255" s="67"/>
    </row>
    <row r="256">
      <c r="A256" s="67"/>
      <c r="B256" s="67"/>
      <c r="C256" s="67"/>
      <c r="D256" s="67"/>
    </row>
    <row r="257">
      <c r="A257" s="67"/>
      <c r="B257" s="67"/>
      <c r="C257" s="67"/>
      <c r="D257" s="67"/>
    </row>
    <row r="258">
      <c r="A258" s="67"/>
      <c r="B258" s="67"/>
      <c r="C258" s="67"/>
      <c r="D258" s="67"/>
    </row>
    <row r="259">
      <c r="A259" s="67"/>
      <c r="B259" s="67"/>
      <c r="C259" s="67"/>
      <c r="D259" s="67"/>
    </row>
    <row r="260">
      <c r="A260" s="67"/>
      <c r="B260" s="67"/>
      <c r="C260" s="67"/>
      <c r="D260" s="67"/>
    </row>
    <row r="261">
      <c r="A261" s="67"/>
      <c r="B261" s="67"/>
      <c r="C261" s="67"/>
      <c r="D261" s="67"/>
    </row>
    <row r="262">
      <c r="A262" s="67"/>
      <c r="B262" s="67"/>
      <c r="C262" s="67"/>
      <c r="D262" s="67"/>
    </row>
    <row r="263">
      <c r="A263" s="67"/>
      <c r="B263" s="67"/>
      <c r="C263" s="67"/>
      <c r="D263" s="67"/>
    </row>
    <row r="264">
      <c r="A264" s="67"/>
      <c r="B264" s="67"/>
      <c r="C264" s="67"/>
      <c r="D264" s="67"/>
    </row>
    <row r="265">
      <c r="A265" s="67"/>
      <c r="B265" s="67"/>
      <c r="C265" s="67"/>
      <c r="D265" s="67"/>
    </row>
    <row r="266">
      <c r="A266" s="67"/>
      <c r="B266" s="67"/>
      <c r="C266" s="67"/>
      <c r="D266" s="67"/>
    </row>
    <row r="267">
      <c r="A267" s="67"/>
      <c r="B267" s="67"/>
      <c r="C267" s="67"/>
      <c r="D267" s="67"/>
    </row>
    <row r="268">
      <c r="A268" s="67"/>
      <c r="B268" s="67"/>
      <c r="C268" s="67"/>
      <c r="D268" s="67"/>
    </row>
    <row r="269">
      <c r="A269" s="67"/>
      <c r="B269" s="67"/>
      <c r="C269" s="67"/>
      <c r="D269" s="67"/>
    </row>
    <row r="270">
      <c r="A270" s="67"/>
      <c r="B270" s="67"/>
      <c r="C270" s="67"/>
      <c r="D270" s="67"/>
    </row>
    <row r="271">
      <c r="A271" s="67"/>
      <c r="B271" s="67"/>
      <c r="C271" s="67"/>
      <c r="D271" s="67"/>
    </row>
    <row r="272">
      <c r="A272" s="67"/>
      <c r="B272" s="67"/>
      <c r="C272" s="67"/>
      <c r="D272" s="67"/>
    </row>
    <row r="273">
      <c r="A273" s="67"/>
      <c r="B273" s="67"/>
      <c r="C273" s="67"/>
      <c r="D273" s="67"/>
    </row>
    <row r="274">
      <c r="A274" s="67"/>
      <c r="B274" s="67"/>
      <c r="C274" s="67"/>
      <c r="D274" s="67"/>
    </row>
    <row r="275">
      <c r="A275" s="67"/>
      <c r="B275" s="67"/>
      <c r="C275" s="67"/>
      <c r="D275" s="67"/>
    </row>
    <row r="276">
      <c r="A276" s="67"/>
      <c r="B276" s="67"/>
      <c r="C276" s="67"/>
      <c r="D276" s="67"/>
    </row>
    <row r="277">
      <c r="A277" s="67"/>
      <c r="B277" s="67"/>
      <c r="C277" s="67"/>
      <c r="D277" s="67"/>
    </row>
    <row r="278">
      <c r="A278" s="67"/>
      <c r="B278" s="67"/>
      <c r="C278" s="67"/>
      <c r="D278" s="67"/>
    </row>
    <row r="279">
      <c r="A279" s="67"/>
      <c r="B279" s="67"/>
      <c r="C279" s="67"/>
      <c r="D279" s="67"/>
    </row>
    <row r="280">
      <c r="A280" s="67"/>
      <c r="B280" s="67"/>
      <c r="C280" s="67"/>
      <c r="D280" s="67"/>
    </row>
    <row r="281">
      <c r="A281" s="67"/>
      <c r="B281" s="67"/>
      <c r="C281" s="67"/>
      <c r="D281" s="67"/>
    </row>
    <row r="282">
      <c r="A282" s="67"/>
      <c r="B282" s="67"/>
      <c r="C282" s="67"/>
      <c r="D282" s="67"/>
    </row>
    <row r="283">
      <c r="A283" s="67"/>
      <c r="B283" s="67"/>
      <c r="C283" s="67"/>
      <c r="D283" s="67"/>
    </row>
    <row r="284">
      <c r="A284" s="67"/>
      <c r="B284" s="67"/>
      <c r="C284" s="67"/>
      <c r="D284" s="67"/>
    </row>
    <row r="285">
      <c r="A285" s="67"/>
      <c r="B285" s="67"/>
      <c r="C285" s="67"/>
      <c r="D285" s="67"/>
    </row>
    <row r="286">
      <c r="A286" s="67"/>
      <c r="B286" s="67"/>
      <c r="C286" s="67"/>
      <c r="D286" s="67"/>
    </row>
    <row r="287">
      <c r="A287" s="67"/>
      <c r="B287" s="67"/>
      <c r="C287" s="67"/>
      <c r="D287" s="67"/>
    </row>
    <row r="288">
      <c r="A288" s="67"/>
      <c r="B288" s="67"/>
      <c r="C288" s="67"/>
      <c r="D288" s="67"/>
    </row>
    <row r="289">
      <c r="A289" s="67"/>
      <c r="B289" s="67"/>
      <c r="C289" s="67"/>
      <c r="D289" s="67"/>
    </row>
    <row r="290">
      <c r="A290" s="67"/>
      <c r="B290" s="67"/>
      <c r="C290" s="67"/>
      <c r="D290" s="67"/>
    </row>
    <row r="291">
      <c r="A291" s="67"/>
      <c r="B291" s="67"/>
      <c r="C291" s="67"/>
      <c r="D291" s="67"/>
    </row>
    <row r="292">
      <c r="A292" s="67"/>
      <c r="B292" s="67"/>
      <c r="C292" s="67"/>
      <c r="D292" s="67"/>
    </row>
    <row r="293">
      <c r="A293" s="67"/>
      <c r="B293" s="67"/>
      <c r="C293" s="67"/>
      <c r="D293" s="67"/>
    </row>
    <row r="294">
      <c r="A294" s="67"/>
      <c r="B294" s="67"/>
      <c r="C294" s="67"/>
      <c r="D294" s="67"/>
    </row>
    <row r="295">
      <c r="A295" s="67"/>
      <c r="B295" s="67"/>
      <c r="C295" s="67"/>
      <c r="D295" s="67"/>
    </row>
    <row r="296">
      <c r="A296" s="67"/>
      <c r="B296" s="67"/>
      <c r="C296" s="67"/>
      <c r="D296" s="67"/>
    </row>
    <row r="297">
      <c r="A297" s="67"/>
      <c r="B297" s="67"/>
      <c r="C297" s="67"/>
      <c r="D297" s="67"/>
    </row>
    <row r="298">
      <c r="A298" s="67"/>
      <c r="B298" s="67"/>
      <c r="C298" s="67"/>
      <c r="D298" s="67"/>
    </row>
    <row r="299">
      <c r="A299" s="67"/>
      <c r="B299" s="67"/>
      <c r="C299" s="67"/>
      <c r="D299" s="67"/>
    </row>
    <row r="300">
      <c r="A300" s="67"/>
      <c r="B300" s="67"/>
      <c r="C300" s="67"/>
      <c r="D300" s="67"/>
    </row>
    <row r="301">
      <c r="A301" s="67"/>
      <c r="B301" s="67"/>
      <c r="C301" s="67"/>
      <c r="D301" s="67"/>
    </row>
    <row r="302">
      <c r="A302" s="67"/>
      <c r="B302" s="67"/>
      <c r="C302" s="67"/>
      <c r="D302" s="67"/>
    </row>
    <row r="303">
      <c r="A303" s="67"/>
      <c r="B303" s="67"/>
      <c r="C303" s="67"/>
      <c r="D303" s="67"/>
    </row>
    <row r="304">
      <c r="A304" s="67"/>
      <c r="B304" s="67"/>
      <c r="C304" s="67"/>
      <c r="D304" s="67"/>
    </row>
    <row r="305">
      <c r="A305" s="67"/>
      <c r="B305" s="67"/>
      <c r="C305" s="67"/>
      <c r="D305" s="67"/>
    </row>
    <row r="306">
      <c r="A306" s="67"/>
      <c r="B306" s="67"/>
      <c r="C306" s="67"/>
      <c r="D306" s="67"/>
    </row>
    <row r="307">
      <c r="A307" s="67"/>
      <c r="B307" s="67"/>
      <c r="C307" s="67"/>
      <c r="D307" s="67"/>
    </row>
    <row r="308">
      <c r="A308" s="67"/>
      <c r="B308" s="67"/>
      <c r="C308" s="67"/>
      <c r="D308" s="67"/>
    </row>
    <row r="309">
      <c r="A309" s="67"/>
      <c r="B309" s="67"/>
      <c r="C309" s="67"/>
      <c r="D309" s="67"/>
    </row>
    <row r="310">
      <c r="A310" s="67"/>
      <c r="B310" s="67"/>
      <c r="C310" s="67"/>
      <c r="D310" s="67"/>
    </row>
    <row r="311">
      <c r="A311" s="67"/>
      <c r="B311" s="67"/>
      <c r="C311" s="67"/>
      <c r="D311" s="67"/>
    </row>
    <row r="312">
      <c r="A312" s="67"/>
      <c r="B312" s="67"/>
      <c r="C312" s="67"/>
      <c r="D312" s="67"/>
    </row>
    <row r="313">
      <c r="A313" s="67"/>
      <c r="B313" s="67"/>
      <c r="C313" s="67"/>
      <c r="D313" s="67"/>
    </row>
    <row r="314">
      <c r="A314" s="67"/>
      <c r="B314" s="67"/>
      <c r="C314" s="67"/>
      <c r="D314" s="67"/>
    </row>
    <row r="315">
      <c r="A315" s="67"/>
      <c r="B315" s="67"/>
      <c r="C315" s="67"/>
      <c r="D315" s="67"/>
    </row>
    <row r="316">
      <c r="A316" s="67"/>
      <c r="B316" s="67"/>
      <c r="C316" s="67"/>
      <c r="D316" s="67"/>
    </row>
    <row r="317">
      <c r="A317" s="67"/>
      <c r="B317" s="67"/>
      <c r="C317" s="67"/>
      <c r="D317" s="67"/>
    </row>
    <row r="318">
      <c r="A318" s="67"/>
      <c r="B318" s="67"/>
      <c r="C318" s="67"/>
      <c r="D318" s="67"/>
    </row>
    <row r="319">
      <c r="A319" s="67"/>
      <c r="B319" s="67"/>
      <c r="C319" s="67"/>
      <c r="D319" s="67"/>
    </row>
    <row r="320">
      <c r="A320" s="67"/>
      <c r="B320" s="67"/>
      <c r="C320" s="67"/>
      <c r="D320" s="67"/>
    </row>
    <row r="321">
      <c r="A321" s="67"/>
      <c r="B321" s="67"/>
      <c r="C321" s="67"/>
      <c r="D321" s="67"/>
    </row>
    <row r="322">
      <c r="A322" s="67"/>
      <c r="B322" s="67"/>
      <c r="C322" s="67"/>
      <c r="D322" s="67"/>
    </row>
    <row r="323">
      <c r="A323" s="67"/>
      <c r="B323" s="67"/>
      <c r="C323" s="67"/>
      <c r="D323" s="67"/>
    </row>
    <row r="324">
      <c r="A324" s="67"/>
      <c r="B324" s="67"/>
      <c r="C324" s="67"/>
      <c r="D324" s="67"/>
    </row>
    <row r="325">
      <c r="A325" s="67"/>
      <c r="B325" s="67"/>
      <c r="C325" s="67"/>
      <c r="D325" s="67"/>
    </row>
    <row r="326">
      <c r="A326" s="67"/>
      <c r="B326" s="67"/>
      <c r="C326" s="67"/>
      <c r="D326" s="67"/>
    </row>
    <row r="327">
      <c r="A327" s="67"/>
      <c r="B327" s="67"/>
      <c r="C327" s="67"/>
      <c r="D327" s="67"/>
    </row>
    <row r="328">
      <c r="A328" s="67"/>
      <c r="B328" s="67"/>
      <c r="C328" s="67"/>
      <c r="D328" s="67"/>
    </row>
    <row r="329">
      <c r="A329" s="67"/>
      <c r="B329" s="67"/>
      <c r="C329" s="67"/>
      <c r="D329" s="67"/>
    </row>
    <row r="330">
      <c r="A330" s="67"/>
      <c r="B330" s="67"/>
      <c r="C330" s="67"/>
      <c r="D330" s="67"/>
    </row>
    <row r="331">
      <c r="A331" s="67"/>
      <c r="B331" s="67"/>
      <c r="C331" s="67"/>
      <c r="D331" s="67"/>
    </row>
    <row r="332">
      <c r="A332" s="67"/>
      <c r="B332" s="67"/>
      <c r="C332" s="67"/>
      <c r="D332" s="67"/>
    </row>
    <row r="333">
      <c r="A333" s="67"/>
      <c r="B333" s="67"/>
      <c r="C333" s="67"/>
      <c r="D333" s="67"/>
    </row>
    <row r="334">
      <c r="A334" s="67"/>
      <c r="B334" s="67"/>
      <c r="C334" s="67"/>
      <c r="D334" s="67"/>
    </row>
    <row r="335">
      <c r="A335" s="67"/>
      <c r="B335" s="67"/>
      <c r="C335" s="67"/>
      <c r="D335" s="67"/>
    </row>
    <row r="336">
      <c r="A336" s="67"/>
      <c r="B336" s="67"/>
      <c r="C336" s="67"/>
      <c r="D336" s="67"/>
    </row>
    <row r="337">
      <c r="A337" s="67"/>
      <c r="B337" s="67"/>
      <c r="C337" s="67"/>
      <c r="D337" s="67"/>
    </row>
    <row r="338">
      <c r="A338" s="67"/>
      <c r="B338" s="67"/>
      <c r="C338" s="67"/>
      <c r="D338" s="67"/>
    </row>
    <row r="339">
      <c r="A339" s="67"/>
      <c r="B339" s="67"/>
      <c r="C339" s="67"/>
      <c r="D339" s="67"/>
    </row>
    <row r="340">
      <c r="A340" s="67"/>
      <c r="B340" s="67"/>
      <c r="C340" s="67"/>
      <c r="D340" s="67"/>
    </row>
    <row r="341">
      <c r="A341" s="67"/>
      <c r="B341" s="67"/>
      <c r="C341" s="67"/>
      <c r="D341" s="67"/>
    </row>
    <row r="342">
      <c r="A342" s="67"/>
      <c r="B342" s="67"/>
      <c r="C342" s="67"/>
      <c r="D342" s="67"/>
    </row>
    <row r="343">
      <c r="A343" s="67"/>
      <c r="B343" s="67"/>
      <c r="C343" s="67"/>
      <c r="D343" s="67"/>
    </row>
    <row r="344">
      <c r="A344" s="67"/>
      <c r="B344" s="67"/>
      <c r="C344" s="67"/>
      <c r="D344" s="67"/>
    </row>
    <row r="345">
      <c r="A345" s="67"/>
      <c r="B345" s="67"/>
      <c r="C345" s="67"/>
      <c r="D345" s="67"/>
    </row>
    <row r="346">
      <c r="A346" s="67"/>
      <c r="B346" s="67"/>
      <c r="C346" s="67"/>
      <c r="D346" s="67"/>
    </row>
    <row r="347">
      <c r="A347" s="67"/>
      <c r="B347" s="67"/>
      <c r="C347" s="67"/>
      <c r="D347" s="67"/>
    </row>
    <row r="348">
      <c r="A348" s="67"/>
      <c r="B348" s="67"/>
      <c r="C348" s="67"/>
      <c r="D348" s="67"/>
    </row>
    <row r="349">
      <c r="A349" s="67"/>
      <c r="B349" s="67"/>
      <c r="C349" s="67"/>
      <c r="D349" s="67"/>
    </row>
    <row r="350">
      <c r="A350" s="67"/>
      <c r="B350" s="67"/>
      <c r="C350" s="67"/>
      <c r="D350" s="67"/>
    </row>
    <row r="351">
      <c r="A351" s="67"/>
      <c r="B351" s="67"/>
      <c r="C351" s="67"/>
      <c r="D351" s="67"/>
    </row>
    <row r="352">
      <c r="A352" s="67"/>
      <c r="B352" s="67"/>
      <c r="C352" s="67"/>
      <c r="D352" s="67"/>
    </row>
    <row r="353">
      <c r="A353" s="67"/>
      <c r="B353" s="67"/>
      <c r="C353" s="67"/>
      <c r="D353" s="67"/>
    </row>
    <row r="354">
      <c r="A354" s="67"/>
      <c r="B354" s="67"/>
      <c r="C354" s="67"/>
      <c r="D354" s="67"/>
    </row>
    <row r="355">
      <c r="A355" s="67"/>
      <c r="B355" s="67"/>
      <c r="C355" s="67"/>
      <c r="D355" s="67"/>
    </row>
    <row r="356">
      <c r="A356" s="67"/>
      <c r="B356" s="67"/>
      <c r="C356" s="67"/>
      <c r="D356" s="67"/>
    </row>
    <row r="357">
      <c r="A357" s="67"/>
      <c r="B357" s="67"/>
      <c r="C357" s="67"/>
      <c r="D357" s="67"/>
    </row>
    <row r="358">
      <c r="A358" s="67"/>
      <c r="B358" s="67"/>
      <c r="C358" s="67"/>
      <c r="D358" s="67"/>
    </row>
    <row r="359">
      <c r="A359" s="67"/>
      <c r="B359" s="67"/>
      <c r="C359" s="67"/>
      <c r="D359" s="67"/>
    </row>
    <row r="360">
      <c r="A360" s="67"/>
      <c r="B360" s="67"/>
      <c r="C360" s="67"/>
      <c r="D360" s="67"/>
    </row>
    <row r="361">
      <c r="A361" s="67"/>
      <c r="B361" s="67"/>
      <c r="C361" s="67"/>
      <c r="D361" s="67"/>
    </row>
    <row r="362">
      <c r="A362" s="67"/>
      <c r="B362" s="67"/>
      <c r="C362" s="67"/>
      <c r="D362" s="67"/>
    </row>
    <row r="363">
      <c r="A363" s="67"/>
      <c r="B363" s="67"/>
      <c r="C363" s="67"/>
      <c r="D363" s="67"/>
    </row>
    <row r="364">
      <c r="A364" s="67"/>
      <c r="B364" s="67"/>
      <c r="C364" s="67"/>
      <c r="D364" s="67"/>
    </row>
    <row r="365">
      <c r="A365" s="67"/>
      <c r="B365" s="67"/>
      <c r="C365" s="67"/>
      <c r="D365" s="67"/>
    </row>
    <row r="366">
      <c r="A366" s="67"/>
      <c r="B366" s="67"/>
      <c r="C366" s="67"/>
      <c r="D366" s="67"/>
    </row>
    <row r="367">
      <c r="A367" s="67"/>
      <c r="B367" s="67"/>
      <c r="C367" s="67"/>
      <c r="D367" s="67"/>
    </row>
    <row r="368">
      <c r="A368" s="67"/>
      <c r="B368" s="67"/>
      <c r="C368" s="67"/>
      <c r="D368" s="67"/>
    </row>
    <row r="369">
      <c r="A369" s="67"/>
      <c r="B369" s="67"/>
      <c r="C369" s="67"/>
      <c r="D369" s="67"/>
    </row>
    <row r="370">
      <c r="A370" s="67"/>
      <c r="B370" s="67"/>
      <c r="C370" s="67"/>
      <c r="D370" s="67"/>
    </row>
    <row r="371">
      <c r="A371" s="67"/>
      <c r="B371" s="67"/>
      <c r="C371" s="67"/>
      <c r="D371" s="67"/>
    </row>
    <row r="372">
      <c r="A372" s="67"/>
      <c r="B372" s="67"/>
      <c r="C372" s="67"/>
      <c r="D372" s="67"/>
    </row>
    <row r="373">
      <c r="A373" s="67"/>
      <c r="B373" s="67"/>
      <c r="C373" s="67"/>
      <c r="D373" s="67"/>
    </row>
    <row r="374">
      <c r="A374" s="67"/>
      <c r="B374" s="67"/>
      <c r="C374" s="67"/>
      <c r="D374" s="67"/>
    </row>
    <row r="375">
      <c r="A375" s="67"/>
      <c r="B375" s="67"/>
      <c r="C375" s="67"/>
      <c r="D375" s="67"/>
    </row>
    <row r="376">
      <c r="A376" s="67"/>
      <c r="B376" s="67"/>
      <c r="C376" s="67"/>
      <c r="D376" s="67"/>
    </row>
    <row r="377">
      <c r="A377" s="67"/>
      <c r="B377" s="67"/>
      <c r="C377" s="67"/>
      <c r="D377" s="67"/>
    </row>
    <row r="378">
      <c r="A378" s="67"/>
      <c r="B378" s="67"/>
      <c r="C378" s="67"/>
      <c r="D378" s="67"/>
    </row>
    <row r="379">
      <c r="A379" s="67"/>
      <c r="B379" s="67"/>
      <c r="C379" s="67"/>
      <c r="D379" s="67"/>
    </row>
    <row r="380">
      <c r="A380" s="67"/>
      <c r="B380" s="67"/>
      <c r="C380" s="67"/>
      <c r="D380" s="67"/>
    </row>
    <row r="381">
      <c r="A381" s="67"/>
      <c r="B381" s="67"/>
      <c r="C381" s="67"/>
      <c r="D381" s="67"/>
    </row>
    <row r="382">
      <c r="A382" s="67"/>
      <c r="B382" s="67"/>
      <c r="C382" s="67"/>
      <c r="D382" s="67"/>
    </row>
    <row r="383">
      <c r="A383" s="67"/>
      <c r="B383" s="67"/>
      <c r="C383" s="67"/>
      <c r="D383" s="67"/>
    </row>
    <row r="384">
      <c r="A384" s="67"/>
      <c r="B384" s="67"/>
      <c r="C384" s="67"/>
      <c r="D384" s="67"/>
    </row>
    <row r="385">
      <c r="A385" s="67"/>
      <c r="B385" s="67"/>
      <c r="C385" s="67"/>
      <c r="D385" s="67"/>
    </row>
    <row r="386">
      <c r="A386" s="67"/>
      <c r="B386" s="67"/>
      <c r="C386" s="67"/>
      <c r="D386" s="67"/>
    </row>
    <row r="387">
      <c r="A387" s="67"/>
      <c r="B387" s="67"/>
      <c r="C387" s="67"/>
      <c r="D387" s="67"/>
    </row>
    <row r="388">
      <c r="A388" s="67"/>
      <c r="B388" s="67"/>
      <c r="C388" s="67"/>
      <c r="D388" s="67"/>
    </row>
    <row r="389">
      <c r="A389" s="67"/>
      <c r="B389" s="67"/>
      <c r="C389" s="67"/>
      <c r="D389" s="67"/>
    </row>
    <row r="390">
      <c r="A390" s="67"/>
      <c r="B390" s="67"/>
      <c r="C390" s="67"/>
      <c r="D390" s="67"/>
    </row>
    <row r="391">
      <c r="A391" s="67"/>
      <c r="B391" s="67"/>
      <c r="C391" s="67"/>
      <c r="D391" s="67"/>
    </row>
    <row r="392">
      <c r="A392" s="67"/>
      <c r="B392" s="67"/>
      <c r="C392" s="67"/>
      <c r="D392" s="67"/>
    </row>
    <row r="393">
      <c r="A393" s="67"/>
      <c r="B393" s="67"/>
      <c r="C393" s="67"/>
      <c r="D393" s="67"/>
    </row>
    <row r="394">
      <c r="A394" s="67"/>
      <c r="B394" s="67"/>
      <c r="C394" s="67"/>
      <c r="D394" s="67"/>
    </row>
    <row r="395">
      <c r="A395" s="67"/>
      <c r="B395" s="67"/>
      <c r="C395" s="67"/>
      <c r="D395" s="67"/>
    </row>
    <row r="396">
      <c r="A396" s="67"/>
      <c r="B396" s="67"/>
      <c r="C396" s="67"/>
      <c r="D396" s="67"/>
    </row>
    <row r="397">
      <c r="A397" s="67"/>
      <c r="B397" s="67"/>
      <c r="C397" s="67"/>
      <c r="D397" s="67"/>
    </row>
    <row r="398">
      <c r="A398" s="67"/>
      <c r="B398" s="67"/>
      <c r="C398" s="67"/>
      <c r="D398" s="67"/>
    </row>
    <row r="399">
      <c r="A399" s="67"/>
      <c r="B399" s="67"/>
      <c r="C399" s="67"/>
      <c r="D399" s="67"/>
    </row>
    <row r="400">
      <c r="A400" s="67"/>
      <c r="B400" s="67"/>
      <c r="C400" s="67"/>
      <c r="D400" s="67"/>
    </row>
    <row r="401">
      <c r="A401" s="67"/>
      <c r="B401" s="67"/>
      <c r="C401" s="67"/>
      <c r="D401" s="67"/>
    </row>
    <row r="402">
      <c r="A402" s="67"/>
      <c r="B402" s="67"/>
      <c r="C402" s="67"/>
      <c r="D402" s="67"/>
    </row>
    <row r="403">
      <c r="A403" s="67"/>
      <c r="B403" s="67"/>
      <c r="C403" s="67"/>
      <c r="D403" s="67"/>
    </row>
    <row r="404">
      <c r="A404" s="67"/>
      <c r="B404" s="67"/>
      <c r="C404" s="67"/>
      <c r="D404" s="67"/>
    </row>
    <row r="405">
      <c r="A405" s="67"/>
      <c r="B405" s="67"/>
      <c r="C405" s="67"/>
      <c r="D405" s="67"/>
    </row>
    <row r="406">
      <c r="A406" s="67"/>
      <c r="B406" s="67"/>
      <c r="C406" s="67"/>
      <c r="D406" s="67"/>
    </row>
    <row r="407">
      <c r="A407" s="67"/>
      <c r="B407" s="67"/>
      <c r="C407" s="67"/>
      <c r="D407" s="67"/>
    </row>
    <row r="408">
      <c r="A408" s="67"/>
      <c r="B408" s="67"/>
      <c r="C408" s="67"/>
      <c r="D408" s="67"/>
    </row>
    <row r="409">
      <c r="A409" s="67"/>
      <c r="B409" s="67"/>
      <c r="C409" s="67"/>
      <c r="D409" s="67"/>
    </row>
    <row r="410">
      <c r="A410" s="67"/>
      <c r="B410" s="67"/>
      <c r="C410" s="67"/>
      <c r="D410" s="67"/>
    </row>
    <row r="411">
      <c r="A411" s="67"/>
      <c r="B411" s="67"/>
      <c r="C411" s="67"/>
      <c r="D411" s="67"/>
    </row>
    <row r="412">
      <c r="A412" s="67"/>
      <c r="B412" s="67"/>
      <c r="C412" s="67"/>
      <c r="D412" s="67"/>
    </row>
    <row r="413">
      <c r="A413" s="67"/>
      <c r="B413" s="67"/>
      <c r="C413" s="67"/>
      <c r="D413" s="67"/>
    </row>
    <row r="414">
      <c r="A414" s="67"/>
      <c r="B414" s="67"/>
      <c r="C414" s="67"/>
      <c r="D414" s="67"/>
    </row>
    <row r="415">
      <c r="A415" s="67"/>
      <c r="B415" s="67"/>
      <c r="C415" s="67"/>
      <c r="D415" s="67"/>
    </row>
    <row r="416">
      <c r="A416" s="67"/>
      <c r="B416" s="67"/>
      <c r="C416" s="67"/>
      <c r="D416" s="67"/>
    </row>
    <row r="417">
      <c r="A417" s="67"/>
      <c r="B417" s="67"/>
      <c r="C417" s="67"/>
      <c r="D417" s="67"/>
    </row>
    <row r="418">
      <c r="A418" s="67"/>
      <c r="B418" s="67"/>
      <c r="C418" s="67"/>
      <c r="D418" s="67"/>
    </row>
    <row r="419">
      <c r="A419" s="67"/>
      <c r="B419" s="67"/>
      <c r="C419" s="67"/>
      <c r="D419" s="67"/>
    </row>
    <row r="420">
      <c r="A420" s="67"/>
      <c r="B420" s="67"/>
      <c r="C420" s="67"/>
      <c r="D420" s="67"/>
    </row>
    <row r="421">
      <c r="A421" s="67"/>
      <c r="B421" s="67"/>
      <c r="C421" s="67"/>
      <c r="D421" s="67"/>
    </row>
    <row r="422">
      <c r="A422" s="67"/>
      <c r="B422" s="67"/>
      <c r="C422" s="67"/>
      <c r="D422" s="67"/>
    </row>
    <row r="423">
      <c r="A423" s="67"/>
      <c r="B423" s="67"/>
      <c r="C423" s="67"/>
      <c r="D423" s="67"/>
    </row>
    <row r="424">
      <c r="A424" s="67"/>
      <c r="B424" s="67"/>
      <c r="C424" s="67"/>
      <c r="D424" s="67"/>
    </row>
    <row r="425">
      <c r="A425" s="67"/>
      <c r="B425" s="67"/>
      <c r="C425" s="67"/>
      <c r="D425" s="67"/>
    </row>
    <row r="426">
      <c r="A426" s="67"/>
      <c r="B426" s="67"/>
      <c r="C426" s="67"/>
      <c r="D426" s="67"/>
    </row>
    <row r="427">
      <c r="A427" s="67"/>
      <c r="B427" s="67"/>
      <c r="C427" s="67"/>
      <c r="D427" s="67"/>
    </row>
    <row r="428">
      <c r="A428" s="67"/>
      <c r="B428" s="67"/>
      <c r="C428" s="67"/>
      <c r="D428" s="67"/>
    </row>
    <row r="429">
      <c r="A429" s="67"/>
      <c r="B429" s="67"/>
      <c r="C429" s="67"/>
      <c r="D429" s="67"/>
    </row>
    <row r="430">
      <c r="A430" s="67"/>
      <c r="B430" s="67"/>
      <c r="C430" s="67"/>
      <c r="D430" s="67"/>
    </row>
    <row r="431">
      <c r="A431" s="67"/>
      <c r="B431" s="67"/>
      <c r="C431" s="67"/>
      <c r="D431" s="67"/>
    </row>
    <row r="432">
      <c r="A432" s="67"/>
      <c r="B432" s="67"/>
      <c r="C432" s="67"/>
      <c r="D432" s="67"/>
    </row>
    <row r="433">
      <c r="A433" s="67"/>
      <c r="B433" s="67"/>
      <c r="C433" s="67"/>
      <c r="D433" s="67"/>
    </row>
    <row r="434">
      <c r="A434" s="67"/>
      <c r="B434" s="67"/>
      <c r="C434" s="67"/>
      <c r="D434" s="67"/>
    </row>
    <row r="435">
      <c r="A435" s="67"/>
      <c r="B435" s="67"/>
      <c r="C435" s="67"/>
      <c r="D435" s="67"/>
    </row>
    <row r="436">
      <c r="A436" s="67"/>
      <c r="B436" s="67"/>
      <c r="C436" s="67"/>
      <c r="D436" s="67"/>
    </row>
    <row r="437">
      <c r="A437" s="67"/>
      <c r="B437" s="67"/>
      <c r="C437" s="67"/>
      <c r="D437" s="67"/>
    </row>
    <row r="438">
      <c r="A438" s="67"/>
      <c r="B438" s="67"/>
      <c r="C438" s="67"/>
      <c r="D438" s="67"/>
    </row>
    <row r="439">
      <c r="A439" s="67"/>
      <c r="B439" s="67"/>
      <c r="C439" s="67"/>
      <c r="D439" s="67"/>
    </row>
    <row r="440">
      <c r="A440" s="67"/>
      <c r="B440" s="67"/>
      <c r="C440" s="67"/>
      <c r="D440" s="67"/>
    </row>
    <row r="441">
      <c r="A441" s="67"/>
      <c r="B441" s="67"/>
      <c r="C441" s="67"/>
      <c r="D441" s="67"/>
    </row>
    <row r="442">
      <c r="A442" s="67"/>
      <c r="B442" s="67"/>
      <c r="C442" s="67"/>
      <c r="D442" s="67"/>
    </row>
    <row r="443">
      <c r="A443" s="67"/>
      <c r="B443" s="67"/>
      <c r="C443" s="67"/>
      <c r="D443" s="67"/>
    </row>
    <row r="444">
      <c r="A444" s="67"/>
      <c r="B444" s="67"/>
      <c r="C444" s="67"/>
      <c r="D444" s="67"/>
    </row>
    <row r="445">
      <c r="A445" s="67"/>
      <c r="B445" s="67"/>
      <c r="C445" s="67"/>
      <c r="D445" s="67"/>
    </row>
    <row r="446">
      <c r="A446" s="67"/>
      <c r="B446" s="67"/>
      <c r="C446" s="67"/>
      <c r="D446" s="67"/>
    </row>
    <row r="447">
      <c r="A447" s="67"/>
      <c r="B447" s="67"/>
      <c r="C447" s="67"/>
      <c r="D447" s="67"/>
    </row>
    <row r="448">
      <c r="A448" s="67"/>
      <c r="B448" s="67"/>
      <c r="C448" s="67"/>
      <c r="D448" s="67"/>
    </row>
    <row r="449">
      <c r="A449" s="67"/>
      <c r="B449" s="67"/>
      <c r="C449" s="67"/>
      <c r="D449" s="67"/>
    </row>
    <row r="450">
      <c r="A450" s="67"/>
      <c r="B450" s="67"/>
      <c r="C450" s="67"/>
      <c r="D450" s="67"/>
    </row>
    <row r="451">
      <c r="A451" s="67"/>
      <c r="B451" s="67"/>
      <c r="C451" s="67"/>
      <c r="D451" s="67"/>
    </row>
    <row r="452">
      <c r="A452" s="67"/>
      <c r="B452" s="67"/>
      <c r="C452" s="67"/>
      <c r="D452" s="67"/>
    </row>
    <row r="453">
      <c r="A453" s="67"/>
      <c r="B453" s="67"/>
      <c r="C453" s="67"/>
      <c r="D453" s="67"/>
    </row>
    <row r="454">
      <c r="A454" s="67"/>
      <c r="B454" s="67"/>
      <c r="C454" s="67"/>
      <c r="D454" s="67"/>
    </row>
    <row r="455">
      <c r="A455" s="67"/>
      <c r="B455" s="67"/>
      <c r="C455" s="67"/>
      <c r="D455" s="67"/>
    </row>
    <row r="456">
      <c r="A456" s="67"/>
      <c r="B456" s="67"/>
      <c r="C456" s="67"/>
      <c r="D456" s="67"/>
    </row>
    <row r="457">
      <c r="A457" s="67"/>
      <c r="B457" s="67"/>
      <c r="C457" s="67"/>
      <c r="D457" s="67"/>
    </row>
    <row r="458">
      <c r="A458" s="67"/>
      <c r="B458" s="67"/>
      <c r="C458" s="67"/>
      <c r="D458" s="67"/>
    </row>
    <row r="459">
      <c r="A459" s="67"/>
      <c r="B459" s="67"/>
      <c r="C459" s="67"/>
      <c r="D459" s="67"/>
    </row>
    <row r="460">
      <c r="A460" s="67"/>
      <c r="B460" s="67"/>
      <c r="C460" s="67"/>
      <c r="D460" s="67"/>
    </row>
    <row r="461">
      <c r="A461" s="67"/>
      <c r="B461" s="67"/>
      <c r="C461" s="67"/>
      <c r="D461" s="67"/>
    </row>
    <row r="462">
      <c r="A462" s="67"/>
      <c r="B462" s="67"/>
      <c r="C462" s="67"/>
      <c r="D462" s="67"/>
    </row>
    <row r="463">
      <c r="A463" s="67"/>
      <c r="B463" s="67"/>
      <c r="C463" s="67"/>
      <c r="D463" s="67"/>
    </row>
    <row r="464">
      <c r="A464" s="67"/>
      <c r="B464" s="67"/>
      <c r="C464" s="67"/>
      <c r="D464" s="67"/>
    </row>
    <row r="465">
      <c r="A465" s="67"/>
      <c r="B465" s="67"/>
      <c r="C465" s="67"/>
      <c r="D465" s="67"/>
    </row>
    <row r="466">
      <c r="A466" s="67"/>
      <c r="B466" s="67"/>
      <c r="C466" s="67"/>
      <c r="D466" s="67"/>
    </row>
    <row r="467">
      <c r="A467" s="67"/>
      <c r="B467" s="67"/>
      <c r="C467" s="67"/>
      <c r="D467" s="67"/>
    </row>
    <row r="468">
      <c r="A468" s="67"/>
      <c r="B468" s="67"/>
      <c r="C468" s="67"/>
      <c r="D468" s="67"/>
    </row>
    <row r="469">
      <c r="A469" s="67"/>
      <c r="B469" s="67"/>
      <c r="C469" s="67"/>
      <c r="D469" s="67"/>
    </row>
    <row r="470">
      <c r="A470" s="67"/>
      <c r="B470" s="67"/>
      <c r="C470" s="67"/>
      <c r="D470" s="67"/>
    </row>
    <row r="471">
      <c r="A471" s="67"/>
      <c r="B471" s="67"/>
      <c r="C471" s="67"/>
      <c r="D471" s="67"/>
    </row>
    <row r="472">
      <c r="A472" s="67"/>
      <c r="B472" s="67"/>
      <c r="C472" s="67"/>
      <c r="D472" s="67"/>
    </row>
    <row r="473">
      <c r="A473" s="67"/>
      <c r="B473" s="67"/>
      <c r="C473" s="67"/>
      <c r="D473" s="67"/>
    </row>
    <row r="474">
      <c r="A474" s="67"/>
      <c r="B474" s="67"/>
      <c r="C474" s="67"/>
      <c r="D474" s="67"/>
    </row>
    <row r="475">
      <c r="A475" s="67"/>
      <c r="B475" s="67"/>
      <c r="C475" s="67"/>
      <c r="D475" s="67"/>
    </row>
    <row r="476">
      <c r="A476" s="67"/>
      <c r="B476" s="67"/>
      <c r="C476" s="67"/>
      <c r="D476" s="67"/>
    </row>
    <row r="477">
      <c r="A477" s="67"/>
      <c r="B477" s="67"/>
      <c r="C477" s="67"/>
      <c r="D477" s="67"/>
    </row>
    <row r="478">
      <c r="A478" s="67"/>
      <c r="B478" s="67"/>
      <c r="C478" s="67"/>
      <c r="D478" s="67"/>
    </row>
    <row r="479">
      <c r="A479" s="67"/>
      <c r="B479" s="67"/>
      <c r="C479" s="67"/>
      <c r="D479" s="67"/>
    </row>
    <row r="480">
      <c r="A480" s="67"/>
      <c r="B480" s="67"/>
      <c r="C480" s="67"/>
      <c r="D480" s="67"/>
    </row>
    <row r="481">
      <c r="A481" s="67"/>
      <c r="B481" s="67"/>
      <c r="C481" s="67"/>
      <c r="D481" s="67"/>
    </row>
    <row r="482">
      <c r="A482" s="67"/>
      <c r="B482" s="67"/>
      <c r="C482" s="67"/>
      <c r="D482" s="67"/>
    </row>
    <row r="483">
      <c r="A483" s="67"/>
      <c r="B483" s="67"/>
      <c r="C483" s="67"/>
      <c r="D483" s="67"/>
    </row>
    <row r="484">
      <c r="A484" s="67"/>
      <c r="B484" s="67"/>
      <c r="C484" s="67"/>
      <c r="D484" s="67"/>
    </row>
    <row r="485">
      <c r="A485" s="67"/>
      <c r="B485" s="67"/>
      <c r="C485" s="67"/>
      <c r="D485" s="67"/>
    </row>
    <row r="486">
      <c r="A486" s="67"/>
      <c r="B486" s="67"/>
      <c r="C486" s="67"/>
      <c r="D486" s="67"/>
    </row>
    <row r="487">
      <c r="A487" s="67"/>
      <c r="B487" s="67"/>
      <c r="C487" s="67"/>
      <c r="D487" s="67"/>
    </row>
    <row r="488">
      <c r="A488" s="67"/>
      <c r="B488" s="67"/>
      <c r="C488" s="67"/>
      <c r="D488" s="67"/>
    </row>
    <row r="489">
      <c r="A489" s="67"/>
      <c r="B489" s="67"/>
      <c r="C489" s="67"/>
      <c r="D489" s="67"/>
    </row>
    <row r="490">
      <c r="A490" s="67"/>
      <c r="B490" s="67"/>
      <c r="C490" s="67"/>
      <c r="D490" s="67"/>
    </row>
    <row r="491">
      <c r="A491" s="67"/>
      <c r="B491" s="67"/>
      <c r="C491" s="67"/>
      <c r="D491" s="67"/>
    </row>
    <row r="492">
      <c r="A492" s="67"/>
      <c r="B492" s="67"/>
      <c r="C492" s="67"/>
      <c r="D492" s="67"/>
    </row>
    <row r="493">
      <c r="A493" s="67"/>
      <c r="B493" s="67"/>
      <c r="C493" s="67"/>
      <c r="D493" s="67"/>
    </row>
    <row r="494">
      <c r="A494" s="67"/>
      <c r="B494" s="67"/>
      <c r="C494" s="67"/>
      <c r="D494" s="67"/>
    </row>
    <row r="495">
      <c r="A495" s="67"/>
      <c r="B495" s="67"/>
      <c r="C495" s="67"/>
      <c r="D495" s="67"/>
    </row>
    <row r="496">
      <c r="A496" s="67"/>
      <c r="B496" s="67"/>
      <c r="C496" s="67"/>
      <c r="D496" s="67"/>
    </row>
    <row r="497">
      <c r="A497" s="67"/>
      <c r="B497" s="67"/>
      <c r="C497" s="67"/>
      <c r="D497" s="67"/>
    </row>
    <row r="498">
      <c r="A498" s="67"/>
      <c r="B498" s="67"/>
      <c r="C498" s="67"/>
      <c r="D498" s="67"/>
    </row>
    <row r="499">
      <c r="A499" s="67"/>
      <c r="B499" s="67"/>
      <c r="C499" s="67"/>
      <c r="D499" s="67"/>
    </row>
    <row r="500">
      <c r="A500" s="67"/>
      <c r="B500" s="67"/>
      <c r="C500" s="67"/>
      <c r="D500" s="67"/>
    </row>
    <row r="501">
      <c r="A501" s="67"/>
      <c r="B501" s="67"/>
      <c r="C501" s="67"/>
      <c r="D501" s="67"/>
    </row>
    <row r="502">
      <c r="A502" s="67"/>
      <c r="B502" s="67"/>
      <c r="C502" s="67"/>
      <c r="D502" s="67"/>
    </row>
    <row r="503">
      <c r="A503" s="67"/>
      <c r="B503" s="67"/>
      <c r="C503" s="67"/>
      <c r="D503" s="67"/>
    </row>
    <row r="504">
      <c r="A504" s="67"/>
      <c r="B504" s="67"/>
      <c r="C504" s="67"/>
      <c r="D504" s="67"/>
    </row>
    <row r="505">
      <c r="A505" s="67"/>
      <c r="B505" s="67"/>
      <c r="C505" s="67"/>
      <c r="D505" s="67"/>
    </row>
    <row r="506">
      <c r="A506" s="67"/>
      <c r="B506" s="67"/>
      <c r="C506" s="67"/>
      <c r="D506" s="67"/>
    </row>
    <row r="507">
      <c r="A507" s="67"/>
      <c r="B507" s="67"/>
      <c r="C507" s="67"/>
      <c r="D507" s="67"/>
    </row>
    <row r="508">
      <c r="A508" s="67"/>
      <c r="B508" s="67"/>
      <c r="C508" s="67"/>
      <c r="D508" s="67"/>
    </row>
    <row r="509">
      <c r="A509" s="67"/>
      <c r="B509" s="67"/>
      <c r="C509" s="67"/>
      <c r="D509" s="67"/>
    </row>
    <row r="510">
      <c r="A510" s="67"/>
      <c r="B510" s="67"/>
      <c r="C510" s="67"/>
      <c r="D510" s="67"/>
    </row>
    <row r="511">
      <c r="A511" s="67"/>
      <c r="B511" s="67"/>
      <c r="C511" s="67"/>
      <c r="D511" s="67"/>
    </row>
    <row r="512">
      <c r="A512" s="67"/>
      <c r="B512" s="67"/>
      <c r="C512" s="67"/>
      <c r="D512" s="67"/>
    </row>
    <row r="513">
      <c r="A513" s="67"/>
      <c r="B513" s="67"/>
      <c r="C513" s="67"/>
      <c r="D513" s="67"/>
    </row>
    <row r="514">
      <c r="A514" s="67"/>
      <c r="B514" s="67"/>
      <c r="C514" s="67"/>
      <c r="D514" s="67"/>
    </row>
    <row r="515">
      <c r="A515" s="67"/>
      <c r="B515" s="67"/>
      <c r="C515" s="67"/>
      <c r="D515" s="67"/>
    </row>
    <row r="516">
      <c r="A516" s="67"/>
      <c r="B516" s="67"/>
      <c r="C516" s="67"/>
      <c r="D516" s="67"/>
    </row>
    <row r="517">
      <c r="A517" s="67"/>
      <c r="B517" s="67"/>
      <c r="C517" s="67"/>
      <c r="D517" s="67"/>
    </row>
    <row r="518">
      <c r="A518" s="67"/>
      <c r="B518" s="67"/>
      <c r="C518" s="67"/>
      <c r="D518" s="67"/>
    </row>
    <row r="519">
      <c r="A519" s="67"/>
      <c r="B519" s="67"/>
      <c r="C519" s="67"/>
      <c r="D519" s="67"/>
    </row>
    <row r="520">
      <c r="A520" s="67"/>
      <c r="B520" s="67"/>
      <c r="C520" s="67"/>
      <c r="D520" s="67"/>
    </row>
    <row r="521">
      <c r="A521" s="67"/>
      <c r="B521" s="67"/>
      <c r="C521" s="67"/>
      <c r="D521" s="67"/>
    </row>
    <row r="522">
      <c r="A522" s="67"/>
      <c r="B522" s="67"/>
      <c r="C522" s="67"/>
      <c r="D522" s="67"/>
    </row>
    <row r="523">
      <c r="A523" s="67"/>
      <c r="B523" s="67"/>
      <c r="C523" s="67"/>
      <c r="D523" s="67"/>
    </row>
    <row r="524">
      <c r="A524" s="67"/>
      <c r="B524" s="67"/>
      <c r="C524" s="67"/>
      <c r="D524" s="67"/>
    </row>
    <row r="525">
      <c r="A525" s="67"/>
      <c r="B525" s="67"/>
      <c r="C525" s="67"/>
      <c r="D525" s="67"/>
    </row>
    <row r="526">
      <c r="A526" s="67"/>
      <c r="B526" s="67"/>
      <c r="C526" s="67"/>
      <c r="D526" s="67"/>
    </row>
    <row r="527">
      <c r="A527" s="67"/>
      <c r="B527" s="67"/>
      <c r="C527" s="67"/>
      <c r="D527" s="67"/>
    </row>
    <row r="528">
      <c r="A528" s="67"/>
      <c r="B528" s="67"/>
      <c r="C528" s="67"/>
      <c r="D528" s="67"/>
    </row>
    <row r="529">
      <c r="A529" s="67"/>
      <c r="B529" s="67"/>
      <c r="C529" s="67"/>
      <c r="D529" s="67"/>
    </row>
    <row r="530">
      <c r="A530" s="67"/>
      <c r="B530" s="67"/>
      <c r="C530" s="67"/>
      <c r="D530" s="67"/>
    </row>
    <row r="531">
      <c r="A531" s="67"/>
      <c r="B531" s="67"/>
      <c r="C531" s="67"/>
      <c r="D531" s="67"/>
    </row>
    <row r="532">
      <c r="A532" s="67"/>
      <c r="B532" s="67"/>
      <c r="C532" s="67"/>
      <c r="D532" s="67"/>
    </row>
    <row r="533">
      <c r="A533" s="67"/>
      <c r="B533" s="67"/>
      <c r="C533" s="67"/>
      <c r="D533" s="67"/>
    </row>
    <row r="534">
      <c r="A534" s="67"/>
      <c r="B534" s="67"/>
      <c r="C534" s="67"/>
      <c r="D534" s="67"/>
    </row>
    <row r="535">
      <c r="A535" s="67"/>
      <c r="B535" s="67"/>
      <c r="C535" s="67"/>
      <c r="D535" s="67"/>
    </row>
    <row r="536">
      <c r="A536" s="67"/>
      <c r="B536" s="67"/>
      <c r="C536" s="67"/>
      <c r="D536" s="67"/>
    </row>
    <row r="537">
      <c r="A537" s="67"/>
      <c r="B537" s="67"/>
      <c r="C537" s="67"/>
      <c r="D537" s="67"/>
    </row>
    <row r="538">
      <c r="A538" s="67"/>
      <c r="B538" s="67"/>
      <c r="C538" s="67"/>
      <c r="D538" s="67"/>
    </row>
    <row r="539">
      <c r="A539" s="67"/>
      <c r="B539" s="67"/>
      <c r="C539" s="67"/>
      <c r="D539" s="67"/>
    </row>
    <row r="540">
      <c r="A540" s="67"/>
      <c r="B540" s="67"/>
      <c r="C540" s="67"/>
      <c r="D540" s="67"/>
    </row>
    <row r="541">
      <c r="A541" s="67"/>
      <c r="B541" s="67"/>
      <c r="C541" s="67"/>
      <c r="D541" s="67"/>
    </row>
    <row r="542">
      <c r="A542" s="67"/>
      <c r="B542" s="67"/>
      <c r="C542" s="67"/>
      <c r="D542" s="67"/>
    </row>
    <row r="543">
      <c r="A543" s="67"/>
      <c r="B543" s="67"/>
      <c r="C543" s="67"/>
      <c r="D543" s="67"/>
    </row>
    <row r="544">
      <c r="A544" s="67"/>
      <c r="B544" s="67"/>
      <c r="C544" s="67"/>
      <c r="D544" s="67"/>
    </row>
    <row r="545">
      <c r="A545" s="67"/>
      <c r="B545" s="67"/>
      <c r="C545" s="67"/>
      <c r="D545" s="67"/>
    </row>
    <row r="546">
      <c r="A546" s="67"/>
      <c r="B546" s="67"/>
      <c r="C546" s="67"/>
      <c r="D546" s="67"/>
    </row>
    <row r="547">
      <c r="A547" s="67"/>
      <c r="B547" s="67"/>
      <c r="C547" s="67"/>
      <c r="D547" s="67"/>
    </row>
    <row r="548">
      <c r="A548" s="67"/>
      <c r="B548" s="67"/>
      <c r="C548" s="67"/>
      <c r="D548" s="67"/>
    </row>
    <row r="549">
      <c r="A549" s="67"/>
      <c r="B549" s="67"/>
      <c r="C549" s="67"/>
      <c r="D549" s="67"/>
    </row>
    <row r="550">
      <c r="A550" s="67"/>
      <c r="B550" s="67"/>
      <c r="C550" s="67"/>
      <c r="D550" s="67"/>
    </row>
    <row r="551">
      <c r="A551" s="67"/>
      <c r="B551" s="67"/>
      <c r="C551" s="67"/>
      <c r="D551" s="67"/>
    </row>
    <row r="552">
      <c r="A552" s="67"/>
      <c r="B552" s="67"/>
      <c r="C552" s="67"/>
      <c r="D552" s="67"/>
    </row>
    <row r="553">
      <c r="A553" s="67"/>
      <c r="B553" s="67"/>
      <c r="C553" s="67"/>
      <c r="D553" s="67"/>
    </row>
    <row r="554">
      <c r="A554" s="67"/>
      <c r="B554" s="67"/>
      <c r="C554" s="67"/>
      <c r="D554" s="67"/>
    </row>
    <row r="555">
      <c r="A555" s="67"/>
      <c r="B555" s="67"/>
      <c r="C555" s="67"/>
      <c r="D555" s="67"/>
    </row>
    <row r="556">
      <c r="A556" s="67"/>
      <c r="B556" s="67"/>
      <c r="C556" s="67"/>
      <c r="D556" s="67"/>
    </row>
    <row r="557">
      <c r="A557" s="67"/>
      <c r="B557" s="67"/>
      <c r="C557" s="67"/>
      <c r="D557" s="67"/>
    </row>
    <row r="558">
      <c r="A558" s="67"/>
      <c r="B558" s="67"/>
      <c r="C558" s="67"/>
      <c r="D558" s="67"/>
    </row>
    <row r="559">
      <c r="A559" s="67"/>
      <c r="B559" s="67"/>
      <c r="C559" s="67"/>
      <c r="D559" s="67"/>
    </row>
    <row r="560">
      <c r="A560" s="67"/>
      <c r="B560" s="67"/>
      <c r="C560" s="67"/>
      <c r="D560" s="67"/>
    </row>
    <row r="561">
      <c r="A561" s="67"/>
      <c r="B561" s="67"/>
      <c r="C561" s="67"/>
      <c r="D561" s="67"/>
    </row>
    <row r="562">
      <c r="A562" s="67"/>
      <c r="B562" s="67"/>
      <c r="C562" s="67"/>
      <c r="D562" s="67"/>
    </row>
    <row r="563">
      <c r="A563" s="67"/>
      <c r="B563" s="67"/>
      <c r="C563" s="67"/>
      <c r="D563" s="67"/>
    </row>
    <row r="564">
      <c r="A564" s="67"/>
      <c r="B564" s="67"/>
      <c r="C564" s="67"/>
      <c r="D564" s="67"/>
    </row>
    <row r="565">
      <c r="A565" s="67"/>
      <c r="B565" s="67"/>
      <c r="C565" s="67"/>
      <c r="D565" s="67"/>
    </row>
    <row r="566">
      <c r="A566" s="67"/>
      <c r="B566" s="67"/>
      <c r="C566" s="67"/>
      <c r="D566" s="67"/>
    </row>
    <row r="567">
      <c r="A567" s="67"/>
      <c r="B567" s="67"/>
      <c r="C567" s="67"/>
      <c r="D567" s="67"/>
    </row>
    <row r="568">
      <c r="A568" s="67"/>
      <c r="B568" s="67"/>
      <c r="C568" s="67"/>
      <c r="D568" s="67"/>
    </row>
    <row r="569">
      <c r="A569" s="67"/>
      <c r="B569" s="67"/>
      <c r="C569" s="67"/>
      <c r="D569" s="67"/>
    </row>
    <row r="570">
      <c r="A570" s="67"/>
      <c r="B570" s="67"/>
      <c r="C570" s="67"/>
      <c r="D570" s="67"/>
    </row>
    <row r="571">
      <c r="A571" s="67"/>
      <c r="B571" s="67"/>
      <c r="C571" s="67"/>
      <c r="D571" s="67"/>
    </row>
    <row r="572">
      <c r="A572" s="67"/>
      <c r="B572" s="67"/>
      <c r="C572" s="67"/>
      <c r="D572" s="67"/>
    </row>
    <row r="573">
      <c r="A573" s="67"/>
      <c r="B573" s="67"/>
      <c r="C573" s="67"/>
      <c r="D573" s="67"/>
    </row>
    <row r="574">
      <c r="A574" s="67"/>
      <c r="B574" s="67"/>
      <c r="C574" s="67"/>
      <c r="D574" s="67"/>
    </row>
    <row r="575">
      <c r="A575" s="67"/>
      <c r="B575" s="67"/>
      <c r="C575" s="67"/>
      <c r="D575" s="67"/>
    </row>
    <row r="576">
      <c r="A576" s="67"/>
      <c r="B576" s="67"/>
      <c r="C576" s="67"/>
      <c r="D576" s="67"/>
    </row>
    <row r="577">
      <c r="A577" s="67"/>
      <c r="B577" s="67"/>
      <c r="C577" s="67"/>
      <c r="D577" s="67"/>
    </row>
    <row r="578">
      <c r="A578" s="67"/>
      <c r="B578" s="67"/>
      <c r="C578" s="67"/>
      <c r="D578" s="67"/>
    </row>
    <row r="579">
      <c r="A579" s="67"/>
      <c r="B579" s="67"/>
      <c r="C579" s="67"/>
      <c r="D579" s="67"/>
    </row>
    <row r="580">
      <c r="A580" s="67"/>
      <c r="B580" s="67"/>
      <c r="C580" s="67"/>
      <c r="D580" s="67"/>
    </row>
    <row r="581">
      <c r="A581" s="67"/>
      <c r="B581" s="67"/>
      <c r="C581" s="67"/>
      <c r="D581" s="67"/>
    </row>
    <row r="582">
      <c r="A582" s="67"/>
      <c r="B582" s="67"/>
      <c r="C582" s="67"/>
      <c r="D582" s="67"/>
    </row>
    <row r="583">
      <c r="A583" s="67"/>
      <c r="B583" s="67"/>
      <c r="C583" s="67"/>
      <c r="D583" s="67"/>
    </row>
    <row r="584">
      <c r="A584" s="67"/>
      <c r="B584" s="67"/>
      <c r="C584" s="67"/>
      <c r="D584" s="67"/>
    </row>
    <row r="585">
      <c r="A585" s="67"/>
      <c r="B585" s="67"/>
      <c r="C585" s="67"/>
      <c r="D585" s="67"/>
    </row>
    <row r="586">
      <c r="A586" s="67"/>
      <c r="B586" s="67"/>
      <c r="C586" s="67"/>
      <c r="D586" s="67"/>
    </row>
    <row r="587">
      <c r="A587" s="67"/>
      <c r="B587" s="67"/>
      <c r="C587" s="67"/>
      <c r="D587" s="67"/>
    </row>
    <row r="588">
      <c r="A588" s="67"/>
      <c r="B588" s="67"/>
      <c r="C588" s="67"/>
      <c r="D588" s="67"/>
    </row>
    <row r="589">
      <c r="A589" s="67"/>
      <c r="B589" s="67"/>
      <c r="C589" s="67"/>
      <c r="D589" s="67"/>
    </row>
    <row r="590">
      <c r="A590" s="67"/>
      <c r="B590" s="67"/>
      <c r="C590" s="67"/>
      <c r="D590" s="67"/>
    </row>
    <row r="591">
      <c r="A591" s="67"/>
      <c r="B591" s="67"/>
      <c r="C591" s="67"/>
      <c r="D591" s="67"/>
    </row>
    <row r="592">
      <c r="A592" s="67"/>
      <c r="B592" s="67"/>
      <c r="C592" s="67"/>
      <c r="D592" s="67"/>
    </row>
    <row r="593">
      <c r="A593" s="67"/>
      <c r="B593" s="67"/>
      <c r="C593" s="67"/>
      <c r="D593" s="67"/>
    </row>
    <row r="594">
      <c r="A594" s="67"/>
      <c r="B594" s="67"/>
      <c r="C594" s="67"/>
      <c r="D594" s="67"/>
    </row>
    <row r="595">
      <c r="A595" s="67"/>
      <c r="B595" s="67"/>
      <c r="C595" s="67"/>
      <c r="D595" s="67"/>
    </row>
    <row r="596">
      <c r="A596" s="67"/>
      <c r="B596" s="67"/>
      <c r="C596" s="67"/>
      <c r="D596" s="67"/>
    </row>
    <row r="597">
      <c r="A597" s="67"/>
      <c r="B597" s="67"/>
      <c r="C597" s="67"/>
      <c r="D597" s="67"/>
    </row>
    <row r="598">
      <c r="A598" s="67"/>
      <c r="B598" s="67"/>
      <c r="C598" s="67"/>
      <c r="D598" s="67"/>
    </row>
    <row r="599">
      <c r="A599" s="67"/>
      <c r="B599" s="67"/>
      <c r="C599" s="67"/>
      <c r="D599" s="67"/>
    </row>
    <row r="600">
      <c r="A600" s="67"/>
      <c r="B600" s="67"/>
      <c r="C600" s="67"/>
      <c r="D600" s="67"/>
    </row>
    <row r="601">
      <c r="A601" s="67"/>
      <c r="B601" s="67"/>
      <c r="C601" s="67"/>
      <c r="D601" s="67"/>
    </row>
    <row r="602">
      <c r="A602" s="67"/>
      <c r="B602" s="67"/>
      <c r="C602" s="67"/>
      <c r="D602" s="67"/>
    </row>
    <row r="603">
      <c r="A603" s="67"/>
      <c r="B603" s="67"/>
      <c r="C603" s="67"/>
      <c r="D603" s="67"/>
    </row>
    <row r="604">
      <c r="A604" s="67"/>
      <c r="B604" s="67"/>
      <c r="C604" s="67"/>
      <c r="D604" s="67"/>
    </row>
    <row r="605">
      <c r="A605" s="67"/>
      <c r="B605" s="67"/>
      <c r="C605" s="67"/>
      <c r="D605" s="67"/>
    </row>
    <row r="606">
      <c r="A606" s="67"/>
      <c r="B606" s="67"/>
      <c r="C606" s="67"/>
      <c r="D606" s="67"/>
    </row>
    <row r="607">
      <c r="A607" s="67"/>
      <c r="B607" s="67"/>
      <c r="C607" s="67"/>
      <c r="D607" s="67"/>
    </row>
    <row r="608">
      <c r="A608" s="67"/>
      <c r="B608" s="67"/>
      <c r="C608" s="67"/>
      <c r="D608" s="67"/>
    </row>
    <row r="609">
      <c r="A609" s="67"/>
      <c r="B609" s="67"/>
      <c r="C609" s="67"/>
      <c r="D609" s="67"/>
    </row>
    <row r="610">
      <c r="A610" s="67"/>
      <c r="B610" s="67"/>
      <c r="C610" s="67"/>
      <c r="D610" s="67"/>
    </row>
    <row r="611">
      <c r="A611" s="67"/>
      <c r="B611" s="67"/>
      <c r="C611" s="67"/>
      <c r="D611" s="67"/>
    </row>
    <row r="612">
      <c r="A612" s="67"/>
      <c r="B612" s="67"/>
      <c r="C612" s="67"/>
      <c r="D612" s="67"/>
    </row>
    <row r="613">
      <c r="A613" s="67"/>
      <c r="B613" s="67"/>
      <c r="C613" s="67"/>
      <c r="D613" s="67"/>
    </row>
    <row r="614">
      <c r="A614" s="67"/>
      <c r="B614" s="67"/>
      <c r="C614" s="67"/>
      <c r="D614" s="67"/>
    </row>
    <row r="615">
      <c r="A615" s="67"/>
      <c r="B615" s="67"/>
      <c r="C615" s="67"/>
      <c r="D615" s="67"/>
    </row>
    <row r="616">
      <c r="A616" s="67"/>
      <c r="B616" s="67"/>
      <c r="C616" s="67"/>
      <c r="D616" s="67"/>
    </row>
    <row r="617">
      <c r="A617" s="67"/>
      <c r="B617" s="67"/>
      <c r="C617" s="67"/>
      <c r="D617" s="67"/>
    </row>
    <row r="618">
      <c r="A618" s="67"/>
      <c r="B618" s="67"/>
      <c r="C618" s="67"/>
      <c r="D618" s="67"/>
    </row>
    <row r="619">
      <c r="A619" s="67"/>
      <c r="B619" s="67"/>
      <c r="C619" s="67"/>
      <c r="D619" s="67"/>
    </row>
    <row r="620">
      <c r="A620" s="67"/>
      <c r="B620" s="67"/>
      <c r="C620" s="67"/>
      <c r="D620" s="67"/>
    </row>
    <row r="621">
      <c r="A621" s="67"/>
      <c r="B621" s="67"/>
      <c r="C621" s="67"/>
      <c r="D621" s="67"/>
    </row>
    <row r="622">
      <c r="A622" s="67"/>
      <c r="B622" s="67"/>
      <c r="C622" s="67"/>
      <c r="D622" s="67"/>
    </row>
    <row r="623">
      <c r="A623" s="67"/>
      <c r="B623" s="67"/>
      <c r="C623" s="67"/>
      <c r="D623" s="67"/>
    </row>
    <row r="624">
      <c r="A624" s="67"/>
      <c r="B624" s="67"/>
      <c r="C624" s="67"/>
      <c r="D624" s="67"/>
    </row>
    <row r="625">
      <c r="A625" s="67"/>
      <c r="B625" s="67"/>
      <c r="C625" s="67"/>
      <c r="D625" s="67"/>
    </row>
    <row r="626">
      <c r="A626" s="67"/>
      <c r="B626" s="67"/>
      <c r="C626" s="67"/>
      <c r="D626" s="67"/>
    </row>
    <row r="627">
      <c r="A627" s="67"/>
      <c r="B627" s="67"/>
      <c r="C627" s="67"/>
      <c r="D627" s="67"/>
    </row>
    <row r="628">
      <c r="A628" s="67"/>
      <c r="B628" s="67"/>
      <c r="C628" s="67"/>
      <c r="D628" s="67"/>
    </row>
    <row r="629">
      <c r="A629" s="67"/>
      <c r="B629" s="67"/>
      <c r="C629" s="67"/>
      <c r="D629" s="67"/>
    </row>
    <row r="630">
      <c r="A630" s="67"/>
      <c r="B630" s="67"/>
      <c r="C630" s="67"/>
      <c r="D630" s="67"/>
    </row>
    <row r="631">
      <c r="A631" s="67"/>
      <c r="B631" s="67"/>
      <c r="C631" s="67"/>
      <c r="D631" s="67"/>
    </row>
    <row r="632">
      <c r="A632" s="67"/>
      <c r="B632" s="67"/>
      <c r="C632" s="67"/>
      <c r="D632" s="67"/>
    </row>
    <row r="633">
      <c r="A633" s="67"/>
      <c r="B633" s="67"/>
      <c r="C633" s="67"/>
      <c r="D633" s="67"/>
    </row>
    <row r="634">
      <c r="A634" s="67"/>
      <c r="B634" s="67"/>
      <c r="C634" s="67"/>
      <c r="D634" s="67"/>
    </row>
    <row r="635">
      <c r="A635" s="67"/>
      <c r="B635" s="67"/>
      <c r="C635" s="67"/>
      <c r="D635" s="67"/>
    </row>
    <row r="636">
      <c r="A636" s="67"/>
      <c r="B636" s="67"/>
      <c r="C636" s="67"/>
      <c r="D636" s="67"/>
    </row>
    <row r="637">
      <c r="A637" s="67"/>
      <c r="B637" s="67"/>
      <c r="C637" s="67"/>
      <c r="D637" s="67"/>
    </row>
    <row r="638">
      <c r="A638" s="67"/>
      <c r="B638" s="67"/>
      <c r="C638" s="67"/>
      <c r="D638" s="67"/>
    </row>
    <row r="639">
      <c r="A639" s="67"/>
      <c r="B639" s="67"/>
      <c r="C639" s="67"/>
      <c r="D639" s="67"/>
    </row>
    <row r="640">
      <c r="A640" s="67"/>
      <c r="B640" s="67"/>
      <c r="C640" s="67"/>
      <c r="D640" s="67"/>
    </row>
    <row r="641">
      <c r="A641" s="67"/>
      <c r="B641" s="67"/>
      <c r="C641" s="67"/>
      <c r="D641" s="67"/>
    </row>
    <row r="642">
      <c r="A642" s="67"/>
      <c r="B642" s="67"/>
      <c r="C642" s="67"/>
      <c r="D642" s="67"/>
    </row>
    <row r="643">
      <c r="A643" s="67"/>
      <c r="B643" s="67"/>
      <c r="C643" s="67"/>
      <c r="D643" s="67"/>
    </row>
    <row r="644">
      <c r="A644" s="67"/>
      <c r="B644" s="67"/>
      <c r="C644" s="67"/>
      <c r="D644" s="67"/>
    </row>
    <row r="645">
      <c r="A645" s="67"/>
      <c r="B645" s="67"/>
      <c r="C645" s="67"/>
      <c r="D645" s="67"/>
    </row>
    <row r="646">
      <c r="A646" s="67"/>
      <c r="B646" s="67"/>
      <c r="C646" s="67"/>
      <c r="D646" s="67"/>
    </row>
    <row r="647">
      <c r="A647" s="67"/>
      <c r="B647" s="67"/>
      <c r="C647" s="67"/>
      <c r="D647" s="67"/>
    </row>
    <row r="648">
      <c r="A648" s="67"/>
      <c r="B648" s="67"/>
      <c r="C648" s="67"/>
      <c r="D648" s="67"/>
    </row>
    <row r="649">
      <c r="A649" s="67"/>
      <c r="B649" s="67"/>
      <c r="C649" s="67"/>
      <c r="D649" s="67"/>
    </row>
    <row r="650">
      <c r="A650" s="67"/>
      <c r="B650" s="67"/>
      <c r="C650" s="67"/>
      <c r="D650" s="67"/>
    </row>
    <row r="651">
      <c r="A651" s="67"/>
      <c r="B651" s="67"/>
      <c r="C651" s="67"/>
      <c r="D651" s="67"/>
    </row>
    <row r="652">
      <c r="A652" s="67"/>
      <c r="B652" s="67"/>
      <c r="C652" s="67"/>
      <c r="D652" s="67"/>
    </row>
    <row r="653">
      <c r="A653" s="67"/>
      <c r="B653" s="67"/>
      <c r="C653" s="67"/>
      <c r="D653" s="67"/>
    </row>
    <row r="654">
      <c r="A654" s="67"/>
      <c r="B654" s="67"/>
      <c r="C654" s="67"/>
      <c r="D654" s="67"/>
    </row>
    <row r="655">
      <c r="A655" s="67"/>
      <c r="B655" s="67"/>
      <c r="C655" s="67"/>
      <c r="D655" s="67"/>
    </row>
    <row r="656">
      <c r="A656" s="67"/>
      <c r="B656" s="67"/>
      <c r="C656" s="67"/>
      <c r="D656" s="67"/>
    </row>
    <row r="657">
      <c r="A657" s="67"/>
      <c r="B657" s="67"/>
      <c r="C657" s="67"/>
      <c r="D657" s="67"/>
    </row>
    <row r="658">
      <c r="A658" s="67"/>
      <c r="B658" s="67"/>
      <c r="C658" s="67"/>
      <c r="D658" s="67"/>
    </row>
    <row r="659">
      <c r="A659" s="67"/>
      <c r="B659" s="67"/>
      <c r="C659" s="67"/>
      <c r="D659" s="67"/>
    </row>
    <row r="660">
      <c r="A660" s="67"/>
      <c r="B660" s="67"/>
      <c r="C660" s="67"/>
      <c r="D660" s="67"/>
    </row>
    <row r="661">
      <c r="A661" s="67"/>
      <c r="B661" s="67"/>
      <c r="C661" s="67"/>
      <c r="D661" s="67"/>
    </row>
    <row r="662">
      <c r="A662" s="67"/>
      <c r="B662" s="67"/>
      <c r="C662" s="67"/>
      <c r="D662" s="67"/>
    </row>
    <row r="663">
      <c r="A663" s="67"/>
      <c r="B663" s="67"/>
      <c r="C663" s="67"/>
      <c r="D663" s="67"/>
    </row>
    <row r="664">
      <c r="A664" s="67"/>
      <c r="B664" s="67"/>
      <c r="C664" s="67"/>
      <c r="D664" s="67"/>
    </row>
    <row r="665">
      <c r="A665" s="67"/>
      <c r="B665" s="67"/>
      <c r="C665" s="67"/>
      <c r="D665" s="67"/>
    </row>
    <row r="666">
      <c r="A666" s="67"/>
      <c r="B666" s="67"/>
      <c r="C666" s="67"/>
      <c r="D666" s="67"/>
    </row>
    <row r="667">
      <c r="A667" s="67"/>
      <c r="B667" s="67"/>
      <c r="C667" s="67"/>
      <c r="D667" s="67"/>
    </row>
    <row r="668">
      <c r="A668" s="67"/>
      <c r="B668" s="67"/>
      <c r="C668" s="67"/>
      <c r="D668" s="67"/>
    </row>
    <row r="669">
      <c r="A669" s="67"/>
      <c r="B669" s="67"/>
      <c r="C669" s="67"/>
      <c r="D669" s="67"/>
    </row>
    <row r="670">
      <c r="A670" s="67"/>
      <c r="B670" s="67"/>
      <c r="C670" s="67"/>
      <c r="D670" s="67"/>
    </row>
    <row r="671">
      <c r="A671" s="67"/>
      <c r="B671" s="67"/>
      <c r="C671" s="67"/>
      <c r="D671" s="67"/>
    </row>
    <row r="672">
      <c r="A672" s="67"/>
      <c r="B672" s="67"/>
      <c r="C672" s="67"/>
      <c r="D672" s="67"/>
    </row>
    <row r="673">
      <c r="A673" s="67"/>
      <c r="B673" s="67"/>
      <c r="C673" s="67"/>
      <c r="D673" s="67"/>
    </row>
    <row r="674">
      <c r="A674" s="67"/>
      <c r="B674" s="67"/>
      <c r="C674" s="67"/>
      <c r="D674" s="67"/>
    </row>
    <row r="675">
      <c r="A675" s="67"/>
      <c r="B675" s="67"/>
      <c r="C675" s="67"/>
      <c r="D675" s="67"/>
    </row>
    <row r="676">
      <c r="A676" s="67"/>
      <c r="B676" s="67"/>
      <c r="C676" s="67"/>
      <c r="D676" s="67"/>
    </row>
    <row r="677">
      <c r="A677" s="67"/>
      <c r="B677" s="67"/>
      <c r="C677" s="67"/>
      <c r="D677" s="67"/>
    </row>
    <row r="678">
      <c r="A678" s="67"/>
      <c r="B678" s="67"/>
      <c r="C678" s="67"/>
      <c r="D678" s="67"/>
    </row>
    <row r="679">
      <c r="A679" s="67"/>
      <c r="B679" s="67"/>
      <c r="C679" s="67"/>
      <c r="D679" s="67"/>
    </row>
    <row r="680">
      <c r="A680" s="67"/>
      <c r="B680" s="67"/>
      <c r="C680" s="67"/>
      <c r="D680" s="67"/>
    </row>
    <row r="681">
      <c r="A681" s="67"/>
      <c r="B681" s="67"/>
      <c r="C681" s="67"/>
      <c r="D681" s="67"/>
    </row>
    <row r="682">
      <c r="A682" s="67"/>
      <c r="B682" s="67"/>
      <c r="C682" s="67"/>
      <c r="D682" s="67"/>
    </row>
    <row r="683">
      <c r="A683" s="67"/>
      <c r="B683" s="67"/>
      <c r="C683" s="67"/>
      <c r="D683" s="67"/>
    </row>
    <row r="684">
      <c r="A684" s="67"/>
      <c r="B684" s="67"/>
      <c r="C684" s="67"/>
      <c r="D684" s="67"/>
    </row>
    <row r="685">
      <c r="A685" s="67"/>
      <c r="B685" s="67"/>
      <c r="C685" s="67"/>
      <c r="D685" s="67"/>
    </row>
    <row r="686">
      <c r="A686" s="67"/>
      <c r="B686" s="67"/>
      <c r="C686" s="67"/>
      <c r="D686" s="67"/>
    </row>
    <row r="687">
      <c r="A687" s="67"/>
      <c r="B687" s="67"/>
      <c r="C687" s="67"/>
      <c r="D687" s="67"/>
    </row>
    <row r="688">
      <c r="A688" s="67"/>
      <c r="B688" s="67"/>
      <c r="C688" s="67"/>
      <c r="D688" s="67"/>
    </row>
    <row r="689">
      <c r="A689" s="67"/>
      <c r="B689" s="67"/>
      <c r="C689" s="67"/>
      <c r="D689" s="67"/>
    </row>
    <row r="690">
      <c r="A690" s="67"/>
      <c r="B690" s="67"/>
      <c r="C690" s="67"/>
      <c r="D690" s="67"/>
    </row>
    <row r="691">
      <c r="A691" s="67"/>
      <c r="B691" s="67"/>
      <c r="C691" s="67"/>
      <c r="D691" s="67"/>
    </row>
    <row r="692">
      <c r="A692" s="67"/>
      <c r="B692" s="67"/>
      <c r="C692" s="67"/>
      <c r="D692" s="67"/>
    </row>
    <row r="693">
      <c r="A693" s="67"/>
      <c r="B693" s="67"/>
      <c r="C693" s="67"/>
      <c r="D693" s="67"/>
    </row>
    <row r="694">
      <c r="A694" s="67"/>
      <c r="B694" s="67"/>
      <c r="C694" s="67"/>
      <c r="D694" s="67"/>
    </row>
    <row r="695">
      <c r="A695" s="67"/>
      <c r="B695" s="67"/>
      <c r="C695" s="67"/>
      <c r="D695" s="67"/>
    </row>
    <row r="696">
      <c r="A696" s="67"/>
      <c r="B696" s="67"/>
      <c r="C696" s="67"/>
      <c r="D696" s="67"/>
    </row>
    <row r="697">
      <c r="A697" s="67"/>
      <c r="B697" s="67"/>
      <c r="C697" s="67"/>
      <c r="D697" s="67"/>
    </row>
    <row r="698">
      <c r="A698" s="67"/>
      <c r="B698" s="67"/>
      <c r="C698" s="67"/>
      <c r="D698" s="67"/>
    </row>
    <row r="699">
      <c r="A699" s="67"/>
      <c r="B699" s="67"/>
      <c r="C699" s="67"/>
      <c r="D699" s="67"/>
    </row>
    <row r="700">
      <c r="A700" s="67"/>
      <c r="B700" s="67"/>
      <c r="C700" s="67"/>
      <c r="D700" s="67"/>
    </row>
    <row r="701">
      <c r="A701" s="67"/>
      <c r="B701" s="67"/>
      <c r="C701" s="67"/>
      <c r="D701" s="67"/>
    </row>
    <row r="702">
      <c r="A702" s="67"/>
      <c r="B702" s="67"/>
      <c r="C702" s="67"/>
      <c r="D702" s="67"/>
    </row>
    <row r="703">
      <c r="A703" s="67"/>
      <c r="B703" s="67"/>
      <c r="C703" s="67"/>
      <c r="D703" s="67"/>
    </row>
    <row r="704">
      <c r="A704" s="67"/>
      <c r="B704" s="67"/>
      <c r="C704" s="67"/>
      <c r="D704" s="67"/>
    </row>
    <row r="705">
      <c r="A705" s="67"/>
      <c r="B705" s="67"/>
      <c r="C705" s="67"/>
      <c r="D705" s="67"/>
    </row>
    <row r="706">
      <c r="A706" s="67"/>
      <c r="B706" s="67"/>
      <c r="C706" s="67"/>
      <c r="D706" s="67"/>
    </row>
    <row r="707">
      <c r="A707" s="67"/>
      <c r="B707" s="67"/>
      <c r="C707" s="67"/>
      <c r="D707" s="67"/>
    </row>
    <row r="708">
      <c r="A708" s="67"/>
      <c r="B708" s="67"/>
      <c r="C708" s="67"/>
      <c r="D708" s="67"/>
    </row>
    <row r="709">
      <c r="A709" s="67"/>
      <c r="B709" s="67"/>
      <c r="C709" s="67"/>
      <c r="D709" s="67"/>
    </row>
    <row r="710">
      <c r="A710" s="67"/>
      <c r="B710" s="67"/>
      <c r="C710" s="67"/>
      <c r="D710" s="67"/>
    </row>
    <row r="711">
      <c r="A711" s="67"/>
      <c r="B711" s="67"/>
      <c r="C711" s="67"/>
      <c r="D711" s="67"/>
    </row>
    <row r="712">
      <c r="A712" s="67"/>
      <c r="B712" s="67"/>
      <c r="C712" s="67"/>
      <c r="D712" s="67"/>
    </row>
    <row r="713">
      <c r="A713" s="67"/>
      <c r="B713" s="67"/>
      <c r="C713" s="67"/>
      <c r="D713" s="67"/>
    </row>
    <row r="714">
      <c r="A714" s="67"/>
      <c r="B714" s="67"/>
      <c r="C714" s="67"/>
      <c r="D714" s="67"/>
    </row>
    <row r="715">
      <c r="A715" s="67"/>
      <c r="B715" s="67"/>
      <c r="C715" s="67"/>
      <c r="D715" s="67"/>
    </row>
    <row r="716">
      <c r="A716" s="67"/>
      <c r="B716" s="67"/>
      <c r="C716" s="67"/>
      <c r="D716" s="67"/>
    </row>
    <row r="717">
      <c r="A717" s="67"/>
      <c r="B717" s="67"/>
      <c r="C717" s="67"/>
      <c r="D717" s="67"/>
    </row>
    <row r="718">
      <c r="A718" s="67"/>
      <c r="B718" s="67"/>
      <c r="C718" s="67"/>
      <c r="D718" s="67"/>
    </row>
    <row r="719">
      <c r="A719" s="67"/>
      <c r="B719" s="67"/>
      <c r="C719" s="67"/>
      <c r="D719" s="67"/>
    </row>
    <row r="720">
      <c r="A720" s="67"/>
      <c r="B720" s="67"/>
      <c r="C720" s="67"/>
      <c r="D720" s="67"/>
    </row>
    <row r="721">
      <c r="A721" s="67"/>
      <c r="B721" s="67"/>
      <c r="C721" s="67"/>
      <c r="D721" s="67"/>
    </row>
    <row r="722">
      <c r="A722" s="67"/>
      <c r="B722" s="67"/>
      <c r="C722" s="67"/>
      <c r="D722" s="67"/>
    </row>
    <row r="723">
      <c r="A723" s="67"/>
      <c r="B723" s="67"/>
      <c r="C723" s="67"/>
      <c r="D723" s="67"/>
    </row>
    <row r="724">
      <c r="A724" s="67"/>
      <c r="B724" s="67"/>
      <c r="C724" s="67"/>
      <c r="D724" s="67"/>
    </row>
    <row r="725">
      <c r="A725" s="67"/>
      <c r="B725" s="67"/>
      <c r="C725" s="67"/>
      <c r="D725" s="67"/>
    </row>
    <row r="726">
      <c r="A726" s="67"/>
      <c r="B726" s="67"/>
      <c r="C726" s="67"/>
      <c r="D726" s="67"/>
    </row>
    <row r="727">
      <c r="A727" s="67"/>
      <c r="B727" s="67"/>
      <c r="C727" s="67"/>
      <c r="D727" s="67"/>
    </row>
    <row r="728">
      <c r="A728" s="67"/>
      <c r="B728" s="67"/>
      <c r="C728" s="67"/>
      <c r="D728" s="67"/>
    </row>
    <row r="729">
      <c r="A729" s="67"/>
      <c r="B729" s="67"/>
      <c r="C729" s="67"/>
      <c r="D729" s="67"/>
    </row>
    <row r="730">
      <c r="A730" s="67"/>
      <c r="B730" s="67"/>
      <c r="C730" s="67"/>
      <c r="D730" s="67"/>
    </row>
    <row r="731">
      <c r="A731" s="67"/>
      <c r="B731" s="67"/>
      <c r="C731" s="67"/>
      <c r="D731" s="67"/>
    </row>
    <row r="732">
      <c r="A732" s="67"/>
      <c r="B732" s="67"/>
      <c r="C732" s="67"/>
      <c r="D732" s="67"/>
    </row>
    <row r="733">
      <c r="A733" s="67"/>
      <c r="B733" s="67"/>
      <c r="C733" s="67"/>
      <c r="D733" s="67"/>
    </row>
    <row r="734">
      <c r="A734" s="67"/>
      <c r="B734" s="67"/>
      <c r="C734" s="67"/>
      <c r="D734" s="67"/>
    </row>
    <row r="735">
      <c r="A735" s="67"/>
      <c r="B735" s="67"/>
      <c r="C735" s="67"/>
      <c r="D735" s="67"/>
    </row>
    <row r="736">
      <c r="A736" s="67"/>
      <c r="B736" s="67"/>
      <c r="C736" s="67"/>
      <c r="D736" s="67"/>
    </row>
    <row r="737">
      <c r="A737" s="67"/>
      <c r="B737" s="67"/>
      <c r="C737" s="67"/>
      <c r="D737" s="67"/>
    </row>
    <row r="738">
      <c r="A738" s="67"/>
      <c r="B738" s="67"/>
      <c r="C738" s="67"/>
      <c r="D738" s="67"/>
    </row>
    <row r="739">
      <c r="A739" s="67"/>
      <c r="B739" s="67"/>
      <c r="C739" s="67"/>
      <c r="D739" s="67"/>
    </row>
    <row r="740">
      <c r="A740" s="67"/>
      <c r="B740" s="67"/>
      <c r="C740" s="67"/>
      <c r="D740" s="67"/>
    </row>
    <row r="741">
      <c r="A741" s="67"/>
      <c r="B741" s="67"/>
      <c r="C741" s="67"/>
      <c r="D741" s="67"/>
    </row>
    <row r="742">
      <c r="A742" s="67"/>
      <c r="B742" s="67"/>
      <c r="C742" s="67"/>
      <c r="D742" s="67"/>
    </row>
    <row r="743">
      <c r="A743" s="67"/>
      <c r="B743" s="67"/>
      <c r="C743" s="67"/>
      <c r="D743" s="67"/>
    </row>
    <row r="744">
      <c r="A744" s="67"/>
      <c r="B744" s="67"/>
      <c r="C744" s="67"/>
      <c r="D744" s="67"/>
    </row>
    <row r="745">
      <c r="A745" s="67"/>
      <c r="B745" s="67"/>
      <c r="C745" s="67"/>
      <c r="D745" s="67"/>
    </row>
    <row r="746">
      <c r="A746" s="67"/>
      <c r="B746" s="67"/>
      <c r="C746" s="67"/>
      <c r="D746" s="67"/>
    </row>
    <row r="747">
      <c r="A747" s="67"/>
      <c r="B747" s="67"/>
      <c r="C747" s="67"/>
      <c r="D747" s="67"/>
    </row>
    <row r="748">
      <c r="A748" s="67"/>
      <c r="B748" s="67"/>
      <c r="C748" s="67"/>
      <c r="D748" s="67"/>
    </row>
    <row r="749">
      <c r="A749" s="67"/>
      <c r="B749" s="67"/>
      <c r="C749" s="67"/>
      <c r="D749" s="67"/>
    </row>
    <row r="750">
      <c r="A750" s="67"/>
      <c r="B750" s="67"/>
      <c r="C750" s="67"/>
      <c r="D750" s="67"/>
    </row>
    <row r="751">
      <c r="A751" s="67"/>
      <c r="B751" s="67"/>
      <c r="C751" s="67"/>
      <c r="D751" s="67"/>
    </row>
    <row r="752">
      <c r="A752" s="67"/>
      <c r="B752" s="67"/>
      <c r="C752" s="67"/>
      <c r="D752" s="67"/>
    </row>
    <row r="753">
      <c r="A753" s="67"/>
      <c r="B753" s="67"/>
      <c r="C753" s="67"/>
      <c r="D753" s="67"/>
    </row>
    <row r="754">
      <c r="A754" s="67"/>
      <c r="B754" s="67"/>
      <c r="C754" s="67"/>
      <c r="D754" s="67"/>
    </row>
    <row r="755">
      <c r="A755" s="67"/>
      <c r="B755" s="67"/>
      <c r="C755" s="67"/>
      <c r="D755" s="67"/>
    </row>
    <row r="756">
      <c r="A756" s="67"/>
      <c r="B756" s="67"/>
      <c r="C756" s="67"/>
      <c r="D756" s="67"/>
    </row>
    <row r="757">
      <c r="A757" s="67"/>
      <c r="B757" s="67"/>
      <c r="C757" s="67"/>
      <c r="D757" s="67"/>
    </row>
    <row r="758">
      <c r="A758" s="67"/>
      <c r="B758" s="67"/>
      <c r="C758" s="67"/>
      <c r="D758" s="67"/>
    </row>
    <row r="759">
      <c r="A759" s="67"/>
      <c r="B759" s="67"/>
      <c r="C759" s="67"/>
      <c r="D759" s="67"/>
    </row>
    <row r="760">
      <c r="A760" s="67"/>
      <c r="B760" s="67"/>
      <c r="C760" s="67"/>
      <c r="D760" s="67"/>
    </row>
    <row r="761">
      <c r="A761" s="67"/>
      <c r="B761" s="67"/>
      <c r="C761" s="67"/>
      <c r="D761" s="67"/>
    </row>
    <row r="762">
      <c r="A762" s="67"/>
      <c r="B762" s="67"/>
      <c r="C762" s="67"/>
      <c r="D762" s="67"/>
    </row>
    <row r="763">
      <c r="A763" s="67"/>
      <c r="B763" s="67"/>
      <c r="C763" s="67"/>
      <c r="D763" s="67"/>
    </row>
    <row r="764">
      <c r="A764" s="67"/>
      <c r="B764" s="67"/>
      <c r="C764" s="67"/>
      <c r="D764" s="67"/>
    </row>
    <row r="765">
      <c r="A765" s="67"/>
      <c r="B765" s="67"/>
      <c r="C765" s="67"/>
      <c r="D765" s="67"/>
    </row>
    <row r="766">
      <c r="A766" s="67"/>
      <c r="B766" s="67"/>
      <c r="C766" s="67"/>
      <c r="D766" s="67"/>
    </row>
    <row r="767">
      <c r="A767" s="67"/>
      <c r="B767" s="67"/>
      <c r="C767" s="67"/>
      <c r="D767" s="67"/>
    </row>
    <row r="768">
      <c r="A768" s="67"/>
      <c r="B768" s="67"/>
      <c r="C768" s="67"/>
      <c r="D768" s="67"/>
    </row>
    <row r="769">
      <c r="A769" s="67"/>
      <c r="B769" s="67"/>
      <c r="C769" s="67"/>
      <c r="D769" s="67"/>
    </row>
    <row r="770">
      <c r="A770" s="67"/>
      <c r="B770" s="67"/>
      <c r="C770" s="67"/>
      <c r="D770" s="67"/>
    </row>
    <row r="771">
      <c r="A771" s="67"/>
      <c r="B771" s="67"/>
      <c r="C771" s="67"/>
      <c r="D771" s="67"/>
    </row>
    <row r="772">
      <c r="A772" s="67"/>
      <c r="B772" s="67"/>
      <c r="C772" s="67"/>
      <c r="D772" s="67"/>
    </row>
    <row r="773">
      <c r="A773" s="67"/>
      <c r="B773" s="67"/>
      <c r="C773" s="67"/>
      <c r="D773" s="67"/>
    </row>
    <row r="774">
      <c r="A774" s="67"/>
      <c r="B774" s="67"/>
      <c r="C774" s="67"/>
      <c r="D774" s="67"/>
    </row>
    <row r="775">
      <c r="A775" s="67"/>
      <c r="B775" s="67"/>
      <c r="C775" s="67"/>
      <c r="D775" s="67"/>
    </row>
    <row r="776">
      <c r="A776" s="67"/>
      <c r="B776" s="67"/>
      <c r="C776" s="67"/>
      <c r="D776" s="67"/>
    </row>
    <row r="777">
      <c r="A777" s="67"/>
      <c r="B777" s="67"/>
      <c r="C777" s="67"/>
      <c r="D777" s="67"/>
    </row>
    <row r="778">
      <c r="A778" s="67"/>
      <c r="B778" s="67"/>
      <c r="C778" s="67"/>
      <c r="D778" s="67"/>
    </row>
    <row r="779">
      <c r="A779" s="67"/>
      <c r="B779" s="67"/>
      <c r="C779" s="67"/>
      <c r="D779" s="67"/>
    </row>
    <row r="780">
      <c r="A780" s="67"/>
      <c r="B780" s="67"/>
      <c r="C780" s="67"/>
      <c r="D780" s="67"/>
    </row>
    <row r="781">
      <c r="A781" s="67"/>
      <c r="B781" s="67"/>
      <c r="C781" s="67"/>
      <c r="D781" s="67"/>
    </row>
    <row r="782">
      <c r="A782" s="67"/>
      <c r="B782" s="67"/>
      <c r="C782" s="67"/>
      <c r="D782" s="67"/>
    </row>
    <row r="783">
      <c r="A783" s="67"/>
      <c r="B783" s="67"/>
      <c r="C783" s="67"/>
      <c r="D783" s="67"/>
    </row>
    <row r="784">
      <c r="A784" s="67"/>
      <c r="B784" s="67"/>
      <c r="C784" s="67"/>
      <c r="D784" s="67"/>
    </row>
    <row r="785">
      <c r="A785" s="67"/>
      <c r="B785" s="67"/>
      <c r="C785" s="67"/>
      <c r="D785" s="67"/>
    </row>
    <row r="786">
      <c r="A786" s="67"/>
      <c r="B786" s="67"/>
      <c r="C786" s="67"/>
      <c r="D786" s="67"/>
    </row>
    <row r="787">
      <c r="A787" s="67"/>
      <c r="B787" s="67"/>
      <c r="C787" s="67"/>
      <c r="D787" s="67"/>
    </row>
    <row r="788">
      <c r="A788" s="67"/>
      <c r="B788" s="67"/>
      <c r="C788" s="67"/>
      <c r="D788" s="67"/>
    </row>
    <row r="789">
      <c r="A789" s="67"/>
      <c r="B789" s="67"/>
      <c r="C789" s="67"/>
      <c r="D789" s="67"/>
    </row>
    <row r="790">
      <c r="A790" s="67"/>
      <c r="B790" s="67"/>
      <c r="C790" s="67"/>
      <c r="D790" s="67"/>
    </row>
    <row r="791">
      <c r="A791" s="67"/>
      <c r="B791" s="67"/>
      <c r="C791" s="67"/>
      <c r="D791" s="67"/>
    </row>
    <row r="792">
      <c r="A792" s="67"/>
      <c r="B792" s="67"/>
      <c r="C792" s="67"/>
      <c r="D792" s="67"/>
    </row>
    <row r="793">
      <c r="A793" s="67"/>
      <c r="B793" s="67"/>
      <c r="C793" s="67"/>
      <c r="D793" s="67"/>
    </row>
    <row r="794">
      <c r="A794" s="67"/>
      <c r="B794" s="67"/>
      <c r="C794" s="67"/>
      <c r="D794" s="67"/>
    </row>
    <row r="795">
      <c r="A795" s="67"/>
      <c r="B795" s="67"/>
      <c r="C795" s="67"/>
      <c r="D795" s="67"/>
    </row>
    <row r="796">
      <c r="A796" s="67"/>
      <c r="B796" s="67"/>
      <c r="C796" s="67"/>
      <c r="D796" s="67"/>
    </row>
    <row r="797">
      <c r="A797" s="67"/>
      <c r="B797" s="67"/>
      <c r="C797" s="67"/>
      <c r="D797" s="67"/>
    </row>
    <row r="798">
      <c r="A798" s="67"/>
      <c r="B798" s="67"/>
      <c r="C798" s="67"/>
      <c r="D798" s="67"/>
    </row>
    <row r="799">
      <c r="A799" s="67"/>
      <c r="B799" s="67"/>
      <c r="C799" s="67"/>
      <c r="D799" s="67"/>
    </row>
    <row r="800">
      <c r="A800" s="67"/>
      <c r="B800" s="67"/>
      <c r="C800" s="67"/>
      <c r="D800" s="67"/>
    </row>
    <row r="801">
      <c r="A801" s="67"/>
      <c r="B801" s="67"/>
      <c r="C801" s="67"/>
      <c r="D801" s="67"/>
    </row>
    <row r="802">
      <c r="A802" s="67"/>
      <c r="B802" s="67"/>
      <c r="C802" s="67"/>
      <c r="D802" s="67"/>
    </row>
    <row r="803">
      <c r="A803" s="67"/>
      <c r="B803" s="67"/>
      <c r="C803" s="67"/>
      <c r="D803" s="67"/>
    </row>
    <row r="804">
      <c r="A804" s="67"/>
      <c r="B804" s="67"/>
      <c r="C804" s="67"/>
      <c r="D804" s="67"/>
    </row>
    <row r="805">
      <c r="A805" s="67"/>
      <c r="B805" s="67"/>
      <c r="C805" s="67"/>
      <c r="D805" s="67"/>
    </row>
    <row r="806">
      <c r="A806" s="67"/>
      <c r="B806" s="67"/>
      <c r="C806" s="67"/>
      <c r="D806" s="67"/>
    </row>
    <row r="807">
      <c r="A807" s="67"/>
      <c r="B807" s="67"/>
      <c r="C807" s="67"/>
      <c r="D807" s="67"/>
    </row>
    <row r="808">
      <c r="A808" s="67"/>
      <c r="B808" s="67"/>
      <c r="C808" s="67"/>
      <c r="D808" s="67"/>
    </row>
    <row r="809">
      <c r="A809" s="67"/>
      <c r="B809" s="67"/>
      <c r="C809" s="67"/>
      <c r="D809" s="67"/>
    </row>
    <row r="810">
      <c r="A810" s="67"/>
      <c r="B810" s="67"/>
      <c r="C810" s="67"/>
      <c r="D810" s="67"/>
    </row>
    <row r="811">
      <c r="A811" s="67"/>
      <c r="B811" s="67"/>
      <c r="C811" s="67"/>
      <c r="D811" s="67"/>
    </row>
    <row r="812">
      <c r="A812" s="67"/>
      <c r="B812" s="67"/>
      <c r="C812" s="67"/>
      <c r="D812" s="67"/>
    </row>
    <row r="813">
      <c r="A813" s="67"/>
      <c r="B813" s="67"/>
      <c r="C813" s="67"/>
      <c r="D813" s="67"/>
    </row>
    <row r="814">
      <c r="A814" s="67"/>
      <c r="B814" s="67"/>
      <c r="C814" s="67"/>
      <c r="D814" s="67"/>
    </row>
    <row r="815">
      <c r="A815" s="67"/>
      <c r="B815" s="67"/>
      <c r="C815" s="67"/>
      <c r="D815" s="67"/>
    </row>
    <row r="816">
      <c r="A816" s="67"/>
      <c r="B816" s="67"/>
      <c r="C816" s="67"/>
      <c r="D816" s="67"/>
    </row>
    <row r="817">
      <c r="A817" s="67"/>
      <c r="B817" s="67"/>
      <c r="C817" s="67"/>
      <c r="D817" s="67"/>
    </row>
    <row r="818">
      <c r="A818" s="67"/>
      <c r="B818" s="67"/>
      <c r="C818" s="67"/>
      <c r="D818" s="67"/>
    </row>
    <row r="819">
      <c r="A819" s="67"/>
      <c r="B819" s="67"/>
      <c r="C819" s="67"/>
      <c r="D819" s="67"/>
    </row>
    <row r="820">
      <c r="A820" s="67"/>
      <c r="B820" s="67"/>
      <c r="C820" s="67"/>
      <c r="D820" s="67"/>
    </row>
    <row r="821">
      <c r="A821" s="67"/>
      <c r="B821" s="67"/>
      <c r="C821" s="67"/>
      <c r="D821" s="67"/>
    </row>
    <row r="822">
      <c r="A822" s="67"/>
      <c r="B822" s="67"/>
      <c r="C822" s="67"/>
      <c r="D822" s="67"/>
    </row>
    <row r="823">
      <c r="A823" s="67"/>
      <c r="B823" s="67"/>
      <c r="C823" s="67"/>
      <c r="D823" s="67"/>
    </row>
    <row r="824">
      <c r="A824" s="67"/>
      <c r="B824" s="67"/>
      <c r="C824" s="67"/>
      <c r="D824" s="67"/>
    </row>
    <row r="825">
      <c r="A825" s="67"/>
      <c r="B825" s="67"/>
      <c r="C825" s="67"/>
      <c r="D825" s="67"/>
    </row>
    <row r="826">
      <c r="A826" s="67"/>
      <c r="B826" s="67"/>
      <c r="C826" s="67"/>
      <c r="D826" s="67"/>
    </row>
    <row r="827">
      <c r="A827" s="67"/>
      <c r="B827" s="67"/>
      <c r="C827" s="67"/>
      <c r="D827" s="67"/>
    </row>
    <row r="828">
      <c r="A828" s="67"/>
      <c r="B828" s="67"/>
      <c r="C828" s="67"/>
      <c r="D828" s="67"/>
    </row>
    <row r="829">
      <c r="A829" s="67"/>
      <c r="B829" s="67"/>
      <c r="C829" s="67"/>
      <c r="D829" s="67"/>
    </row>
    <row r="830">
      <c r="A830" s="67"/>
      <c r="B830" s="67"/>
      <c r="C830" s="67"/>
      <c r="D830" s="67"/>
    </row>
    <row r="831">
      <c r="A831" s="67"/>
      <c r="B831" s="67"/>
      <c r="C831" s="67"/>
      <c r="D831" s="67"/>
    </row>
    <row r="832">
      <c r="A832" s="67"/>
      <c r="B832" s="67"/>
      <c r="C832" s="67"/>
      <c r="D832" s="67"/>
    </row>
    <row r="833">
      <c r="A833" s="67"/>
      <c r="B833" s="67"/>
      <c r="C833" s="67"/>
      <c r="D833" s="67"/>
    </row>
    <row r="834">
      <c r="A834" s="67"/>
      <c r="B834" s="67"/>
      <c r="C834" s="67"/>
      <c r="D834" s="67"/>
    </row>
    <row r="835">
      <c r="A835" s="67"/>
      <c r="B835" s="67"/>
      <c r="C835" s="67"/>
      <c r="D835" s="67"/>
    </row>
    <row r="836">
      <c r="A836" s="67"/>
      <c r="B836" s="67"/>
      <c r="C836" s="67"/>
      <c r="D836" s="67"/>
    </row>
    <row r="837">
      <c r="A837" s="67"/>
      <c r="B837" s="67"/>
      <c r="C837" s="67"/>
      <c r="D837" s="67"/>
    </row>
    <row r="838">
      <c r="A838" s="67"/>
      <c r="B838" s="67"/>
      <c r="C838" s="67"/>
      <c r="D838" s="67"/>
    </row>
    <row r="839">
      <c r="A839" s="67"/>
      <c r="B839" s="67"/>
      <c r="C839" s="67"/>
      <c r="D839" s="67"/>
    </row>
    <row r="840">
      <c r="A840" s="67"/>
      <c r="B840" s="67"/>
      <c r="C840" s="67"/>
      <c r="D840" s="67"/>
    </row>
    <row r="841">
      <c r="A841" s="67"/>
      <c r="B841" s="67"/>
      <c r="C841" s="67"/>
      <c r="D841" s="67"/>
    </row>
    <row r="842">
      <c r="A842" s="67"/>
      <c r="B842" s="67"/>
      <c r="C842" s="67"/>
      <c r="D842" s="67"/>
    </row>
    <row r="843">
      <c r="A843" s="67"/>
      <c r="B843" s="67"/>
      <c r="C843" s="67"/>
      <c r="D843" s="67"/>
    </row>
    <row r="844">
      <c r="A844" s="67"/>
      <c r="B844" s="67"/>
      <c r="C844" s="67"/>
      <c r="D844" s="67"/>
    </row>
    <row r="845">
      <c r="A845" s="67"/>
      <c r="B845" s="67"/>
      <c r="C845" s="67"/>
      <c r="D845" s="67"/>
    </row>
    <row r="846">
      <c r="A846" s="67"/>
      <c r="B846" s="67"/>
      <c r="C846" s="67"/>
      <c r="D846" s="67"/>
    </row>
    <row r="847">
      <c r="A847" s="67"/>
      <c r="B847" s="67"/>
      <c r="C847" s="67"/>
      <c r="D847" s="67"/>
    </row>
    <row r="848">
      <c r="A848" s="67"/>
      <c r="B848" s="67"/>
      <c r="C848" s="67"/>
      <c r="D848" s="67"/>
    </row>
    <row r="849">
      <c r="A849" s="67"/>
      <c r="B849" s="67"/>
      <c r="C849" s="67"/>
      <c r="D849" s="67"/>
    </row>
    <row r="850">
      <c r="A850" s="67"/>
      <c r="B850" s="67"/>
      <c r="C850" s="67"/>
      <c r="D850" s="67"/>
    </row>
    <row r="851">
      <c r="A851" s="67"/>
      <c r="B851" s="67"/>
      <c r="C851" s="67"/>
      <c r="D851" s="67"/>
    </row>
    <row r="852">
      <c r="A852" s="67"/>
      <c r="B852" s="67"/>
      <c r="C852" s="67"/>
      <c r="D852" s="67"/>
    </row>
    <row r="853">
      <c r="A853" s="67"/>
      <c r="B853" s="67"/>
      <c r="C853" s="67"/>
      <c r="D853" s="67"/>
    </row>
    <row r="854">
      <c r="A854" s="67"/>
      <c r="B854" s="67"/>
      <c r="C854" s="67"/>
      <c r="D854" s="67"/>
    </row>
    <row r="855">
      <c r="A855" s="67"/>
      <c r="B855" s="67"/>
      <c r="C855" s="67"/>
      <c r="D855" s="67"/>
    </row>
    <row r="856">
      <c r="A856" s="67"/>
      <c r="B856" s="67"/>
      <c r="C856" s="67"/>
      <c r="D856" s="67"/>
    </row>
    <row r="857">
      <c r="A857" s="67"/>
      <c r="B857" s="67"/>
      <c r="C857" s="67"/>
      <c r="D857" s="67"/>
    </row>
    <row r="858">
      <c r="A858" s="67"/>
      <c r="B858" s="67"/>
      <c r="C858" s="67"/>
      <c r="D858" s="67"/>
    </row>
    <row r="859">
      <c r="A859" s="67"/>
      <c r="B859" s="67"/>
      <c r="C859" s="67"/>
      <c r="D859" s="67"/>
    </row>
    <row r="860">
      <c r="A860" s="67"/>
      <c r="B860" s="67"/>
      <c r="C860" s="67"/>
      <c r="D860" s="67"/>
    </row>
    <row r="861">
      <c r="A861" s="67"/>
      <c r="B861" s="67"/>
      <c r="C861" s="67"/>
      <c r="D861" s="67"/>
    </row>
    <row r="862">
      <c r="A862" s="67"/>
      <c r="B862" s="67"/>
      <c r="C862" s="67"/>
      <c r="D862" s="67"/>
    </row>
    <row r="863">
      <c r="A863" s="67"/>
      <c r="B863" s="67"/>
      <c r="C863" s="67"/>
      <c r="D863" s="67"/>
    </row>
    <row r="864">
      <c r="A864" s="67"/>
      <c r="B864" s="67"/>
      <c r="C864" s="67"/>
      <c r="D864" s="67"/>
    </row>
    <row r="865">
      <c r="A865" s="67"/>
      <c r="B865" s="67"/>
      <c r="C865" s="67"/>
      <c r="D865" s="67"/>
    </row>
    <row r="866">
      <c r="A866" s="67"/>
      <c r="B866" s="67"/>
      <c r="C866" s="67"/>
      <c r="D866" s="67"/>
    </row>
    <row r="867">
      <c r="A867" s="67"/>
      <c r="B867" s="67"/>
      <c r="C867" s="67"/>
      <c r="D867" s="67"/>
    </row>
    <row r="868">
      <c r="A868" s="67"/>
      <c r="B868" s="67"/>
      <c r="C868" s="67"/>
      <c r="D868" s="67"/>
    </row>
    <row r="869">
      <c r="A869" s="67"/>
      <c r="B869" s="67"/>
      <c r="C869" s="67"/>
      <c r="D869" s="67"/>
    </row>
    <row r="870">
      <c r="A870" s="67"/>
      <c r="B870" s="67"/>
      <c r="C870" s="67"/>
      <c r="D870" s="67"/>
    </row>
    <row r="871">
      <c r="A871" s="67"/>
      <c r="B871" s="67"/>
      <c r="C871" s="67"/>
      <c r="D871" s="67"/>
    </row>
    <row r="872">
      <c r="A872" s="67"/>
      <c r="B872" s="67"/>
      <c r="C872" s="67"/>
      <c r="D872" s="67"/>
    </row>
    <row r="873">
      <c r="A873" s="67"/>
      <c r="B873" s="67"/>
      <c r="C873" s="67"/>
      <c r="D873" s="67"/>
    </row>
    <row r="874">
      <c r="A874" s="67"/>
      <c r="B874" s="67"/>
      <c r="C874" s="67"/>
      <c r="D874" s="67"/>
    </row>
    <row r="875">
      <c r="A875" s="67"/>
      <c r="B875" s="67"/>
      <c r="C875" s="67"/>
      <c r="D875" s="67"/>
    </row>
    <row r="876">
      <c r="A876" s="67"/>
      <c r="B876" s="67"/>
      <c r="C876" s="67"/>
      <c r="D876" s="67"/>
    </row>
    <row r="877">
      <c r="A877" s="67"/>
      <c r="B877" s="67"/>
      <c r="C877" s="67"/>
      <c r="D877" s="67"/>
    </row>
    <row r="878">
      <c r="A878" s="67"/>
      <c r="B878" s="67"/>
      <c r="C878" s="67"/>
      <c r="D878" s="67"/>
    </row>
    <row r="879">
      <c r="A879" s="67"/>
      <c r="B879" s="67"/>
      <c r="C879" s="67"/>
      <c r="D879" s="67"/>
    </row>
    <row r="880">
      <c r="A880" s="67"/>
      <c r="B880" s="67"/>
      <c r="C880" s="67"/>
      <c r="D880" s="67"/>
    </row>
    <row r="881">
      <c r="A881" s="67"/>
      <c r="B881" s="67"/>
      <c r="C881" s="67"/>
      <c r="D881" s="67"/>
    </row>
    <row r="882">
      <c r="A882" s="67"/>
      <c r="B882" s="67"/>
      <c r="C882" s="67"/>
      <c r="D882" s="67"/>
    </row>
    <row r="883">
      <c r="A883" s="67"/>
      <c r="B883" s="67"/>
      <c r="C883" s="67"/>
      <c r="D883" s="67"/>
    </row>
    <row r="884">
      <c r="A884" s="67"/>
      <c r="B884" s="67"/>
      <c r="C884" s="67"/>
      <c r="D884" s="67"/>
    </row>
    <row r="885">
      <c r="A885" s="67"/>
      <c r="B885" s="67"/>
      <c r="C885" s="67"/>
      <c r="D885" s="67"/>
    </row>
    <row r="886">
      <c r="A886" s="67"/>
      <c r="B886" s="67"/>
      <c r="C886" s="67"/>
      <c r="D886" s="67"/>
    </row>
    <row r="887">
      <c r="A887" s="67"/>
      <c r="B887" s="67"/>
      <c r="C887" s="67"/>
      <c r="D887" s="67"/>
    </row>
    <row r="888">
      <c r="A888" s="67"/>
      <c r="B888" s="67"/>
      <c r="C888" s="67"/>
      <c r="D888" s="67"/>
    </row>
    <row r="889">
      <c r="A889" s="67"/>
      <c r="B889" s="67"/>
      <c r="C889" s="67"/>
      <c r="D889" s="67"/>
    </row>
    <row r="890">
      <c r="A890" s="67"/>
      <c r="B890" s="67"/>
      <c r="C890" s="67"/>
      <c r="D890" s="67"/>
    </row>
    <row r="891">
      <c r="A891" s="67"/>
      <c r="B891" s="67"/>
      <c r="C891" s="67"/>
      <c r="D891" s="67"/>
    </row>
    <row r="892">
      <c r="A892" s="67"/>
      <c r="B892" s="67"/>
      <c r="C892" s="67"/>
      <c r="D892" s="67"/>
    </row>
    <row r="893">
      <c r="A893" s="67"/>
      <c r="B893" s="67"/>
      <c r="C893" s="67"/>
      <c r="D893" s="67"/>
    </row>
    <row r="894">
      <c r="A894" s="67"/>
      <c r="B894" s="67"/>
      <c r="C894" s="67"/>
      <c r="D894" s="67"/>
    </row>
    <row r="895">
      <c r="A895" s="67"/>
      <c r="B895" s="67"/>
      <c r="C895" s="67"/>
      <c r="D895" s="67"/>
    </row>
    <row r="896">
      <c r="A896" s="67"/>
      <c r="B896" s="67"/>
      <c r="C896" s="67"/>
      <c r="D896" s="67"/>
    </row>
    <row r="897">
      <c r="A897" s="67"/>
      <c r="B897" s="67"/>
      <c r="C897" s="67"/>
      <c r="D897" s="67"/>
    </row>
    <row r="898">
      <c r="A898" s="67"/>
      <c r="B898" s="67"/>
      <c r="C898" s="67"/>
      <c r="D898" s="67"/>
    </row>
    <row r="899">
      <c r="A899" s="67"/>
      <c r="B899" s="67"/>
      <c r="C899" s="67"/>
      <c r="D899" s="67"/>
    </row>
    <row r="900">
      <c r="A900" s="67"/>
      <c r="B900" s="67"/>
      <c r="C900" s="67"/>
      <c r="D900" s="67"/>
    </row>
    <row r="901">
      <c r="A901" s="67"/>
      <c r="B901" s="67"/>
      <c r="C901" s="67"/>
      <c r="D901" s="67"/>
    </row>
    <row r="902">
      <c r="A902" s="67"/>
      <c r="B902" s="67"/>
      <c r="C902" s="67"/>
      <c r="D902" s="67"/>
    </row>
    <row r="903">
      <c r="A903" s="67"/>
      <c r="B903" s="67"/>
      <c r="C903" s="67"/>
      <c r="D903" s="67"/>
    </row>
    <row r="904">
      <c r="A904" s="67"/>
      <c r="B904" s="67"/>
      <c r="C904" s="67"/>
      <c r="D904" s="67"/>
    </row>
    <row r="905">
      <c r="A905" s="67"/>
      <c r="B905" s="67"/>
      <c r="C905" s="67"/>
      <c r="D905" s="67"/>
    </row>
    <row r="906">
      <c r="A906" s="67"/>
      <c r="B906" s="67"/>
      <c r="C906" s="67"/>
      <c r="D906" s="67"/>
    </row>
    <row r="907">
      <c r="A907" s="67"/>
      <c r="B907" s="67"/>
      <c r="C907" s="67"/>
      <c r="D907" s="67"/>
    </row>
    <row r="908">
      <c r="A908" s="67"/>
      <c r="B908" s="67"/>
      <c r="C908" s="67"/>
      <c r="D908" s="67"/>
    </row>
    <row r="909">
      <c r="A909" s="67"/>
      <c r="B909" s="67"/>
      <c r="C909" s="67"/>
      <c r="D909" s="67"/>
    </row>
    <row r="910">
      <c r="A910" s="67"/>
      <c r="B910" s="67"/>
      <c r="C910" s="67"/>
      <c r="D910" s="67"/>
    </row>
    <row r="911">
      <c r="A911" s="67"/>
      <c r="B911" s="67"/>
      <c r="C911" s="67"/>
      <c r="D911" s="67"/>
    </row>
    <row r="912">
      <c r="A912" s="67"/>
      <c r="B912" s="67"/>
      <c r="C912" s="67"/>
      <c r="D912" s="67"/>
    </row>
    <row r="913">
      <c r="A913" s="67"/>
      <c r="B913" s="67"/>
      <c r="C913" s="67"/>
      <c r="D913" s="67"/>
    </row>
    <row r="914">
      <c r="A914" s="67"/>
      <c r="B914" s="67"/>
      <c r="C914" s="67"/>
      <c r="D914" s="67"/>
    </row>
    <row r="915">
      <c r="A915" s="67"/>
      <c r="B915" s="67"/>
      <c r="C915" s="67"/>
      <c r="D915" s="67"/>
    </row>
    <row r="916">
      <c r="A916" s="67"/>
      <c r="B916" s="67"/>
      <c r="C916" s="67"/>
      <c r="D916" s="67"/>
    </row>
    <row r="917">
      <c r="A917" s="67"/>
      <c r="B917" s="67"/>
      <c r="C917" s="67"/>
      <c r="D917" s="67"/>
    </row>
    <row r="918">
      <c r="A918" s="67"/>
      <c r="B918" s="67"/>
      <c r="C918" s="67"/>
      <c r="D918" s="67"/>
    </row>
    <row r="919">
      <c r="A919" s="67"/>
      <c r="B919" s="67"/>
      <c r="C919" s="67"/>
      <c r="D919" s="67"/>
    </row>
    <row r="920">
      <c r="A920" s="67"/>
      <c r="B920" s="67"/>
      <c r="C920" s="67"/>
      <c r="D920" s="67"/>
    </row>
    <row r="921">
      <c r="A921" s="67"/>
      <c r="B921" s="67"/>
      <c r="C921" s="67"/>
      <c r="D921" s="67"/>
    </row>
    <row r="922">
      <c r="A922" s="67"/>
      <c r="B922" s="67"/>
      <c r="C922" s="67"/>
      <c r="D922" s="67"/>
    </row>
    <row r="923">
      <c r="A923" s="67"/>
      <c r="B923" s="67"/>
      <c r="C923" s="67"/>
      <c r="D923" s="67"/>
    </row>
    <row r="924">
      <c r="A924" s="67"/>
      <c r="B924" s="67"/>
      <c r="C924" s="67"/>
      <c r="D924" s="67"/>
    </row>
    <row r="925">
      <c r="A925" s="67"/>
      <c r="B925" s="67"/>
      <c r="C925" s="67"/>
      <c r="D925" s="67"/>
    </row>
    <row r="926">
      <c r="A926" s="67"/>
      <c r="B926" s="67"/>
      <c r="C926" s="67"/>
      <c r="D926" s="67"/>
    </row>
    <row r="927">
      <c r="A927" s="67"/>
      <c r="B927" s="67"/>
      <c r="C927" s="67"/>
      <c r="D927" s="67"/>
    </row>
    <row r="928">
      <c r="A928" s="67"/>
      <c r="B928" s="67"/>
      <c r="C928" s="67"/>
      <c r="D928" s="67"/>
    </row>
    <row r="929">
      <c r="A929" s="67"/>
      <c r="B929" s="67"/>
      <c r="C929" s="67"/>
      <c r="D929" s="67"/>
    </row>
    <row r="930">
      <c r="A930" s="67"/>
      <c r="B930" s="67"/>
      <c r="C930" s="67"/>
      <c r="D930" s="67"/>
    </row>
    <row r="931">
      <c r="A931" s="67"/>
      <c r="B931" s="67"/>
      <c r="C931" s="67"/>
      <c r="D931" s="67"/>
    </row>
    <row r="932">
      <c r="A932" s="67"/>
      <c r="B932" s="67"/>
      <c r="C932" s="67"/>
      <c r="D932" s="67"/>
    </row>
    <row r="933">
      <c r="A933" s="67"/>
      <c r="B933" s="67"/>
      <c r="C933" s="67"/>
      <c r="D933" s="67"/>
    </row>
    <row r="934">
      <c r="A934" s="67"/>
      <c r="B934" s="67"/>
      <c r="C934" s="67"/>
      <c r="D934" s="67"/>
    </row>
    <row r="935">
      <c r="A935" s="67"/>
      <c r="B935" s="67"/>
      <c r="C935" s="67"/>
      <c r="D935" s="67"/>
    </row>
    <row r="936">
      <c r="A936" s="67"/>
      <c r="B936" s="67"/>
      <c r="C936" s="67"/>
      <c r="D936" s="67"/>
    </row>
    <row r="937">
      <c r="A937" s="67"/>
      <c r="B937" s="67"/>
      <c r="C937" s="67"/>
      <c r="D937" s="67"/>
    </row>
    <row r="938">
      <c r="A938" s="67"/>
      <c r="B938" s="67"/>
      <c r="C938" s="67"/>
      <c r="D938" s="67"/>
    </row>
    <row r="939">
      <c r="A939" s="67"/>
      <c r="B939" s="67"/>
      <c r="C939" s="67"/>
      <c r="D939" s="67"/>
    </row>
    <row r="940">
      <c r="A940" s="67"/>
      <c r="B940" s="67"/>
      <c r="C940" s="67"/>
      <c r="D940" s="67"/>
    </row>
    <row r="941">
      <c r="A941" s="67"/>
      <c r="B941" s="67"/>
      <c r="C941" s="67"/>
      <c r="D941" s="67"/>
    </row>
    <row r="942">
      <c r="A942" s="67"/>
      <c r="B942" s="67"/>
      <c r="C942" s="67"/>
      <c r="D942" s="67"/>
    </row>
    <row r="943">
      <c r="A943" s="67"/>
      <c r="B943" s="67"/>
      <c r="C943" s="67"/>
      <c r="D943" s="67"/>
    </row>
    <row r="944">
      <c r="A944" s="67"/>
      <c r="B944" s="67"/>
      <c r="C944" s="67"/>
      <c r="D944" s="67"/>
    </row>
    <row r="945">
      <c r="A945" s="67"/>
      <c r="B945" s="67"/>
      <c r="C945" s="67"/>
      <c r="D945" s="67"/>
    </row>
    <row r="946">
      <c r="A946" s="67"/>
      <c r="B946" s="67"/>
      <c r="C946" s="67"/>
      <c r="D946" s="67"/>
    </row>
    <row r="947">
      <c r="A947" s="67"/>
      <c r="B947" s="67"/>
      <c r="C947" s="67"/>
      <c r="D947" s="67"/>
    </row>
    <row r="948">
      <c r="A948" s="67"/>
      <c r="B948" s="67"/>
      <c r="C948" s="67"/>
      <c r="D948" s="67"/>
    </row>
    <row r="949">
      <c r="A949" s="67"/>
      <c r="B949" s="67"/>
      <c r="C949" s="67"/>
      <c r="D949" s="67"/>
    </row>
    <row r="950">
      <c r="A950" s="67"/>
      <c r="B950" s="67"/>
      <c r="C950" s="67"/>
      <c r="D950" s="67"/>
    </row>
    <row r="951">
      <c r="A951" s="67"/>
      <c r="B951" s="67"/>
      <c r="C951" s="67"/>
      <c r="D951" s="67"/>
    </row>
    <row r="952">
      <c r="A952" s="67"/>
      <c r="B952" s="67"/>
      <c r="C952" s="67"/>
      <c r="D952" s="67"/>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sheetData>
    <row r="1">
      <c r="A1" s="1" t="s">
        <v>636</v>
      </c>
      <c r="B1" s="1" t="s">
        <v>637</v>
      </c>
      <c r="C1" s="1" t="s">
        <v>638</v>
      </c>
      <c r="D1" s="1" t="s">
        <v>639</v>
      </c>
      <c r="E1" s="1" t="s">
        <v>640</v>
      </c>
      <c r="F1" s="1" t="s">
        <v>641</v>
      </c>
      <c r="G1" s="1" t="s">
        <v>642</v>
      </c>
      <c r="H1" s="1" t="s">
        <v>643</v>
      </c>
      <c r="I1" s="1" t="s">
        <v>644</v>
      </c>
      <c r="J1" s="1" t="s">
        <v>645</v>
      </c>
      <c r="K1" s="132" t="s">
        <v>646</v>
      </c>
    </row>
    <row r="2" hidden="1">
      <c r="A2" s="1" t="s">
        <v>647</v>
      </c>
      <c r="B2" s="1" t="s">
        <v>648</v>
      </c>
      <c r="C2" s="1" t="s">
        <v>649</v>
      </c>
      <c r="D2" s="1">
        <v>2018.0</v>
      </c>
      <c r="E2" s="1" t="s">
        <v>650</v>
      </c>
      <c r="F2" s="1" t="s">
        <v>651</v>
      </c>
      <c r="G2" s="1" t="s">
        <v>652</v>
      </c>
      <c r="H2" s="1">
        <v>3.0189776E7</v>
      </c>
      <c r="I2" s="1" t="s">
        <v>653</v>
      </c>
      <c r="J2" s="1" t="s">
        <v>654</v>
      </c>
      <c r="K2" s="132">
        <v>0.0</v>
      </c>
    </row>
    <row r="3" hidden="1">
      <c r="A3" s="1" t="s">
        <v>655</v>
      </c>
      <c r="B3" s="1" t="s">
        <v>656</v>
      </c>
      <c r="C3" s="1" t="s">
        <v>657</v>
      </c>
      <c r="D3" s="1">
        <v>2017.0</v>
      </c>
      <c r="E3" s="1" t="s">
        <v>658</v>
      </c>
      <c r="F3" s="1" t="s">
        <v>659</v>
      </c>
      <c r="G3" s="1" t="s">
        <v>660</v>
      </c>
      <c r="H3" s="1">
        <v>2.6231151E7</v>
      </c>
      <c r="I3" s="1" t="s">
        <v>661</v>
      </c>
      <c r="J3" s="1" t="s">
        <v>662</v>
      </c>
      <c r="K3" s="132">
        <v>0.0</v>
      </c>
    </row>
    <row r="4" hidden="1">
      <c r="A4" s="1" t="s">
        <v>663</v>
      </c>
      <c r="B4" s="1" t="s">
        <v>664</v>
      </c>
      <c r="C4" s="1" t="s">
        <v>665</v>
      </c>
      <c r="D4" s="1">
        <v>2016.0</v>
      </c>
      <c r="E4" s="1" t="s">
        <v>666</v>
      </c>
      <c r="F4" s="1" t="s">
        <v>667</v>
      </c>
      <c r="G4" s="1" t="s">
        <v>668</v>
      </c>
      <c r="H4" s="1">
        <v>2.6938989E7</v>
      </c>
      <c r="I4" s="1" t="s">
        <v>669</v>
      </c>
      <c r="J4" s="1" t="s">
        <v>670</v>
      </c>
      <c r="K4" s="132">
        <v>0.0</v>
      </c>
    </row>
    <row r="5" hidden="1">
      <c r="A5" s="1" t="s">
        <v>671</v>
      </c>
      <c r="B5" s="1" t="s">
        <v>672</v>
      </c>
      <c r="C5" s="1" t="s">
        <v>673</v>
      </c>
      <c r="D5" s="1">
        <v>2019.0</v>
      </c>
      <c r="E5" s="1" t="s">
        <v>674</v>
      </c>
      <c r="F5" s="1" t="s">
        <v>667</v>
      </c>
      <c r="G5" s="1" t="s">
        <v>675</v>
      </c>
      <c r="H5" s="1">
        <v>3.1246607E7</v>
      </c>
      <c r="I5" s="1" t="s">
        <v>676</v>
      </c>
      <c r="J5" s="1" t="s">
        <v>677</v>
      </c>
      <c r="K5" s="132">
        <v>0.0</v>
      </c>
    </row>
    <row r="6" hidden="1">
      <c r="A6" s="1" t="s">
        <v>678</v>
      </c>
      <c r="B6" s="1" t="s">
        <v>679</v>
      </c>
      <c r="C6" s="1" t="s">
        <v>680</v>
      </c>
      <c r="D6" s="1">
        <v>2023.0</v>
      </c>
      <c r="E6" s="1" t="s">
        <v>681</v>
      </c>
      <c r="F6" s="1" t="s">
        <v>682</v>
      </c>
      <c r="G6" s="1" t="s">
        <v>683</v>
      </c>
      <c r="H6" s="1">
        <v>3.800151E7</v>
      </c>
      <c r="I6" s="1" t="s">
        <v>684</v>
      </c>
      <c r="J6" s="1" t="s">
        <v>685</v>
      </c>
      <c r="K6" s="132">
        <v>1.0</v>
      </c>
    </row>
    <row r="7" hidden="1">
      <c r="A7" s="1" t="s">
        <v>686</v>
      </c>
      <c r="B7" s="1" t="s">
        <v>687</v>
      </c>
      <c r="C7" s="1" t="s">
        <v>688</v>
      </c>
      <c r="D7" s="1">
        <v>2026.0</v>
      </c>
      <c r="E7" s="1" t="s">
        <v>689</v>
      </c>
      <c r="F7" s="1" t="s">
        <v>690</v>
      </c>
      <c r="G7" s="1" t="s">
        <v>691</v>
      </c>
      <c r="H7" s="1">
        <v>4.1803188E7</v>
      </c>
      <c r="I7" s="1" t="s">
        <v>692</v>
      </c>
      <c r="J7" s="1" t="s">
        <v>693</v>
      </c>
      <c r="K7" s="132">
        <v>0.0</v>
      </c>
    </row>
    <row r="8" hidden="1">
      <c r="A8" s="1" t="s">
        <v>694</v>
      </c>
      <c r="B8" s="1" t="s">
        <v>695</v>
      </c>
      <c r="C8" s="1" t="s">
        <v>696</v>
      </c>
      <c r="D8" s="1">
        <v>2026.0</v>
      </c>
      <c r="E8" s="1" t="s">
        <v>697</v>
      </c>
      <c r="F8" s="1" t="s">
        <v>698</v>
      </c>
      <c r="G8" s="1" t="s">
        <v>699</v>
      </c>
      <c r="H8" s="1">
        <v>4.2044694E7</v>
      </c>
      <c r="I8" s="1" t="s">
        <v>700</v>
      </c>
      <c r="J8" s="1" t="s">
        <v>701</v>
      </c>
      <c r="K8" s="132">
        <v>0.0</v>
      </c>
    </row>
    <row r="9" hidden="1">
      <c r="A9" s="1" t="s">
        <v>702</v>
      </c>
      <c r="B9" s="1" t="s">
        <v>703</v>
      </c>
      <c r="C9" s="1" t="s">
        <v>704</v>
      </c>
      <c r="D9" s="1">
        <v>2003.0</v>
      </c>
      <c r="E9" s="1" t="s">
        <v>674</v>
      </c>
      <c r="F9" s="1" t="s">
        <v>705</v>
      </c>
      <c r="G9" s="12"/>
      <c r="H9" s="1">
        <v>1.3679741E7</v>
      </c>
      <c r="I9" s="1" t="s">
        <v>706</v>
      </c>
      <c r="J9" s="1" t="s">
        <v>707</v>
      </c>
      <c r="K9" s="132">
        <v>0.0</v>
      </c>
    </row>
    <row r="10" hidden="1">
      <c r="A10" s="1" t="s">
        <v>708</v>
      </c>
      <c r="B10" s="1" t="s">
        <v>709</v>
      </c>
      <c r="C10" s="1" t="s">
        <v>710</v>
      </c>
      <c r="D10" s="1">
        <v>2004.0</v>
      </c>
      <c r="E10" s="1" t="s">
        <v>666</v>
      </c>
      <c r="F10" s="1" t="s">
        <v>711</v>
      </c>
      <c r="G10" s="12"/>
      <c r="H10" s="1">
        <v>1.5174545E7</v>
      </c>
      <c r="I10" s="1" t="s">
        <v>712</v>
      </c>
      <c r="J10" s="1" t="s">
        <v>713</v>
      </c>
      <c r="K10" s="132">
        <v>0.0</v>
      </c>
    </row>
    <row r="11" hidden="1">
      <c r="A11" s="1" t="s">
        <v>714</v>
      </c>
      <c r="B11" s="1" t="s">
        <v>715</v>
      </c>
      <c r="C11" s="1" t="s">
        <v>716</v>
      </c>
      <c r="D11" s="1">
        <v>1995.0</v>
      </c>
      <c r="E11" s="12"/>
      <c r="F11" s="1" t="s">
        <v>659</v>
      </c>
      <c r="G11" s="1" t="s">
        <v>717</v>
      </c>
      <c r="H11" s="1">
        <v>8821268.0</v>
      </c>
      <c r="I11" s="1" t="s">
        <v>718</v>
      </c>
      <c r="J11" s="1" t="s">
        <v>719</v>
      </c>
      <c r="K11" s="132">
        <v>0.0</v>
      </c>
    </row>
    <row r="12">
      <c r="A12" s="1" t="s">
        <v>720</v>
      </c>
      <c r="B12" s="1" t="s">
        <v>721</v>
      </c>
      <c r="C12" s="1" t="s">
        <v>722</v>
      </c>
      <c r="D12" s="1">
        <v>2009.0</v>
      </c>
      <c r="E12" s="1" t="s">
        <v>723</v>
      </c>
      <c r="F12" s="1" t="s">
        <v>659</v>
      </c>
      <c r="G12" s="1" t="s">
        <v>2</v>
      </c>
      <c r="H12" s="1">
        <v>1.8982311E7</v>
      </c>
      <c r="I12" s="1" t="s">
        <v>724</v>
      </c>
      <c r="J12" s="1" t="s">
        <v>725</v>
      </c>
      <c r="K12" s="132">
        <v>3.0</v>
      </c>
    </row>
    <row r="13">
      <c r="A13" s="1" t="s">
        <v>726</v>
      </c>
      <c r="B13" s="1" t="s">
        <v>727</v>
      </c>
      <c r="C13" s="1" t="s">
        <v>728</v>
      </c>
      <c r="D13" s="1">
        <v>2004.0</v>
      </c>
      <c r="E13" s="1" t="s">
        <v>729</v>
      </c>
      <c r="F13" s="1" t="s">
        <v>730</v>
      </c>
      <c r="G13" s="12"/>
      <c r="H13" s="1">
        <v>1.5466722E7</v>
      </c>
      <c r="I13" s="1" t="s">
        <v>731</v>
      </c>
      <c r="J13" s="1" t="s">
        <v>732</v>
      </c>
      <c r="K13" s="132">
        <v>3.0</v>
      </c>
    </row>
    <row r="14" hidden="1">
      <c r="A14" s="1" t="s">
        <v>733</v>
      </c>
      <c r="B14" s="1" t="s">
        <v>734</v>
      </c>
      <c r="C14" s="1" t="s">
        <v>735</v>
      </c>
      <c r="D14" s="1">
        <v>2010.0</v>
      </c>
      <c r="E14" s="1" t="s">
        <v>736</v>
      </c>
      <c r="F14" s="1" t="s">
        <v>737</v>
      </c>
      <c r="G14" s="1" t="s">
        <v>738</v>
      </c>
      <c r="H14" s="1">
        <v>1.9793927E7</v>
      </c>
      <c r="I14" s="1" t="s">
        <v>739</v>
      </c>
      <c r="J14" s="1" t="s">
        <v>740</v>
      </c>
      <c r="K14" s="132">
        <v>0.0</v>
      </c>
    </row>
    <row r="15">
      <c r="A15" s="1" t="s">
        <v>741</v>
      </c>
      <c r="B15" s="1" t="s">
        <v>742</v>
      </c>
      <c r="C15" s="1" t="s">
        <v>743</v>
      </c>
      <c r="D15" s="1">
        <v>2009.0</v>
      </c>
      <c r="E15" s="1" t="s">
        <v>674</v>
      </c>
      <c r="F15" s="1" t="s">
        <v>659</v>
      </c>
      <c r="G15" s="1" t="s">
        <v>17</v>
      </c>
      <c r="H15" s="1">
        <v>1.957518E7</v>
      </c>
      <c r="I15" s="1" t="s">
        <v>744</v>
      </c>
      <c r="J15" s="1" t="s">
        <v>745</v>
      </c>
      <c r="K15" s="132">
        <v>3.0</v>
      </c>
    </row>
    <row r="16" hidden="1">
      <c r="A16" s="1" t="s">
        <v>746</v>
      </c>
      <c r="B16" s="1" t="s">
        <v>747</v>
      </c>
      <c r="C16" s="1" t="s">
        <v>748</v>
      </c>
      <c r="D16" s="1">
        <v>2013.0</v>
      </c>
      <c r="E16" s="1" t="s">
        <v>681</v>
      </c>
      <c r="F16" s="1" t="s">
        <v>737</v>
      </c>
      <c r="G16" s="1" t="s">
        <v>749</v>
      </c>
      <c r="H16" s="1">
        <v>2.3921339E7</v>
      </c>
      <c r="I16" s="1" t="s">
        <v>750</v>
      </c>
      <c r="J16" s="1" t="s">
        <v>751</v>
      </c>
      <c r="K16" s="132">
        <v>0.0</v>
      </c>
    </row>
    <row r="17" hidden="1">
      <c r="A17" s="1" t="s">
        <v>752</v>
      </c>
      <c r="B17" s="1" t="s">
        <v>753</v>
      </c>
      <c r="C17" s="1" t="s">
        <v>754</v>
      </c>
      <c r="D17" s="1">
        <v>2023.0</v>
      </c>
      <c r="E17" s="1" t="s">
        <v>697</v>
      </c>
      <c r="F17" s="1" t="s">
        <v>690</v>
      </c>
      <c r="G17" s="1" t="s">
        <v>755</v>
      </c>
      <c r="H17" s="1">
        <v>3.7280245E7</v>
      </c>
      <c r="I17" s="1" t="s">
        <v>756</v>
      </c>
      <c r="J17" s="1" t="s">
        <v>757</v>
      </c>
      <c r="K17" s="132">
        <v>0.0</v>
      </c>
    </row>
    <row r="18" hidden="1">
      <c r="A18" s="1" t="s">
        <v>758</v>
      </c>
      <c r="B18" s="1" t="s">
        <v>759</v>
      </c>
      <c r="C18" s="1" t="s">
        <v>760</v>
      </c>
      <c r="D18" s="1">
        <v>2016.0</v>
      </c>
      <c r="E18" s="1" t="s">
        <v>761</v>
      </c>
      <c r="F18" s="1" t="s">
        <v>737</v>
      </c>
      <c r="G18" s="1" t="s">
        <v>762</v>
      </c>
      <c r="H18" s="1">
        <v>2.7159308E7</v>
      </c>
      <c r="I18" s="1" t="s">
        <v>763</v>
      </c>
      <c r="J18" s="1" t="s">
        <v>764</v>
      </c>
      <c r="K18" s="132">
        <v>2.0</v>
      </c>
    </row>
    <row r="19" hidden="1">
      <c r="A19" s="1" t="s">
        <v>765</v>
      </c>
      <c r="B19" s="1" t="s">
        <v>766</v>
      </c>
      <c r="C19" s="12"/>
      <c r="D19" s="1">
        <v>2021.0</v>
      </c>
      <c r="E19" s="1" t="s">
        <v>761</v>
      </c>
      <c r="F19" s="1" t="s">
        <v>767</v>
      </c>
      <c r="G19" s="1" t="s">
        <v>768</v>
      </c>
      <c r="H19" s="1">
        <v>3.4225992E7</v>
      </c>
      <c r="I19" s="1" t="s">
        <v>769</v>
      </c>
      <c r="J19" s="1" t="s">
        <v>770</v>
      </c>
      <c r="K19" s="132">
        <v>0.0</v>
      </c>
    </row>
    <row r="20" hidden="1">
      <c r="A20" s="1" t="s">
        <v>771</v>
      </c>
      <c r="B20" s="1" t="s">
        <v>772</v>
      </c>
      <c r="C20" s="1" t="s">
        <v>773</v>
      </c>
      <c r="D20" s="1">
        <v>2024.0</v>
      </c>
      <c r="E20" s="1" t="s">
        <v>697</v>
      </c>
      <c r="F20" s="1" t="s">
        <v>698</v>
      </c>
      <c r="G20" s="1" t="s">
        <v>774</v>
      </c>
      <c r="H20" s="1">
        <v>3.8460601E7</v>
      </c>
      <c r="I20" s="1" t="s">
        <v>775</v>
      </c>
      <c r="J20" s="1" t="s">
        <v>776</v>
      </c>
      <c r="K20" s="132">
        <v>0.0</v>
      </c>
    </row>
    <row r="21" hidden="1">
      <c r="A21" s="1" t="s">
        <v>777</v>
      </c>
      <c r="B21" s="1" t="s">
        <v>778</v>
      </c>
      <c r="C21" s="1" t="s">
        <v>779</v>
      </c>
      <c r="D21" s="1">
        <v>2003.0</v>
      </c>
      <c r="E21" s="1" t="s">
        <v>729</v>
      </c>
      <c r="F21" s="1" t="s">
        <v>767</v>
      </c>
      <c r="G21" s="1" t="s">
        <v>780</v>
      </c>
      <c r="H21" s="1">
        <v>1.4551548E7</v>
      </c>
      <c r="I21" s="1" t="s">
        <v>781</v>
      </c>
      <c r="J21" s="1" t="s">
        <v>782</v>
      </c>
      <c r="K21" s="132">
        <v>0.0</v>
      </c>
    </row>
    <row r="22" hidden="1">
      <c r="A22" s="1" t="s">
        <v>783</v>
      </c>
      <c r="B22" s="1" t="s">
        <v>784</v>
      </c>
      <c r="C22" s="1" t="s">
        <v>785</v>
      </c>
      <c r="D22" s="1">
        <v>2026.0</v>
      </c>
      <c r="E22" s="1" t="s">
        <v>666</v>
      </c>
      <c r="F22" s="1" t="s">
        <v>786</v>
      </c>
      <c r="G22" s="1" t="s">
        <v>787</v>
      </c>
      <c r="H22" s="1">
        <v>4.2104476E7</v>
      </c>
      <c r="I22" s="1" t="s">
        <v>788</v>
      </c>
      <c r="J22" s="1" t="s">
        <v>789</v>
      </c>
      <c r="K22" s="132">
        <v>0.0</v>
      </c>
    </row>
    <row r="23" hidden="1">
      <c r="A23" s="1" t="s">
        <v>790</v>
      </c>
      <c r="B23" s="1" t="s">
        <v>791</v>
      </c>
      <c r="C23" s="1" t="s">
        <v>792</v>
      </c>
      <c r="D23" s="1">
        <v>2003.0</v>
      </c>
      <c r="E23" s="1" t="s">
        <v>666</v>
      </c>
      <c r="F23" s="1" t="s">
        <v>793</v>
      </c>
      <c r="G23" s="1" t="s">
        <v>794</v>
      </c>
      <c r="H23" s="1">
        <v>1.2736838E7</v>
      </c>
      <c r="I23" s="1" t="s">
        <v>795</v>
      </c>
      <c r="J23" s="1" t="s">
        <v>796</v>
      </c>
      <c r="K23" s="132">
        <v>0.0</v>
      </c>
    </row>
    <row r="24" hidden="1">
      <c r="A24" s="1" t="s">
        <v>797</v>
      </c>
      <c r="B24" s="1" t="s">
        <v>798</v>
      </c>
      <c r="C24" s="1" t="s">
        <v>799</v>
      </c>
      <c r="D24" s="1">
        <v>2025.0</v>
      </c>
      <c r="E24" s="1" t="s">
        <v>681</v>
      </c>
      <c r="F24" s="1" t="s">
        <v>800</v>
      </c>
      <c r="G24" s="1" t="s">
        <v>801</v>
      </c>
      <c r="H24" s="1">
        <v>4.1373251E7</v>
      </c>
      <c r="I24" s="1" t="s">
        <v>802</v>
      </c>
      <c r="J24" s="1" t="s">
        <v>803</v>
      </c>
      <c r="K24" s="132">
        <v>0.0</v>
      </c>
    </row>
    <row r="25" hidden="1">
      <c r="A25" s="1" t="s">
        <v>804</v>
      </c>
      <c r="B25" s="1" t="s">
        <v>805</v>
      </c>
      <c r="C25" s="1" t="s">
        <v>806</v>
      </c>
      <c r="D25" s="1">
        <v>1999.0</v>
      </c>
      <c r="E25" s="1" t="s">
        <v>674</v>
      </c>
      <c r="F25" s="1" t="s">
        <v>767</v>
      </c>
      <c r="G25" s="1" t="s">
        <v>807</v>
      </c>
      <c r="H25" s="1">
        <v>1.0495176E7</v>
      </c>
      <c r="I25" s="1" t="s">
        <v>808</v>
      </c>
      <c r="J25" s="1" t="s">
        <v>809</v>
      </c>
      <c r="K25" s="132">
        <v>0.0</v>
      </c>
    </row>
    <row r="26">
      <c r="A26" s="1" t="s">
        <v>810</v>
      </c>
      <c r="B26" s="1" t="s">
        <v>811</v>
      </c>
      <c r="C26" s="1" t="s">
        <v>812</v>
      </c>
      <c r="D26" s="1">
        <v>2001.0</v>
      </c>
      <c r="E26" s="1" t="s">
        <v>813</v>
      </c>
      <c r="F26" s="1" t="s">
        <v>737</v>
      </c>
      <c r="G26" s="1" t="s">
        <v>24</v>
      </c>
      <c r="H26" s="1">
        <v>1.1394593E7</v>
      </c>
      <c r="I26" s="1" t="s">
        <v>814</v>
      </c>
      <c r="J26" s="1" t="s">
        <v>815</v>
      </c>
      <c r="K26" s="132">
        <v>3.0</v>
      </c>
    </row>
    <row r="27" hidden="1">
      <c r="A27" s="1" t="s">
        <v>816</v>
      </c>
      <c r="B27" s="1" t="s">
        <v>817</v>
      </c>
      <c r="C27" s="1" t="s">
        <v>818</v>
      </c>
      <c r="D27" s="1">
        <v>1991.0</v>
      </c>
      <c r="E27" s="1" t="s">
        <v>689</v>
      </c>
      <c r="F27" s="1" t="s">
        <v>819</v>
      </c>
      <c r="G27" s="12"/>
      <c r="H27" s="1">
        <v>1997243.0</v>
      </c>
      <c r="I27" s="1" t="s">
        <v>820</v>
      </c>
      <c r="J27" s="1" t="s">
        <v>821</v>
      </c>
      <c r="K27" s="132">
        <v>0.0</v>
      </c>
    </row>
    <row r="28">
      <c r="A28" s="1" t="s">
        <v>822</v>
      </c>
      <c r="B28" s="1" t="s">
        <v>823</v>
      </c>
      <c r="C28" s="1" t="s">
        <v>824</v>
      </c>
      <c r="D28" s="1">
        <v>2023.0</v>
      </c>
      <c r="E28" s="1" t="s">
        <v>681</v>
      </c>
      <c r="F28" s="1" t="s">
        <v>825</v>
      </c>
      <c r="G28" s="1" t="s">
        <v>27</v>
      </c>
      <c r="H28" s="1">
        <v>3.8021297E7</v>
      </c>
      <c r="I28" s="1" t="s">
        <v>826</v>
      </c>
      <c r="J28" s="1" t="s">
        <v>827</v>
      </c>
      <c r="K28" s="132">
        <v>3.0</v>
      </c>
    </row>
    <row r="29" hidden="1">
      <c r="A29" s="1" t="s">
        <v>828</v>
      </c>
      <c r="B29" s="1" t="s">
        <v>829</v>
      </c>
      <c r="C29" s="1" t="s">
        <v>830</v>
      </c>
      <c r="D29" s="1">
        <v>2015.0</v>
      </c>
      <c r="E29" s="1" t="s">
        <v>658</v>
      </c>
      <c r="F29" s="1" t="s">
        <v>737</v>
      </c>
      <c r="G29" s="1" t="s">
        <v>831</v>
      </c>
      <c r="H29" s="1">
        <v>2.6109611E7</v>
      </c>
      <c r="I29" s="1" t="s">
        <v>832</v>
      </c>
      <c r="J29" s="1" t="s">
        <v>833</v>
      </c>
      <c r="K29" s="132">
        <v>0.0</v>
      </c>
    </row>
    <row r="30" hidden="1">
      <c r="A30" s="1" t="s">
        <v>834</v>
      </c>
      <c r="B30" s="1" t="s">
        <v>835</v>
      </c>
      <c r="C30" s="1" t="s">
        <v>836</v>
      </c>
      <c r="D30" s="1">
        <v>1996.0</v>
      </c>
      <c r="E30" s="1" t="s">
        <v>837</v>
      </c>
      <c r="F30" s="1" t="s">
        <v>737</v>
      </c>
      <c r="G30" s="1" t="s">
        <v>838</v>
      </c>
      <c r="H30" s="1">
        <v>8947397.0</v>
      </c>
      <c r="I30" s="1" t="s">
        <v>839</v>
      </c>
      <c r="J30" s="1" t="s">
        <v>840</v>
      </c>
      <c r="K30" s="132">
        <v>0.0</v>
      </c>
    </row>
    <row r="31" hidden="1">
      <c r="A31" s="1" t="s">
        <v>841</v>
      </c>
      <c r="B31" s="1" t="s">
        <v>842</v>
      </c>
      <c r="C31" s="1" t="s">
        <v>843</v>
      </c>
      <c r="D31" s="1">
        <v>2004.0</v>
      </c>
      <c r="E31" s="1" t="s">
        <v>844</v>
      </c>
      <c r="F31" s="1" t="s">
        <v>737</v>
      </c>
      <c r="G31" s="1" t="s">
        <v>845</v>
      </c>
      <c r="H31" s="1">
        <v>1.4754739E7</v>
      </c>
      <c r="I31" s="1" t="s">
        <v>846</v>
      </c>
      <c r="J31" s="1" t="s">
        <v>847</v>
      </c>
      <c r="K31" s="132">
        <v>0.0</v>
      </c>
    </row>
    <row r="32" hidden="1">
      <c r="A32" s="1" t="s">
        <v>848</v>
      </c>
      <c r="B32" s="1" t="s">
        <v>849</v>
      </c>
      <c r="C32" s="1" t="s">
        <v>850</v>
      </c>
      <c r="D32" s="1">
        <v>2019.0</v>
      </c>
      <c r="E32" s="1" t="s">
        <v>813</v>
      </c>
      <c r="F32" s="1" t="s">
        <v>851</v>
      </c>
      <c r="G32" s="1" t="s">
        <v>852</v>
      </c>
      <c r="H32" s="1">
        <v>3.1080007E7</v>
      </c>
      <c r="I32" s="1" t="s">
        <v>853</v>
      </c>
      <c r="J32" s="1" t="s">
        <v>854</v>
      </c>
      <c r="K32" s="132">
        <v>0.0</v>
      </c>
    </row>
    <row r="33" hidden="1">
      <c r="A33" s="1" t="s">
        <v>855</v>
      </c>
      <c r="B33" s="1" t="s">
        <v>856</v>
      </c>
      <c r="C33" s="1" t="s">
        <v>857</v>
      </c>
      <c r="D33" s="1">
        <v>2017.0</v>
      </c>
      <c r="E33" s="1" t="s">
        <v>729</v>
      </c>
      <c r="F33" s="1" t="s">
        <v>819</v>
      </c>
      <c r="G33" s="1" t="s">
        <v>858</v>
      </c>
      <c r="H33" s="1">
        <v>2.8224443E7</v>
      </c>
      <c r="I33" s="1" t="s">
        <v>859</v>
      </c>
      <c r="J33" s="1" t="s">
        <v>860</v>
      </c>
      <c r="K33" s="132">
        <v>0.0</v>
      </c>
    </row>
    <row r="34" hidden="1">
      <c r="A34" s="1" t="s">
        <v>861</v>
      </c>
      <c r="B34" s="1" t="s">
        <v>862</v>
      </c>
      <c r="C34" s="1" t="s">
        <v>863</v>
      </c>
      <c r="D34" s="1">
        <v>2018.0</v>
      </c>
      <c r="E34" s="1" t="s">
        <v>864</v>
      </c>
      <c r="F34" s="1" t="s">
        <v>865</v>
      </c>
      <c r="G34" s="1" t="s">
        <v>866</v>
      </c>
      <c r="H34" s="1">
        <v>2.9924719E7</v>
      </c>
      <c r="I34" s="1" t="s">
        <v>867</v>
      </c>
      <c r="J34" s="1" t="s">
        <v>868</v>
      </c>
      <c r="K34" s="132">
        <v>0.0</v>
      </c>
    </row>
    <row r="35" hidden="1">
      <c r="A35" s="1" t="s">
        <v>869</v>
      </c>
      <c r="B35" s="1" t="s">
        <v>870</v>
      </c>
      <c r="C35" s="1" t="s">
        <v>871</v>
      </c>
      <c r="D35" s="1">
        <v>1986.0</v>
      </c>
      <c r="E35" s="1" t="s">
        <v>681</v>
      </c>
      <c r="F35" s="1" t="s">
        <v>872</v>
      </c>
      <c r="G35" s="1" t="s">
        <v>873</v>
      </c>
      <c r="H35" s="1">
        <v>3491982.0</v>
      </c>
      <c r="I35" s="1" t="s">
        <v>874</v>
      </c>
      <c r="J35" s="1" t="s">
        <v>875</v>
      </c>
      <c r="K35" s="132">
        <v>0.0</v>
      </c>
    </row>
    <row r="36" hidden="1">
      <c r="A36" s="1" t="s">
        <v>876</v>
      </c>
      <c r="B36" s="1" t="s">
        <v>877</v>
      </c>
      <c r="C36" s="1" t="s">
        <v>878</v>
      </c>
      <c r="D36" s="1">
        <v>2020.0</v>
      </c>
      <c r="E36" s="1" t="s">
        <v>681</v>
      </c>
      <c r="F36" s="1" t="s">
        <v>879</v>
      </c>
      <c r="G36" s="1" t="s">
        <v>880</v>
      </c>
      <c r="H36" s="1">
        <v>3.324122E7</v>
      </c>
      <c r="I36" s="1" t="s">
        <v>881</v>
      </c>
      <c r="J36" s="1" t="s">
        <v>882</v>
      </c>
      <c r="K36" s="132">
        <v>0.0</v>
      </c>
    </row>
    <row r="37" hidden="1">
      <c r="A37" s="1" t="s">
        <v>883</v>
      </c>
      <c r="B37" s="1" t="s">
        <v>884</v>
      </c>
      <c r="C37" s="1" t="s">
        <v>885</v>
      </c>
      <c r="D37" s="1">
        <v>2014.0</v>
      </c>
      <c r="E37" s="1" t="s">
        <v>729</v>
      </c>
      <c r="F37" s="1" t="s">
        <v>886</v>
      </c>
      <c r="G37" s="1" t="s">
        <v>887</v>
      </c>
      <c r="H37" s="1">
        <v>2.4993276E7</v>
      </c>
      <c r="I37" s="1" t="s">
        <v>888</v>
      </c>
      <c r="J37" s="1" t="s">
        <v>889</v>
      </c>
      <c r="K37" s="132">
        <v>0.0</v>
      </c>
    </row>
    <row r="38">
      <c r="A38" s="1" t="s">
        <v>890</v>
      </c>
      <c r="B38" s="1" t="s">
        <v>891</v>
      </c>
      <c r="C38" s="1" t="s">
        <v>892</v>
      </c>
      <c r="D38" s="1">
        <v>2001.0</v>
      </c>
      <c r="E38" s="1" t="s">
        <v>837</v>
      </c>
      <c r="F38" s="1" t="s">
        <v>737</v>
      </c>
      <c r="G38" s="1" t="s">
        <v>31</v>
      </c>
      <c r="H38" s="1">
        <v>1.1734484E7</v>
      </c>
      <c r="I38" s="1" t="s">
        <v>893</v>
      </c>
      <c r="J38" s="1" t="s">
        <v>894</v>
      </c>
      <c r="K38" s="132">
        <v>3.0</v>
      </c>
    </row>
    <row r="39" hidden="1">
      <c r="A39" s="1" t="s">
        <v>895</v>
      </c>
      <c r="B39" s="1" t="s">
        <v>896</v>
      </c>
      <c r="C39" s="1" t="s">
        <v>897</v>
      </c>
      <c r="D39" s="1">
        <v>2025.0</v>
      </c>
      <c r="E39" s="1" t="s">
        <v>898</v>
      </c>
      <c r="F39" s="1" t="s">
        <v>899</v>
      </c>
      <c r="G39" s="1" t="s">
        <v>900</v>
      </c>
      <c r="H39" s="1">
        <v>4.1327264E7</v>
      </c>
      <c r="I39" s="1" t="s">
        <v>901</v>
      </c>
      <c r="J39" s="1" t="s">
        <v>902</v>
      </c>
      <c r="K39" s="132">
        <v>0.0</v>
      </c>
    </row>
    <row r="40" hidden="1">
      <c r="A40" s="1" t="s">
        <v>903</v>
      </c>
      <c r="B40" s="1" t="s">
        <v>904</v>
      </c>
      <c r="C40" s="1" t="s">
        <v>905</v>
      </c>
      <c r="D40" s="1">
        <v>1993.0</v>
      </c>
      <c r="E40" s="1" t="s">
        <v>736</v>
      </c>
      <c r="F40" s="1" t="s">
        <v>906</v>
      </c>
      <c r="G40" s="1" t="s">
        <v>907</v>
      </c>
      <c r="H40" s="1">
        <v>8431629.0</v>
      </c>
      <c r="I40" s="1" t="s">
        <v>908</v>
      </c>
      <c r="J40" s="1" t="s">
        <v>909</v>
      </c>
      <c r="K40" s="132">
        <v>0.0</v>
      </c>
    </row>
    <row r="41" hidden="1">
      <c r="A41" s="1" t="s">
        <v>910</v>
      </c>
      <c r="B41" s="1" t="s">
        <v>911</v>
      </c>
      <c r="C41" s="1" t="s">
        <v>912</v>
      </c>
      <c r="D41" s="1">
        <v>2022.0</v>
      </c>
      <c r="E41" s="1" t="s">
        <v>658</v>
      </c>
      <c r="F41" s="1" t="s">
        <v>913</v>
      </c>
      <c r="G41" s="1" t="s">
        <v>914</v>
      </c>
      <c r="H41" s="1">
        <v>3.5985784E7</v>
      </c>
      <c r="I41" s="1" t="s">
        <v>915</v>
      </c>
      <c r="J41" s="1" t="s">
        <v>916</v>
      </c>
      <c r="K41" s="132">
        <v>0.0</v>
      </c>
    </row>
    <row r="42" hidden="1">
      <c r="A42" s="1" t="s">
        <v>917</v>
      </c>
      <c r="B42" s="1" t="s">
        <v>918</v>
      </c>
      <c r="C42" s="1" t="s">
        <v>919</v>
      </c>
      <c r="D42" s="1">
        <v>2019.0</v>
      </c>
      <c r="E42" s="1" t="s">
        <v>689</v>
      </c>
      <c r="F42" s="1" t="s">
        <v>767</v>
      </c>
      <c r="G42" s="1" t="s">
        <v>920</v>
      </c>
      <c r="H42" s="1">
        <v>3.0733025E7</v>
      </c>
      <c r="I42" s="1" t="s">
        <v>921</v>
      </c>
      <c r="J42" s="1" t="s">
        <v>922</v>
      </c>
      <c r="K42" s="132">
        <v>0.0</v>
      </c>
    </row>
    <row r="43" hidden="1">
      <c r="A43" s="1" t="s">
        <v>923</v>
      </c>
      <c r="B43" s="1" t="s">
        <v>924</v>
      </c>
      <c r="C43" s="1" t="s">
        <v>925</v>
      </c>
      <c r="D43" s="1">
        <v>2016.0</v>
      </c>
      <c r="E43" s="1" t="s">
        <v>898</v>
      </c>
      <c r="F43" s="1" t="s">
        <v>926</v>
      </c>
      <c r="G43" s="1" t="s">
        <v>927</v>
      </c>
      <c r="H43" s="1">
        <v>2.7784622E7</v>
      </c>
      <c r="I43" s="1" t="s">
        <v>928</v>
      </c>
      <c r="J43" s="1" t="s">
        <v>929</v>
      </c>
      <c r="K43" s="132">
        <v>0.0</v>
      </c>
    </row>
    <row r="44" hidden="1">
      <c r="A44" s="1" t="s">
        <v>930</v>
      </c>
      <c r="B44" s="1" t="s">
        <v>931</v>
      </c>
      <c r="C44" s="1" t="s">
        <v>932</v>
      </c>
      <c r="D44" s="1">
        <v>2019.0</v>
      </c>
      <c r="E44" s="1" t="s">
        <v>666</v>
      </c>
      <c r="F44" s="1" t="s">
        <v>933</v>
      </c>
      <c r="G44" s="1" t="s">
        <v>934</v>
      </c>
      <c r="H44" s="1">
        <v>2.9252113E7</v>
      </c>
      <c r="I44" s="1" t="s">
        <v>935</v>
      </c>
      <c r="J44" s="1" t="s">
        <v>936</v>
      </c>
      <c r="K44" s="132">
        <v>0.0</v>
      </c>
    </row>
    <row r="45" hidden="1">
      <c r="A45" s="1" t="s">
        <v>937</v>
      </c>
      <c r="B45" s="1" t="s">
        <v>938</v>
      </c>
      <c r="C45" s="1" t="s">
        <v>939</v>
      </c>
      <c r="D45" s="1">
        <v>2013.0</v>
      </c>
      <c r="E45" s="1" t="s">
        <v>940</v>
      </c>
      <c r="F45" s="1" t="s">
        <v>659</v>
      </c>
      <c r="G45" s="1" t="s">
        <v>941</v>
      </c>
      <c r="H45" s="1">
        <v>2.2543515E7</v>
      </c>
      <c r="I45" s="1" t="s">
        <v>942</v>
      </c>
      <c r="J45" s="1" t="s">
        <v>943</v>
      </c>
      <c r="K45" s="132">
        <v>0.0</v>
      </c>
    </row>
    <row r="46" hidden="1">
      <c r="A46" s="1" t="s">
        <v>944</v>
      </c>
      <c r="B46" s="1" t="s">
        <v>945</v>
      </c>
      <c r="C46" s="1" t="s">
        <v>946</v>
      </c>
      <c r="D46" s="1">
        <v>1995.0</v>
      </c>
      <c r="E46" s="1" t="s">
        <v>729</v>
      </c>
      <c r="F46" s="1" t="s">
        <v>767</v>
      </c>
      <c r="G46" s="1" t="s">
        <v>947</v>
      </c>
      <c r="H46" s="1">
        <v>8534294.0</v>
      </c>
      <c r="I46" s="1" t="s">
        <v>948</v>
      </c>
      <c r="J46" s="1" t="s">
        <v>949</v>
      </c>
      <c r="K46" s="132">
        <v>0.0</v>
      </c>
    </row>
    <row r="47" hidden="1">
      <c r="A47" s="1" t="s">
        <v>950</v>
      </c>
      <c r="B47" s="1" t="s">
        <v>951</v>
      </c>
      <c r="C47" s="1" t="s">
        <v>952</v>
      </c>
      <c r="D47" s="1">
        <v>1998.0</v>
      </c>
      <c r="E47" s="1" t="s">
        <v>674</v>
      </c>
      <c r="F47" s="1" t="s">
        <v>767</v>
      </c>
      <c r="G47" s="1" t="s">
        <v>953</v>
      </c>
      <c r="H47" s="1">
        <v>9754479.0</v>
      </c>
      <c r="I47" s="1" t="s">
        <v>954</v>
      </c>
      <c r="J47" s="1" t="s">
        <v>955</v>
      </c>
      <c r="K47" s="132">
        <v>0.0</v>
      </c>
    </row>
    <row r="48" hidden="1">
      <c r="A48" s="1" t="s">
        <v>956</v>
      </c>
      <c r="B48" s="1" t="s">
        <v>957</v>
      </c>
      <c r="C48" s="1" t="s">
        <v>958</v>
      </c>
      <c r="D48" s="1">
        <v>2015.0</v>
      </c>
      <c r="E48" s="1" t="s">
        <v>681</v>
      </c>
      <c r="F48" s="1" t="s">
        <v>659</v>
      </c>
      <c r="G48" s="1" t="s">
        <v>959</v>
      </c>
      <c r="H48" s="1">
        <v>2.4934926E7</v>
      </c>
      <c r="I48" s="1" t="s">
        <v>960</v>
      </c>
      <c r="J48" s="1" t="s">
        <v>961</v>
      </c>
      <c r="K48" s="132">
        <v>0.0</v>
      </c>
    </row>
    <row r="49" hidden="1">
      <c r="A49" s="1" t="s">
        <v>962</v>
      </c>
      <c r="B49" s="1" t="s">
        <v>963</v>
      </c>
      <c r="C49" s="1" t="s">
        <v>964</v>
      </c>
      <c r="D49" s="1">
        <v>2018.0</v>
      </c>
      <c r="E49" s="1" t="s">
        <v>723</v>
      </c>
      <c r="F49" s="1" t="s">
        <v>659</v>
      </c>
      <c r="G49" s="1" t="s">
        <v>965</v>
      </c>
      <c r="H49" s="1">
        <v>2.8315922E7</v>
      </c>
      <c r="I49" s="1" t="s">
        <v>966</v>
      </c>
      <c r="J49" s="1" t="s">
        <v>967</v>
      </c>
      <c r="K49" s="132">
        <v>0.0</v>
      </c>
    </row>
    <row r="50">
      <c r="A50" s="1" t="s">
        <v>968</v>
      </c>
      <c r="B50" s="1" t="s">
        <v>969</v>
      </c>
      <c r="C50" s="1" t="s">
        <v>970</v>
      </c>
      <c r="D50" s="1">
        <v>2010.0</v>
      </c>
      <c r="E50" s="1" t="s">
        <v>658</v>
      </c>
      <c r="F50" s="1" t="s">
        <v>737</v>
      </c>
      <c r="G50" s="1" t="s">
        <v>33</v>
      </c>
      <c r="H50" s="1">
        <v>2.0566719E7</v>
      </c>
      <c r="I50" s="1" t="s">
        <v>971</v>
      </c>
      <c r="J50" s="1" t="s">
        <v>972</v>
      </c>
      <c r="K50" s="132">
        <v>3.0</v>
      </c>
    </row>
    <row r="51" hidden="1">
      <c r="A51" s="1" t="s">
        <v>973</v>
      </c>
      <c r="B51" s="1" t="s">
        <v>974</v>
      </c>
      <c r="C51" s="1" t="s">
        <v>975</v>
      </c>
      <c r="D51" s="1">
        <v>2014.0</v>
      </c>
      <c r="E51" s="1" t="s">
        <v>666</v>
      </c>
      <c r="F51" s="1" t="s">
        <v>737</v>
      </c>
      <c r="G51" s="1" t="s">
        <v>976</v>
      </c>
      <c r="H51" s="1">
        <v>2.4644301E7</v>
      </c>
      <c r="I51" s="1" t="s">
        <v>977</v>
      </c>
      <c r="J51" s="1" t="s">
        <v>978</v>
      </c>
      <c r="K51" s="132">
        <v>2.0</v>
      </c>
    </row>
    <row r="52">
      <c r="A52" s="1" t="s">
        <v>979</v>
      </c>
      <c r="B52" s="1" t="s">
        <v>980</v>
      </c>
      <c r="C52" s="1" t="s">
        <v>981</v>
      </c>
      <c r="D52" s="1">
        <v>2020.0</v>
      </c>
      <c r="E52" s="1" t="s">
        <v>729</v>
      </c>
      <c r="F52" s="1" t="s">
        <v>982</v>
      </c>
      <c r="G52" s="1" t="s">
        <v>36</v>
      </c>
      <c r="H52" s="1">
        <v>3.2504178E7</v>
      </c>
      <c r="I52" s="1" t="s">
        <v>983</v>
      </c>
      <c r="J52" s="1" t="s">
        <v>984</v>
      </c>
      <c r="K52" s="132">
        <v>3.0</v>
      </c>
    </row>
    <row r="53" hidden="1">
      <c r="A53" s="1" t="s">
        <v>985</v>
      </c>
      <c r="B53" s="1" t="s">
        <v>986</v>
      </c>
      <c r="C53" s="1" t="s">
        <v>987</v>
      </c>
      <c r="D53" s="1">
        <v>2020.0</v>
      </c>
      <c r="E53" s="1" t="s">
        <v>761</v>
      </c>
      <c r="F53" s="1" t="s">
        <v>988</v>
      </c>
      <c r="G53" s="1" t="s">
        <v>989</v>
      </c>
      <c r="H53" s="1">
        <v>3.2589515E7</v>
      </c>
      <c r="I53" s="1" t="s">
        <v>990</v>
      </c>
      <c r="J53" s="1" t="s">
        <v>991</v>
      </c>
      <c r="K53" s="132">
        <v>0.0</v>
      </c>
    </row>
    <row r="54" hidden="1">
      <c r="A54" s="1" t="s">
        <v>992</v>
      </c>
      <c r="B54" s="1" t="s">
        <v>993</v>
      </c>
      <c r="C54" s="1" t="s">
        <v>994</v>
      </c>
      <c r="D54" s="1">
        <v>2021.0</v>
      </c>
      <c r="E54" s="1" t="s">
        <v>681</v>
      </c>
      <c r="F54" s="1" t="s">
        <v>825</v>
      </c>
      <c r="G54" s="1" t="s">
        <v>995</v>
      </c>
      <c r="H54" s="1">
        <v>3.4778483E7</v>
      </c>
      <c r="I54" s="1" t="s">
        <v>996</v>
      </c>
      <c r="J54" s="1" t="s">
        <v>997</v>
      </c>
      <c r="K54" s="132">
        <v>0.0</v>
      </c>
    </row>
    <row r="55" hidden="1">
      <c r="A55" s="1" t="s">
        <v>998</v>
      </c>
      <c r="B55" s="1" t="s">
        <v>999</v>
      </c>
      <c r="C55" s="1" t="s">
        <v>1000</v>
      </c>
      <c r="D55" s="1">
        <v>2025.0</v>
      </c>
      <c r="E55" s="12"/>
      <c r="F55" s="1" t="s">
        <v>1001</v>
      </c>
      <c r="G55" s="1" t="s">
        <v>1002</v>
      </c>
      <c r="H55" s="1">
        <v>4.1613017E7</v>
      </c>
      <c r="I55" s="1" t="s">
        <v>1003</v>
      </c>
      <c r="J55" s="1" t="s">
        <v>1004</v>
      </c>
      <c r="K55" s="132">
        <v>0.0</v>
      </c>
    </row>
    <row r="56" hidden="1">
      <c r="A56" s="1" t="s">
        <v>1005</v>
      </c>
      <c r="B56" s="1" t="s">
        <v>1006</v>
      </c>
      <c r="C56" s="1" t="s">
        <v>1007</v>
      </c>
      <c r="D56" s="1">
        <v>1994.0</v>
      </c>
      <c r="E56" s="1" t="s">
        <v>761</v>
      </c>
      <c r="F56" s="1" t="s">
        <v>711</v>
      </c>
      <c r="G56" s="12"/>
      <c r="H56" s="1">
        <v>8027158.0</v>
      </c>
      <c r="I56" s="1" t="s">
        <v>1008</v>
      </c>
      <c r="J56" s="1" t="s">
        <v>1009</v>
      </c>
      <c r="K56" s="132">
        <v>0.0</v>
      </c>
    </row>
    <row r="57" hidden="1">
      <c r="A57" s="1" t="s">
        <v>1010</v>
      </c>
      <c r="B57" s="1" t="s">
        <v>1011</v>
      </c>
      <c r="C57" s="1" t="s">
        <v>1012</v>
      </c>
      <c r="D57" s="1">
        <v>2001.0</v>
      </c>
      <c r="E57" s="1" t="s">
        <v>689</v>
      </c>
      <c r="F57" s="1" t="s">
        <v>886</v>
      </c>
      <c r="G57" s="1" t="s">
        <v>1013</v>
      </c>
      <c r="H57" s="1">
        <v>1.1248568E7</v>
      </c>
      <c r="I57" s="1" t="s">
        <v>1014</v>
      </c>
      <c r="J57" s="1" t="s">
        <v>1015</v>
      </c>
      <c r="K57" s="132">
        <v>0.0</v>
      </c>
    </row>
    <row r="58" hidden="1">
      <c r="A58" s="1" t="s">
        <v>1016</v>
      </c>
      <c r="B58" s="1" t="s">
        <v>1017</v>
      </c>
      <c r="C58" s="1" t="s">
        <v>1018</v>
      </c>
      <c r="D58" s="1">
        <v>2022.0</v>
      </c>
      <c r="E58" s="1" t="s">
        <v>681</v>
      </c>
      <c r="F58" s="1" t="s">
        <v>659</v>
      </c>
      <c r="G58" s="1" t="s">
        <v>1019</v>
      </c>
      <c r="H58" s="1">
        <v>3.5507037E7</v>
      </c>
      <c r="I58" s="1" t="s">
        <v>1020</v>
      </c>
      <c r="J58" s="1" t="s">
        <v>1021</v>
      </c>
      <c r="K58" s="132">
        <v>0.0</v>
      </c>
    </row>
    <row r="59" hidden="1">
      <c r="A59" s="1" t="s">
        <v>1022</v>
      </c>
      <c r="B59" s="1" t="s">
        <v>1023</v>
      </c>
      <c r="C59" s="1" t="s">
        <v>1024</v>
      </c>
      <c r="D59" s="1">
        <v>2008.0</v>
      </c>
      <c r="E59" s="1" t="s">
        <v>697</v>
      </c>
      <c r="F59" s="1" t="s">
        <v>659</v>
      </c>
      <c r="G59" s="1" t="s">
        <v>1025</v>
      </c>
      <c r="H59" s="1">
        <v>1.838598E7</v>
      </c>
      <c r="I59" s="1" t="s">
        <v>1027</v>
      </c>
      <c r="J59" s="1" t="s">
        <v>1029</v>
      </c>
      <c r="K59" s="132">
        <v>0.0</v>
      </c>
    </row>
    <row r="60" hidden="1">
      <c r="A60" s="1" t="s">
        <v>1032</v>
      </c>
      <c r="B60" s="1" t="s">
        <v>1034</v>
      </c>
      <c r="C60" s="1" t="s">
        <v>1038</v>
      </c>
      <c r="D60" s="1">
        <v>2012.0</v>
      </c>
      <c r="E60" s="12"/>
      <c r="F60" s="1" t="s">
        <v>926</v>
      </c>
      <c r="G60" s="1" t="s">
        <v>1040</v>
      </c>
      <c r="H60" s="1">
        <v>2.326882E7</v>
      </c>
      <c r="I60" s="1" t="s">
        <v>1042</v>
      </c>
      <c r="J60" s="1" t="s">
        <v>1044</v>
      </c>
      <c r="K60" s="132">
        <v>0.0</v>
      </c>
    </row>
    <row r="61" hidden="1">
      <c r="A61" s="1" t="s">
        <v>1046</v>
      </c>
      <c r="B61" s="1" t="s">
        <v>1049</v>
      </c>
      <c r="C61" s="1" t="s">
        <v>1055</v>
      </c>
      <c r="D61" s="1">
        <v>2017.0</v>
      </c>
      <c r="E61" s="1" t="s">
        <v>681</v>
      </c>
      <c r="F61" s="1" t="s">
        <v>982</v>
      </c>
      <c r="G61" s="1" t="s">
        <v>1060</v>
      </c>
      <c r="H61" s="1">
        <v>2.8840325E7</v>
      </c>
      <c r="I61" s="1" t="s">
        <v>1063</v>
      </c>
      <c r="J61" s="1" t="s">
        <v>1065</v>
      </c>
      <c r="K61" s="132">
        <v>0.0</v>
      </c>
    </row>
    <row r="62">
      <c r="A62" s="1" t="s">
        <v>1067</v>
      </c>
      <c r="B62" s="1" t="s">
        <v>1072</v>
      </c>
      <c r="C62" s="1" t="s">
        <v>1079</v>
      </c>
      <c r="D62" s="1">
        <v>2002.0</v>
      </c>
      <c r="E62" s="1" t="s">
        <v>674</v>
      </c>
      <c r="F62" s="1" t="s">
        <v>730</v>
      </c>
      <c r="G62" s="1" t="s">
        <v>38</v>
      </c>
      <c r="H62" s="1">
        <v>1.2208905E7</v>
      </c>
      <c r="I62" s="1" t="s">
        <v>1083</v>
      </c>
      <c r="J62" s="1" t="s">
        <v>1026</v>
      </c>
      <c r="K62" s="132">
        <v>3.0</v>
      </c>
    </row>
    <row r="63" hidden="1">
      <c r="A63" s="1" t="s">
        <v>1087</v>
      </c>
      <c r="B63" s="1" t="s">
        <v>1090</v>
      </c>
      <c r="C63" s="1" t="s">
        <v>1093</v>
      </c>
      <c r="D63" s="1">
        <v>2005.0</v>
      </c>
      <c r="E63" s="1" t="s">
        <v>689</v>
      </c>
      <c r="F63" s="1" t="s">
        <v>737</v>
      </c>
      <c r="G63" s="1" t="s">
        <v>1096</v>
      </c>
      <c r="H63" s="1">
        <v>1.571625E7</v>
      </c>
      <c r="I63" s="1" t="s">
        <v>1098</v>
      </c>
      <c r="J63" s="1" t="s">
        <v>1100</v>
      </c>
      <c r="K63" s="132">
        <v>0.0</v>
      </c>
    </row>
    <row r="64" hidden="1">
      <c r="A64" s="1" t="s">
        <v>1107</v>
      </c>
      <c r="B64" s="1" t="s">
        <v>1109</v>
      </c>
      <c r="C64" s="1" t="s">
        <v>1112</v>
      </c>
      <c r="D64" s="1">
        <v>2011.0</v>
      </c>
      <c r="E64" s="1" t="s">
        <v>898</v>
      </c>
      <c r="F64" s="1" t="s">
        <v>737</v>
      </c>
      <c r="G64" s="1" t="s">
        <v>1113</v>
      </c>
      <c r="H64" s="1">
        <v>2.1952714E7</v>
      </c>
      <c r="I64" s="1" t="s">
        <v>1114</v>
      </c>
      <c r="J64" s="1" t="s">
        <v>1115</v>
      </c>
      <c r="K64" s="132">
        <v>0.0</v>
      </c>
    </row>
    <row r="65" hidden="1">
      <c r="A65" s="1" t="s">
        <v>1116</v>
      </c>
      <c r="B65" s="1" t="s">
        <v>1117</v>
      </c>
      <c r="C65" s="1" t="s">
        <v>1118</v>
      </c>
      <c r="D65" s="1">
        <v>2013.0</v>
      </c>
      <c r="E65" s="1" t="s">
        <v>736</v>
      </c>
      <c r="F65" s="1" t="s">
        <v>1119</v>
      </c>
      <c r="G65" s="12"/>
      <c r="H65" s="1">
        <v>2.3578427E7</v>
      </c>
      <c r="I65" s="1" t="s">
        <v>1120</v>
      </c>
      <c r="J65" s="1" t="s">
        <v>1121</v>
      </c>
      <c r="K65" s="132">
        <v>0.0</v>
      </c>
    </row>
    <row r="66">
      <c r="A66" s="1" t="s">
        <v>1122</v>
      </c>
      <c r="B66" s="1" t="s">
        <v>1123</v>
      </c>
      <c r="C66" s="1" t="s">
        <v>1124</v>
      </c>
      <c r="D66" s="1">
        <v>2018.0</v>
      </c>
      <c r="E66" s="1" t="s">
        <v>681</v>
      </c>
      <c r="F66" s="1" t="s">
        <v>1125</v>
      </c>
      <c r="G66" s="1" t="s">
        <v>40</v>
      </c>
      <c r="H66" s="1">
        <v>2.9421837E7</v>
      </c>
      <c r="I66" s="1" t="s">
        <v>1126</v>
      </c>
      <c r="J66" s="1" t="s">
        <v>1028</v>
      </c>
      <c r="K66" s="132">
        <v>3.0</v>
      </c>
    </row>
    <row r="67" hidden="1">
      <c r="A67" s="1" t="s">
        <v>1127</v>
      </c>
      <c r="B67" s="1" t="s">
        <v>1128</v>
      </c>
      <c r="C67" s="1" t="s">
        <v>1129</v>
      </c>
      <c r="D67" s="1">
        <v>2008.0</v>
      </c>
      <c r="E67" s="1" t="s">
        <v>940</v>
      </c>
      <c r="F67" s="1" t="s">
        <v>737</v>
      </c>
      <c r="G67" s="1" t="s">
        <v>1130</v>
      </c>
      <c r="H67" s="1">
        <v>1.8192493E7</v>
      </c>
      <c r="I67" s="1" t="s">
        <v>1131</v>
      </c>
      <c r="J67" s="1" t="s">
        <v>1132</v>
      </c>
      <c r="K67" s="132">
        <v>0.0</v>
      </c>
    </row>
    <row r="68" hidden="1">
      <c r="A68" s="1" t="s">
        <v>1133</v>
      </c>
      <c r="B68" s="1" t="s">
        <v>1134</v>
      </c>
      <c r="C68" s="1" t="s">
        <v>1135</v>
      </c>
      <c r="D68" s="1">
        <v>2016.0</v>
      </c>
      <c r="E68" s="1" t="s">
        <v>658</v>
      </c>
      <c r="F68" s="1" t="s">
        <v>1136</v>
      </c>
      <c r="G68" s="1" t="s">
        <v>1137</v>
      </c>
      <c r="H68" s="1">
        <v>2.737694E7</v>
      </c>
      <c r="I68" s="1" t="s">
        <v>1138</v>
      </c>
      <c r="J68" s="1" t="s">
        <v>1139</v>
      </c>
      <c r="K68" s="132">
        <v>0.0</v>
      </c>
    </row>
    <row r="69">
      <c r="A69" s="1" t="s">
        <v>1140</v>
      </c>
      <c r="B69" s="1" t="s">
        <v>1141</v>
      </c>
      <c r="C69" s="1" t="s">
        <v>1142</v>
      </c>
      <c r="D69" s="1">
        <v>2016.0</v>
      </c>
      <c r="E69" s="1" t="s">
        <v>674</v>
      </c>
      <c r="F69" s="1" t="s">
        <v>737</v>
      </c>
      <c r="G69" s="1" t="s">
        <v>44</v>
      </c>
      <c r="H69" s="1">
        <v>2.7229354E7</v>
      </c>
      <c r="I69" s="1" t="s">
        <v>1143</v>
      </c>
      <c r="J69" s="1" t="s">
        <v>1030</v>
      </c>
      <c r="K69" s="132">
        <v>3.0</v>
      </c>
    </row>
    <row r="70" hidden="1">
      <c r="A70" s="1" t="s">
        <v>1144</v>
      </c>
      <c r="B70" s="1" t="s">
        <v>1145</v>
      </c>
      <c r="C70" s="1" t="s">
        <v>1146</v>
      </c>
      <c r="D70" s="1">
        <v>2014.0</v>
      </c>
      <c r="E70" s="1" t="s">
        <v>681</v>
      </c>
      <c r="F70" s="1" t="s">
        <v>1147</v>
      </c>
      <c r="G70" s="1" t="s">
        <v>1148</v>
      </c>
      <c r="H70" s="1">
        <v>2.5083559E7</v>
      </c>
      <c r="I70" s="1" t="s">
        <v>1149</v>
      </c>
      <c r="J70" s="1" t="s">
        <v>1150</v>
      </c>
      <c r="K70" s="132">
        <v>0.0</v>
      </c>
    </row>
    <row r="71" hidden="1">
      <c r="A71" s="1" t="s">
        <v>1151</v>
      </c>
      <c r="B71" s="1" t="s">
        <v>1152</v>
      </c>
      <c r="C71" s="1" t="s">
        <v>1153</v>
      </c>
      <c r="D71" s="1">
        <v>2014.0</v>
      </c>
      <c r="E71" s="1" t="s">
        <v>723</v>
      </c>
      <c r="F71" s="1" t="s">
        <v>1154</v>
      </c>
      <c r="G71" s="1" t="s">
        <v>1155</v>
      </c>
      <c r="H71" s="1">
        <v>2.4268874E7</v>
      </c>
      <c r="I71" s="1" t="s">
        <v>1156</v>
      </c>
      <c r="J71" s="1" t="s">
        <v>1150</v>
      </c>
      <c r="K71" s="132">
        <v>0.0</v>
      </c>
    </row>
    <row r="72" hidden="1">
      <c r="A72" s="1" t="s">
        <v>1157</v>
      </c>
      <c r="B72" s="1" t="s">
        <v>1158</v>
      </c>
      <c r="C72" s="1" t="s">
        <v>1159</v>
      </c>
      <c r="D72" s="1">
        <v>2026.0</v>
      </c>
      <c r="E72" s="1" t="s">
        <v>736</v>
      </c>
      <c r="F72" s="1" t="s">
        <v>1160</v>
      </c>
      <c r="G72" s="1" t="s">
        <v>1161</v>
      </c>
      <c r="H72" s="1">
        <v>4.168267E7</v>
      </c>
      <c r="I72" s="1" t="s">
        <v>1162</v>
      </c>
      <c r="J72" s="1" t="s">
        <v>1163</v>
      </c>
      <c r="K72" s="132">
        <v>0.0</v>
      </c>
    </row>
    <row r="73" hidden="1">
      <c r="A73" s="1" t="s">
        <v>1164</v>
      </c>
      <c r="B73" s="1" t="s">
        <v>1165</v>
      </c>
      <c r="C73" s="1" t="s">
        <v>1166</v>
      </c>
      <c r="D73" s="1">
        <v>2021.0</v>
      </c>
      <c r="E73" s="1" t="s">
        <v>736</v>
      </c>
      <c r="F73" s="1" t="s">
        <v>1167</v>
      </c>
      <c r="G73" s="1" t="s">
        <v>1168</v>
      </c>
      <c r="H73" s="1">
        <v>3.3234323E7</v>
      </c>
      <c r="I73" s="1" t="s">
        <v>1169</v>
      </c>
      <c r="J73" s="1" t="s">
        <v>1170</v>
      </c>
      <c r="K73" s="132">
        <v>0.0</v>
      </c>
    </row>
    <row r="74" hidden="1">
      <c r="A74" s="1" t="s">
        <v>1171</v>
      </c>
      <c r="B74" s="1" t="s">
        <v>1172</v>
      </c>
      <c r="C74" s="1" t="s">
        <v>1173</v>
      </c>
      <c r="D74" s="1">
        <v>2018.0</v>
      </c>
      <c r="E74" s="1" t="s">
        <v>940</v>
      </c>
      <c r="F74" s="1" t="s">
        <v>1174</v>
      </c>
      <c r="G74" s="1" t="s">
        <v>1175</v>
      </c>
      <c r="H74" s="1">
        <v>2.967817E7</v>
      </c>
      <c r="I74" s="1" t="s">
        <v>1176</v>
      </c>
      <c r="J74" s="1" t="s">
        <v>1177</v>
      </c>
      <c r="K74" s="132">
        <v>0.0</v>
      </c>
    </row>
    <row r="75" hidden="1">
      <c r="A75" s="1" t="s">
        <v>1178</v>
      </c>
      <c r="B75" s="1" t="s">
        <v>1179</v>
      </c>
      <c r="C75" s="1" t="s">
        <v>1180</v>
      </c>
      <c r="D75" s="1">
        <v>2008.0</v>
      </c>
      <c r="E75" s="1" t="s">
        <v>940</v>
      </c>
      <c r="F75" s="1" t="s">
        <v>737</v>
      </c>
      <c r="G75" s="1" t="s">
        <v>1181</v>
      </c>
      <c r="H75" s="1">
        <v>1.8212347E7</v>
      </c>
      <c r="I75" s="1" t="s">
        <v>1182</v>
      </c>
      <c r="J75" s="1" t="s">
        <v>1183</v>
      </c>
      <c r="K75" s="132">
        <v>0.0</v>
      </c>
    </row>
    <row r="76">
      <c r="A76" s="1" t="s">
        <v>1184</v>
      </c>
      <c r="B76" s="1" t="s">
        <v>1185</v>
      </c>
      <c r="C76" s="1" t="s">
        <v>1186</v>
      </c>
      <c r="D76" s="1">
        <v>2015.0</v>
      </c>
      <c r="E76" s="1" t="s">
        <v>729</v>
      </c>
      <c r="F76" s="1" t="s">
        <v>737</v>
      </c>
      <c r="G76" s="1" t="s">
        <v>46</v>
      </c>
      <c r="H76" s="1">
        <v>2.6311445E7</v>
      </c>
      <c r="I76" s="1" t="s">
        <v>1187</v>
      </c>
      <c r="J76" s="1" t="s">
        <v>1031</v>
      </c>
      <c r="K76" s="132">
        <v>3.0</v>
      </c>
    </row>
    <row r="77" hidden="1">
      <c r="A77" s="1" t="s">
        <v>1188</v>
      </c>
      <c r="B77" s="1" t="s">
        <v>1189</v>
      </c>
      <c r="C77" s="1" t="s">
        <v>1190</v>
      </c>
      <c r="D77" s="1">
        <v>2025.0</v>
      </c>
      <c r="E77" s="1" t="s">
        <v>697</v>
      </c>
      <c r="F77" s="1" t="s">
        <v>1191</v>
      </c>
      <c r="G77" s="1" t="s">
        <v>1192</v>
      </c>
      <c r="H77" s="1">
        <v>4.0489412E7</v>
      </c>
      <c r="I77" s="1" t="s">
        <v>1193</v>
      </c>
      <c r="J77" s="1" t="s">
        <v>1194</v>
      </c>
      <c r="K77" s="132">
        <v>0.0</v>
      </c>
    </row>
    <row r="78" hidden="1">
      <c r="A78" s="1" t="s">
        <v>1195</v>
      </c>
      <c r="B78" s="1" t="s">
        <v>1197</v>
      </c>
      <c r="C78" s="1" t="s">
        <v>1198</v>
      </c>
      <c r="D78" s="1">
        <v>2013.0</v>
      </c>
      <c r="E78" s="1" t="s">
        <v>736</v>
      </c>
      <c r="F78" s="1" t="s">
        <v>767</v>
      </c>
      <c r="G78" s="1" t="s">
        <v>1199</v>
      </c>
      <c r="H78" s="1">
        <v>2.3276415E7</v>
      </c>
      <c r="I78" s="1" t="s">
        <v>1200</v>
      </c>
      <c r="J78" s="1" t="s">
        <v>1201</v>
      </c>
      <c r="K78" s="132">
        <v>0.0</v>
      </c>
    </row>
    <row r="79" hidden="1">
      <c r="A79" s="1" t="s">
        <v>1202</v>
      </c>
      <c r="B79" s="1" t="s">
        <v>1203</v>
      </c>
      <c r="C79" s="1" t="s">
        <v>1204</v>
      </c>
      <c r="D79" s="1">
        <v>2000.0</v>
      </c>
      <c r="E79" s="1" t="s">
        <v>681</v>
      </c>
      <c r="F79" s="1" t="s">
        <v>767</v>
      </c>
      <c r="G79" s="1" t="s">
        <v>1205</v>
      </c>
      <c r="H79" s="1">
        <v>1.1078536E7</v>
      </c>
      <c r="I79" s="1" t="s">
        <v>1206</v>
      </c>
      <c r="J79" s="1" t="s">
        <v>1207</v>
      </c>
      <c r="K79" s="132">
        <v>1.0</v>
      </c>
    </row>
    <row r="80" hidden="1">
      <c r="A80" s="1" t="s">
        <v>1208</v>
      </c>
      <c r="B80" s="1" t="s">
        <v>1209</v>
      </c>
      <c r="C80" s="1" t="s">
        <v>1210</v>
      </c>
      <c r="D80" s="1">
        <v>1998.0</v>
      </c>
      <c r="E80" s="12"/>
      <c r="F80" s="1" t="s">
        <v>659</v>
      </c>
      <c r="G80" s="1" t="s">
        <v>1211</v>
      </c>
      <c r="H80" s="1">
        <v>9604191.0</v>
      </c>
      <c r="I80" s="1" t="s">
        <v>1212</v>
      </c>
      <c r="J80" s="1" t="s">
        <v>1213</v>
      </c>
      <c r="K80" s="132">
        <v>0.0</v>
      </c>
    </row>
    <row r="81" hidden="1">
      <c r="A81" s="1" t="s">
        <v>1214</v>
      </c>
      <c r="B81" s="1" t="s">
        <v>1215</v>
      </c>
      <c r="C81" s="1" t="s">
        <v>1216</v>
      </c>
      <c r="D81" s="1">
        <v>2001.0</v>
      </c>
      <c r="E81" s="1" t="s">
        <v>940</v>
      </c>
      <c r="F81" s="1" t="s">
        <v>1217</v>
      </c>
      <c r="G81" s="1" t="s">
        <v>1218</v>
      </c>
      <c r="H81" s="1">
        <v>1.1252459E7</v>
      </c>
      <c r="I81" s="1" t="s">
        <v>1219</v>
      </c>
      <c r="J81" s="1" t="s">
        <v>1220</v>
      </c>
      <c r="K81" s="132">
        <v>0.0</v>
      </c>
    </row>
    <row r="82" hidden="1">
      <c r="A82" s="1" t="s">
        <v>1221</v>
      </c>
      <c r="B82" s="1" t="s">
        <v>1222</v>
      </c>
      <c r="C82" s="1" t="s">
        <v>1223</v>
      </c>
      <c r="D82" s="1">
        <v>2018.0</v>
      </c>
      <c r="E82" s="1" t="s">
        <v>736</v>
      </c>
      <c r="F82" s="1" t="s">
        <v>682</v>
      </c>
      <c r="G82" s="1" t="s">
        <v>1224</v>
      </c>
      <c r="H82" s="1">
        <v>2.9373984E7</v>
      </c>
      <c r="I82" s="1" t="s">
        <v>1225</v>
      </c>
      <c r="J82" s="1" t="s">
        <v>1226</v>
      </c>
      <c r="K82" s="132">
        <v>0.0</v>
      </c>
    </row>
    <row r="83" hidden="1">
      <c r="A83" s="1" t="s">
        <v>1227</v>
      </c>
      <c r="B83" s="1" t="s">
        <v>1228</v>
      </c>
      <c r="C83" s="1" t="s">
        <v>1229</v>
      </c>
      <c r="D83" s="1">
        <v>2023.0</v>
      </c>
      <c r="E83" s="1" t="s">
        <v>736</v>
      </c>
      <c r="F83" s="1" t="s">
        <v>1230</v>
      </c>
      <c r="G83" s="1" t="s">
        <v>1231</v>
      </c>
      <c r="H83" s="1">
        <v>3.6306171E7</v>
      </c>
      <c r="I83" s="1" t="s">
        <v>1232</v>
      </c>
      <c r="J83" s="1" t="s">
        <v>1233</v>
      </c>
      <c r="K83" s="132">
        <v>0.0</v>
      </c>
    </row>
    <row r="84" hidden="1">
      <c r="A84" s="1" t="s">
        <v>1234</v>
      </c>
      <c r="B84" s="1" t="s">
        <v>1235</v>
      </c>
      <c r="C84" s="1" t="s">
        <v>1236</v>
      </c>
      <c r="D84" s="1">
        <v>2025.0</v>
      </c>
      <c r="E84" s="1" t="s">
        <v>689</v>
      </c>
      <c r="F84" s="1" t="s">
        <v>825</v>
      </c>
      <c r="G84" s="1" t="s">
        <v>1237</v>
      </c>
      <c r="H84" s="1">
        <v>4.0052176E7</v>
      </c>
      <c r="I84" s="1" t="s">
        <v>1238</v>
      </c>
      <c r="J84" s="1" t="s">
        <v>1033</v>
      </c>
      <c r="K84" s="132">
        <v>2.0</v>
      </c>
    </row>
    <row r="85" hidden="1">
      <c r="A85" s="1" t="s">
        <v>1239</v>
      </c>
      <c r="B85" s="1" t="s">
        <v>1240</v>
      </c>
      <c r="C85" s="1" t="s">
        <v>1241</v>
      </c>
      <c r="D85" s="1">
        <v>2026.0</v>
      </c>
      <c r="E85" s="1" t="s">
        <v>761</v>
      </c>
      <c r="F85" s="1" t="s">
        <v>825</v>
      </c>
      <c r="G85" s="1" t="s">
        <v>1242</v>
      </c>
      <c r="H85" s="1">
        <v>4.2459597E7</v>
      </c>
      <c r="I85" s="1" t="s">
        <v>1243</v>
      </c>
      <c r="J85" s="1" t="s">
        <v>1244</v>
      </c>
      <c r="K85" s="132">
        <v>0.0</v>
      </c>
    </row>
    <row r="86" hidden="1">
      <c r="A86" s="1" t="s">
        <v>1245</v>
      </c>
      <c r="B86" s="1" t="s">
        <v>1246</v>
      </c>
      <c r="C86" s="1" t="s">
        <v>1247</v>
      </c>
      <c r="D86" s="1">
        <v>2014.0</v>
      </c>
      <c r="E86" s="1" t="s">
        <v>761</v>
      </c>
      <c r="F86" s="1" t="s">
        <v>1248</v>
      </c>
      <c r="G86" s="1" t="s">
        <v>1249</v>
      </c>
      <c r="H86" s="1">
        <v>2.3849907E7</v>
      </c>
      <c r="I86" s="1" t="s">
        <v>1250</v>
      </c>
      <c r="J86" s="1" t="s">
        <v>1251</v>
      </c>
      <c r="K86" s="132">
        <v>0.0</v>
      </c>
    </row>
    <row r="87" hidden="1">
      <c r="A87" s="1" t="s">
        <v>1252</v>
      </c>
      <c r="B87" s="1" t="s">
        <v>1253</v>
      </c>
      <c r="C87" s="1" t="s">
        <v>1254</v>
      </c>
      <c r="D87" s="1">
        <v>2006.0</v>
      </c>
      <c r="E87" s="1" t="s">
        <v>681</v>
      </c>
      <c r="F87" s="1" t="s">
        <v>659</v>
      </c>
      <c r="G87" s="1" t="s">
        <v>1255</v>
      </c>
      <c r="H87" s="1">
        <v>1.6763853E7</v>
      </c>
      <c r="I87" s="1" t="s">
        <v>1256</v>
      </c>
      <c r="J87" s="1" t="s">
        <v>1257</v>
      </c>
      <c r="K87" s="132">
        <v>0.0</v>
      </c>
    </row>
    <row r="88" hidden="1">
      <c r="A88" s="1" t="s">
        <v>1258</v>
      </c>
      <c r="B88" s="1" t="s">
        <v>1259</v>
      </c>
      <c r="C88" s="1" t="s">
        <v>1260</v>
      </c>
      <c r="D88" s="1">
        <v>2017.0</v>
      </c>
      <c r="E88" s="1" t="s">
        <v>689</v>
      </c>
      <c r="F88" s="1" t="s">
        <v>926</v>
      </c>
      <c r="G88" s="1" t="s">
        <v>1261</v>
      </c>
      <c r="H88" s="1">
        <v>2.8242265E7</v>
      </c>
      <c r="I88" s="1" t="s">
        <v>1262</v>
      </c>
      <c r="J88" s="1" t="s">
        <v>1263</v>
      </c>
      <c r="K88" s="132">
        <v>1.0</v>
      </c>
    </row>
    <row r="89" hidden="1">
      <c r="A89" s="1" t="s">
        <v>1264</v>
      </c>
      <c r="B89" s="1" t="s">
        <v>1265</v>
      </c>
      <c r="C89" s="1" t="s">
        <v>1266</v>
      </c>
      <c r="D89" s="1">
        <v>2010.0</v>
      </c>
      <c r="E89" s="1" t="s">
        <v>761</v>
      </c>
      <c r="F89" s="1" t="s">
        <v>767</v>
      </c>
      <c r="G89" s="1" t="s">
        <v>1267</v>
      </c>
      <c r="H89" s="1">
        <v>2.0620788E7</v>
      </c>
      <c r="I89" s="1" t="s">
        <v>1268</v>
      </c>
      <c r="J89" s="1" t="s">
        <v>1269</v>
      </c>
      <c r="K89" s="132">
        <v>0.0</v>
      </c>
    </row>
    <row r="90">
      <c r="A90" s="1" t="s">
        <v>1270</v>
      </c>
      <c r="B90" s="1" t="s">
        <v>1271</v>
      </c>
      <c r="C90" s="1" t="s">
        <v>1272</v>
      </c>
      <c r="D90" s="1">
        <v>2024.0</v>
      </c>
      <c r="E90" s="1" t="s">
        <v>898</v>
      </c>
      <c r="F90" s="1" t="s">
        <v>982</v>
      </c>
      <c r="G90" s="1" t="s">
        <v>48</v>
      </c>
      <c r="H90" s="1">
        <v>3.9714511E7</v>
      </c>
      <c r="I90" s="1" t="s">
        <v>1273</v>
      </c>
      <c r="J90" s="1" t="s">
        <v>1035</v>
      </c>
      <c r="K90" s="132">
        <v>3.0</v>
      </c>
    </row>
    <row r="91" hidden="1">
      <c r="A91" s="1" t="s">
        <v>1274</v>
      </c>
      <c r="B91" s="1" t="s">
        <v>1275</v>
      </c>
      <c r="C91" s="1" t="s">
        <v>1276</v>
      </c>
      <c r="D91" s="1">
        <v>2023.0</v>
      </c>
      <c r="E91" s="12"/>
      <c r="F91" s="1" t="s">
        <v>1277</v>
      </c>
      <c r="G91" s="1" t="s">
        <v>1278</v>
      </c>
      <c r="H91" s="1">
        <v>3.6761023E7</v>
      </c>
      <c r="I91" s="1" t="s">
        <v>1279</v>
      </c>
      <c r="J91" s="1" t="s">
        <v>1280</v>
      </c>
      <c r="K91" s="132">
        <v>0.0</v>
      </c>
    </row>
    <row r="92">
      <c r="A92" s="1" t="s">
        <v>1281</v>
      </c>
      <c r="B92" s="1" t="s">
        <v>1282</v>
      </c>
      <c r="C92" s="1" t="s">
        <v>1283</v>
      </c>
      <c r="D92" s="1">
        <v>2025.0</v>
      </c>
      <c r="E92" s="1" t="s">
        <v>761</v>
      </c>
      <c r="F92" s="1" t="s">
        <v>659</v>
      </c>
      <c r="G92" s="1" t="s">
        <v>53</v>
      </c>
      <c r="H92" s="1">
        <v>3.9810716E7</v>
      </c>
      <c r="I92" s="1" t="s">
        <v>1284</v>
      </c>
      <c r="J92" s="1" t="s">
        <v>1036</v>
      </c>
      <c r="K92" s="132">
        <v>3.0</v>
      </c>
    </row>
    <row r="93" hidden="1">
      <c r="A93" s="1" t="s">
        <v>1285</v>
      </c>
      <c r="B93" s="1" t="s">
        <v>1286</v>
      </c>
      <c r="C93" s="1" t="s">
        <v>1287</v>
      </c>
      <c r="D93" s="1">
        <v>1995.0</v>
      </c>
      <c r="E93" s="1" t="s">
        <v>689</v>
      </c>
      <c r="F93" s="1" t="s">
        <v>872</v>
      </c>
      <c r="G93" s="1" t="s">
        <v>1288</v>
      </c>
      <c r="H93" s="1">
        <v>7761314.0</v>
      </c>
      <c r="I93" s="1" t="s">
        <v>1289</v>
      </c>
      <c r="J93" s="1" t="s">
        <v>1290</v>
      </c>
      <c r="K93" s="132">
        <v>0.0</v>
      </c>
    </row>
    <row r="94" hidden="1">
      <c r="A94" s="1" t="s">
        <v>1291</v>
      </c>
      <c r="B94" s="1" t="s">
        <v>1292</v>
      </c>
      <c r="C94" s="1" t="s">
        <v>1293</v>
      </c>
      <c r="D94" s="1">
        <v>2025.0</v>
      </c>
      <c r="E94" s="1" t="s">
        <v>674</v>
      </c>
      <c r="F94" s="1" t="s">
        <v>933</v>
      </c>
      <c r="G94" s="1" t="s">
        <v>1294</v>
      </c>
      <c r="H94" s="1">
        <v>3.9947195E7</v>
      </c>
      <c r="I94" s="1" t="s">
        <v>1295</v>
      </c>
      <c r="J94" s="1" t="s">
        <v>1296</v>
      </c>
      <c r="K94" s="132">
        <v>0.0</v>
      </c>
    </row>
    <row r="95" hidden="1">
      <c r="A95" s="1" t="s">
        <v>1297</v>
      </c>
      <c r="B95" s="1" t="s">
        <v>1298</v>
      </c>
      <c r="C95" s="1" t="s">
        <v>1299</v>
      </c>
      <c r="D95" s="1">
        <v>2017.0</v>
      </c>
      <c r="E95" s="1" t="s">
        <v>729</v>
      </c>
      <c r="F95" s="1" t="s">
        <v>819</v>
      </c>
      <c r="G95" s="1" t="s">
        <v>1300</v>
      </c>
      <c r="H95" s="1">
        <v>2.8224442E7</v>
      </c>
      <c r="I95" s="1" t="s">
        <v>1301</v>
      </c>
      <c r="J95" s="1" t="s">
        <v>1302</v>
      </c>
      <c r="K95" s="132">
        <v>0.0</v>
      </c>
    </row>
    <row r="96" hidden="1">
      <c r="A96" s="1" t="s">
        <v>1303</v>
      </c>
      <c r="B96" s="1" t="s">
        <v>1304</v>
      </c>
      <c r="C96" s="1" t="s">
        <v>1305</v>
      </c>
      <c r="D96" s="1">
        <v>2019.0</v>
      </c>
      <c r="E96" s="1" t="s">
        <v>658</v>
      </c>
      <c r="F96" s="1" t="s">
        <v>825</v>
      </c>
      <c r="G96" s="1" t="s">
        <v>1306</v>
      </c>
      <c r="H96" s="1">
        <v>3.1413963E7</v>
      </c>
      <c r="I96" s="1" t="s">
        <v>1307</v>
      </c>
      <c r="J96" s="1" t="s">
        <v>1308</v>
      </c>
      <c r="K96" s="132">
        <v>0.0</v>
      </c>
    </row>
    <row r="97" hidden="1">
      <c r="A97" s="1" t="s">
        <v>1309</v>
      </c>
      <c r="B97" s="1" t="s">
        <v>1310</v>
      </c>
      <c r="C97" s="1" t="s">
        <v>1311</v>
      </c>
      <c r="D97" s="1">
        <v>2012.0</v>
      </c>
      <c r="E97" s="1" t="s">
        <v>689</v>
      </c>
      <c r="F97" s="1" t="s">
        <v>1312</v>
      </c>
      <c r="G97" s="12"/>
      <c r="H97" s="1">
        <v>2.2543555E7</v>
      </c>
      <c r="I97" s="1" t="s">
        <v>1313</v>
      </c>
      <c r="J97" s="1" t="s">
        <v>1314</v>
      </c>
      <c r="K97" s="132">
        <v>0.0</v>
      </c>
    </row>
    <row r="98" hidden="1">
      <c r="A98" s="1" t="s">
        <v>1315</v>
      </c>
      <c r="B98" s="1" t="s">
        <v>1316</v>
      </c>
      <c r="C98" s="1" t="s">
        <v>1317</v>
      </c>
      <c r="D98" s="1">
        <v>2008.0</v>
      </c>
      <c r="E98" s="1" t="s">
        <v>697</v>
      </c>
      <c r="F98" s="1" t="s">
        <v>886</v>
      </c>
      <c r="G98" s="1" t="s">
        <v>1318</v>
      </c>
      <c r="H98" s="1">
        <v>1.8367398E7</v>
      </c>
      <c r="I98" s="1" t="s">
        <v>1319</v>
      </c>
      <c r="J98" s="1" t="s">
        <v>1320</v>
      </c>
      <c r="K98" s="132">
        <v>0.0</v>
      </c>
    </row>
    <row r="99" hidden="1">
      <c r="A99" s="1" t="s">
        <v>1321</v>
      </c>
      <c r="B99" s="1" t="s">
        <v>1322</v>
      </c>
      <c r="C99" s="1" t="s">
        <v>1323</v>
      </c>
      <c r="D99" s="1">
        <v>1999.0</v>
      </c>
      <c r="E99" s="1" t="s">
        <v>689</v>
      </c>
      <c r="F99" s="1" t="s">
        <v>767</v>
      </c>
      <c r="G99" s="1" t="s">
        <v>1324</v>
      </c>
      <c r="H99" s="1">
        <v>1.0210074E7</v>
      </c>
      <c r="I99" s="1" t="s">
        <v>1325</v>
      </c>
      <c r="J99" s="1" t="s">
        <v>1326</v>
      </c>
      <c r="K99" s="132">
        <v>1.0</v>
      </c>
    </row>
    <row r="100" hidden="1">
      <c r="A100" s="1" t="s">
        <v>1327</v>
      </c>
      <c r="B100" s="1" t="s">
        <v>1328</v>
      </c>
      <c r="C100" s="1" t="s">
        <v>1329</v>
      </c>
      <c r="D100" s="1">
        <v>2017.0</v>
      </c>
      <c r="E100" s="1" t="s">
        <v>940</v>
      </c>
      <c r="F100" s="1" t="s">
        <v>659</v>
      </c>
      <c r="G100" s="1" t="s">
        <v>1330</v>
      </c>
      <c r="H100" s="1">
        <v>2.712019E7</v>
      </c>
      <c r="I100" s="1" t="s">
        <v>1331</v>
      </c>
      <c r="J100" s="1" t="s">
        <v>1332</v>
      </c>
      <c r="K100" s="132">
        <v>0.0</v>
      </c>
    </row>
    <row r="101" hidden="1">
      <c r="A101" s="1" t="s">
        <v>1333</v>
      </c>
      <c r="B101" s="1" t="s">
        <v>1334</v>
      </c>
      <c r="C101" s="1" t="s">
        <v>1335</v>
      </c>
      <c r="D101" s="1">
        <v>2025.0</v>
      </c>
      <c r="E101" s="1" t="s">
        <v>729</v>
      </c>
      <c r="F101" s="1" t="s">
        <v>1174</v>
      </c>
      <c r="G101" s="1" t="s">
        <v>1336</v>
      </c>
      <c r="H101" s="1">
        <v>4.1083992E7</v>
      </c>
      <c r="I101" s="1" t="s">
        <v>1337</v>
      </c>
      <c r="J101" s="1" t="s">
        <v>1338</v>
      </c>
      <c r="K101" s="132">
        <v>1.0</v>
      </c>
    </row>
    <row r="102" hidden="1">
      <c r="A102" s="1" t="s">
        <v>1339</v>
      </c>
      <c r="B102" s="1" t="s">
        <v>1340</v>
      </c>
      <c r="C102" s="1" t="s">
        <v>1341</v>
      </c>
      <c r="D102" s="1">
        <v>2020.0</v>
      </c>
      <c r="E102" s="1" t="s">
        <v>697</v>
      </c>
      <c r="F102" s="1" t="s">
        <v>737</v>
      </c>
      <c r="G102" s="1" t="s">
        <v>1342</v>
      </c>
      <c r="H102" s="1">
        <v>3.2368935E7</v>
      </c>
      <c r="I102" s="1" t="s">
        <v>1343</v>
      </c>
      <c r="J102" s="1" t="s">
        <v>1344</v>
      </c>
      <c r="K102" s="132">
        <v>0.0</v>
      </c>
    </row>
    <row r="103" hidden="1">
      <c r="A103" s="1" t="s">
        <v>1345</v>
      </c>
      <c r="B103" s="1" t="s">
        <v>1346</v>
      </c>
      <c r="C103" s="1" t="s">
        <v>1347</v>
      </c>
      <c r="D103" s="1">
        <v>2018.0</v>
      </c>
      <c r="E103" s="1" t="s">
        <v>723</v>
      </c>
      <c r="F103" s="1" t="s">
        <v>737</v>
      </c>
      <c r="G103" s="1" t="s">
        <v>1348</v>
      </c>
      <c r="H103" s="1">
        <v>2.9065271E7</v>
      </c>
      <c r="I103" s="1" t="s">
        <v>1349</v>
      </c>
      <c r="J103" s="1" t="s">
        <v>1350</v>
      </c>
      <c r="K103" s="132">
        <v>0.0</v>
      </c>
    </row>
    <row r="104" hidden="1">
      <c r="A104" s="1" t="s">
        <v>1351</v>
      </c>
      <c r="B104" s="1" t="s">
        <v>1352</v>
      </c>
      <c r="C104" s="1" t="s">
        <v>1353</v>
      </c>
      <c r="D104" s="1">
        <v>1995.0</v>
      </c>
      <c r="E104" s="12"/>
      <c r="F104" s="1" t="s">
        <v>659</v>
      </c>
      <c r="G104" s="1" t="s">
        <v>1354</v>
      </c>
      <c r="H104" s="1">
        <v>7773814.0</v>
      </c>
      <c r="I104" s="1" t="s">
        <v>1355</v>
      </c>
      <c r="J104" s="1" t="s">
        <v>1356</v>
      </c>
      <c r="K104" s="132">
        <v>0.0</v>
      </c>
    </row>
    <row r="105" hidden="1">
      <c r="A105" s="1" t="s">
        <v>1357</v>
      </c>
      <c r="B105" s="1" t="s">
        <v>1358</v>
      </c>
      <c r="C105" s="1" t="s">
        <v>1359</v>
      </c>
      <c r="D105" s="1">
        <v>2012.0</v>
      </c>
      <c r="E105" s="1" t="s">
        <v>736</v>
      </c>
      <c r="F105" s="1" t="s">
        <v>659</v>
      </c>
      <c r="G105" s="1" t="s">
        <v>1360</v>
      </c>
      <c r="H105" s="1">
        <v>2.1678095E7</v>
      </c>
      <c r="I105" s="1" t="s">
        <v>1361</v>
      </c>
      <c r="J105" s="1" t="s">
        <v>1362</v>
      </c>
      <c r="K105" s="132">
        <v>0.0</v>
      </c>
    </row>
    <row r="106" hidden="1">
      <c r="A106" s="1" t="s">
        <v>1363</v>
      </c>
      <c r="B106" s="1" t="s">
        <v>1364</v>
      </c>
      <c r="C106" s="1" t="s">
        <v>1365</v>
      </c>
      <c r="D106" s="1">
        <v>2022.0</v>
      </c>
      <c r="E106" s="1" t="s">
        <v>697</v>
      </c>
      <c r="F106" s="1" t="s">
        <v>767</v>
      </c>
      <c r="G106" s="1" t="s">
        <v>1366</v>
      </c>
      <c r="H106" s="1">
        <v>3.4952186E7</v>
      </c>
      <c r="I106" s="1" t="s">
        <v>1367</v>
      </c>
      <c r="J106" s="1" t="s">
        <v>1368</v>
      </c>
      <c r="K106" s="132">
        <v>0.0</v>
      </c>
    </row>
    <row r="107" hidden="1">
      <c r="A107" s="1" t="s">
        <v>1369</v>
      </c>
      <c r="B107" s="1" t="s">
        <v>1370</v>
      </c>
      <c r="C107" s="1" t="s">
        <v>1371</v>
      </c>
      <c r="D107" s="1">
        <v>2015.0</v>
      </c>
      <c r="E107" s="1" t="s">
        <v>736</v>
      </c>
      <c r="F107" s="1" t="s">
        <v>982</v>
      </c>
      <c r="G107" s="1" t="s">
        <v>1372</v>
      </c>
      <c r="H107" s="1">
        <v>2.5381471E7</v>
      </c>
      <c r="I107" s="1" t="s">
        <v>1373</v>
      </c>
      <c r="J107" s="1" t="s">
        <v>1374</v>
      </c>
      <c r="K107" s="132">
        <v>0.0</v>
      </c>
    </row>
    <row r="108" hidden="1">
      <c r="A108" s="1" t="s">
        <v>1375</v>
      </c>
      <c r="B108" s="1" t="s">
        <v>1376</v>
      </c>
      <c r="C108" s="1" t="s">
        <v>1377</v>
      </c>
      <c r="D108" s="1">
        <v>2019.0</v>
      </c>
      <c r="E108" s="1" t="s">
        <v>761</v>
      </c>
      <c r="F108" s="1" t="s">
        <v>767</v>
      </c>
      <c r="G108" s="1" t="s">
        <v>1378</v>
      </c>
      <c r="H108" s="1">
        <v>3.1227397E7</v>
      </c>
      <c r="I108" s="1" t="s">
        <v>1379</v>
      </c>
      <c r="J108" s="1" t="s">
        <v>1380</v>
      </c>
      <c r="K108" s="132">
        <v>0.0</v>
      </c>
    </row>
    <row r="109" hidden="1">
      <c r="A109" s="1" t="s">
        <v>1381</v>
      </c>
      <c r="B109" s="1" t="s">
        <v>1382</v>
      </c>
      <c r="C109" s="1" t="s">
        <v>1383</v>
      </c>
      <c r="D109" s="1">
        <v>2016.0</v>
      </c>
      <c r="E109" s="1" t="s">
        <v>689</v>
      </c>
      <c r="F109" s="1" t="s">
        <v>737</v>
      </c>
      <c r="G109" s="1" t="s">
        <v>1384</v>
      </c>
      <c r="H109" s="1">
        <v>2.67977E7</v>
      </c>
      <c r="I109" s="1" t="s">
        <v>1385</v>
      </c>
      <c r="J109" s="1" t="s">
        <v>1386</v>
      </c>
      <c r="K109" s="132">
        <v>0.0</v>
      </c>
    </row>
    <row r="110" hidden="1">
      <c r="A110" s="1" t="s">
        <v>1387</v>
      </c>
      <c r="B110" s="1" t="s">
        <v>1388</v>
      </c>
      <c r="C110" s="1" t="s">
        <v>1389</v>
      </c>
      <c r="D110" s="1">
        <v>2007.0</v>
      </c>
      <c r="E110" s="1" t="s">
        <v>723</v>
      </c>
      <c r="F110" s="1" t="s">
        <v>737</v>
      </c>
      <c r="G110" s="1" t="s">
        <v>1390</v>
      </c>
      <c r="H110" s="1">
        <v>1.7251174E7</v>
      </c>
      <c r="I110" s="1" t="s">
        <v>1391</v>
      </c>
      <c r="J110" s="1" t="s">
        <v>1392</v>
      </c>
      <c r="K110" s="132">
        <v>0.0</v>
      </c>
    </row>
    <row r="111" hidden="1">
      <c r="A111" s="1" t="s">
        <v>1393</v>
      </c>
      <c r="B111" s="1" t="s">
        <v>1394</v>
      </c>
      <c r="C111" s="1" t="s">
        <v>1395</v>
      </c>
      <c r="D111" s="1">
        <v>2012.0</v>
      </c>
      <c r="E111" s="1" t="s">
        <v>681</v>
      </c>
      <c r="F111" s="1" t="s">
        <v>1396</v>
      </c>
      <c r="G111" s="1" t="s">
        <v>1397</v>
      </c>
      <c r="H111" s="1">
        <v>2.3126601E7</v>
      </c>
      <c r="I111" s="1" t="s">
        <v>1398</v>
      </c>
      <c r="J111" s="1" t="s">
        <v>1399</v>
      </c>
      <c r="K111" s="132">
        <v>0.0</v>
      </c>
    </row>
    <row r="112" hidden="1">
      <c r="A112" s="1" t="s">
        <v>1400</v>
      </c>
      <c r="B112" s="1" t="s">
        <v>1401</v>
      </c>
      <c r="C112" s="1" t="s">
        <v>1402</v>
      </c>
      <c r="D112" s="1">
        <v>2013.0</v>
      </c>
      <c r="E112" s="1" t="s">
        <v>658</v>
      </c>
      <c r="F112" s="1" t="s">
        <v>933</v>
      </c>
      <c r="G112" s="1" t="s">
        <v>1403</v>
      </c>
      <c r="H112" s="1">
        <v>2.3579334E7</v>
      </c>
      <c r="I112" s="1" t="s">
        <v>1404</v>
      </c>
      <c r="J112" s="1" t="s">
        <v>1405</v>
      </c>
      <c r="K112" s="132">
        <v>0.0</v>
      </c>
    </row>
    <row r="113" hidden="1">
      <c r="A113" s="1" t="s">
        <v>1406</v>
      </c>
      <c r="B113" s="1" t="s">
        <v>1407</v>
      </c>
      <c r="C113" s="1" t="s">
        <v>1408</v>
      </c>
      <c r="D113" s="1">
        <v>2026.0</v>
      </c>
      <c r="E113" s="1" t="s">
        <v>761</v>
      </c>
      <c r="F113" s="1" t="s">
        <v>659</v>
      </c>
      <c r="G113" s="1" t="s">
        <v>1409</v>
      </c>
      <c r="H113" s="1">
        <v>4.0923403E7</v>
      </c>
      <c r="I113" s="1" t="s">
        <v>1410</v>
      </c>
      <c r="J113" s="1" t="s">
        <v>1411</v>
      </c>
      <c r="K113" s="132">
        <v>0.0</v>
      </c>
    </row>
    <row r="114" hidden="1">
      <c r="A114" s="1" t="s">
        <v>1412</v>
      </c>
      <c r="B114" s="1" t="s">
        <v>1413</v>
      </c>
      <c r="C114" s="1" t="s">
        <v>1414</v>
      </c>
      <c r="D114" s="1">
        <v>2022.0</v>
      </c>
      <c r="E114" s="1" t="s">
        <v>697</v>
      </c>
      <c r="F114" s="1" t="s">
        <v>1415</v>
      </c>
      <c r="G114" s="1" t="s">
        <v>1416</v>
      </c>
      <c r="H114" s="1">
        <v>3.3059096E7</v>
      </c>
      <c r="I114" s="1" t="s">
        <v>1417</v>
      </c>
      <c r="J114" s="1" t="s">
        <v>1418</v>
      </c>
      <c r="K114" s="132">
        <v>0.0</v>
      </c>
    </row>
    <row r="115" hidden="1">
      <c r="A115" s="1" t="s">
        <v>1419</v>
      </c>
      <c r="B115" s="1" t="s">
        <v>1420</v>
      </c>
      <c r="C115" s="1" t="s">
        <v>1421</v>
      </c>
      <c r="D115" s="1">
        <v>2018.0</v>
      </c>
      <c r="E115" s="1" t="s">
        <v>729</v>
      </c>
      <c r="F115" s="1" t="s">
        <v>825</v>
      </c>
      <c r="G115" s="1" t="s">
        <v>1422</v>
      </c>
      <c r="H115" s="1">
        <v>3.0349838E7</v>
      </c>
      <c r="I115" s="1" t="s">
        <v>1423</v>
      </c>
      <c r="J115" s="1" t="s">
        <v>1424</v>
      </c>
      <c r="K115" s="132">
        <v>1.0</v>
      </c>
    </row>
    <row r="116" hidden="1">
      <c r="A116" s="1" t="s">
        <v>1425</v>
      </c>
      <c r="B116" s="1" t="s">
        <v>1426</v>
      </c>
      <c r="C116" s="1" t="s">
        <v>1427</v>
      </c>
      <c r="D116" s="1">
        <v>2021.0</v>
      </c>
      <c r="E116" s="1" t="s">
        <v>674</v>
      </c>
      <c r="F116" s="1" t="s">
        <v>659</v>
      </c>
      <c r="G116" s="1" t="s">
        <v>1428</v>
      </c>
      <c r="H116" s="1">
        <v>3.3128587E7</v>
      </c>
      <c r="I116" s="1" t="s">
        <v>1429</v>
      </c>
      <c r="J116" s="1" t="s">
        <v>1430</v>
      </c>
      <c r="K116" s="132">
        <v>0.0</v>
      </c>
    </row>
    <row r="117" hidden="1">
      <c r="A117" s="1" t="s">
        <v>1431</v>
      </c>
      <c r="B117" s="1" t="s">
        <v>1432</v>
      </c>
      <c r="C117" s="1" t="s">
        <v>1433</v>
      </c>
      <c r="D117" s="1">
        <v>2022.0</v>
      </c>
      <c r="E117" s="1" t="s">
        <v>729</v>
      </c>
      <c r="F117" s="1" t="s">
        <v>698</v>
      </c>
      <c r="G117" s="1" t="s">
        <v>1434</v>
      </c>
      <c r="H117" s="1">
        <v>3.7873691E7</v>
      </c>
      <c r="I117" s="1" t="s">
        <v>1435</v>
      </c>
      <c r="J117" s="1" t="s">
        <v>1037</v>
      </c>
      <c r="K117" s="132">
        <v>2.0</v>
      </c>
    </row>
    <row r="118" hidden="1">
      <c r="A118" s="1" t="s">
        <v>1436</v>
      </c>
      <c r="B118" s="1" t="s">
        <v>1437</v>
      </c>
      <c r="C118" s="1" t="s">
        <v>1438</v>
      </c>
      <c r="D118" s="1">
        <v>2020.0</v>
      </c>
      <c r="E118" s="1" t="s">
        <v>689</v>
      </c>
      <c r="F118" s="1" t="s">
        <v>737</v>
      </c>
      <c r="G118" s="1" t="s">
        <v>1439</v>
      </c>
      <c r="H118" s="1">
        <v>3.2167837E7</v>
      </c>
      <c r="I118" s="1" t="s">
        <v>1440</v>
      </c>
      <c r="J118" s="1" t="s">
        <v>1441</v>
      </c>
      <c r="K118" s="132">
        <v>0.0</v>
      </c>
    </row>
    <row r="119" hidden="1">
      <c r="A119" s="1" t="s">
        <v>1442</v>
      </c>
      <c r="B119" s="1" t="s">
        <v>1443</v>
      </c>
      <c r="C119" s="1" t="s">
        <v>1444</v>
      </c>
      <c r="D119" s="1">
        <v>2022.0</v>
      </c>
      <c r="E119" s="1" t="s">
        <v>761</v>
      </c>
      <c r="F119" s="1" t="s">
        <v>659</v>
      </c>
      <c r="G119" s="1" t="s">
        <v>1445</v>
      </c>
      <c r="H119" s="1">
        <v>3.4782927E7</v>
      </c>
      <c r="I119" s="1" t="s">
        <v>1446</v>
      </c>
      <c r="J119" s="1" t="s">
        <v>1447</v>
      </c>
      <c r="K119" s="132">
        <v>0.0</v>
      </c>
    </row>
    <row r="120" hidden="1">
      <c r="A120" s="1" t="s">
        <v>1448</v>
      </c>
      <c r="B120" s="1" t="s">
        <v>1449</v>
      </c>
      <c r="C120" s="1" t="s">
        <v>1450</v>
      </c>
      <c r="D120" s="1">
        <v>2019.0</v>
      </c>
      <c r="E120" s="1" t="s">
        <v>736</v>
      </c>
      <c r="F120" s="1" t="s">
        <v>933</v>
      </c>
      <c r="G120" s="1" t="s">
        <v>1451</v>
      </c>
      <c r="H120" s="1">
        <v>2.8872396E7</v>
      </c>
      <c r="I120" s="1" t="s">
        <v>1452</v>
      </c>
      <c r="J120" s="1" t="s">
        <v>1453</v>
      </c>
      <c r="K120" s="132">
        <v>0.0</v>
      </c>
    </row>
    <row r="121" hidden="1">
      <c r="A121" s="1" t="s">
        <v>1454</v>
      </c>
      <c r="B121" s="1" t="s">
        <v>1455</v>
      </c>
      <c r="C121" s="1" t="s">
        <v>1456</v>
      </c>
      <c r="D121" s="1">
        <v>2016.0</v>
      </c>
      <c r="E121" s="1" t="s">
        <v>674</v>
      </c>
      <c r="F121" s="1" t="s">
        <v>659</v>
      </c>
      <c r="G121" s="1" t="s">
        <v>1457</v>
      </c>
      <c r="H121" s="1">
        <v>2.5763849E7</v>
      </c>
      <c r="I121" s="1" t="s">
        <v>1458</v>
      </c>
      <c r="J121" s="1" t="s">
        <v>1459</v>
      </c>
      <c r="K121" s="132">
        <v>0.0</v>
      </c>
    </row>
    <row r="122" hidden="1">
      <c r="A122" s="1" t="s">
        <v>1460</v>
      </c>
      <c r="B122" s="1" t="s">
        <v>1461</v>
      </c>
      <c r="C122" s="1" t="s">
        <v>1462</v>
      </c>
      <c r="D122" s="1">
        <v>2013.0</v>
      </c>
      <c r="E122" s="1" t="s">
        <v>940</v>
      </c>
      <c r="F122" s="1" t="s">
        <v>1125</v>
      </c>
      <c r="G122" s="1" t="s">
        <v>1463</v>
      </c>
      <c r="H122" s="1">
        <v>2.3288753E7</v>
      </c>
      <c r="I122" s="1" t="s">
        <v>1464</v>
      </c>
      <c r="J122" s="1" t="s">
        <v>1465</v>
      </c>
      <c r="K122" s="132">
        <v>0.0</v>
      </c>
    </row>
    <row r="123" hidden="1">
      <c r="A123" s="1" t="s">
        <v>1466</v>
      </c>
      <c r="B123" s="1" t="s">
        <v>1467</v>
      </c>
      <c r="C123" s="1" t="s">
        <v>1468</v>
      </c>
      <c r="D123" s="1">
        <v>2009.0</v>
      </c>
      <c r="E123" s="1" t="s">
        <v>1469</v>
      </c>
      <c r="F123" s="1" t="s">
        <v>1470</v>
      </c>
      <c r="G123" s="1" t="s">
        <v>1471</v>
      </c>
      <c r="H123" s="1">
        <v>1.9282706E7</v>
      </c>
      <c r="I123" s="1" t="s">
        <v>1472</v>
      </c>
      <c r="J123" s="1" t="s">
        <v>1473</v>
      </c>
      <c r="K123" s="132">
        <v>0.0</v>
      </c>
    </row>
    <row r="124" hidden="1">
      <c r="A124" s="1" t="s">
        <v>1474</v>
      </c>
      <c r="B124" s="1" t="s">
        <v>1475</v>
      </c>
      <c r="C124" s="1" t="s">
        <v>1476</v>
      </c>
      <c r="D124" s="1">
        <v>2006.0</v>
      </c>
      <c r="E124" s="1" t="s">
        <v>697</v>
      </c>
      <c r="F124" s="1" t="s">
        <v>1477</v>
      </c>
      <c r="G124" s="1" t="s">
        <v>1478</v>
      </c>
      <c r="H124" s="1">
        <v>1.6675058E7</v>
      </c>
      <c r="I124" s="1" t="s">
        <v>1479</v>
      </c>
      <c r="J124" s="1" t="s">
        <v>1480</v>
      </c>
      <c r="K124" s="132">
        <v>0.0</v>
      </c>
    </row>
    <row r="125" hidden="1">
      <c r="A125" s="1" t="s">
        <v>1481</v>
      </c>
      <c r="B125" s="1" t="s">
        <v>1482</v>
      </c>
      <c r="C125" s="1" t="s">
        <v>1483</v>
      </c>
      <c r="D125" s="1">
        <v>2026.0</v>
      </c>
      <c r="E125" s="1" t="s">
        <v>697</v>
      </c>
      <c r="F125" s="1" t="s">
        <v>698</v>
      </c>
      <c r="G125" s="1" t="s">
        <v>1484</v>
      </c>
      <c r="H125" s="1">
        <v>4.1740851E7</v>
      </c>
      <c r="I125" s="1" t="s">
        <v>1485</v>
      </c>
      <c r="J125" s="1" t="s">
        <v>1486</v>
      </c>
      <c r="K125" s="132">
        <v>0.0</v>
      </c>
    </row>
    <row r="126" hidden="1">
      <c r="A126" s="1" t="s">
        <v>1487</v>
      </c>
      <c r="B126" s="1" t="s">
        <v>1488</v>
      </c>
      <c r="C126" s="1" t="s">
        <v>1489</v>
      </c>
      <c r="D126" s="1">
        <v>2012.0</v>
      </c>
      <c r="E126" s="1" t="s">
        <v>697</v>
      </c>
      <c r="F126" s="1" t="s">
        <v>737</v>
      </c>
      <c r="G126" s="1" t="s">
        <v>1490</v>
      </c>
      <c r="H126" s="1">
        <v>2.2472272E7</v>
      </c>
      <c r="I126" s="1" t="s">
        <v>1491</v>
      </c>
      <c r="J126" s="1" t="s">
        <v>1492</v>
      </c>
      <c r="K126" s="132">
        <v>0.0</v>
      </c>
    </row>
    <row r="127" hidden="1">
      <c r="A127" s="1" t="s">
        <v>1493</v>
      </c>
      <c r="B127" s="1" t="s">
        <v>1494</v>
      </c>
      <c r="C127" s="1" t="s">
        <v>1495</v>
      </c>
      <c r="D127" s="1">
        <v>2004.0</v>
      </c>
      <c r="E127" s="1" t="s">
        <v>666</v>
      </c>
      <c r="F127" s="1" t="s">
        <v>1147</v>
      </c>
      <c r="G127" s="1" t="s">
        <v>1496</v>
      </c>
      <c r="H127" s="1">
        <v>1.5129412E7</v>
      </c>
      <c r="I127" s="1" t="s">
        <v>1497</v>
      </c>
      <c r="J127" s="1" t="s">
        <v>1498</v>
      </c>
      <c r="K127" s="132">
        <v>0.0</v>
      </c>
    </row>
    <row r="128" hidden="1">
      <c r="A128" s="1" t="s">
        <v>1499</v>
      </c>
      <c r="B128" s="1" t="s">
        <v>1500</v>
      </c>
      <c r="C128" s="1" t="s">
        <v>1501</v>
      </c>
      <c r="D128" s="1">
        <v>2023.0</v>
      </c>
      <c r="E128" s="1" t="s">
        <v>761</v>
      </c>
      <c r="F128" s="1" t="s">
        <v>1136</v>
      </c>
      <c r="G128" s="1" t="s">
        <v>1502</v>
      </c>
      <c r="H128" s="1">
        <v>3.5984519E7</v>
      </c>
      <c r="I128" s="1" t="s">
        <v>1503</v>
      </c>
      <c r="J128" s="1" t="s">
        <v>1504</v>
      </c>
      <c r="K128" s="132">
        <v>0.0</v>
      </c>
    </row>
    <row r="129" hidden="1">
      <c r="A129" s="1" t="s">
        <v>1505</v>
      </c>
      <c r="B129" s="1" t="s">
        <v>1506</v>
      </c>
      <c r="C129" s="1" t="s">
        <v>1507</v>
      </c>
      <c r="D129" s="1">
        <v>1988.0</v>
      </c>
      <c r="E129" s="1" t="s">
        <v>666</v>
      </c>
      <c r="F129" s="1" t="s">
        <v>1508</v>
      </c>
      <c r="G129" s="1" t="s">
        <v>1509</v>
      </c>
      <c r="H129" s="1">
        <v>3258994.0</v>
      </c>
      <c r="I129" s="1" t="s">
        <v>1510</v>
      </c>
      <c r="J129" s="1" t="s">
        <v>1511</v>
      </c>
      <c r="K129" s="132">
        <v>0.0</v>
      </c>
    </row>
    <row r="130" hidden="1">
      <c r="A130" s="1" t="s">
        <v>1512</v>
      </c>
      <c r="B130" s="1" t="s">
        <v>1513</v>
      </c>
      <c r="C130" s="1" t="s">
        <v>1514</v>
      </c>
      <c r="D130" s="1">
        <v>2012.0</v>
      </c>
      <c r="E130" s="12"/>
      <c r="F130" s="1" t="s">
        <v>1515</v>
      </c>
      <c r="G130" s="12"/>
      <c r="H130" s="1">
        <v>2.3145756E7</v>
      </c>
      <c r="I130" s="1" t="s">
        <v>1516</v>
      </c>
      <c r="J130" s="1" t="s">
        <v>1517</v>
      </c>
      <c r="K130" s="132">
        <v>0.0</v>
      </c>
    </row>
    <row r="131" hidden="1">
      <c r="A131" s="1" t="s">
        <v>1518</v>
      </c>
      <c r="B131" s="1" t="s">
        <v>1519</v>
      </c>
      <c r="C131" s="1" t="s">
        <v>1520</v>
      </c>
      <c r="D131" s="1">
        <v>2026.0</v>
      </c>
      <c r="E131" s="1" t="s">
        <v>689</v>
      </c>
      <c r="F131" s="1" t="s">
        <v>1521</v>
      </c>
      <c r="G131" s="1" t="s">
        <v>1522</v>
      </c>
      <c r="H131" s="1">
        <v>4.1761462E7</v>
      </c>
      <c r="I131" s="1" t="s">
        <v>1523</v>
      </c>
      <c r="J131" s="1" t="s">
        <v>1524</v>
      </c>
      <c r="K131" s="132">
        <v>0.0</v>
      </c>
    </row>
    <row r="132" hidden="1">
      <c r="A132" s="1" t="s">
        <v>1525</v>
      </c>
      <c r="B132" s="1" t="s">
        <v>1526</v>
      </c>
      <c r="C132" s="1" t="s">
        <v>1527</v>
      </c>
      <c r="D132" s="1">
        <v>2022.0</v>
      </c>
      <c r="E132" s="1" t="s">
        <v>697</v>
      </c>
      <c r="F132" s="1" t="s">
        <v>886</v>
      </c>
      <c r="G132" s="1" t="s">
        <v>1528</v>
      </c>
      <c r="H132" s="1">
        <v>3.546833E7</v>
      </c>
      <c r="I132" s="1" t="s">
        <v>1529</v>
      </c>
      <c r="J132" s="1" t="s">
        <v>1530</v>
      </c>
      <c r="K132" s="132">
        <v>0.0</v>
      </c>
    </row>
    <row r="133" hidden="1">
      <c r="A133" s="1" t="s">
        <v>1531</v>
      </c>
      <c r="B133" s="1" t="s">
        <v>1532</v>
      </c>
      <c r="C133" s="1" t="s">
        <v>1533</v>
      </c>
      <c r="D133" s="1">
        <v>2011.0</v>
      </c>
      <c r="E133" s="1" t="s">
        <v>674</v>
      </c>
      <c r="F133" s="1" t="s">
        <v>737</v>
      </c>
      <c r="G133" s="1" t="s">
        <v>1534</v>
      </c>
      <c r="H133" s="1">
        <v>2.1622815E7</v>
      </c>
      <c r="I133" s="1" t="s">
        <v>1535</v>
      </c>
      <c r="J133" s="1" t="s">
        <v>1536</v>
      </c>
      <c r="K133" s="132">
        <v>0.0</v>
      </c>
    </row>
    <row r="134" hidden="1">
      <c r="A134" s="1" t="s">
        <v>1537</v>
      </c>
      <c r="B134" s="1" t="s">
        <v>1538</v>
      </c>
      <c r="C134" s="1" t="s">
        <v>1539</v>
      </c>
      <c r="D134" s="1">
        <v>2003.0</v>
      </c>
      <c r="E134" s="1" t="s">
        <v>813</v>
      </c>
      <c r="F134" s="1" t="s">
        <v>737</v>
      </c>
      <c r="G134" s="1" t="s">
        <v>1540</v>
      </c>
      <c r="H134" s="1">
        <v>1.2750137E7</v>
      </c>
      <c r="I134" s="1" t="s">
        <v>1541</v>
      </c>
      <c r="J134" s="1" t="s">
        <v>1542</v>
      </c>
      <c r="K134" s="132">
        <v>0.0</v>
      </c>
    </row>
    <row r="135" hidden="1">
      <c r="A135" s="1" t="s">
        <v>1543</v>
      </c>
      <c r="B135" s="1" t="s">
        <v>1544</v>
      </c>
      <c r="C135" s="1" t="s">
        <v>1545</v>
      </c>
      <c r="D135" s="1">
        <v>2026.0</v>
      </c>
      <c r="E135" s="1" t="s">
        <v>940</v>
      </c>
      <c r="F135" s="1" t="s">
        <v>899</v>
      </c>
      <c r="G135" s="1" t="s">
        <v>1546</v>
      </c>
      <c r="H135" s="1">
        <v>4.203671E7</v>
      </c>
      <c r="I135" s="1" t="s">
        <v>1547</v>
      </c>
      <c r="J135" s="1" t="s">
        <v>1548</v>
      </c>
      <c r="K135" s="132">
        <v>0.0</v>
      </c>
    </row>
    <row r="136" hidden="1">
      <c r="A136" s="1" t="s">
        <v>1549</v>
      </c>
      <c r="B136" s="1" t="s">
        <v>1550</v>
      </c>
      <c r="C136" s="1" t="s">
        <v>1551</v>
      </c>
      <c r="D136" s="1">
        <v>1990.0</v>
      </c>
      <c r="E136" s="1" t="s">
        <v>736</v>
      </c>
      <c r="F136" s="1" t="s">
        <v>1508</v>
      </c>
      <c r="G136" s="1" t="s">
        <v>1552</v>
      </c>
      <c r="H136" s="1">
        <v>2294526.0</v>
      </c>
      <c r="I136" s="1" t="s">
        <v>1553</v>
      </c>
      <c r="J136" s="1" t="s">
        <v>1554</v>
      </c>
      <c r="K136" s="132">
        <v>0.0</v>
      </c>
    </row>
    <row r="137" hidden="1">
      <c r="A137" s="1" t="s">
        <v>1555</v>
      </c>
      <c r="B137" s="1" t="s">
        <v>1556</v>
      </c>
      <c r="C137" s="1" t="s">
        <v>1557</v>
      </c>
      <c r="D137" s="1">
        <v>1991.0</v>
      </c>
      <c r="E137" s="1" t="s">
        <v>697</v>
      </c>
      <c r="F137" s="1" t="s">
        <v>1508</v>
      </c>
      <c r="G137" s="1" t="s">
        <v>1558</v>
      </c>
      <c r="H137" s="1">
        <v>2034708.0</v>
      </c>
      <c r="I137" s="1" t="s">
        <v>1559</v>
      </c>
      <c r="J137" s="1" t="s">
        <v>1560</v>
      </c>
      <c r="K137" s="132">
        <v>0.0</v>
      </c>
    </row>
    <row r="138" hidden="1">
      <c r="A138" s="1" t="s">
        <v>1561</v>
      </c>
      <c r="B138" s="1" t="s">
        <v>1562</v>
      </c>
      <c r="C138" s="1" t="s">
        <v>1563</v>
      </c>
      <c r="D138" s="1">
        <v>2002.0</v>
      </c>
      <c r="E138" s="1" t="s">
        <v>837</v>
      </c>
      <c r="F138" s="1" t="s">
        <v>737</v>
      </c>
      <c r="G138" s="1" t="s">
        <v>1564</v>
      </c>
      <c r="H138" s="1">
        <v>1.2435652E7</v>
      </c>
      <c r="I138" s="1" t="s">
        <v>1565</v>
      </c>
      <c r="J138" s="1" t="s">
        <v>1566</v>
      </c>
      <c r="K138" s="132">
        <v>0.0</v>
      </c>
    </row>
    <row r="139" hidden="1">
      <c r="A139" s="1" t="s">
        <v>1567</v>
      </c>
      <c r="B139" s="1" t="s">
        <v>1568</v>
      </c>
      <c r="C139" s="1" t="s">
        <v>1569</v>
      </c>
      <c r="D139" s="1">
        <v>2005.0</v>
      </c>
      <c r="E139" s="1" t="s">
        <v>658</v>
      </c>
      <c r="F139" s="1" t="s">
        <v>737</v>
      </c>
      <c r="G139" s="1" t="s">
        <v>1570</v>
      </c>
      <c r="H139" s="1">
        <v>1.6000666E7</v>
      </c>
      <c r="I139" s="1" t="s">
        <v>1571</v>
      </c>
      <c r="J139" s="1" t="s">
        <v>1572</v>
      </c>
      <c r="K139" s="132">
        <v>0.0</v>
      </c>
    </row>
    <row r="140" hidden="1">
      <c r="A140" s="1" t="s">
        <v>1573</v>
      </c>
      <c r="B140" s="1" t="s">
        <v>1574</v>
      </c>
      <c r="C140" s="1" t="s">
        <v>1575</v>
      </c>
      <c r="D140" s="1">
        <v>2006.0</v>
      </c>
      <c r="E140" s="1" t="s">
        <v>666</v>
      </c>
      <c r="F140" s="1" t="s">
        <v>767</v>
      </c>
      <c r="G140" s="1" t="s">
        <v>1576</v>
      </c>
      <c r="H140" s="1">
        <v>1.6651157E7</v>
      </c>
      <c r="I140" s="1" t="s">
        <v>1577</v>
      </c>
      <c r="J140" s="1" t="s">
        <v>1578</v>
      </c>
      <c r="K140" s="132">
        <v>0.0</v>
      </c>
    </row>
    <row r="141" hidden="1">
      <c r="A141" s="1" t="s">
        <v>1579</v>
      </c>
      <c r="B141" s="1" t="s">
        <v>1580</v>
      </c>
      <c r="C141" s="1" t="s">
        <v>1581</v>
      </c>
      <c r="D141" s="1">
        <v>2011.0</v>
      </c>
      <c r="E141" s="1" t="s">
        <v>666</v>
      </c>
      <c r="F141" s="1" t="s">
        <v>659</v>
      </c>
      <c r="G141" s="1" t="s">
        <v>1582</v>
      </c>
      <c r="H141" s="1">
        <v>2.1234545E7</v>
      </c>
      <c r="I141" s="1" t="s">
        <v>1583</v>
      </c>
      <c r="J141" s="1" t="s">
        <v>1584</v>
      </c>
      <c r="K141" s="132">
        <v>0.0</v>
      </c>
    </row>
    <row r="142" hidden="1">
      <c r="A142" s="1" t="s">
        <v>1585</v>
      </c>
      <c r="B142" s="1" t="s">
        <v>1586</v>
      </c>
      <c r="C142" s="1" t="s">
        <v>1587</v>
      </c>
      <c r="D142" s="1">
        <v>2001.0</v>
      </c>
      <c r="E142" s="1" t="s">
        <v>1588</v>
      </c>
      <c r="F142" s="1" t="s">
        <v>1589</v>
      </c>
      <c r="G142" s="12"/>
      <c r="H142" s="1">
        <v>1.1216725E7</v>
      </c>
      <c r="I142" s="1" t="s">
        <v>1590</v>
      </c>
      <c r="J142" s="1" t="s">
        <v>1591</v>
      </c>
      <c r="K142" s="132">
        <v>0.0</v>
      </c>
    </row>
    <row r="143" hidden="1">
      <c r="A143" s="1" t="s">
        <v>1592</v>
      </c>
      <c r="B143" s="1" t="s">
        <v>1593</v>
      </c>
      <c r="C143" s="1" t="s">
        <v>1594</v>
      </c>
      <c r="D143" s="1">
        <v>2022.0</v>
      </c>
      <c r="E143" s="1" t="s">
        <v>674</v>
      </c>
      <c r="F143" s="1" t="s">
        <v>913</v>
      </c>
      <c r="G143" s="1" t="s">
        <v>1595</v>
      </c>
      <c r="H143" s="1">
        <v>3.6123079E7</v>
      </c>
      <c r="I143" s="1" t="s">
        <v>1596</v>
      </c>
      <c r="J143" s="1" t="s">
        <v>1597</v>
      </c>
      <c r="K143" s="132">
        <v>0.0</v>
      </c>
    </row>
    <row r="144" hidden="1">
      <c r="A144" s="1" t="s">
        <v>1598</v>
      </c>
      <c r="B144" s="1" t="s">
        <v>1599</v>
      </c>
      <c r="C144" s="1" t="s">
        <v>1600</v>
      </c>
      <c r="D144" s="1">
        <v>2025.0</v>
      </c>
      <c r="E144" s="1" t="s">
        <v>736</v>
      </c>
      <c r="F144" s="1" t="s">
        <v>1601</v>
      </c>
      <c r="G144" s="1" t="s">
        <v>1602</v>
      </c>
      <c r="H144" s="1">
        <v>3.9759468E7</v>
      </c>
      <c r="I144" s="1" t="s">
        <v>1603</v>
      </c>
      <c r="J144" s="1" t="s">
        <v>1604</v>
      </c>
      <c r="K144" s="132">
        <v>0.0</v>
      </c>
    </row>
    <row r="145" hidden="1">
      <c r="A145" s="1" t="s">
        <v>1605</v>
      </c>
      <c r="B145" s="1" t="s">
        <v>1606</v>
      </c>
      <c r="C145" s="1" t="s">
        <v>1607</v>
      </c>
      <c r="D145" s="1">
        <v>2008.0</v>
      </c>
      <c r="E145" s="1" t="s">
        <v>674</v>
      </c>
      <c r="F145" s="1" t="s">
        <v>819</v>
      </c>
      <c r="G145" s="1" t="s">
        <v>1608</v>
      </c>
      <c r="H145" s="1">
        <v>1.8575944E7</v>
      </c>
      <c r="I145" s="1" t="s">
        <v>1609</v>
      </c>
      <c r="J145" s="1" t="s">
        <v>1610</v>
      </c>
      <c r="K145" s="132">
        <v>0.0</v>
      </c>
    </row>
    <row r="146" hidden="1">
      <c r="A146" s="1" t="s">
        <v>1611</v>
      </c>
      <c r="B146" s="1" t="s">
        <v>1612</v>
      </c>
      <c r="C146" s="1" t="s">
        <v>1613</v>
      </c>
      <c r="D146" s="1">
        <v>2026.0</v>
      </c>
      <c r="E146" s="1" t="s">
        <v>666</v>
      </c>
      <c r="F146" s="1" t="s">
        <v>659</v>
      </c>
      <c r="G146" s="1" t="s">
        <v>1614</v>
      </c>
      <c r="H146" s="1">
        <v>4.2139669E7</v>
      </c>
      <c r="I146" s="1" t="s">
        <v>1615</v>
      </c>
      <c r="J146" s="1" t="s">
        <v>1616</v>
      </c>
      <c r="K146" s="132">
        <v>0.0</v>
      </c>
    </row>
    <row r="147" hidden="1">
      <c r="A147" s="1" t="s">
        <v>1617</v>
      </c>
      <c r="B147" s="1" t="s">
        <v>1618</v>
      </c>
      <c r="C147" s="1" t="s">
        <v>1619</v>
      </c>
      <c r="D147" s="1">
        <v>2009.0</v>
      </c>
      <c r="E147" s="1" t="s">
        <v>666</v>
      </c>
      <c r="F147" s="1" t="s">
        <v>1620</v>
      </c>
      <c r="G147" s="1" t="s">
        <v>1621</v>
      </c>
      <c r="H147" s="1">
        <v>1.9224907E7</v>
      </c>
      <c r="I147" s="1" t="s">
        <v>1622</v>
      </c>
      <c r="J147" s="1" t="s">
        <v>1623</v>
      </c>
      <c r="K147" s="132">
        <v>0.0</v>
      </c>
    </row>
    <row r="148" hidden="1">
      <c r="A148" s="1" t="s">
        <v>1624</v>
      </c>
      <c r="B148" s="1" t="s">
        <v>1625</v>
      </c>
      <c r="C148" s="1" t="s">
        <v>1626</v>
      </c>
      <c r="D148" s="1">
        <v>2016.0</v>
      </c>
      <c r="E148" s="1" t="s">
        <v>729</v>
      </c>
      <c r="F148" s="1" t="s">
        <v>825</v>
      </c>
      <c r="G148" s="1" t="s">
        <v>1627</v>
      </c>
      <c r="H148" s="1">
        <v>2.7766275E7</v>
      </c>
      <c r="I148" s="1" t="s">
        <v>1628</v>
      </c>
      <c r="J148" s="1" t="s">
        <v>1629</v>
      </c>
      <c r="K148" s="132">
        <v>0.0</v>
      </c>
    </row>
    <row r="149" hidden="1">
      <c r="A149" s="1" t="s">
        <v>1630</v>
      </c>
      <c r="B149" s="1" t="s">
        <v>1631</v>
      </c>
      <c r="C149" s="1" t="s">
        <v>1632</v>
      </c>
      <c r="D149" s="1">
        <v>2001.0</v>
      </c>
      <c r="E149" s="12"/>
      <c r="F149" s="1" t="s">
        <v>659</v>
      </c>
      <c r="G149" s="1" t="s">
        <v>1633</v>
      </c>
      <c r="H149" s="1">
        <v>1.1269585E7</v>
      </c>
      <c r="I149" s="1" t="s">
        <v>1634</v>
      </c>
      <c r="J149" s="1" t="s">
        <v>1635</v>
      </c>
      <c r="K149" s="132">
        <v>0.0</v>
      </c>
    </row>
    <row r="150">
      <c r="A150" s="1" t="s">
        <v>1636</v>
      </c>
      <c r="B150" s="1" t="s">
        <v>1637</v>
      </c>
      <c r="C150" s="1" t="s">
        <v>1638</v>
      </c>
      <c r="D150" s="1">
        <v>2003.0</v>
      </c>
      <c r="E150" s="1" t="s">
        <v>844</v>
      </c>
      <c r="F150" s="1" t="s">
        <v>737</v>
      </c>
      <c r="G150" s="1" t="s">
        <v>57</v>
      </c>
      <c r="H150" s="1">
        <v>1.2531752E7</v>
      </c>
      <c r="I150" s="1" t="s">
        <v>1639</v>
      </c>
      <c r="J150" s="1" t="s">
        <v>1039</v>
      </c>
      <c r="K150" s="132">
        <v>3.0</v>
      </c>
    </row>
    <row r="151" hidden="1">
      <c r="A151" s="1" t="s">
        <v>1640</v>
      </c>
      <c r="B151" s="1" t="s">
        <v>1641</v>
      </c>
      <c r="C151" s="1" t="s">
        <v>1642</v>
      </c>
      <c r="D151" s="1">
        <v>2013.0</v>
      </c>
      <c r="E151" s="1" t="s">
        <v>666</v>
      </c>
      <c r="F151" s="1" t="s">
        <v>659</v>
      </c>
      <c r="G151" s="1" t="s">
        <v>1643</v>
      </c>
      <c r="H151" s="1">
        <v>2.2696144E7</v>
      </c>
      <c r="I151" s="1" t="s">
        <v>1644</v>
      </c>
      <c r="J151" s="1" t="s">
        <v>1645</v>
      </c>
      <c r="K151" s="132">
        <v>0.0</v>
      </c>
    </row>
    <row r="152" hidden="1">
      <c r="A152" s="1" t="s">
        <v>1646</v>
      </c>
      <c r="B152" s="1" t="s">
        <v>1647</v>
      </c>
      <c r="C152" s="1" t="s">
        <v>1648</v>
      </c>
      <c r="D152" s="1">
        <v>2023.0</v>
      </c>
      <c r="E152" s="1" t="s">
        <v>689</v>
      </c>
      <c r="F152" s="1" t="s">
        <v>1649</v>
      </c>
      <c r="G152" s="1" t="s">
        <v>1650</v>
      </c>
      <c r="H152" s="1">
        <v>3.6720663E7</v>
      </c>
      <c r="I152" s="1" t="s">
        <v>1651</v>
      </c>
      <c r="J152" s="1" t="s">
        <v>1652</v>
      </c>
      <c r="K152" s="132">
        <v>0.0</v>
      </c>
    </row>
    <row r="153" hidden="1">
      <c r="A153" s="1" t="s">
        <v>1653</v>
      </c>
      <c r="B153" s="1" t="s">
        <v>1654</v>
      </c>
      <c r="C153" s="1" t="s">
        <v>1655</v>
      </c>
      <c r="D153" s="1">
        <v>2018.0</v>
      </c>
      <c r="E153" s="1" t="s">
        <v>681</v>
      </c>
      <c r="F153" s="1" t="s">
        <v>825</v>
      </c>
      <c r="G153" s="1" t="s">
        <v>1656</v>
      </c>
      <c r="H153" s="1">
        <v>3.0480022E7</v>
      </c>
      <c r="I153" s="1" t="s">
        <v>1657</v>
      </c>
      <c r="J153" s="1" t="s">
        <v>1658</v>
      </c>
      <c r="K153" s="132">
        <v>0.0</v>
      </c>
    </row>
    <row r="154" hidden="1">
      <c r="A154" s="1" t="s">
        <v>1659</v>
      </c>
      <c r="B154" s="1" t="s">
        <v>1660</v>
      </c>
      <c r="C154" s="1" t="s">
        <v>1661</v>
      </c>
      <c r="D154" s="1">
        <v>2009.0</v>
      </c>
      <c r="E154" s="1" t="s">
        <v>729</v>
      </c>
      <c r="F154" s="1" t="s">
        <v>767</v>
      </c>
      <c r="G154" s="1" t="s">
        <v>1662</v>
      </c>
      <c r="H154" s="1">
        <v>1.9801284E7</v>
      </c>
      <c r="I154" s="1" t="s">
        <v>1663</v>
      </c>
      <c r="J154" s="1" t="s">
        <v>1664</v>
      </c>
      <c r="K154" s="132">
        <v>0.0</v>
      </c>
    </row>
    <row r="155" hidden="1">
      <c r="A155" s="1" t="s">
        <v>1665</v>
      </c>
      <c r="B155" s="1" t="s">
        <v>1666</v>
      </c>
      <c r="C155" s="1" t="s">
        <v>1667</v>
      </c>
      <c r="D155" s="1">
        <v>1990.0</v>
      </c>
      <c r="E155" s="1" t="s">
        <v>837</v>
      </c>
      <c r="F155" s="1" t="s">
        <v>737</v>
      </c>
      <c r="G155" s="1" t="s">
        <v>1668</v>
      </c>
      <c r="H155" s="1">
        <v>2285086.0</v>
      </c>
      <c r="I155" s="1" t="s">
        <v>1669</v>
      </c>
      <c r="J155" s="1" t="s">
        <v>1670</v>
      </c>
      <c r="K155" s="132">
        <v>0.0</v>
      </c>
    </row>
    <row r="156" hidden="1">
      <c r="A156" s="1" t="s">
        <v>1671</v>
      </c>
      <c r="B156" s="1" t="s">
        <v>1672</v>
      </c>
      <c r="C156" s="1" t="s">
        <v>1673</v>
      </c>
      <c r="D156" s="1">
        <v>1993.0</v>
      </c>
      <c r="E156" s="1" t="s">
        <v>729</v>
      </c>
      <c r="F156" s="1" t="s">
        <v>819</v>
      </c>
      <c r="G156" s="12"/>
      <c r="H156" s="1">
        <v>8403647.0</v>
      </c>
      <c r="I156" s="1" t="s">
        <v>1674</v>
      </c>
      <c r="J156" s="1" t="s">
        <v>1675</v>
      </c>
      <c r="K156" s="132">
        <v>0.0</v>
      </c>
    </row>
    <row r="157" hidden="1">
      <c r="A157" s="1" t="s">
        <v>1676</v>
      </c>
      <c r="B157" s="1" t="s">
        <v>1677</v>
      </c>
      <c r="C157" s="1" t="s">
        <v>1678</v>
      </c>
      <c r="D157" s="1">
        <v>1995.0</v>
      </c>
      <c r="E157" s="12"/>
      <c r="F157" s="1" t="s">
        <v>659</v>
      </c>
      <c r="G157" s="1" t="s">
        <v>1679</v>
      </c>
      <c r="H157" s="1">
        <v>7773815.0</v>
      </c>
      <c r="I157" s="1" t="s">
        <v>1680</v>
      </c>
      <c r="J157" s="1" t="s">
        <v>1681</v>
      </c>
      <c r="K157" s="132">
        <v>0.0</v>
      </c>
    </row>
    <row r="158" hidden="1">
      <c r="A158" s="1" t="s">
        <v>1682</v>
      </c>
      <c r="B158" s="1" t="s">
        <v>1683</v>
      </c>
      <c r="C158" s="1" t="s">
        <v>1684</v>
      </c>
      <c r="D158" s="1">
        <v>2015.0</v>
      </c>
      <c r="E158" s="1" t="s">
        <v>940</v>
      </c>
      <c r="F158" s="1" t="s">
        <v>982</v>
      </c>
      <c r="G158" s="1" t="s">
        <v>1685</v>
      </c>
      <c r="H158" s="1">
        <v>2.5697814E7</v>
      </c>
      <c r="I158" s="1" t="s">
        <v>1686</v>
      </c>
      <c r="J158" s="1" t="s">
        <v>1687</v>
      </c>
      <c r="K158" s="132">
        <v>0.0</v>
      </c>
    </row>
    <row r="159" hidden="1">
      <c r="A159" s="1" t="s">
        <v>1688</v>
      </c>
      <c r="B159" s="1" t="s">
        <v>1689</v>
      </c>
      <c r="C159" s="1" t="s">
        <v>1690</v>
      </c>
      <c r="D159" s="1">
        <v>2021.0</v>
      </c>
      <c r="E159" s="12"/>
      <c r="F159" s="1" t="s">
        <v>1691</v>
      </c>
      <c r="G159" s="1" t="s">
        <v>1692</v>
      </c>
      <c r="H159" s="1">
        <v>3.3463428E7</v>
      </c>
      <c r="I159" s="1" t="s">
        <v>1693</v>
      </c>
      <c r="J159" s="1" t="s">
        <v>1694</v>
      </c>
      <c r="K159" s="132">
        <v>0.0</v>
      </c>
    </row>
    <row r="160" hidden="1">
      <c r="A160" s="1" t="s">
        <v>1695</v>
      </c>
      <c r="B160" s="1" t="s">
        <v>1696</v>
      </c>
      <c r="C160" s="1" t="s">
        <v>1697</v>
      </c>
      <c r="D160" s="1">
        <v>2025.0</v>
      </c>
      <c r="E160" s="1" t="s">
        <v>723</v>
      </c>
      <c r="F160" s="1" t="s">
        <v>1698</v>
      </c>
      <c r="G160" s="1" t="s">
        <v>1699</v>
      </c>
      <c r="H160" s="1">
        <v>3.935035E7</v>
      </c>
      <c r="I160" s="1" t="s">
        <v>1700</v>
      </c>
      <c r="J160" s="1" t="s">
        <v>1701</v>
      </c>
      <c r="K160" s="132">
        <v>0.0</v>
      </c>
    </row>
    <row r="161" hidden="1">
      <c r="A161" s="1" t="s">
        <v>1702</v>
      </c>
      <c r="B161" s="1" t="s">
        <v>1703</v>
      </c>
      <c r="C161" s="1" t="s">
        <v>1704</v>
      </c>
      <c r="D161" s="1">
        <v>2001.0</v>
      </c>
      <c r="E161" s="1" t="s">
        <v>940</v>
      </c>
      <c r="F161" s="1" t="s">
        <v>711</v>
      </c>
      <c r="G161" s="1" t="s">
        <v>1705</v>
      </c>
      <c r="H161" s="1">
        <v>1.1341418E7</v>
      </c>
      <c r="I161" s="1" t="s">
        <v>1706</v>
      </c>
      <c r="J161" s="1" t="s">
        <v>1041</v>
      </c>
      <c r="K161" s="132">
        <v>1.0</v>
      </c>
    </row>
    <row r="162">
      <c r="A162" s="1" t="s">
        <v>1707</v>
      </c>
      <c r="B162" s="1" t="s">
        <v>1708</v>
      </c>
      <c r="C162" s="1" t="s">
        <v>1709</v>
      </c>
      <c r="D162" s="1">
        <v>2001.0</v>
      </c>
      <c r="E162" s="1" t="s">
        <v>697</v>
      </c>
      <c r="F162" s="1" t="s">
        <v>1217</v>
      </c>
      <c r="G162" s="12"/>
      <c r="H162" s="1">
        <v>1.1374431E7</v>
      </c>
      <c r="I162" s="1" t="s">
        <v>1710</v>
      </c>
      <c r="J162" s="1" t="s">
        <v>1041</v>
      </c>
      <c r="K162" s="132">
        <v>3.0</v>
      </c>
    </row>
    <row r="163" hidden="1">
      <c r="A163" s="1" t="s">
        <v>1711</v>
      </c>
      <c r="B163" s="1" t="s">
        <v>1712</v>
      </c>
      <c r="C163" s="1" t="s">
        <v>1713</v>
      </c>
      <c r="D163" s="1">
        <v>2026.0</v>
      </c>
      <c r="E163" s="12"/>
      <c r="F163" s="1" t="s">
        <v>1714</v>
      </c>
      <c r="G163" s="1" t="s">
        <v>1715</v>
      </c>
      <c r="H163" s="1">
        <v>4.2275424E7</v>
      </c>
      <c r="I163" s="1" t="s">
        <v>1716</v>
      </c>
      <c r="J163" s="1" t="s">
        <v>1717</v>
      </c>
      <c r="K163" s="132">
        <v>0.0</v>
      </c>
    </row>
    <row r="164" hidden="1">
      <c r="A164" s="1" t="s">
        <v>1718</v>
      </c>
      <c r="B164" s="1" t="s">
        <v>1719</v>
      </c>
      <c r="C164" s="1" t="s">
        <v>1720</v>
      </c>
      <c r="D164" s="1">
        <v>2008.0</v>
      </c>
      <c r="E164" s="1" t="s">
        <v>697</v>
      </c>
      <c r="F164" s="1" t="s">
        <v>767</v>
      </c>
      <c r="G164" s="1" t="s">
        <v>1721</v>
      </c>
      <c r="H164" s="1">
        <v>1.8514105E7</v>
      </c>
      <c r="I164" s="1" t="s">
        <v>1722</v>
      </c>
      <c r="J164" s="1" t="s">
        <v>1723</v>
      </c>
      <c r="K164" s="132">
        <v>0.0</v>
      </c>
    </row>
    <row r="165" hidden="1">
      <c r="A165" s="1" t="s">
        <v>1724</v>
      </c>
      <c r="B165" s="1" t="s">
        <v>1725</v>
      </c>
      <c r="C165" s="1" t="s">
        <v>1726</v>
      </c>
      <c r="D165" s="1">
        <v>2015.0</v>
      </c>
      <c r="E165" s="1" t="s">
        <v>736</v>
      </c>
      <c r="F165" s="1" t="s">
        <v>767</v>
      </c>
      <c r="G165" s="1" t="s">
        <v>1727</v>
      </c>
      <c r="H165" s="1">
        <v>2.5239172E7</v>
      </c>
      <c r="I165" s="1" t="s">
        <v>1728</v>
      </c>
      <c r="J165" s="1" t="s">
        <v>1729</v>
      </c>
      <c r="K165" s="132">
        <v>0.0</v>
      </c>
    </row>
    <row r="166" hidden="1">
      <c r="A166" s="1" t="s">
        <v>1730</v>
      </c>
      <c r="B166" s="1" t="s">
        <v>1731</v>
      </c>
      <c r="C166" s="1" t="s">
        <v>1732</v>
      </c>
      <c r="D166" s="1">
        <v>2005.0</v>
      </c>
      <c r="E166" s="1" t="s">
        <v>681</v>
      </c>
      <c r="F166" s="1" t="s">
        <v>767</v>
      </c>
      <c r="G166" s="1" t="s">
        <v>1733</v>
      </c>
      <c r="H166" s="1">
        <v>1.6325084E7</v>
      </c>
      <c r="I166" s="1" t="s">
        <v>1734</v>
      </c>
      <c r="J166" s="1" t="s">
        <v>1735</v>
      </c>
      <c r="K166" s="132">
        <v>0.0</v>
      </c>
    </row>
    <row r="167" hidden="1">
      <c r="A167" s="1" t="s">
        <v>1736</v>
      </c>
      <c r="B167" s="1" t="s">
        <v>1737</v>
      </c>
      <c r="C167" s="1" t="s">
        <v>1738</v>
      </c>
      <c r="D167" s="1">
        <v>1997.0</v>
      </c>
      <c r="E167" s="12"/>
      <c r="F167" s="1" t="s">
        <v>659</v>
      </c>
      <c r="G167" s="1" t="s">
        <v>1739</v>
      </c>
      <c r="H167" s="1">
        <v>9127846.0</v>
      </c>
      <c r="I167" s="1" t="s">
        <v>1740</v>
      </c>
      <c r="J167" s="1" t="s">
        <v>1741</v>
      </c>
      <c r="K167" s="132">
        <v>0.0</v>
      </c>
    </row>
    <row r="168">
      <c r="A168" s="1" t="s">
        <v>1742</v>
      </c>
      <c r="B168" s="1" t="s">
        <v>1743</v>
      </c>
      <c r="C168" s="1" t="s">
        <v>1744</v>
      </c>
      <c r="D168" s="1">
        <v>2003.0</v>
      </c>
      <c r="E168" s="1" t="s">
        <v>1745</v>
      </c>
      <c r="F168" s="1" t="s">
        <v>737</v>
      </c>
      <c r="G168" s="1" t="s">
        <v>61</v>
      </c>
      <c r="H168" s="1">
        <v>1.2860546E7</v>
      </c>
      <c r="I168" s="1" t="s">
        <v>1746</v>
      </c>
      <c r="J168" s="1" t="s">
        <v>1043</v>
      </c>
      <c r="K168" s="132">
        <v>3.0</v>
      </c>
    </row>
    <row r="169" hidden="1">
      <c r="A169" s="1" t="s">
        <v>1747</v>
      </c>
      <c r="B169" s="1" t="s">
        <v>1748</v>
      </c>
      <c r="C169" s="1" t="s">
        <v>1749</v>
      </c>
      <c r="D169" s="1">
        <v>2019.0</v>
      </c>
      <c r="E169" s="1" t="s">
        <v>736</v>
      </c>
      <c r="F169" s="1" t="s">
        <v>767</v>
      </c>
      <c r="G169" s="1" t="s">
        <v>1750</v>
      </c>
      <c r="H169" s="1">
        <v>3.0611343E7</v>
      </c>
      <c r="I169" s="1" t="s">
        <v>1751</v>
      </c>
      <c r="J169" s="1" t="s">
        <v>1752</v>
      </c>
      <c r="K169" s="132">
        <v>0.0</v>
      </c>
    </row>
    <row r="170" hidden="1">
      <c r="A170" s="1" t="s">
        <v>1753</v>
      </c>
      <c r="B170" s="1" t="s">
        <v>1754</v>
      </c>
      <c r="C170" s="1" t="s">
        <v>1755</v>
      </c>
      <c r="D170" s="1">
        <v>2026.0</v>
      </c>
      <c r="E170" s="1" t="s">
        <v>666</v>
      </c>
      <c r="F170" s="1" t="s">
        <v>1756</v>
      </c>
      <c r="G170" s="1" t="s">
        <v>1757</v>
      </c>
      <c r="H170" s="1">
        <v>4.2085052E7</v>
      </c>
      <c r="I170" s="1" t="s">
        <v>1758</v>
      </c>
      <c r="J170" s="1" t="s">
        <v>1759</v>
      </c>
      <c r="K170" s="132">
        <v>0.0</v>
      </c>
    </row>
    <row r="171" hidden="1">
      <c r="A171" s="1" t="s">
        <v>1760</v>
      </c>
      <c r="B171" s="1" t="s">
        <v>1761</v>
      </c>
      <c r="C171" s="1" t="s">
        <v>1762</v>
      </c>
      <c r="D171" s="1">
        <v>2008.0</v>
      </c>
      <c r="E171" s="1" t="s">
        <v>761</v>
      </c>
      <c r="F171" s="1" t="s">
        <v>767</v>
      </c>
      <c r="G171" s="1" t="s">
        <v>1763</v>
      </c>
      <c r="H171" s="1">
        <v>1.8589267E7</v>
      </c>
      <c r="I171" s="1" t="s">
        <v>1764</v>
      </c>
      <c r="J171" s="1" t="s">
        <v>1765</v>
      </c>
      <c r="K171" s="132">
        <v>0.0</v>
      </c>
    </row>
    <row r="172" hidden="1">
      <c r="A172" s="1" t="s">
        <v>1766</v>
      </c>
      <c r="B172" s="1" t="s">
        <v>1767</v>
      </c>
      <c r="C172" s="1" t="s">
        <v>1768</v>
      </c>
      <c r="D172" s="1">
        <v>2010.0</v>
      </c>
      <c r="E172" s="1" t="s">
        <v>729</v>
      </c>
      <c r="F172" s="1" t="s">
        <v>767</v>
      </c>
      <c r="G172" s="1" t="s">
        <v>1769</v>
      </c>
      <c r="H172" s="1">
        <v>2.0800986E7</v>
      </c>
      <c r="I172" s="1" t="s">
        <v>1770</v>
      </c>
      <c r="J172" s="1" t="s">
        <v>1771</v>
      </c>
      <c r="K172" s="132">
        <v>0.0</v>
      </c>
    </row>
    <row r="173" hidden="1">
      <c r="A173" s="1" t="s">
        <v>1772</v>
      </c>
      <c r="B173" s="1" t="s">
        <v>1773</v>
      </c>
      <c r="C173" s="1" t="s">
        <v>1774</v>
      </c>
      <c r="D173" s="1">
        <v>2000.0</v>
      </c>
      <c r="E173" s="1" t="s">
        <v>1745</v>
      </c>
      <c r="F173" s="1" t="s">
        <v>767</v>
      </c>
      <c r="G173" s="1" t="s">
        <v>1775</v>
      </c>
      <c r="H173" s="1">
        <v>1.0882444E7</v>
      </c>
      <c r="I173" s="1" t="s">
        <v>1776</v>
      </c>
      <c r="J173" s="1" t="s">
        <v>1777</v>
      </c>
      <c r="K173" s="132">
        <v>0.0</v>
      </c>
    </row>
    <row r="174" hidden="1">
      <c r="A174" s="1" t="s">
        <v>1778</v>
      </c>
      <c r="B174" s="1" t="s">
        <v>1779</v>
      </c>
      <c r="C174" s="1" t="s">
        <v>1780</v>
      </c>
      <c r="D174" s="1">
        <v>2020.0</v>
      </c>
      <c r="E174" s="1" t="s">
        <v>837</v>
      </c>
      <c r="F174" s="1" t="s">
        <v>851</v>
      </c>
      <c r="G174" s="1" t="s">
        <v>1781</v>
      </c>
      <c r="H174" s="1">
        <v>3.3032804E7</v>
      </c>
      <c r="I174" s="1" t="s">
        <v>1782</v>
      </c>
      <c r="J174" s="1" t="s">
        <v>1783</v>
      </c>
      <c r="K174" s="132">
        <v>0.0</v>
      </c>
    </row>
    <row r="175" hidden="1">
      <c r="A175" s="1" t="s">
        <v>1784</v>
      </c>
      <c r="B175" s="1" t="s">
        <v>1785</v>
      </c>
      <c r="C175" s="1" t="s">
        <v>1787</v>
      </c>
      <c r="D175" s="1">
        <v>2022.0</v>
      </c>
      <c r="E175" s="1" t="s">
        <v>723</v>
      </c>
      <c r="F175" s="1" t="s">
        <v>737</v>
      </c>
      <c r="G175" s="1" t="s">
        <v>1788</v>
      </c>
      <c r="H175" s="1">
        <v>3.5050817E7</v>
      </c>
      <c r="I175" s="1" t="s">
        <v>1789</v>
      </c>
      <c r="J175" s="1" t="s">
        <v>1790</v>
      </c>
      <c r="K175" s="132">
        <v>0.0</v>
      </c>
    </row>
    <row r="176" hidden="1">
      <c r="A176" s="1" t="s">
        <v>1791</v>
      </c>
      <c r="B176" s="1" t="s">
        <v>1792</v>
      </c>
      <c r="C176" s="1" t="s">
        <v>1793</v>
      </c>
      <c r="D176" s="1">
        <v>2024.0</v>
      </c>
      <c r="E176" s="1" t="s">
        <v>689</v>
      </c>
      <c r="F176" s="1" t="s">
        <v>737</v>
      </c>
      <c r="G176" s="1" t="s">
        <v>1794</v>
      </c>
      <c r="H176" s="1">
        <v>3.8385189E7</v>
      </c>
      <c r="I176" s="1" t="s">
        <v>1795</v>
      </c>
      <c r="J176" s="1" t="s">
        <v>1796</v>
      </c>
      <c r="K176" s="132">
        <v>0.0</v>
      </c>
    </row>
    <row r="177" hidden="1">
      <c r="A177" s="1" t="s">
        <v>1797</v>
      </c>
      <c r="B177" s="1" t="s">
        <v>1798</v>
      </c>
      <c r="C177" s="1" t="s">
        <v>1799</v>
      </c>
      <c r="D177" s="1">
        <v>1998.0</v>
      </c>
      <c r="E177" s="1" t="s">
        <v>723</v>
      </c>
      <c r="F177" s="1" t="s">
        <v>819</v>
      </c>
      <c r="G177" s="12"/>
      <c r="H177" s="1">
        <v>9520889.0</v>
      </c>
      <c r="I177" s="1" t="s">
        <v>1800</v>
      </c>
      <c r="J177" s="1" t="s">
        <v>1801</v>
      </c>
      <c r="K177" s="132">
        <v>0.0</v>
      </c>
    </row>
    <row r="178" hidden="1">
      <c r="A178" s="1" t="s">
        <v>1802</v>
      </c>
      <c r="B178" s="1" t="s">
        <v>1803</v>
      </c>
      <c r="C178" s="1" t="s">
        <v>1804</v>
      </c>
      <c r="D178" s="1">
        <v>2000.0</v>
      </c>
      <c r="E178" s="1" t="s">
        <v>723</v>
      </c>
      <c r="F178" s="1" t="s">
        <v>1508</v>
      </c>
      <c r="G178" s="12"/>
      <c r="H178" s="1">
        <v>1.065406E7</v>
      </c>
      <c r="I178" s="1" t="s">
        <v>1805</v>
      </c>
      <c r="J178" s="1" t="s">
        <v>1806</v>
      </c>
      <c r="K178" s="132">
        <v>0.0</v>
      </c>
    </row>
    <row r="179" hidden="1">
      <c r="A179" s="1" t="s">
        <v>1807</v>
      </c>
      <c r="B179" s="1" t="s">
        <v>1808</v>
      </c>
      <c r="C179" s="1" t="s">
        <v>1809</v>
      </c>
      <c r="D179" s="1">
        <v>2003.0</v>
      </c>
      <c r="E179" s="1" t="s">
        <v>674</v>
      </c>
      <c r="F179" s="1" t="s">
        <v>1230</v>
      </c>
      <c r="G179" s="1" t="s">
        <v>1810</v>
      </c>
      <c r="H179" s="1">
        <v>1.4524508E7</v>
      </c>
      <c r="I179" s="1" t="s">
        <v>1811</v>
      </c>
      <c r="J179" s="1" t="s">
        <v>1812</v>
      </c>
      <c r="K179" s="132">
        <v>0.0</v>
      </c>
    </row>
    <row r="180" hidden="1">
      <c r="A180" s="1" t="s">
        <v>1813</v>
      </c>
      <c r="B180" s="1" t="s">
        <v>1814</v>
      </c>
      <c r="C180" s="1" t="s">
        <v>1815</v>
      </c>
      <c r="D180" s="1">
        <v>2021.0</v>
      </c>
      <c r="E180" s="1" t="s">
        <v>940</v>
      </c>
      <c r="F180" s="1" t="s">
        <v>1816</v>
      </c>
      <c r="G180" s="1" t="s">
        <v>1817</v>
      </c>
      <c r="H180" s="1">
        <v>3.3596734E7</v>
      </c>
      <c r="I180" s="1" t="s">
        <v>1818</v>
      </c>
      <c r="J180" s="1" t="s">
        <v>1819</v>
      </c>
      <c r="K180" s="132">
        <v>0.0</v>
      </c>
    </row>
    <row r="181" hidden="1">
      <c r="A181" s="1" t="s">
        <v>1820</v>
      </c>
      <c r="B181" s="1" t="s">
        <v>1821</v>
      </c>
      <c r="C181" s="1" t="s">
        <v>1822</v>
      </c>
      <c r="D181" s="1">
        <v>2021.0</v>
      </c>
      <c r="E181" s="1" t="s">
        <v>666</v>
      </c>
      <c r="F181" s="1" t="s">
        <v>1521</v>
      </c>
      <c r="G181" s="1" t="s">
        <v>1823</v>
      </c>
      <c r="H181" s="1">
        <v>3.263961E7</v>
      </c>
      <c r="I181" s="1" t="s">
        <v>1824</v>
      </c>
      <c r="J181" s="1" t="s">
        <v>1825</v>
      </c>
      <c r="K181" s="132">
        <v>0.0</v>
      </c>
    </row>
    <row r="182" hidden="1">
      <c r="A182" s="1" t="s">
        <v>1826</v>
      </c>
      <c r="B182" s="1" t="s">
        <v>1827</v>
      </c>
      <c r="C182" s="1" t="s">
        <v>1828</v>
      </c>
      <c r="D182" s="1">
        <v>2001.0</v>
      </c>
      <c r="E182" s="1" t="s">
        <v>666</v>
      </c>
      <c r="F182" s="1" t="s">
        <v>982</v>
      </c>
      <c r="G182" s="1" t="s">
        <v>1829</v>
      </c>
      <c r="H182" s="1">
        <v>1.1409559E7</v>
      </c>
      <c r="I182" s="1" t="s">
        <v>1830</v>
      </c>
      <c r="J182" s="1" t="s">
        <v>1831</v>
      </c>
      <c r="K182" s="132">
        <v>0.0</v>
      </c>
    </row>
    <row r="183" hidden="1">
      <c r="A183" s="1" t="s">
        <v>1832</v>
      </c>
      <c r="B183" s="1" t="s">
        <v>1833</v>
      </c>
      <c r="C183" s="1" t="s">
        <v>1834</v>
      </c>
      <c r="D183" s="1">
        <v>2022.0</v>
      </c>
      <c r="E183" s="1" t="s">
        <v>761</v>
      </c>
      <c r="F183" s="1" t="s">
        <v>767</v>
      </c>
      <c r="G183" s="1" t="s">
        <v>1835</v>
      </c>
      <c r="H183" s="1">
        <v>3.5042007E7</v>
      </c>
      <c r="I183" s="1" t="s">
        <v>1836</v>
      </c>
      <c r="J183" s="1" t="s">
        <v>1837</v>
      </c>
      <c r="K183" s="132">
        <v>0.0</v>
      </c>
    </row>
    <row r="184" hidden="1">
      <c r="A184" s="1" t="s">
        <v>1838</v>
      </c>
      <c r="B184" s="1" t="s">
        <v>1839</v>
      </c>
      <c r="C184" s="1" t="s">
        <v>1840</v>
      </c>
      <c r="D184" s="1">
        <v>1999.0</v>
      </c>
      <c r="E184" s="1" t="s">
        <v>681</v>
      </c>
      <c r="F184" s="1" t="s">
        <v>705</v>
      </c>
      <c r="G184" s="12"/>
      <c r="H184" s="1">
        <v>1.0612135E7</v>
      </c>
      <c r="I184" s="1" t="s">
        <v>1841</v>
      </c>
      <c r="J184" s="1" t="s">
        <v>1842</v>
      </c>
      <c r="K184" s="132">
        <v>0.0</v>
      </c>
    </row>
    <row r="185" hidden="1">
      <c r="A185" s="1" t="s">
        <v>1843</v>
      </c>
      <c r="B185" s="1" t="s">
        <v>1844</v>
      </c>
      <c r="C185" s="1" t="s">
        <v>1845</v>
      </c>
      <c r="D185" s="1">
        <v>2016.0</v>
      </c>
      <c r="E185" s="1" t="s">
        <v>736</v>
      </c>
      <c r="F185" s="1" t="s">
        <v>886</v>
      </c>
      <c r="G185" s="1" t="s">
        <v>1846</v>
      </c>
      <c r="H185" s="1">
        <v>2.6753501E7</v>
      </c>
      <c r="I185" s="1" t="s">
        <v>1847</v>
      </c>
      <c r="J185" s="1" t="s">
        <v>1848</v>
      </c>
      <c r="K185" s="132">
        <v>0.0</v>
      </c>
    </row>
    <row r="186" hidden="1">
      <c r="A186" s="1" t="s">
        <v>1849</v>
      </c>
      <c r="B186" s="1" t="s">
        <v>1850</v>
      </c>
      <c r="C186" s="1" t="s">
        <v>1851</v>
      </c>
      <c r="D186" s="1">
        <v>2000.0</v>
      </c>
      <c r="E186" s="1" t="s">
        <v>729</v>
      </c>
      <c r="F186" s="1" t="s">
        <v>1852</v>
      </c>
      <c r="G186" s="1" t="s">
        <v>1853</v>
      </c>
      <c r="H186" s="1">
        <v>1.1098747E7</v>
      </c>
      <c r="I186" s="1" t="s">
        <v>1854</v>
      </c>
      <c r="J186" s="1" t="s">
        <v>1855</v>
      </c>
      <c r="K186" s="132">
        <v>0.0</v>
      </c>
    </row>
    <row r="187" hidden="1">
      <c r="A187" s="1" t="s">
        <v>1856</v>
      </c>
      <c r="B187" s="1" t="s">
        <v>1857</v>
      </c>
      <c r="C187" s="1" t="s">
        <v>1858</v>
      </c>
      <c r="D187" s="1">
        <v>2021.0</v>
      </c>
      <c r="E187" s="1" t="s">
        <v>697</v>
      </c>
      <c r="F187" s="1" t="s">
        <v>767</v>
      </c>
      <c r="G187" s="1" t="s">
        <v>1859</v>
      </c>
      <c r="H187" s="1">
        <v>3.3529783E7</v>
      </c>
      <c r="I187" s="1" t="s">
        <v>1860</v>
      </c>
      <c r="J187" s="1" t="s">
        <v>1861</v>
      </c>
      <c r="K187" s="132">
        <v>0.0</v>
      </c>
    </row>
    <row r="188" hidden="1">
      <c r="A188" s="1" t="s">
        <v>1862</v>
      </c>
      <c r="B188" s="1" t="s">
        <v>1863</v>
      </c>
      <c r="C188" s="1" t="s">
        <v>1864</v>
      </c>
      <c r="D188" s="1">
        <v>2018.0</v>
      </c>
      <c r="E188" s="1" t="s">
        <v>697</v>
      </c>
      <c r="F188" s="1" t="s">
        <v>1698</v>
      </c>
      <c r="G188" s="1" t="s">
        <v>1865</v>
      </c>
      <c r="H188" s="1">
        <v>2.9389836E7</v>
      </c>
      <c r="I188" s="1" t="s">
        <v>1866</v>
      </c>
      <c r="J188" s="1" t="s">
        <v>1867</v>
      </c>
      <c r="K188" s="132">
        <v>0.0</v>
      </c>
    </row>
    <row r="189" hidden="1">
      <c r="A189" s="1" t="s">
        <v>1868</v>
      </c>
      <c r="B189" s="1" t="s">
        <v>1869</v>
      </c>
      <c r="C189" s="1" t="s">
        <v>1870</v>
      </c>
      <c r="D189" s="1">
        <v>2000.0</v>
      </c>
      <c r="E189" s="1" t="s">
        <v>940</v>
      </c>
      <c r="F189" s="1" t="s">
        <v>767</v>
      </c>
      <c r="G189" s="1" t="s">
        <v>1871</v>
      </c>
      <c r="H189" s="1">
        <v>1.0750003E7</v>
      </c>
      <c r="I189" s="1" t="s">
        <v>1872</v>
      </c>
      <c r="J189" s="1" t="s">
        <v>1873</v>
      </c>
      <c r="K189" s="132">
        <v>0.0</v>
      </c>
    </row>
    <row r="190" hidden="1">
      <c r="A190" s="1" t="s">
        <v>1874</v>
      </c>
      <c r="B190" s="1" t="s">
        <v>1875</v>
      </c>
      <c r="C190" s="1" t="s">
        <v>1876</v>
      </c>
      <c r="D190" s="1">
        <v>2013.0</v>
      </c>
      <c r="E190" s="1" t="s">
        <v>940</v>
      </c>
      <c r="F190" s="1" t="s">
        <v>737</v>
      </c>
      <c r="G190" s="1" t="s">
        <v>1877</v>
      </c>
      <c r="H190" s="1">
        <v>2.3460328E7</v>
      </c>
      <c r="I190" s="1" t="s">
        <v>1878</v>
      </c>
      <c r="J190" s="1" t="s">
        <v>1879</v>
      </c>
      <c r="K190" s="132">
        <v>0.0</v>
      </c>
    </row>
    <row r="191" hidden="1">
      <c r="A191" s="1" t="s">
        <v>1880</v>
      </c>
      <c r="B191" s="1" t="s">
        <v>1881</v>
      </c>
      <c r="C191" s="1" t="s">
        <v>1882</v>
      </c>
      <c r="D191" s="1">
        <v>2015.0</v>
      </c>
      <c r="E191" s="1" t="s">
        <v>940</v>
      </c>
      <c r="F191" s="1" t="s">
        <v>659</v>
      </c>
      <c r="G191" s="1" t="s">
        <v>1883</v>
      </c>
      <c r="H191" s="1">
        <v>2.4549261E7</v>
      </c>
      <c r="I191" s="1" t="s">
        <v>1884</v>
      </c>
      <c r="J191" s="1" t="s">
        <v>1885</v>
      </c>
      <c r="K191" s="132">
        <v>0.0</v>
      </c>
    </row>
    <row r="192" hidden="1">
      <c r="A192" s="1" t="s">
        <v>1886</v>
      </c>
      <c r="B192" s="1" t="s">
        <v>1887</v>
      </c>
      <c r="C192" s="1" t="s">
        <v>1888</v>
      </c>
      <c r="D192" s="1">
        <v>2013.0</v>
      </c>
      <c r="E192" s="1" t="s">
        <v>940</v>
      </c>
      <c r="F192" s="1" t="s">
        <v>737</v>
      </c>
      <c r="G192" s="1" t="s">
        <v>1889</v>
      </c>
      <c r="H192" s="1">
        <v>2.3423316E7</v>
      </c>
      <c r="I192" s="1" t="s">
        <v>1890</v>
      </c>
      <c r="J192" s="1" t="s">
        <v>1891</v>
      </c>
      <c r="K192" s="132">
        <v>0.0</v>
      </c>
    </row>
    <row r="193" hidden="1">
      <c r="A193" s="1" t="s">
        <v>1892</v>
      </c>
      <c r="B193" s="1" t="s">
        <v>1893</v>
      </c>
      <c r="C193" s="1" t="s">
        <v>1894</v>
      </c>
      <c r="D193" s="1">
        <v>2023.0</v>
      </c>
      <c r="E193" s="1" t="s">
        <v>697</v>
      </c>
      <c r="F193" s="1" t="s">
        <v>825</v>
      </c>
      <c r="G193" s="1" t="s">
        <v>1895</v>
      </c>
      <c r="H193" s="1">
        <v>3.7347015E7</v>
      </c>
      <c r="I193" s="1" t="s">
        <v>1896</v>
      </c>
      <c r="J193" s="1" t="s">
        <v>1897</v>
      </c>
      <c r="K193" s="132">
        <v>0.0</v>
      </c>
    </row>
    <row r="194" hidden="1">
      <c r="A194" s="1" t="s">
        <v>1898</v>
      </c>
      <c r="B194" s="1" t="s">
        <v>1899</v>
      </c>
      <c r="C194" s="1" t="s">
        <v>1900</v>
      </c>
      <c r="D194" s="1">
        <v>2025.0</v>
      </c>
      <c r="E194" s="1" t="s">
        <v>844</v>
      </c>
      <c r="F194" s="1" t="s">
        <v>1901</v>
      </c>
      <c r="G194" s="12"/>
      <c r="H194" s="1">
        <v>3.9855903E7</v>
      </c>
      <c r="I194" s="1" t="s">
        <v>1902</v>
      </c>
      <c r="J194" s="1" t="s">
        <v>1903</v>
      </c>
      <c r="K194" s="132">
        <v>1.0</v>
      </c>
    </row>
    <row r="195" hidden="1">
      <c r="A195" s="1" t="s">
        <v>1904</v>
      </c>
      <c r="B195" s="1" t="s">
        <v>1905</v>
      </c>
      <c r="C195" s="1" t="s">
        <v>1906</v>
      </c>
      <c r="D195" s="1">
        <v>1998.0</v>
      </c>
      <c r="E195" s="1" t="s">
        <v>1745</v>
      </c>
      <c r="F195" s="1" t="s">
        <v>737</v>
      </c>
      <c r="G195" s="1" t="s">
        <v>1907</v>
      </c>
      <c r="H195" s="1">
        <v>9689372.0</v>
      </c>
      <c r="I195" s="1" t="s">
        <v>1908</v>
      </c>
      <c r="J195" s="1" t="s">
        <v>1909</v>
      </c>
      <c r="K195" s="132">
        <v>0.0</v>
      </c>
    </row>
    <row r="196" hidden="1">
      <c r="A196" s="1" t="s">
        <v>1910</v>
      </c>
      <c r="B196" s="1" t="s">
        <v>1911</v>
      </c>
      <c r="C196" s="1" t="s">
        <v>1912</v>
      </c>
      <c r="D196" s="1">
        <v>2026.0</v>
      </c>
      <c r="E196" s="1" t="s">
        <v>940</v>
      </c>
      <c r="F196" s="1" t="s">
        <v>1174</v>
      </c>
      <c r="G196" s="1" t="s">
        <v>1913</v>
      </c>
      <c r="H196" s="1">
        <v>4.1998557E7</v>
      </c>
      <c r="I196" s="1" t="s">
        <v>1914</v>
      </c>
      <c r="J196" s="1" t="s">
        <v>1915</v>
      </c>
      <c r="K196" s="132">
        <v>0.0</v>
      </c>
    </row>
    <row r="197" hidden="1">
      <c r="A197" s="1" t="s">
        <v>1916</v>
      </c>
      <c r="B197" s="1" t="s">
        <v>1917</v>
      </c>
      <c r="C197" s="1" t="s">
        <v>1918</v>
      </c>
      <c r="D197" s="1">
        <v>2007.0</v>
      </c>
      <c r="E197" s="1" t="s">
        <v>736</v>
      </c>
      <c r="F197" s="1" t="s">
        <v>1230</v>
      </c>
      <c r="G197" s="1" t="s">
        <v>1919</v>
      </c>
      <c r="H197" s="1">
        <v>1.7286094E7</v>
      </c>
      <c r="I197" s="1" t="s">
        <v>1920</v>
      </c>
      <c r="J197" s="1" t="s">
        <v>1045</v>
      </c>
      <c r="K197" s="132">
        <v>0.0</v>
      </c>
    </row>
    <row r="198" hidden="1">
      <c r="A198" s="1" t="s">
        <v>1921</v>
      </c>
      <c r="B198" s="1" t="s">
        <v>1922</v>
      </c>
      <c r="C198" s="1" t="s">
        <v>1923</v>
      </c>
      <c r="D198" s="1">
        <v>2007.0</v>
      </c>
      <c r="E198" s="1" t="s">
        <v>689</v>
      </c>
      <c r="F198" s="1" t="s">
        <v>730</v>
      </c>
      <c r="G198" s="1" t="s">
        <v>1924</v>
      </c>
      <c r="H198" s="1">
        <v>1.7332105E7</v>
      </c>
      <c r="I198" s="1" t="s">
        <v>1925</v>
      </c>
      <c r="J198" s="1" t="s">
        <v>1045</v>
      </c>
      <c r="K198" s="132">
        <v>2.0</v>
      </c>
    </row>
    <row r="199" hidden="1">
      <c r="A199" s="1" t="s">
        <v>1926</v>
      </c>
      <c r="B199" s="1" t="s">
        <v>1922</v>
      </c>
      <c r="C199" s="1" t="s">
        <v>1927</v>
      </c>
      <c r="D199" s="1">
        <v>2009.0</v>
      </c>
      <c r="E199" s="1" t="s">
        <v>736</v>
      </c>
      <c r="F199" s="1" t="s">
        <v>1508</v>
      </c>
      <c r="G199" s="1" t="s">
        <v>1928</v>
      </c>
      <c r="H199" s="1">
        <v>1.8988664E7</v>
      </c>
      <c r="I199" s="1" t="s">
        <v>1929</v>
      </c>
      <c r="J199" s="1" t="s">
        <v>1930</v>
      </c>
      <c r="K199" s="132">
        <v>0.0</v>
      </c>
    </row>
    <row r="200" hidden="1">
      <c r="A200" s="1" t="s">
        <v>1931</v>
      </c>
      <c r="B200" s="1" t="s">
        <v>1932</v>
      </c>
      <c r="C200" s="1" t="s">
        <v>1933</v>
      </c>
      <c r="D200" s="1">
        <v>1997.0</v>
      </c>
      <c r="E200" s="12"/>
      <c r="F200" s="1" t="s">
        <v>659</v>
      </c>
      <c r="G200" s="1" t="s">
        <v>1934</v>
      </c>
      <c r="H200" s="1">
        <v>9430569.0</v>
      </c>
      <c r="I200" s="1" t="s">
        <v>1935</v>
      </c>
      <c r="J200" s="1" t="s">
        <v>1936</v>
      </c>
      <c r="K200" s="132">
        <v>0.0</v>
      </c>
    </row>
    <row r="201" hidden="1">
      <c r="A201" s="1" t="s">
        <v>1937</v>
      </c>
      <c r="B201" s="1" t="s">
        <v>1938</v>
      </c>
      <c r="C201" s="1" t="s">
        <v>1939</v>
      </c>
      <c r="D201" s="1">
        <v>1997.0</v>
      </c>
      <c r="E201" s="12"/>
      <c r="F201" s="1" t="s">
        <v>659</v>
      </c>
      <c r="G201" s="1" t="s">
        <v>1940</v>
      </c>
      <c r="H201" s="1">
        <v>9228314.0</v>
      </c>
      <c r="I201" s="1" t="s">
        <v>1941</v>
      </c>
      <c r="J201" s="1" t="s">
        <v>1936</v>
      </c>
      <c r="K201" s="132">
        <v>0.0</v>
      </c>
    </row>
    <row r="202" hidden="1">
      <c r="A202" s="1" t="s">
        <v>1942</v>
      </c>
      <c r="B202" s="1" t="s">
        <v>1943</v>
      </c>
      <c r="C202" s="1" t="s">
        <v>1944</v>
      </c>
      <c r="D202" s="1">
        <v>1998.0</v>
      </c>
      <c r="E202" s="1" t="s">
        <v>761</v>
      </c>
      <c r="F202" s="1" t="s">
        <v>1852</v>
      </c>
      <c r="G202" s="1" t="s">
        <v>1945</v>
      </c>
      <c r="H202" s="1">
        <v>9739219.0</v>
      </c>
      <c r="I202" s="1" t="s">
        <v>1946</v>
      </c>
      <c r="J202" s="1" t="s">
        <v>1947</v>
      </c>
      <c r="K202" s="132">
        <v>0.0</v>
      </c>
    </row>
    <row r="203" hidden="1">
      <c r="A203" s="1" t="s">
        <v>1948</v>
      </c>
      <c r="B203" s="1" t="s">
        <v>1949</v>
      </c>
      <c r="C203" s="1" t="s">
        <v>1950</v>
      </c>
      <c r="D203" s="1">
        <v>2020.0</v>
      </c>
      <c r="E203" s="1" t="s">
        <v>697</v>
      </c>
      <c r="F203" s="1" t="s">
        <v>767</v>
      </c>
      <c r="G203" s="1" t="s">
        <v>1951</v>
      </c>
      <c r="H203" s="1">
        <v>3.2147485E7</v>
      </c>
      <c r="I203" s="1" t="s">
        <v>1952</v>
      </c>
      <c r="J203" s="1" t="s">
        <v>1953</v>
      </c>
      <c r="K203" s="132">
        <v>0.0</v>
      </c>
    </row>
    <row r="204" hidden="1">
      <c r="A204" s="1" t="s">
        <v>1954</v>
      </c>
      <c r="B204" s="1" t="s">
        <v>1955</v>
      </c>
      <c r="C204" s="1" t="s">
        <v>1956</v>
      </c>
      <c r="D204" s="1">
        <v>2020.0</v>
      </c>
      <c r="E204" s="1" t="s">
        <v>723</v>
      </c>
      <c r="F204" s="1" t="s">
        <v>737</v>
      </c>
      <c r="G204" s="1" t="s">
        <v>1957</v>
      </c>
      <c r="H204" s="1">
        <v>3.1940222E7</v>
      </c>
      <c r="I204" s="1" t="s">
        <v>1958</v>
      </c>
      <c r="J204" s="1" t="s">
        <v>1959</v>
      </c>
      <c r="K204" s="132">
        <v>0.0</v>
      </c>
    </row>
    <row r="205" hidden="1">
      <c r="A205" s="1" t="s">
        <v>1960</v>
      </c>
      <c r="B205" s="1" t="s">
        <v>1961</v>
      </c>
      <c r="C205" s="1" t="s">
        <v>1962</v>
      </c>
      <c r="D205" s="1">
        <v>2024.0</v>
      </c>
      <c r="E205" s="1" t="s">
        <v>761</v>
      </c>
      <c r="F205" s="1" t="s">
        <v>1963</v>
      </c>
      <c r="G205" s="1" t="s">
        <v>1964</v>
      </c>
      <c r="H205" s="1">
        <v>3.8811116E7</v>
      </c>
      <c r="I205" s="1" t="s">
        <v>1965</v>
      </c>
      <c r="J205" s="1" t="s">
        <v>1966</v>
      </c>
      <c r="K205" s="132">
        <v>0.0</v>
      </c>
    </row>
    <row r="206" hidden="1">
      <c r="A206" s="1" t="s">
        <v>1967</v>
      </c>
      <c r="B206" s="1" t="s">
        <v>1968</v>
      </c>
      <c r="C206" s="1" t="s">
        <v>1969</v>
      </c>
      <c r="D206" s="1">
        <v>2010.0</v>
      </c>
      <c r="E206" s="1" t="s">
        <v>729</v>
      </c>
      <c r="F206" s="1" t="s">
        <v>886</v>
      </c>
      <c r="G206" s="1" t="s">
        <v>1970</v>
      </c>
      <c r="H206" s="1">
        <v>1.9861236E7</v>
      </c>
      <c r="I206" s="1" t="s">
        <v>1971</v>
      </c>
      <c r="J206" s="1" t="s">
        <v>1972</v>
      </c>
      <c r="K206" s="132">
        <v>1.0</v>
      </c>
    </row>
    <row r="207" hidden="1">
      <c r="A207" s="1" t="s">
        <v>1973</v>
      </c>
      <c r="B207" s="1" t="s">
        <v>1974</v>
      </c>
      <c r="C207" s="1" t="s">
        <v>1975</v>
      </c>
      <c r="D207" s="1">
        <v>2026.0</v>
      </c>
      <c r="E207" s="1" t="s">
        <v>723</v>
      </c>
      <c r="F207" s="1" t="s">
        <v>690</v>
      </c>
      <c r="G207" s="1" t="s">
        <v>1976</v>
      </c>
      <c r="H207" s="1">
        <v>4.1764284E7</v>
      </c>
      <c r="I207" s="1" t="s">
        <v>1977</v>
      </c>
      <c r="J207" s="1" t="s">
        <v>1978</v>
      </c>
      <c r="K207" s="132">
        <v>0.0</v>
      </c>
    </row>
    <row r="208">
      <c r="A208" s="1" t="s">
        <v>1979</v>
      </c>
      <c r="B208" s="1" t="s">
        <v>1980</v>
      </c>
      <c r="C208" s="1" t="s">
        <v>1981</v>
      </c>
      <c r="D208" s="1">
        <v>2013.0</v>
      </c>
      <c r="E208" s="1" t="s">
        <v>689</v>
      </c>
      <c r="F208" s="1" t="s">
        <v>659</v>
      </c>
      <c r="G208" s="1" t="s">
        <v>63</v>
      </c>
      <c r="H208" s="1">
        <v>2.2407182E7</v>
      </c>
      <c r="I208" s="1" t="s">
        <v>1982</v>
      </c>
      <c r="J208" s="1" t="s">
        <v>1047</v>
      </c>
      <c r="K208" s="132">
        <v>3.0</v>
      </c>
    </row>
    <row r="209" hidden="1">
      <c r="A209" s="1" t="s">
        <v>1983</v>
      </c>
      <c r="B209" s="1" t="s">
        <v>1984</v>
      </c>
      <c r="C209" s="1" t="s">
        <v>1985</v>
      </c>
      <c r="D209" s="1">
        <v>2014.0</v>
      </c>
      <c r="E209" s="1" t="s">
        <v>674</v>
      </c>
      <c r="F209" s="1" t="s">
        <v>659</v>
      </c>
      <c r="G209" s="1" t="s">
        <v>1986</v>
      </c>
      <c r="H209" s="1">
        <v>2.4005332E7</v>
      </c>
      <c r="I209" s="1" t="s">
        <v>1987</v>
      </c>
      <c r="J209" s="1" t="s">
        <v>1988</v>
      </c>
      <c r="K209" s="132">
        <v>0.0</v>
      </c>
    </row>
    <row r="210" hidden="1">
      <c r="A210" s="1" t="s">
        <v>1989</v>
      </c>
      <c r="B210" s="1" t="s">
        <v>1990</v>
      </c>
      <c r="C210" s="1" t="s">
        <v>1991</v>
      </c>
      <c r="D210" s="1">
        <v>2006.0</v>
      </c>
      <c r="E210" s="1" t="s">
        <v>898</v>
      </c>
      <c r="F210" s="1" t="s">
        <v>705</v>
      </c>
      <c r="G210" s="1" t="s">
        <v>1992</v>
      </c>
      <c r="H210" s="1">
        <v>1.7245238E7</v>
      </c>
      <c r="I210" s="1" t="s">
        <v>1993</v>
      </c>
      <c r="J210" s="1" t="s">
        <v>1994</v>
      </c>
      <c r="K210" s="132">
        <v>0.0</v>
      </c>
    </row>
    <row r="211" hidden="1">
      <c r="A211" s="1" t="s">
        <v>1995</v>
      </c>
      <c r="B211" s="1" t="s">
        <v>1996</v>
      </c>
      <c r="C211" s="1" t="s">
        <v>1997</v>
      </c>
      <c r="D211" s="1">
        <v>2022.0</v>
      </c>
      <c r="E211" s="1" t="s">
        <v>729</v>
      </c>
      <c r="F211" s="1" t="s">
        <v>737</v>
      </c>
      <c r="G211" s="1" t="s">
        <v>1998</v>
      </c>
      <c r="H211" s="1">
        <v>3.6005281E7</v>
      </c>
      <c r="I211" s="1" t="s">
        <v>1999</v>
      </c>
      <c r="J211" s="1" t="s">
        <v>2000</v>
      </c>
      <c r="K211" s="132">
        <v>0.0</v>
      </c>
    </row>
    <row r="212" hidden="1">
      <c r="A212" s="1" t="s">
        <v>2001</v>
      </c>
      <c r="B212" s="1" t="s">
        <v>2002</v>
      </c>
      <c r="C212" s="1" t="s">
        <v>2003</v>
      </c>
      <c r="D212" s="1">
        <v>2005.0</v>
      </c>
      <c r="E212" s="1" t="s">
        <v>689</v>
      </c>
      <c r="F212" s="1" t="s">
        <v>767</v>
      </c>
      <c r="G212" s="1" t="s">
        <v>2004</v>
      </c>
      <c r="H212" s="1">
        <v>1.5756179E7</v>
      </c>
      <c r="I212" s="1" t="s">
        <v>2005</v>
      </c>
      <c r="J212" s="1" t="s">
        <v>2006</v>
      </c>
      <c r="K212" s="132">
        <v>0.0</v>
      </c>
    </row>
    <row r="213" hidden="1">
      <c r="A213" s="1" t="s">
        <v>2007</v>
      </c>
      <c r="B213" s="1" t="s">
        <v>2008</v>
      </c>
      <c r="C213" s="1" t="s">
        <v>2009</v>
      </c>
      <c r="D213" s="1">
        <v>2006.0</v>
      </c>
      <c r="E213" s="1" t="s">
        <v>729</v>
      </c>
      <c r="F213" s="1" t="s">
        <v>659</v>
      </c>
      <c r="G213" s="1" t="s">
        <v>2010</v>
      </c>
      <c r="H213" s="1">
        <v>1.6496124E7</v>
      </c>
      <c r="I213" s="1" t="s">
        <v>2011</v>
      </c>
      <c r="J213" s="1" t="s">
        <v>1048</v>
      </c>
      <c r="K213" s="132">
        <v>2.0</v>
      </c>
    </row>
    <row r="214" hidden="1">
      <c r="A214" s="1" t="s">
        <v>2012</v>
      </c>
      <c r="B214" s="1" t="s">
        <v>2013</v>
      </c>
      <c r="C214" s="1" t="s">
        <v>2014</v>
      </c>
      <c r="D214" s="1">
        <v>2012.0</v>
      </c>
      <c r="E214" s="1" t="s">
        <v>689</v>
      </c>
      <c r="F214" s="1" t="s">
        <v>819</v>
      </c>
      <c r="G214" s="1" t="s">
        <v>2015</v>
      </c>
      <c r="H214" s="1">
        <v>2.1667181E7</v>
      </c>
      <c r="I214" s="1" t="s">
        <v>2016</v>
      </c>
      <c r="J214" s="1" t="s">
        <v>2017</v>
      </c>
      <c r="K214" s="132">
        <v>0.0</v>
      </c>
    </row>
    <row r="215" hidden="1">
      <c r="A215" s="1" t="s">
        <v>2018</v>
      </c>
      <c r="B215" s="1" t="s">
        <v>2019</v>
      </c>
      <c r="C215" s="1" t="s">
        <v>2020</v>
      </c>
      <c r="D215" s="1">
        <v>1994.0</v>
      </c>
      <c r="E215" s="12"/>
      <c r="F215" s="1" t="s">
        <v>705</v>
      </c>
      <c r="G215" s="12"/>
      <c r="H215" s="1">
        <v>7899626.0</v>
      </c>
      <c r="I215" s="1" t="s">
        <v>2021</v>
      </c>
      <c r="J215" s="1" t="s">
        <v>2022</v>
      </c>
      <c r="K215" s="132">
        <v>0.0</v>
      </c>
    </row>
    <row r="216" hidden="1">
      <c r="A216" s="1" t="s">
        <v>2023</v>
      </c>
      <c r="B216" s="1" t="s">
        <v>2024</v>
      </c>
      <c r="C216" s="1" t="s">
        <v>2025</v>
      </c>
      <c r="D216" s="1">
        <v>2007.0</v>
      </c>
      <c r="E216" s="1" t="s">
        <v>674</v>
      </c>
      <c r="F216" s="1" t="s">
        <v>711</v>
      </c>
      <c r="G216" s="1" t="s">
        <v>2026</v>
      </c>
      <c r="H216" s="1">
        <v>1.7905952E7</v>
      </c>
      <c r="I216" s="1" t="s">
        <v>2027</v>
      </c>
      <c r="J216" s="1" t="s">
        <v>2028</v>
      </c>
      <c r="K216" s="132">
        <v>0.0</v>
      </c>
    </row>
    <row r="217" hidden="1">
      <c r="A217" s="1" t="s">
        <v>2029</v>
      </c>
      <c r="B217" s="1" t="s">
        <v>2030</v>
      </c>
      <c r="C217" s="1" t="s">
        <v>2031</v>
      </c>
      <c r="D217" s="1">
        <v>2002.0</v>
      </c>
      <c r="E217" s="1" t="s">
        <v>658</v>
      </c>
      <c r="F217" s="1" t="s">
        <v>1852</v>
      </c>
      <c r="G217" s="1" t="s">
        <v>2032</v>
      </c>
      <c r="H217" s="1">
        <v>1.2243016E7</v>
      </c>
      <c r="I217" s="1" t="s">
        <v>2033</v>
      </c>
      <c r="J217" s="1" t="s">
        <v>2034</v>
      </c>
      <c r="K217" s="132">
        <v>0.0</v>
      </c>
    </row>
    <row r="218" hidden="1">
      <c r="A218" s="1" t="s">
        <v>2035</v>
      </c>
      <c r="B218" s="1" t="s">
        <v>2036</v>
      </c>
      <c r="C218" s="1" t="s">
        <v>2037</v>
      </c>
      <c r="D218" s="1">
        <v>1995.0</v>
      </c>
      <c r="E218" s="1" t="s">
        <v>898</v>
      </c>
      <c r="F218" s="1" t="s">
        <v>1217</v>
      </c>
      <c r="G218" s="1" t="s">
        <v>2038</v>
      </c>
      <c r="H218" s="1">
        <v>8775721.0</v>
      </c>
      <c r="I218" s="1" t="s">
        <v>2039</v>
      </c>
      <c r="J218" s="1" t="s">
        <v>2040</v>
      </c>
      <c r="K218" s="132">
        <v>0.0</v>
      </c>
    </row>
    <row r="219" hidden="1">
      <c r="A219" s="1" t="s">
        <v>2041</v>
      </c>
      <c r="B219" s="1" t="s">
        <v>2042</v>
      </c>
      <c r="C219" s="1" t="s">
        <v>2043</v>
      </c>
      <c r="D219" s="1">
        <v>1996.0</v>
      </c>
      <c r="E219" s="1" t="s">
        <v>674</v>
      </c>
      <c r="F219" s="1" t="s">
        <v>711</v>
      </c>
      <c r="G219" s="12"/>
      <c r="H219" s="1">
        <v>8836079.0</v>
      </c>
      <c r="I219" s="1" t="s">
        <v>2044</v>
      </c>
      <c r="J219" s="1" t="s">
        <v>2045</v>
      </c>
      <c r="K219" s="132">
        <v>0.0</v>
      </c>
    </row>
    <row r="220" hidden="1">
      <c r="A220" s="1" t="s">
        <v>2046</v>
      </c>
      <c r="B220" s="1" t="s">
        <v>2047</v>
      </c>
      <c r="C220" s="1" t="s">
        <v>2048</v>
      </c>
      <c r="D220" s="1">
        <v>2005.0</v>
      </c>
      <c r="E220" s="1" t="s">
        <v>674</v>
      </c>
      <c r="F220" s="1" t="s">
        <v>737</v>
      </c>
      <c r="G220" s="1" t="s">
        <v>2049</v>
      </c>
      <c r="H220" s="1">
        <v>1.6002493E7</v>
      </c>
      <c r="I220" s="1" t="s">
        <v>2050</v>
      </c>
      <c r="J220" s="1" t="s">
        <v>2051</v>
      </c>
      <c r="K220" s="132">
        <v>0.0</v>
      </c>
    </row>
    <row r="221" hidden="1">
      <c r="A221" s="1" t="s">
        <v>2052</v>
      </c>
      <c r="B221" s="1" t="s">
        <v>2053</v>
      </c>
      <c r="C221" s="1" t="s">
        <v>2054</v>
      </c>
      <c r="D221" s="1">
        <v>2010.0</v>
      </c>
      <c r="E221" s="1" t="s">
        <v>761</v>
      </c>
      <c r="F221" s="1" t="s">
        <v>737</v>
      </c>
      <c r="G221" s="1" t="s">
        <v>2055</v>
      </c>
      <c r="H221" s="1">
        <v>2.0360607E7</v>
      </c>
      <c r="I221" s="1" t="s">
        <v>2056</v>
      </c>
      <c r="J221" s="1" t="s">
        <v>2057</v>
      </c>
      <c r="K221" s="132">
        <v>0.0</v>
      </c>
    </row>
    <row r="222" hidden="1">
      <c r="A222" s="1" t="s">
        <v>2058</v>
      </c>
      <c r="B222" s="1" t="s">
        <v>2059</v>
      </c>
      <c r="C222" s="1" t="s">
        <v>2060</v>
      </c>
      <c r="D222" s="1">
        <v>2016.0</v>
      </c>
      <c r="E222" s="1" t="s">
        <v>697</v>
      </c>
      <c r="F222" s="1" t="s">
        <v>1312</v>
      </c>
      <c r="G222" s="12"/>
      <c r="H222" s="1">
        <v>2.6799572E7</v>
      </c>
      <c r="I222" s="1" t="s">
        <v>2061</v>
      </c>
      <c r="J222" s="1" t="s">
        <v>2062</v>
      </c>
      <c r="K222" s="132">
        <v>0.0</v>
      </c>
    </row>
    <row r="223" hidden="1">
      <c r="A223" s="1" t="s">
        <v>2063</v>
      </c>
      <c r="B223" s="1" t="s">
        <v>2064</v>
      </c>
      <c r="C223" s="1" t="s">
        <v>2065</v>
      </c>
      <c r="D223" s="1">
        <v>2022.0</v>
      </c>
      <c r="E223" s="1" t="s">
        <v>658</v>
      </c>
      <c r="F223" s="1" t="s">
        <v>698</v>
      </c>
      <c r="G223" s="1" t="s">
        <v>2066</v>
      </c>
      <c r="H223" s="1">
        <v>3.6189471E7</v>
      </c>
      <c r="I223" s="1" t="s">
        <v>2067</v>
      </c>
      <c r="J223" s="1" t="s">
        <v>2068</v>
      </c>
      <c r="K223" s="132">
        <v>0.0</v>
      </c>
    </row>
    <row r="224" hidden="1">
      <c r="A224" s="1" t="s">
        <v>2069</v>
      </c>
      <c r="B224" s="1" t="s">
        <v>2070</v>
      </c>
      <c r="C224" s="1" t="s">
        <v>2071</v>
      </c>
      <c r="D224" s="1">
        <v>2016.0</v>
      </c>
      <c r="E224" s="1" t="s">
        <v>697</v>
      </c>
      <c r="F224" s="1" t="s">
        <v>737</v>
      </c>
      <c r="G224" s="1" t="s">
        <v>2072</v>
      </c>
      <c r="H224" s="1">
        <v>2.6980844E7</v>
      </c>
      <c r="I224" s="1" t="s">
        <v>2073</v>
      </c>
      <c r="J224" s="1" t="s">
        <v>2074</v>
      </c>
      <c r="K224" s="132">
        <v>0.0</v>
      </c>
    </row>
    <row r="225">
      <c r="A225" s="1" t="s">
        <v>2075</v>
      </c>
      <c r="B225" s="1" t="s">
        <v>2076</v>
      </c>
      <c r="C225" s="1" t="s">
        <v>2077</v>
      </c>
      <c r="D225" s="1">
        <v>2021.0</v>
      </c>
      <c r="E225" s="1" t="s">
        <v>674</v>
      </c>
      <c r="F225" s="1" t="s">
        <v>825</v>
      </c>
      <c r="G225" s="1" t="s">
        <v>66</v>
      </c>
      <c r="H225" s="1">
        <v>3.4604426E7</v>
      </c>
      <c r="I225" s="1" t="s">
        <v>2078</v>
      </c>
      <c r="J225" s="1" t="s">
        <v>1050</v>
      </c>
      <c r="K225" s="132">
        <v>3.0</v>
      </c>
    </row>
    <row r="226" hidden="1">
      <c r="A226" s="1" t="s">
        <v>2079</v>
      </c>
      <c r="B226" s="1" t="s">
        <v>2080</v>
      </c>
      <c r="C226" s="1" t="s">
        <v>2081</v>
      </c>
      <c r="D226" s="1">
        <v>2002.0</v>
      </c>
      <c r="E226" s="1" t="s">
        <v>761</v>
      </c>
      <c r="F226" s="1" t="s">
        <v>659</v>
      </c>
      <c r="G226" s="1" t="s">
        <v>2082</v>
      </c>
      <c r="H226" s="1">
        <v>1.2172717E7</v>
      </c>
      <c r="I226" s="1" t="s">
        <v>2083</v>
      </c>
      <c r="J226" s="1" t="s">
        <v>2084</v>
      </c>
      <c r="K226" s="132">
        <v>0.0</v>
      </c>
    </row>
    <row r="227" hidden="1">
      <c r="A227" s="1" t="s">
        <v>2085</v>
      </c>
      <c r="B227" s="1" t="s">
        <v>2086</v>
      </c>
      <c r="C227" s="1" t="s">
        <v>2087</v>
      </c>
      <c r="D227" s="1">
        <v>2016.0</v>
      </c>
      <c r="E227" s="1" t="s">
        <v>697</v>
      </c>
      <c r="F227" s="1" t="s">
        <v>899</v>
      </c>
      <c r="G227" s="1" t="s">
        <v>2088</v>
      </c>
      <c r="H227" s="1">
        <v>2.7277002E7</v>
      </c>
      <c r="I227" s="1" t="s">
        <v>2089</v>
      </c>
      <c r="J227" s="1" t="s">
        <v>2090</v>
      </c>
      <c r="K227" s="132">
        <v>1.0</v>
      </c>
    </row>
    <row r="228" hidden="1">
      <c r="A228" s="1" t="s">
        <v>2091</v>
      </c>
      <c r="B228" s="1" t="s">
        <v>2092</v>
      </c>
      <c r="C228" s="1" t="s">
        <v>2093</v>
      </c>
      <c r="D228" s="1">
        <v>2017.0</v>
      </c>
      <c r="E228" s="1" t="s">
        <v>898</v>
      </c>
      <c r="F228" s="1" t="s">
        <v>767</v>
      </c>
      <c r="G228" s="1" t="s">
        <v>2094</v>
      </c>
      <c r="H228" s="1">
        <v>2.8969952E7</v>
      </c>
      <c r="I228" s="1" t="s">
        <v>2095</v>
      </c>
      <c r="J228" s="1" t="s">
        <v>2096</v>
      </c>
      <c r="K228" s="132">
        <v>0.0</v>
      </c>
    </row>
    <row r="229" hidden="1">
      <c r="A229" s="1" t="s">
        <v>2097</v>
      </c>
      <c r="B229" s="1" t="s">
        <v>2098</v>
      </c>
      <c r="C229" s="1" t="s">
        <v>2099</v>
      </c>
      <c r="D229" s="1">
        <v>2008.0</v>
      </c>
      <c r="E229" s="1" t="s">
        <v>940</v>
      </c>
      <c r="F229" s="1" t="s">
        <v>737</v>
      </c>
      <c r="G229" s="1" t="s">
        <v>2100</v>
      </c>
      <c r="H229" s="1">
        <v>1.8192495E7</v>
      </c>
      <c r="I229" s="1" t="s">
        <v>2101</v>
      </c>
      <c r="J229" s="1" t="s">
        <v>2102</v>
      </c>
      <c r="K229" s="132">
        <v>0.0</v>
      </c>
    </row>
    <row r="230" hidden="1">
      <c r="A230" s="1" t="s">
        <v>2103</v>
      </c>
      <c r="B230" s="1" t="s">
        <v>2104</v>
      </c>
      <c r="C230" s="1" t="s">
        <v>2105</v>
      </c>
      <c r="D230" s="1">
        <v>1979.0</v>
      </c>
      <c r="E230" s="1" t="s">
        <v>844</v>
      </c>
      <c r="F230" s="1" t="s">
        <v>737</v>
      </c>
      <c r="G230" s="1" t="s">
        <v>2106</v>
      </c>
      <c r="H230" s="1">
        <v>420388.0</v>
      </c>
      <c r="I230" s="1" t="s">
        <v>2107</v>
      </c>
      <c r="J230" s="1" t="s">
        <v>2108</v>
      </c>
      <c r="K230" s="132">
        <v>0.0</v>
      </c>
    </row>
    <row r="231" hidden="1">
      <c r="A231" s="1" t="s">
        <v>2109</v>
      </c>
      <c r="B231" s="1" t="s">
        <v>2110</v>
      </c>
      <c r="C231" s="1" t="s">
        <v>2111</v>
      </c>
      <c r="D231" s="1">
        <v>1997.0</v>
      </c>
      <c r="E231" s="1" t="s">
        <v>940</v>
      </c>
      <c r="F231" s="1" t="s">
        <v>767</v>
      </c>
      <c r="G231" s="1" t="s">
        <v>2112</v>
      </c>
      <c r="H231" s="1">
        <v>9127079.0</v>
      </c>
      <c r="I231" s="1" t="s">
        <v>2113</v>
      </c>
      <c r="J231" s="1" t="s">
        <v>2114</v>
      </c>
      <c r="K231" s="132">
        <v>0.0</v>
      </c>
    </row>
    <row r="232" hidden="1">
      <c r="A232" s="1" t="s">
        <v>2115</v>
      </c>
      <c r="B232" s="1" t="s">
        <v>2116</v>
      </c>
      <c r="C232" s="1" t="s">
        <v>2117</v>
      </c>
      <c r="D232" s="1">
        <v>2000.0</v>
      </c>
      <c r="E232" s="1" t="s">
        <v>697</v>
      </c>
      <c r="F232" s="1" t="s">
        <v>1852</v>
      </c>
      <c r="G232" s="1" t="s">
        <v>2118</v>
      </c>
      <c r="H232" s="1">
        <v>1.0925649E7</v>
      </c>
      <c r="I232" s="1" t="s">
        <v>2119</v>
      </c>
      <c r="J232" s="1" t="s">
        <v>2120</v>
      </c>
      <c r="K232" s="132">
        <v>0.0</v>
      </c>
    </row>
    <row r="233" hidden="1">
      <c r="A233" s="1" t="s">
        <v>2121</v>
      </c>
      <c r="B233" s="1" t="s">
        <v>2122</v>
      </c>
      <c r="C233" s="1" t="s">
        <v>2123</v>
      </c>
      <c r="D233" s="1">
        <v>2006.0</v>
      </c>
      <c r="E233" s="1" t="s">
        <v>761</v>
      </c>
      <c r="F233" s="1" t="s">
        <v>737</v>
      </c>
      <c r="G233" s="1" t="s">
        <v>2124</v>
      </c>
      <c r="H233" s="1">
        <v>1.6452264E7</v>
      </c>
      <c r="I233" s="1" t="s">
        <v>2125</v>
      </c>
      <c r="J233" s="1" t="s">
        <v>2126</v>
      </c>
      <c r="K233" s="132">
        <v>0.0</v>
      </c>
    </row>
    <row r="234" hidden="1">
      <c r="A234" s="1" t="s">
        <v>2127</v>
      </c>
      <c r="B234" s="1" t="s">
        <v>2128</v>
      </c>
      <c r="C234" s="1" t="s">
        <v>2129</v>
      </c>
      <c r="D234" s="1">
        <v>2009.0</v>
      </c>
      <c r="E234" s="1" t="s">
        <v>697</v>
      </c>
      <c r="F234" s="1" t="s">
        <v>730</v>
      </c>
      <c r="G234" s="1" t="s">
        <v>2130</v>
      </c>
      <c r="H234" s="1">
        <v>1.9487506E7</v>
      </c>
      <c r="I234" s="1" t="s">
        <v>2131</v>
      </c>
      <c r="J234" s="1" t="s">
        <v>2132</v>
      </c>
      <c r="K234" s="132">
        <v>0.0</v>
      </c>
    </row>
    <row r="235" hidden="1">
      <c r="A235" s="1" t="s">
        <v>2133</v>
      </c>
      <c r="B235" s="1" t="s">
        <v>2134</v>
      </c>
      <c r="C235" s="1" t="s">
        <v>2135</v>
      </c>
      <c r="D235" s="1">
        <v>2025.0</v>
      </c>
      <c r="E235" s="1" t="s">
        <v>898</v>
      </c>
      <c r="F235" s="1" t="s">
        <v>913</v>
      </c>
      <c r="G235" s="1" t="s">
        <v>2136</v>
      </c>
      <c r="H235" s="1">
        <v>4.139774E7</v>
      </c>
      <c r="I235" s="1" t="s">
        <v>2137</v>
      </c>
      <c r="J235" s="1" t="s">
        <v>2138</v>
      </c>
      <c r="K235" s="132">
        <v>0.0</v>
      </c>
    </row>
    <row r="236" hidden="1">
      <c r="A236" s="1" t="s">
        <v>2139</v>
      </c>
      <c r="B236" s="1" t="s">
        <v>2140</v>
      </c>
      <c r="C236" s="1" t="s">
        <v>2141</v>
      </c>
      <c r="D236" s="1">
        <v>2008.0</v>
      </c>
      <c r="E236" s="1" t="s">
        <v>940</v>
      </c>
      <c r="F236" s="1" t="s">
        <v>730</v>
      </c>
      <c r="G236" s="1" t="s">
        <v>2142</v>
      </c>
      <c r="H236" s="1">
        <v>1.8381313E7</v>
      </c>
      <c r="I236" s="1" t="s">
        <v>2143</v>
      </c>
      <c r="J236" s="1" t="s">
        <v>2144</v>
      </c>
      <c r="K236" s="132">
        <v>0.0</v>
      </c>
    </row>
    <row r="237" hidden="1">
      <c r="A237" s="1" t="s">
        <v>2145</v>
      </c>
      <c r="B237" s="1" t="s">
        <v>2146</v>
      </c>
      <c r="C237" s="1" t="s">
        <v>2147</v>
      </c>
      <c r="D237" s="1">
        <v>2005.0</v>
      </c>
      <c r="E237" s="1" t="s">
        <v>736</v>
      </c>
      <c r="F237" s="1" t="s">
        <v>767</v>
      </c>
      <c r="G237" s="1" t="s">
        <v>2148</v>
      </c>
      <c r="H237" s="1">
        <v>1.5650663E7</v>
      </c>
      <c r="I237" s="1" t="s">
        <v>2149</v>
      </c>
      <c r="J237" s="1" t="s">
        <v>2150</v>
      </c>
      <c r="K237" s="132">
        <v>0.0</v>
      </c>
    </row>
    <row r="238" hidden="1">
      <c r="A238" s="1" t="s">
        <v>2151</v>
      </c>
      <c r="B238" s="1" t="s">
        <v>2152</v>
      </c>
      <c r="C238" s="1" t="s">
        <v>2153</v>
      </c>
      <c r="D238" s="1">
        <v>2006.0</v>
      </c>
      <c r="E238" s="1" t="s">
        <v>723</v>
      </c>
      <c r="F238" s="1" t="s">
        <v>1217</v>
      </c>
      <c r="G238" s="1" t="s">
        <v>2154</v>
      </c>
      <c r="H238" s="1">
        <v>1.6430676E7</v>
      </c>
      <c r="I238" s="1" t="s">
        <v>2155</v>
      </c>
      <c r="J238" s="1" t="s">
        <v>1051</v>
      </c>
      <c r="K238" s="132">
        <v>0.0</v>
      </c>
    </row>
    <row r="239">
      <c r="A239" s="1" t="s">
        <v>2156</v>
      </c>
      <c r="B239" s="1" t="s">
        <v>2157</v>
      </c>
      <c r="C239" s="1" t="s">
        <v>2158</v>
      </c>
      <c r="D239" s="1">
        <v>2006.0</v>
      </c>
      <c r="E239" s="1" t="s">
        <v>697</v>
      </c>
      <c r="F239" s="1" t="s">
        <v>659</v>
      </c>
      <c r="G239" s="1" t="s">
        <v>68</v>
      </c>
      <c r="H239" s="1">
        <v>1.6552549E7</v>
      </c>
      <c r="I239" s="1" t="s">
        <v>2159</v>
      </c>
      <c r="J239" s="1" t="s">
        <v>1051</v>
      </c>
      <c r="K239" s="132">
        <v>3.0</v>
      </c>
    </row>
    <row r="240" hidden="1">
      <c r="A240" s="1" t="s">
        <v>2160</v>
      </c>
      <c r="B240" s="1" t="s">
        <v>2152</v>
      </c>
      <c r="C240" s="1" t="s">
        <v>2161</v>
      </c>
      <c r="D240" s="1">
        <v>2009.0</v>
      </c>
      <c r="E240" s="1" t="s">
        <v>940</v>
      </c>
      <c r="F240" s="1" t="s">
        <v>737</v>
      </c>
      <c r="G240" s="1" t="s">
        <v>2162</v>
      </c>
      <c r="H240" s="1">
        <v>1.9188561E7</v>
      </c>
      <c r="I240" s="1" t="s">
        <v>2163</v>
      </c>
      <c r="J240" s="1" t="s">
        <v>2164</v>
      </c>
      <c r="K240" s="132">
        <v>0.0</v>
      </c>
    </row>
    <row r="241" hidden="1">
      <c r="A241" s="1" t="s">
        <v>2165</v>
      </c>
      <c r="B241" s="1" t="s">
        <v>2166</v>
      </c>
      <c r="C241" s="1" t="s">
        <v>2167</v>
      </c>
      <c r="D241" s="1">
        <v>2019.0</v>
      </c>
      <c r="E241" s="1" t="s">
        <v>736</v>
      </c>
      <c r="F241" s="1" t="s">
        <v>659</v>
      </c>
      <c r="G241" s="1" t="s">
        <v>2168</v>
      </c>
      <c r="H241" s="1">
        <v>2.9959448E7</v>
      </c>
      <c r="I241" s="1" t="s">
        <v>2169</v>
      </c>
      <c r="J241" s="1" t="s">
        <v>2170</v>
      </c>
      <c r="K241" s="132">
        <v>0.0</v>
      </c>
    </row>
    <row r="242" hidden="1">
      <c r="A242" s="1" t="s">
        <v>2171</v>
      </c>
      <c r="B242" s="1" t="s">
        <v>2172</v>
      </c>
      <c r="C242" s="1" t="s">
        <v>2173</v>
      </c>
      <c r="D242" s="1">
        <v>2015.0</v>
      </c>
      <c r="E242" s="1" t="s">
        <v>736</v>
      </c>
      <c r="F242" s="1" t="s">
        <v>2174</v>
      </c>
      <c r="G242" s="1" t="s">
        <v>2175</v>
      </c>
      <c r="H242" s="1">
        <v>2.5322347E7</v>
      </c>
      <c r="I242" s="1" t="s">
        <v>2176</v>
      </c>
      <c r="J242" s="1" t="s">
        <v>2177</v>
      </c>
      <c r="K242" s="132">
        <v>0.0</v>
      </c>
    </row>
    <row r="243" hidden="1">
      <c r="A243" s="1" t="s">
        <v>2178</v>
      </c>
      <c r="B243" s="1" t="s">
        <v>2179</v>
      </c>
      <c r="C243" s="1" t="s">
        <v>2180</v>
      </c>
      <c r="D243" s="1">
        <v>2012.0</v>
      </c>
      <c r="E243" s="1" t="s">
        <v>681</v>
      </c>
      <c r="F243" s="1" t="s">
        <v>2181</v>
      </c>
      <c r="G243" s="1" t="s">
        <v>2182</v>
      </c>
      <c r="H243" s="1">
        <v>2.2399575E7</v>
      </c>
      <c r="I243" s="1" t="s">
        <v>2183</v>
      </c>
      <c r="J243" s="1" t="s">
        <v>2184</v>
      </c>
      <c r="K243" s="132">
        <v>0.0</v>
      </c>
    </row>
    <row r="244" hidden="1">
      <c r="A244" s="1" t="s">
        <v>2185</v>
      </c>
      <c r="B244" s="1" t="s">
        <v>2186</v>
      </c>
      <c r="C244" s="1" t="s">
        <v>2187</v>
      </c>
      <c r="D244" s="1">
        <v>2014.0</v>
      </c>
      <c r="E244" s="1" t="s">
        <v>837</v>
      </c>
      <c r="F244" s="1" t="s">
        <v>2174</v>
      </c>
      <c r="G244" s="1" t="s">
        <v>2188</v>
      </c>
      <c r="H244" s="1">
        <v>2.5299442E7</v>
      </c>
      <c r="I244" s="1" t="s">
        <v>2189</v>
      </c>
      <c r="J244" s="1" t="s">
        <v>2190</v>
      </c>
      <c r="K244" s="132">
        <v>0.0</v>
      </c>
    </row>
    <row r="245" hidden="1">
      <c r="A245" s="1" t="s">
        <v>2191</v>
      </c>
      <c r="B245" s="1" t="s">
        <v>2192</v>
      </c>
      <c r="C245" s="1" t="s">
        <v>2193</v>
      </c>
      <c r="D245" s="1">
        <v>2009.0</v>
      </c>
      <c r="E245" s="1" t="s">
        <v>697</v>
      </c>
      <c r="F245" s="1" t="s">
        <v>1521</v>
      </c>
      <c r="G245" s="1" t="s">
        <v>2194</v>
      </c>
      <c r="H245" s="1">
        <v>1.9023893E7</v>
      </c>
      <c r="I245" s="1" t="s">
        <v>2195</v>
      </c>
      <c r="J245" s="1" t="s">
        <v>2196</v>
      </c>
      <c r="K245" s="132">
        <v>0.0</v>
      </c>
    </row>
    <row r="246" hidden="1">
      <c r="A246" s="1" t="s">
        <v>2197</v>
      </c>
      <c r="B246" s="1" t="s">
        <v>2198</v>
      </c>
      <c r="C246" s="1" t="s">
        <v>2199</v>
      </c>
      <c r="D246" s="1">
        <v>2010.0</v>
      </c>
      <c r="E246" s="1" t="s">
        <v>689</v>
      </c>
      <c r="F246" s="1" t="s">
        <v>1230</v>
      </c>
      <c r="G246" s="1" t="s">
        <v>2200</v>
      </c>
      <c r="H246" s="1">
        <v>2.0195019E7</v>
      </c>
      <c r="I246" s="1" t="s">
        <v>2201</v>
      </c>
      <c r="J246" s="1" t="s">
        <v>2202</v>
      </c>
      <c r="K246" s="132">
        <v>0.0</v>
      </c>
    </row>
    <row r="247" hidden="1">
      <c r="A247" s="1" t="s">
        <v>2203</v>
      </c>
      <c r="B247" s="1" t="s">
        <v>2204</v>
      </c>
      <c r="C247" s="1" t="s">
        <v>2205</v>
      </c>
      <c r="D247" s="1">
        <v>2012.0</v>
      </c>
      <c r="E247" s="1" t="s">
        <v>658</v>
      </c>
      <c r="F247" s="1" t="s">
        <v>2206</v>
      </c>
      <c r="G247" s="1" t="s">
        <v>2207</v>
      </c>
      <c r="H247" s="1">
        <v>2.298393E7</v>
      </c>
      <c r="I247" s="1" t="s">
        <v>2208</v>
      </c>
      <c r="J247" s="1" t="s">
        <v>2209</v>
      </c>
      <c r="K247" s="132">
        <v>0.0</v>
      </c>
    </row>
    <row r="248" hidden="1">
      <c r="A248" s="1" t="s">
        <v>2210</v>
      </c>
      <c r="B248" s="1" t="s">
        <v>2211</v>
      </c>
      <c r="C248" s="1" t="s">
        <v>2212</v>
      </c>
      <c r="D248" s="1">
        <v>2023.0</v>
      </c>
      <c r="E248" s="1" t="s">
        <v>658</v>
      </c>
      <c r="F248" s="1" t="s">
        <v>698</v>
      </c>
      <c r="G248" s="1" t="s">
        <v>2213</v>
      </c>
      <c r="H248" s="1">
        <v>3.6646169E7</v>
      </c>
      <c r="I248" s="1" t="s">
        <v>2214</v>
      </c>
      <c r="J248" s="1" t="s">
        <v>2215</v>
      </c>
      <c r="K248" s="132">
        <v>0.0</v>
      </c>
    </row>
    <row r="249" hidden="1">
      <c r="A249" s="1" t="s">
        <v>2216</v>
      </c>
      <c r="B249" s="1" t="s">
        <v>2217</v>
      </c>
      <c r="C249" s="1" t="s">
        <v>2218</v>
      </c>
      <c r="D249" s="1">
        <v>2007.0</v>
      </c>
      <c r="E249" s="1" t="s">
        <v>940</v>
      </c>
      <c r="F249" s="1" t="s">
        <v>659</v>
      </c>
      <c r="G249" s="1" t="s">
        <v>2219</v>
      </c>
      <c r="H249" s="1">
        <v>1.7219226E7</v>
      </c>
      <c r="I249" s="1" t="s">
        <v>2220</v>
      </c>
      <c r="J249" s="1" t="s">
        <v>2221</v>
      </c>
      <c r="K249" s="132">
        <v>0.0</v>
      </c>
    </row>
    <row r="250">
      <c r="A250" s="1" t="s">
        <v>2222</v>
      </c>
      <c r="B250" s="1" t="s">
        <v>2217</v>
      </c>
      <c r="C250" s="1" t="s">
        <v>2223</v>
      </c>
      <c r="D250" s="1">
        <v>2010.0</v>
      </c>
      <c r="E250" s="1" t="s">
        <v>697</v>
      </c>
      <c r="F250" s="1" t="s">
        <v>659</v>
      </c>
      <c r="G250" s="1" t="s">
        <v>70</v>
      </c>
      <c r="H250" s="1">
        <v>1.9851754E7</v>
      </c>
      <c r="I250" s="1" t="s">
        <v>2224</v>
      </c>
      <c r="J250" s="1" t="s">
        <v>1052</v>
      </c>
      <c r="K250" s="132">
        <v>3.0</v>
      </c>
    </row>
    <row r="251" hidden="1">
      <c r="A251" s="1" t="s">
        <v>2225</v>
      </c>
      <c r="B251" s="1" t="s">
        <v>2226</v>
      </c>
      <c r="C251" s="1" t="s">
        <v>2227</v>
      </c>
      <c r="D251" s="1">
        <v>2002.0</v>
      </c>
      <c r="E251" s="1" t="s">
        <v>940</v>
      </c>
      <c r="F251" s="1" t="s">
        <v>1217</v>
      </c>
      <c r="G251" s="1" t="s">
        <v>2228</v>
      </c>
      <c r="H251" s="1">
        <v>1.2121424E7</v>
      </c>
      <c r="I251" s="1" t="s">
        <v>2229</v>
      </c>
      <c r="J251" s="1" t="s">
        <v>2230</v>
      </c>
      <c r="K251" s="132">
        <v>0.0</v>
      </c>
    </row>
    <row r="252" hidden="1">
      <c r="A252" s="1" t="s">
        <v>2231</v>
      </c>
      <c r="B252" s="1" t="s">
        <v>2232</v>
      </c>
      <c r="C252" s="1" t="s">
        <v>2233</v>
      </c>
      <c r="D252" s="1">
        <v>2002.0</v>
      </c>
      <c r="E252" s="1" t="s">
        <v>844</v>
      </c>
      <c r="F252" s="1" t="s">
        <v>737</v>
      </c>
      <c r="G252" s="1" t="s">
        <v>2234</v>
      </c>
      <c r="H252" s="1">
        <v>1.1798992E7</v>
      </c>
      <c r="I252" s="1" t="s">
        <v>2235</v>
      </c>
      <c r="J252" s="1" t="s">
        <v>2236</v>
      </c>
      <c r="K252" s="132">
        <v>0.0</v>
      </c>
    </row>
    <row r="253" hidden="1">
      <c r="A253" s="1" t="s">
        <v>2237</v>
      </c>
      <c r="B253" s="1" t="s">
        <v>2238</v>
      </c>
      <c r="C253" s="1" t="s">
        <v>2239</v>
      </c>
      <c r="D253" s="1">
        <v>2009.0</v>
      </c>
      <c r="E253" s="1" t="s">
        <v>736</v>
      </c>
      <c r="F253" s="1" t="s">
        <v>737</v>
      </c>
      <c r="G253" s="1" t="s">
        <v>2240</v>
      </c>
      <c r="H253" s="1">
        <v>1.8801944E7</v>
      </c>
      <c r="I253" s="1" t="s">
        <v>2241</v>
      </c>
      <c r="J253" s="1" t="s">
        <v>2242</v>
      </c>
      <c r="K253" s="132">
        <v>0.0</v>
      </c>
    </row>
    <row r="254" hidden="1">
      <c r="A254" s="1" t="s">
        <v>2243</v>
      </c>
      <c r="B254" s="1" t="s">
        <v>2244</v>
      </c>
      <c r="C254" s="1" t="s">
        <v>2245</v>
      </c>
      <c r="D254" s="1">
        <v>2005.0</v>
      </c>
      <c r="E254" s="1" t="s">
        <v>736</v>
      </c>
      <c r="F254" s="1" t="s">
        <v>737</v>
      </c>
      <c r="G254" s="1" t="s">
        <v>2246</v>
      </c>
      <c r="H254" s="1">
        <v>1.5611004E7</v>
      </c>
      <c r="I254" s="1" t="s">
        <v>2247</v>
      </c>
      <c r="J254" s="1" t="s">
        <v>2248</v>
      </c>
      <c r="K254" s="132">
        <v>0.0</v>
      </c>
    </row>
    <row r="255" hidden="1">
      <c r="A255" s="1" t="s">
        <v>2249</v>
      </c>
      <c r="B255" s="1" t="s">
        <v>2250</v>
      </c>
      <c r="C255" s="1" t="s">
        <v>2251</v>
      </c>
      <c r="D255" s="1">
        <v>2002.0</v>
      </c>
      <c r="E255" s="1" t="s">
        <v>729</v>
      </c>
      <c r="F255" s="1" t="s">
        <v>767</v>
      </c>
      <c r="G255" s="1" t="s">
        <v>2252</v>
      </c>
      <c r="H255" s="1">
        <v>1.2368782E7</v>
      </c>
      <c r="I255" s="1" t="s">
        <v>2253</v>
      </c>
      <c r="J255" s="1" t="s">
        <v>2254</v>
      </c>
      <c r="K255" s="132">
        <v>0.0</v>
      </c>
    </row>
    <row r="256" hidden="1">
      <c r="A256" s="1" t="s">
        <v>2255</v>
      </c>
      <c r="B256" s="1" t="s">
        <v>2256</v>
      </c>
      <c r="C256" s="1" t="s">
        <v>2257</v>
      </c>
      <c r="D256" s="1">
        <v>2021.0</v>
      </c>
      <c r="E256" s="1" t="s">
        <v>658</v>
      </c>
      <c r="F256" s="1" t="s">
        <v>819</v>
      </c>
      <c r="G256" s="1" t="s">
        <v>2258</v>
      </c>
      <c r="H256" s="1">
        <v>3.3729214E7</v>
      </c>
      <c r="I256" s="1" t="s">
        <v>2259</v>
      </c>
      <c r="J256" s="1" t="s">
        <v>2260</v>
      </c>
      <c r="K256" s="132">
        <v>0.0</v>
      </c>
    </row>
    <row r="257" hidden="1">
      <c r="A257" s="1" t="s">
        <v>2261</v>
      </c>
      <c r="B257" s="1" t="s">
        <v>2262</v>
      </c>
      <c r="C257" s="1" t="s">
        <v>2263</v>
      </c>
      <c r="D257" s="1">
        <v>2009.0</v>
      </c>
      <c r="E257" s="1" t="s">
        <v>940</v>
      </c>
      <c r="F257" s="1" t="s">
        <v>1125</v>
      </c>
      <c r="G257" s="1" t="s">
        <v>2264</v>
      </c>
      <c r="H257" s="1">
        <v>1.9476175E7</v>
      </c>
      <c r="I257" s="1" t="s">
        <v>2265</v>
      </c>
      <c r="J257" s="1" t="s">
        <v>2266</v>
      </c>
      <c r="K257" s="132">
        <v>0.0</v>
      </c>
    </row>
    <row r="258" hidden="1">
      <c r="A258" s="1" t="s">
        <v>2267</v>
      </c>
      <c r="B258" s="1" t="s">
        <v>2268</v>
      </c>
      <c r="C258" s="1" t="s">
        <v>2269</v>
      </c>
      <c r="D258" s="1">
        <v>1995.0</v>
      </c>
      <c r="E258" s="1" t="s">
        <v>723</v>
      </c>
      <c r="F258" s="1" t="s">
        <v>1217</v>
      </c>
      <c r="G258" s="1" t="s">
        <v>2270</v>
      </c>
      <c r="H258" s="1">
        <v>7882125.0</v>
      </c>
      <c r="I258" s="1" t="s">
        <v>2271</v>
      </c>
      <c r="J258" s="1" t="s">
        <v>2272</v>
      </c>
      <c r="K258" s="132">
        <v>0.0</v>
      </c>
    </row>
    <row r="259" hidden="1">
      <c r="A259" s="1" t="s">
        <v>2273</v>
      </c>
      <c r="B259" s="1" t="s">
        <v>2274</v>
      </c>
      <c r="C259" s="1" t="s">
        <v>2275</v>
      </c>
      <c r="D259" s="1">
        <v>2006.0</v>
      </c>
      <c r="E259" s="1" t="s">
        <v>681</v>
      </c>
      <c r="F259" s="1" t="s">
        <v>1521</v>
      </c>
      <c r="G259" s="1" t="s">
        <v>2276</v>
      </c>
      <c r="H259" s="1">
        <v>1.6917926E7</v>
      </c>
      <c r="I259" s="1" t="s">
        <v>2277</v>
      </c>
      <c r="J259" s="1" t="s">
        <v>2278</v>
      </c>
      <c r="K259" s="132">
        <v>0.0</v>
      </c>
    </row>
    <row r="260">
      <c r="A260" s="1" t="s">
        <v>2279</v>
      </c>
      <c r="B260" s="1" t="s">
        <v>2280</v>
      </c>
      <c r="C260" s="1" t="s">
        <v>2281</v>
      </c>
      <c r="D260" s="1">
        <v>2010.0</v>
      </c>
      <c r="E260" s="1" t="s">
        <v>689</v>
      </c>
      <c r="F260" s="1" t="s">
        <v>737</v>
      </c>
      <c r="G260" s="1" t="s">
        <v>72</v>
      </c>
      <c r="H260" s="1">
        <v>2.0097928E7</v>
      </c>
      <c r="I260" s="1" t="s">
        <v>2282</v>
      </c>
      <c r="J260" s="1" t="s">
        <v>1053</v>
      </c>
      <c r="K260" s="132">
        <v>3.0</v>
      </c>
    </row>
    <row r="261" hidden="1">
      <c r="A261" s="1" t="s">
        <v>2283</v>
      </c>
      <c r="B261" s="1" t="s">
        <v>2284</v>
      </c>
      <c r="C261" s="1" t="s">
        <v>2285</v>
      </c>
      <c r="D261" s="1">
        <v>2012.0</v>
      </c>
      <c r="E261" s="1" t="s">
        <v>681</v>
      </c>
      <c r="F261" s="1" t="s">
        <v>737</v>
      </c>
      <c r="G261" s="1" t="s">
        <v>2286</v>
      </c>
      <c r="H261" s="1">
        <v>2.2984128E7</v>
      </c>
      <c r="I261" s="1" t="s">
        <v>2287</v>
      </c>
      <c r="J261" s="1" t="s">
        <v>2288</v>
      </c>
      <c r="K261" s="132">
        <v>0.0</v>
      </c>
    </row>
    <row r="262" hidden="1">
      <c r="A262" s="1" t="s">
        <v>2289</v>
      </c>
      <c r="B262" s="1" t="s">
        <v>2290</v>
      </c>
      <c r="C262" s="1" t="s">
        <v>2291</v>
      </c>
      <c r="D262" s="1">
        <v>2019.0</v>
      </c>
      <c r="E262" s="1" t="s">
        <v>689</v>
      </c>
      <c r="F262" s="1" t="s">
        <v>737</v>
      </c>
      <c r="G262" s="1" t="s">
        <v>2292</v>
      </c>
      <c r="H262" s="1">
        <v>3.0822124E7</v>
      </c>
      <c r="I262" s="1" t="s">
        <v>2293</v>
      </c>
      <c r="J262" s="1" t="s">
        <v>2294</v>
      </c>
      <c r="K262" s="132">
        <v>0.0</v>
      </c>
    </row>
    <row r="263" hidden="1">
      <c r="A263" s="1" t="s">
        <v>2295</v>
      </c>
      <c r="B263" s="1" t="s">
        <v>2296</v>
      </c>
      <c r="C263" s="1" t="s">
        <v>2297</v>
      </c>
      <c r="D263" s="1">
        <v>2022.0</v>
      </c>
      <c r="E263" s="1" t="s">
        <v>697</v>
      </c>
      <c r="F263" s="1" t="s">
        <v>737</v>
      </c>
      <c r="G263" s="1" t="s">
        <v>2298</v>
      </c>
      <c r="H263" s="1">
        <v>3.5486517E7</v>
      </c>
      <c r="I263" s="1" t="s">
        <v>2299</v>
      </c>
      <c r="J263" s="1" t="s">
        <v>2300</v>
      </c>
      <c r="K263" s="132">
        <v>0.0</v>
      </c>
    </row>
    <row r="264">
      <c r="A264" s="1" t="s">
        <v>2301</v>
      </c>
      <c r="B264" s="1" t="s">
        <v>2302</v>
      </c>
      <c r="C264" s="1" t="s">
        <v>2303</v>
      </c>
      <c r="D264" s="1">
        <v>2022.0</v>
      </c>
      <c r="E264" s="1" t="s">
        <v>723</v>
      </c>
      <c r="F264" s="1" t="s">
        <v>982</v>
      </c>
      <c r="G264" s="1" t="s">
        <v>74</v>
      </c>
      <c r="H264" s="1">
        <v>3.3742222E7</v>
      </c>
      <c r="I264" s="1" t="s">
        <v>2304</v>
      </c>
      <c r="J264" s="1" t="s">
        <v>1054</v>
      </c>
      <c r="K264" s="132">
        <v>3.0</v>
      </c>
    </row>
    <row r="265" hidden="1">
      <c r="A265" s="1" t="s">
        <v>2305</v>
      </c>
      <c r="B265" s="1" t="s">
        <v>2306</v>
      </c>
      <c r="C265" s="1" t="s">
        <v>2307</v>
      </c>
      <c r="D265" s="1">
        <v>2007.0</v>
      </c>
      <c r="E265" s="1" t="s">
        <v>761</v>
      </c>
      <c r="F265" s="1" t="s">
        <v>2308</v>
      </c>
      <c r="G265" s="1" t="s">
        <v>2309</v>
      </c>
      <c r="H265" s="1">
        <v>1.7620776E7</v>
      </c>
      <c r="I265" s="1" t="s">
        <v>2310</v>
      </c>
      <c r="J265" s="1" t="s">
        <v>2311</v>
      </c>
      <c r="K265" s="132">
        <v>0.0</v>
      </c>
    </row>
    <row r="266" hidden="1">
      <c r="A266" s="1" t="s">
        <v>2312</v>
      </c>
      <c r="B266" s="1" t="s">
        <v>2313</v>
      </c>
      <c r="C266" s="1" t="s">
        <v>2314</v>
      </c>
      <c r="D266" s="1">
        <v>2019.0</v>
      </c>
      <c r="E266" s="1" t="s">
        <v>681</v>
      </c>
      <c r="F266" s="1" t="s">
        <v>2315</v>
      </c>
      <c r="G266" s="1" t="s">
        <v>2316</v>
      </c>
      <c r="H266" s="1">
        <v>3.1301034E7</v>
      </c>
      <c r="I266" s="1" t="s">
        <v>2317</v>
      </c>
      <c r="J266" s="1" t="s">
        <v>2318</v>
      </c>
      <c r="K266" s="132">
        <v>0.0</v>
      </c>
    </row>
    <row r="267" hidden="1">
      <c r="A267" s="1" t="s">
        <v>2319</v>
      </c>
      <c r="B267" s="1" t="s">
        <v>2320</v>
      </c>
      <c r="C267" s="1" t="s">
        <v>2321</v>
      </c>
      <c r="D267" s="1">
        <v>2019.0</v>
      </c>
      <c r="E267" s="1" t="s">
        <v>674</v>
      </c>
      <c r="F267" s="1" t="s">
        <v>2322</v>
      </c>
      <c r="G267" s="1" t="s">
        <v>2323</v>
      </c>
      <c r="H267" s="1">
        <v>3.1288213E7</v>
      </c>
      <c r="I267" s="1" t="s">
        <v>2324</v>
      </c>
      <c r="J267" s="1" t="s">
        <v>2318</v>
      </c>
      <c r="K267" s="132">
        <v>0.0</v>
      </c>
    </row>
    <row r="268" hidden="1">
      <c r="A268" s="1" t="s">
        <v>2325</v>
      </c>
      <c r="B268" s="1" t="s">
        <v>2326</v>
      </c>
      <c r="C268" s="1" t="s">
        <v>2327</v>
      </c>
      <c r="D268" s="1">
        <v>2020.0</v>
      </c>
      <c r="E268" s="1" t="s">
        <v>723</v>
      </c>
      <c r="F268" s="1" t="s">
        <v>1521</v>
      </c>
      <c r="G268" s="1" t="s">
        <v>2328</v>
      </c>
      <c r="H268" s="1">
        <v>3.1517396E7</v>
      </c>
      <c r="I268" s="1" t="s">
        <v>2329</v>
      </c>
      <c r="J268" s="1" t="s">
        <v>2330</v>
      </c>
      <c r="K268" s="132">
        <v>0.0</v>
      </c>
    </row>
    <row r="269" hidden="1">
      <c r="A269" s="1" t="s">
        <v>2331</v>
      </c>
      <c r="B269" s="1" t="s">
        <v>2332</v>
      </c>
      <c r="C269" s="1" t="s">
        <v>2333</v>
      </c>
      <c r="D269" s="1">
        <v>2012.0</v>
      </c>
      <c r="E269" s="1" t="s">
        <v>689</v>
      </c>
      <c r="F269" s="1" t="s">
        <v>737</v>
      </c>
      <c r="G269" s="1" t="s">
        <v>2334</v>
      </c>
      <c r="H269" s="1">
        <v>2.2085729E7</v>
      </c>
      <c r="I269" s="1" t="s">
        <v>2335</v>
      </c>
      <c r="J269" s="1" t="s">
        <v>2336</v>
      </c>
      <c r="K269" s="132">
        <v>0.0</v>
      </c>
    </row>
    <row r="270" hidden="1">
      <c r="A270" s="1" t="s">
        <v>2337</v>
      </c>
      <c r="B270" s="1" t="s">
        <v>2338</v>
      </c>
      <c r="C270" s="1" t="s">
        <v>2339</v>
      </c>
      <c r="D270" s="1">
        <v>2013.0</v>
      </c>
      <c r="E270" s="1" t="s">
        <v>736</v>
      </c>
      <c r="F270" s="1" t="s">
        <v>767</v>
      </c>
      <c r="G270" s="1" t="s">
        <v>2340</v>
      </c>
      <c r="H270" s="1">
        <v>2.3276416E7</v>
      </c>
      <c r="I270" s="1" t="s">
        <v>2341</v>
      </c>
      <c r="J270" s="1" t="s">
        <v>2342</v>
      </c>
      <c r="K270" s="132">
        <v>0.0</v>
      </c>
    </row>
    <row r="271" hidden="1">
      <c r="A271" s="1" t="s">
        <v>2343</v>
      </c>
      <c r="B271" s="1" t="s">
        <v>2344</v>
      </c>
      <c r="C271" s="1" t="s">
        <v>2345</v>
      </c>
      <c r="D271" s="1">
        <v>2021.0</v>
      </c>
      <c r="E271" s="1" t="s">
        <v>1745</v>
      </c>
      <c r="F271" s="1" t="s">
        <v>2346</v>
      </c>
      <c r="G271" s="1" t="s">
        <v>2347</v>
      </c>
      <c r="H271" s="1">
        <v>3.3736944E7</v>
      </c>
      <c r="I271" s="1" t="s">
        <v>2348</v>
      </c>
      <c r="J271" s="1" t="s">
        <v>2349</v>
      </c>
      <c r="K271" s="132">
        <v>0.0</v>
      </c>
    </row>
    <row r="272" hidden="1">
      <c r="A272" s="1" t="s">
        <v>2350</v>
      </c>
      <c r="B272" s="1" t="s">
        <v>2351</v>
      </c>
      <c r="C272" s="1" t="s">
        <v>2352</v>
      </c>
      <c r="D272" s="1">
        <v>2014.0</v>
      </c>
      <c r="E272" s="1" t="s">
        <v>761</v>
      </c>
      <c r="F272" s="1" t="s">
        <v>2353</v>
      </c>
      <c r="G272" s="12"/>
      <c r="H272" s="1">
        <v>2.526577E7</v>
      </c>
      <c r="I272" s="1" t="s">
        <v>2354</v>
      </c>
      <c r="J272" s="1" t="s">
        <v>2355</v>
      </c>
      <c r="K272" s="132">
        <v>0.0</v>
      </c>
    </row>
    <row r="273" hidden="1">
      <c r="A273" s="1" t="s">
        <v>2356</v>
      </c>
      <c r="B273" s="1" t="s">
        <v>2357</v>
      </c>
      <c r="C273" s="1" t="s">
        <v>2358</v>
      </c>
      <c r="D273" s="1">
        <v>2016.0</v>
      </c>
      <c r="E273" s="1" t="s">
        <v>666</v>
      </c>
      <c r="F273" s="1" t="s">
        <v>2353</v>
      </c>
      <c r="G273" s="12"/>
      <c r="H273" s="1">
        <v>2.7501614E7</v>
      </c>
      <c r="I273" s="1" t="s">
        <v>2359</v>
      </c>
      <c r="J273" s="1" t="s">
        <v>2360</v>
      </c>
      <c r="K273" s="132">
        <v>0.0</v>
      </c>
    </row>
    <row r="274">
      <c r="A274" s="1" t="s">
        <v>2361</v>
      </c>
      <c r="B274" s="1" t="s">
        <v>2362</v>
      </c>
      <c r="C274" s="1" t="s">
        <v>2363</v>
      </c>
      <c r="D274" s="1">
        <v>2005.0</v>
      </c>
      <c r="E274" s="1" t="s">
        <v>940</v>
      </c>
      <c r="F274" s="1" t="s">
        <v>767</v>
      </c>
      <c r="G274" s="1" t="s">
        <v>76</v>
      </c>
      <c r="H274" s="1">
        <v>1.580052E7</v>
      </c>
      <c r="I274" s="1" t="s">
        <v>2364</v>
      </c>
      <c r="J274" s="1" t="s">
        <v>1056</v>
      </c>
      <c r="K274" s="132">
        <v>3.0</v>
      </c>
    </row>
    <row r="275" hidden="1">
      <c r="A275" s="1" t="s">
        <v>2365</v>
      </c>
      <c r="B275" s="1" t="s">
        <v>2366</v>
      </c>
      <c r="C275" s="1" t="s">
        <v>2367</v>
      </c>
      <c r="D275" s="1">
        <v>2009.0</v>
      </c>
      <c r="E275" s="1" t="s">
        <v>729</v>
      </c>
      <c r="F275" s="1" t="s">
        <v>711</v>
      </c>
      <c r="G275" s="1" t="s">
        <v>2368</v>
      </c>
      <c r="H275" s="1">
        <v>1.9794165E7</v>
      </c>
      <c r="I275" s="1" t="s">
        <v>2369</v>
      </c>
      <c r="J275" s="1" t="s">
        <v>2370</v>
      </c>
      <c r="K275" s="132">
        <v>0.0</v>
      </c>
    </row>
    <row r="276" hidden="1">
      <c r="A276" s="1" t="s">
        <v>2371</v>
      </c>
      <c r="B276" s="1" t="s">
        <v>2372</v>
      </c>
      <c r="C276" s="1" t="s">
        <v>2373</v>
      </c>
      <c r="D276" s="1">
        <v>2015.0</v>
      </c>
      <c r="E276" s="1" t="s">
        <v>736</v>
      </c>
      <c r="F276" s="1" t="s">
        <v>737</v>
      </c>
      <c r="G276" s="1" t="s">
        <v>2374</v>
      </c>
      <c r="H276" s="1">
        <v>2.5349264E7</v>
      </c>
      <c r="I276" s="1" t="s">
        <v>2375</v>
      </c>
      <c r="J276" s="1" t="s">
        <v>2376</v>
      </c>
      <c r="K276" s="132">
        <v>0.0</v>
      </c>
    </row>
    <row r="277" hidden="1">
      <c r="A277" s="1" t="s">
        <v>2377</v>
      </c>
      <c r="B277" s="1" t="s">
        <v>2378</v>
      </c>
      <c r="C277" s="1" t="s">
        <v>2379</v>
      </c>
      <c r="D277" s="1">
        <v>2019.0</v>
      </c>
      <c r="E277" s="1" t="s">
        <v>736</v>
      </c>
      <c r="F277" s="1" t="s">
        <v>2380</v>
      </c>
      <c r="G277" s="1" t="s">
        <v>2381</v>
      </c>
      <c r="H277" s="1">
        <v>3.0066465E7</v>
      </c>
      <c r="I277" s="1" t="s">
        <v>2382</v>
      </c>
      <c r="J277" s="1" t="s">
        <v>2383</v>
      </c>
      <c r="K277" s="132">
        <v>0.0</v>
      </c>
    </row>
    <row r="278" hidden="1">
      <c r="A278" s="1" t="s">
        <v>2384</v>
      </c>
      <c r="B278" s="1" t="s">
        <v>2385</v>
      </c>
      <c r="C278" s="1" t="s">
        <v>2386</v>
      </c>
      <c r="D278" s="1">
        <v>2022.0</v>
      </c>
      <c r="E278" s="1" t="s">
        <v>723</v>
      </c>
      <c r="F278" s="1" t="s">
        <v>1125</v>
      </c>
      <c r="G278" s="1" t="s">
        <v>2387</v>
      </c>
      <c r="H278" s="1">
        <v>3.2615614E7</v>
      </c>
      <c r="I278" s="1" t="s">
        <v>2388</v>
      </c>
      <c r="J278" s="1" t="s">
        <v>2389</v>
      </c>
      <c r="K278" s="132">
        <v>0.0</v>
      </c>
    </row>
    <row r="279">
      <c r="A279" s="1" t="s">
        <v>2390</v>
      </c>
      <c r="B279" s="1" t="s">
        <v>2391</v>
      </c>
      <c r="C279" s="1" t="s">
        <v>2392</v>
      </c>
      <c r="D279" s="1">
        <v>2017.0</v>
      </c>
      <c r="E279" s="1" t="s">
        <v>729</v>
      </c>
      <c r="F279" s="1" t="s">
        <v>659</v>
      </c>
      <c r="G279" s="1" t="s">
        <v>78</v>
      </c>
      <c r="H279" s="1">
        <v>2.7371291E7</v>
      </c>
      <c r="I279" s="1" t="s">
        <v>2393</v>
      </c>
      <c r="J279" s="1" t="s">
        <v>1057</v>
      </c>
      <c r="K279" s="132">
        <v>3.0</v>
      </c>
    </row>
    <row r="280" hidden="1">
      <c r="A280" s="1" t="s">
        <v>2394</v>
      </c>
      <c r="B280" s="1" t="s">
        <v>2395</v>
      </c>
      <c r="C280" s="1" t="s">
        <v>2396</v>
      </c>
      <c r="D280" s="1">
        <v>2013.0</v>
      </c>
      <c r="E280" s="1" t="s">
        <v>674</v>
      </c>
      <c r="F280" s="1" t="s">
        <v>659</v>
      </c>
      <c r="G280" s="1" t="s">
        <v>2397</v>
      </c>
      <c r="H280" s="1">
        <v>2.3203337E7</v>
      </c>
      <c r="I280" s="1" t="s">
        <v>2398</v>
      </c>
      <c r="J280" s="1" t="s">
        <v>2399</v>
      </c>
      <c r="K280" s="132">
        <v>0.0</v>
      </c>
    </row>
    <row r="281" hidden="1">
      <c r="A281" s="1" t="s">
        <v>2400</v>
      </c>
      <c r="B281" s="1" t="s">
        <v>2401</v>
      </c>
      <c r="C281" s="1" t="s">
        <v>2402</v>
      </c>
      <c r="D281" s="1">
        <v>2013.0</v>
      </c>
      <c r="E281" s="1" t="s">
        <v>681</v>
      </c>
      <c r="F281" s="1" t="s">
        <v>2403</v>
      </c>
      <c r="G281" s="12"/>
      <c r="H281" s="1">
        <v>2.4254567E7</v>
      </c>
      <c r="I281" s="1" t="s">
        <v>2404</v>
      </c>
      <c r="J281" s="1" t="s">
        <v>2405</v>
      </c>
      <c r="K281" s="132">
        <v>0.0</v>
      </c>
    </row>
    <row r="282" hidden="1">
      <c r="A282" s="1" t="s">
        <v>2406</v>
      </c>
      <c r="B282" s="1" t="s">
        <v>2407</v>
      </c>
      <c r="C282" s="1" t="s">
        <v>2408</v>
      </c>
      <c r="D282" s="1">
        <v>2013.0</v>
      </c>
      <c r="E282" s="12"/>
      <c r="F282" s="1" t="s">
        <v>2409</v>
      </c>
      <c r="G282" s="1" t="s">
        <v>2410</v>
      </c>
      <c r="H282" s="1">
        <v>2.369821E7</v>
      </c>
      <c r="I282" s="1" t="s">
        <v>2411</v>
      </c>
      <c r="J282" s="1" t="s">
        <v>2405</v>
      </c>
      <c r="K282" s="132">
        <v>0.0</v>
      </c>
    </row>
    <row r="283" hidden="1">
      <c r="A283" s="1" t="s">
        <v>2412</v>
      </c>
      <c r="B283" s="1" t="s">
        <v>2413</v>
      </c>
      <c r="C283" s="1" t="s">
        <v>2414</v>
      </c>
      <c r="D283" s="1">
        <v>2021.0</v>
      </c>
      <c r="E283" s="1" t="s">
        <v>658</v>
      </c>
      <c r="F283" s="1" t="s">
        <v>659</v>
      </c>
      <c r="G283" s="1" t="s">
        <v>2415</v>
      </c>
      <c r="H283" s="1">
        <v>3.3970295E7</v>
      </c>
      <c r="I283" s="1" t="s">
        <v>2416</v>
      </c>
      <c r="J283" s="1" t="s">
        <v>2417</v>
      </c>
      <c r="K283" s="132">
        <v>1.0</v>
      </c>
    </row>
    <row r="284" hidden="1">
      <c r="A284" s="1" t="s">
        <v>2418</v>
      </c>
      <c r="B284" s="1" t="s">
        <v>2419</v>
      </c>
      <c r="C284" s="1" t="s">
        <v>2420</v>
      </c>
      <c r="D284" s="1">
        <v>2006.0</v>
      </c>
      <c r="E284" s="1" t="s">
        <v>681</v>
      </c>
      <c r="F284" s="1" t="s">
        <v>659</v>
      </c>
      <c r="G284" s="1" t="s">
        <v>2421</v>
      </c>
      <c r="H284" s="1">
        <v>1.6955299E7</v>
      </c>
      <c r="I284" s="1" t="s">
        <v>2422</v>
      </c>
      <c r="J284" s="1" t="s">
        <v>2423</v>
      </c>
      <c r="K284" s="132">
        <v>0.0</v>
      </c>
    </row>
    <row r="285" hidden="1">
      <c r="A285" s="1" t="s">
        <v>2424</v>
      </c>
      <c r="B285" s="1" t="s">
        <v>2425</v>
      </c>
      <c r="C285" s="1" t="s">
        <v>2426</v>
      </c>
      <c r="D285" s="1">
        <v>2007.0</v>
      </c>
      <c r="E285" s="1" t="s">
        <v>736</v>
      </c>
      <c r="F285" s="1" t="s">
        <v>886</v>
      </c>
      <c r="G285" s="1" t="s">
        <v>2427</v>
      </c>
      <c r="H285" s="1">
        <v>1.7129731E7</v>
      </c>
      <c r="I285" s="1" t="s">
        <v>2428</v>
      </c>
      <c r="J285" s="1" t="s">
        <v>2429</v>
      </c>
      <c r="K285" s="132">
        <v>0.0</v>
      </c>
    </row>
    <row r="286" hidden="1">
      <c r="A286" s="1" t="s">
        <v>2430</v>
      </c>
      <c r="B286" s="1" t="s">
        <v>2431</v>
      </c>
      <c r="C286" s="1" t="s">
        <v>2432</v>
      </c>
      <c r="D286" s="1">
        <v>2007.0</v>
      </c>
      <c r="E286" s="1" t="s">
        <v>666</v>
      </c>
      <c r="F286" s="1" t="s">
        <v>659</v>
      </c>
      <c r="G286" s="1" t="s">
        <v>2433</v>
      </c>
      <c r="H286" s="1">
        <v>1.7216271E7</v>
      </c>
      <c r="I286" s="1" t="s">
        <v>2434</v>
      </c>
      <c r="J286" s="1" t="s">
        <v>2435</v>
      </c>
      <c r="K286" s="132">
        <v>0.0</v>
      </c>
    </row>
    <row r="287" hidden="1">
      <c r="A287" s="1" t="s">
        <v>2436</v>
      </c>
      <c r="B287" s="1" t="s">
        <v>2437</v>
      </c>
      <c r="C287" s="1" t="s">
        <v>2438</v>
      </c>
      <c r="D287" s="1">
        <v>2008.0</v>
      </c>
      <c r="E287" s="1" t="s">
        <v>898</v>
      </c>
      <c r="F287" s="1" t="s">
        <v>767</v>
      </c>
      <c r="G287" s="1" t="s">
        <v>2439</v>
      </c>
      <c r="H287" s="1">
        <v>1.9038705E7</v>
      </c>
      <c r="I287" s="1" t="s">
        <v>2440</v>
      </c>
      <c r="J287" s="1" t="s">
        <v>2441</v>
      </c>
      <c r="K287" s="132">
        <v>0.0</v>
      </c>
    </row>
    <row r="288" hidden="1">
      <c r="A288" s="1" t="s">
        <v>2442</v>
      </c>
      <c r="B288" s="1" t="s">
        <v>2443</v>
      </c>
      <c r="C288" s="1" t="s">
        <v>2444</v>
      </c>
      <c r="D288" s="1">
        <v>2008.0</v>
      </c>
      <c r="E288" s="1" t="s">
        <v>723</v>
      </c>
      <c r="F288" s="1" t="s">
        <v>737</v>
      </c>
      <c r="G288" s="1" t="s">
        <v>2445</v>
      </c>
      <c r="H288" s="1">
        <v>1.7940145E7</v>
      </c>
      <c r="I288" s="1" t="s">
        <v>2446</v>
      </c>
      <c r="J288" s="1" t="s">
        <v>2441</v>
      </c>
      <c r="K288" s="132">
        <v>0.0</v>
      </c>
    </row>
    <row r="289" hidden="1">
      <c r="A289" s="1" t="s">
        <v>2447</v>
      </c>
      <c r="B289" s="1" t="s">
        <v>2448</v>
      </c>
      <c r="C289" s="1" t="s">
        <v>2449</v>
      </c>
      <c r="D289" s="1">
        <v>2023.0</v>
      </c>
      <c r="E289" s="1" t="s">
        <v>666</v>
      </c>
      <c r="F289" s="1" t="s">
        <v>865</v>
      </c>
      <c r="G289" s="1" t="s">
        <v>2450</v>
      </c>
      <c r="H289" s="1">
        <v>3.5762124E7</v>
      </c>
      <c r="I289" s="1" t="s">
        <v>2451</v>
      </c>
      <c r="J289" s="1" t="s">
        <v>2452</v>
      </c>
      <c r="K289" s="132">
        <v>0.0</v>
      </c>
    </row>
    <row r="290" hidden="1">
      <c r="A290" s="1" t="s">
        <v>2453</v>
      </c>
      <c r="B290" s="1" t="s">
        <v>2454</v>
      </c>
      <c r="C290" s="1" t="s">
        <v>2455</v>
      </c>
      <c r="D290" s="1">
        <v>2010.0</v>
      </c>
      <c r="E290" s="1" t="s">
        <v>689</v>
      </c>
      <c r="F290" s="1" t="s">
        <v>737</v>
      </c>
      <c r="G290" s="1" t="s">
        <v>2456</v>
      </c>
      <c r="H290" s="1">
        <v>2.0044497E7</v>
      </c>
      <c r="I290" s="1" t="s">
        <v>2457</v>
      </c>
      <c r="J290" s="1" t="s">
        <v>2458</v>
      </c>
      <c r="K290" s="132">
        <v>0.0</v>
      </c>
    </row>
    <row r="291" hidden="1">
      <c r="A291" s="1" t="s">
        <v>2459</v>
      </c>
      <c r="B291" s="1" t="s">
        <v>2460</v>
      </c>
      <c r="C291" s="1" t="s">
        <v>2461</v>
      </c>
      <c r="D291" s="1">
        <v>2017.0</v>
      </c>
      <c r="E291" s="1" t="s">
        <v>898</v>
      </c>
      <c r="F291" s="1" t="s">
        <v>1217</v>
      </c>
      <c r="G291" s="1" t="s">
        <v>2462</v>
      </c>
      <c r="H291" s="1">
        <v>2.7781307E7</v>
      </c>
      <c r="I291" s="1" t="s">
        <v>2463</v>
      </c>
      <c r="J291" s="1" t="s">
        <v>2464</v>
      </c>
      <c r="K291" s="132">
        <v>0.0</v>
      </c>
    </row>
    <row r="292" hidden="1">
      <c r="A292" s="1" t="s">
        <v>2465</v>
      </c>
      <c r="B292" s="1" t="s">
        <v>2466</v>
      </c>
      <c r="C292" s="1" t="s">
        <v>2467</v>
      </c>
      <c r="D292" s="1">
        <v>2022.0</v>
      </c>
      <c r="E292" s="1" t="s">
        <v>761</v>
      </c>
      <c r="F292" s="1" t="s">
        <v>2468</v>
      </c>
      <c r="G292" s="1" t="s">
        <v>2469</v>
      </c>
      <c r="H292" s="1">
        <v>3.5428952E7</v>
      </c>
      <c r="I292" s="1" t="s">
        <v>2470</v>
      </c>
      <c r="J292" s="1" t="s">
        <v>2471</v>
      </c>
      <c r="K292" s="132">
        <v>0.0</v>
      </c>
    </row>
    <row r="293" hidden="1">
      <c r="A293" s="1" t="s">
        <v>2472</v>
      </c>
      <c r="B293" s="1" t="s">
        <v>2473</v>
      </c>
      <c r="C293" s="1" t="s">
        <v>2474</v>
      </c>
      <c r="D293" s="1">
        <v>1999.0</v>
      </c>
      <c r="E293" s="12"/>
      <c r="F293" s="1" t="s">
        <v>659</v>
      </c>
      <c r="G293" s="1" t="s">
        <v>2475</v>
      </c>
      <c r="H293" s="1">
        <v>1.0525698E7</v>
      </c>
      <c r="I293" s="1" t="s">
        <v>2476</v>
      </c>
      <c r="J293" s="1" t="s">
        <v>2477</v>
      </c>
      <c r="K293" s="132">
        <v>1.0</v>
      </c>
    </row>
    <row r="294">
      <c r="A294" s="1" t="s">
        <v>2478</v>
      </c>
      <c r="B294" s="1" t="s">
        <v>2479</v>
      </c>
      <c r="C294" s="1" t="s">
        <v>2480</v>
      </c>
      <c r="D294" s="1">
        <v>2003.0</v>
      </c>
      <c r="E294" s="1" t="s">
        <v>844</v>
      </c>
      <c r="F294" s="1" t="s">
        <v>737</v>
      </c>
      <c r="G294" s="1" t="s">
        <v>81</v>
      </c>
      <c r="H294" s="1">
        <v>1.2531751E7</v>
      </c>
      <c r="I294" s="1" t="s">
        <v>2481</v>
      </c>
      <c r="J294" s="1" t="s">
        <v>1058</v>
      </c>
      <c r="K294" s="132">
        <v>3.0</v>
      </c>
    </row>
    <row r="295" hidden="1">
      <c r="A295" s="1" t="s">
        <v>2482</v>
      </c>
      <c r="B295" s="1" t="s">
        <v>2483</v>
      </c>
      <c r="C295" s="1" t="s">
        <v>2484</v>
      </c>
      <c r="D295" s="1">
        <v>2022.0</v>
      </c>
      <c r="E295" s="1" t="s">
        <v>736</v>
      </c>
      <c r="F295" s="1" t="s">
        <v>1191</v>
      </c>
      <c r="G295" s="1" t="s">
        <v>2485</v>
      </c>
      <c r="H295" s="1">
        <v>3.4941609E7</v>
      </c>
      <c r="I295" s="1" t="s">
        <v>2486</v>
      </c>
      <c r="J295" s="1" t="s">
        <v>2487</v>
      </c>
      <c r="K295" s="132">
        <v>0.0</v>
      </c>
    </row>
    <row r="296" hidden="1">
      <c r="A296" s="1" t="s">
        <v>2488</v>
      </c>
      <c r="B296" s="1" t="s">
        <v>2489</v>
      </c>
      <c r="C296" s="1" t="s">
        <v>2490</v>
      </c>
      <c r="D296" s="1">
        <v>2020.0</v>
      </c>
      <c r="E296" s="12"/>
      <c r="F296" s="1" t="s">
        <v>2491</v>
      </c>
      <c r="G296" s="1" t="s">
        <v>2492</v>
      </c>
      <c r="H296" s="1">
        <v>3.1679474E7</v>
      </c>
      <c r="I296" s="1" t="s">
        <v>2493</v>
      </c>
      <c r="J296" s="1" t="s">
        <v>2494</v>
      </c>
      <c r="K296" s="132">
        <v>0.0</v>
      </c>
    </row>
    <row r="297" hidden="1">
      <c r="A297" s="1" t="s">
        <v>2495</v>
      </c>
      <c r="B297" s="1" t="s">
        <v>2496</v>
      </c>
      <c r="C297" s="1" t="s">
        <v>2497</v>
      </c>
      <c r="D297" s="1">
        <v>2021.0</v>
      </c>
      <c r="E297" s="1" t="s">
        <v>736</v>
      </c>
      <c r="F297" s="1" t="s">
        <v>737</v>
      </c>
      <c r="G297" s="1" t="s">
        <v>2498</v>
      </c>
      <c r="H297" s="1">
        <v>3.3381989E7</v>
      </c>
      <c r="I297" s="1" t="s">
        <v>2499</v>
      </c>
      <c r="J297" s="1" t="s">
        <v>2500</v>
      </c>
      <c r="K297" s="132">
        <v>0.0</v>
      </c>
    </row>
    <row r="298" hidden="1">
      <c r="A298" s="1" t="s">
        <v>2501</v>
      </c>
      <c r="B298" s="1" t="s">
        <v>2502</v>
      </c>
      <c r="C298" s="1" t="s">
        <v>2503</v>
      </c>
      <c r="D298" s="1">
        <v>2007.0</v>
      </c>
      <c r="E298" s="1" t="s">
        <v>898</v>
      </c>
      <c r="F298" s="1" t="s">
        <v>767</v>
      </c>
      <c r="G298" s="1" t="s">
        <v>2504</v>
      </c>
      <c r="H298" s="1">
        <v>1.8063177E7</v>
      </c>
      <c r="I298" s="1" t="s">
        <v>2505</v>
      </c>
      <c r="J298" s="1" t="s">
        <v>2506</v>
      </c>
      <c r="K298" s="132">
        <v>0.0</v>
      </c>
    </row>
    <row r="299" hidden="1">
      <c r="A299" s="1" t="s">
        <v>2507</v>
      </c>
      <c r="B299" s="1" t="s">
        <v>2508</v>
      </c>
      <c r="C299" s="1" t="s">
        <v>2509</v>
      </c>
      <c r="D299" s="1">
        <v>2015.0</v>
      </c>
      <c r="E299" s="1" t="s">
        <v>898</v>
      </c>
      <c r="F299" s="1" t="s">
        <v>2510</v>
      </c>
      <c r="G299" s="1" t="s">
        <v>2511</v>
      </c>
      <c r="H299" s="1">
        <v>2.661229E7</v>
      </c>
      <c r="I299" s="1" t="s">
        <v>2512</v>
      </c>
      <c r="J299" s="1" t="s">
        <v>2513</v>
      </c>
      <c r="K299" s="132">
        <v>0.0</v>
      </c>
    </row>
    <row r="300" hidden="1">
      <c r="A300" s="1" t="s">
        <v>2514</v>
      </c>
      <c r="B300" s="1" t="s">
        <v>2515</v>
      </c>
      <c r="C300" s="1" t="s">
        <v>2516</v>
      </c>
      <c r="D300" s="1">
        <v>2022.0</v>
      </c>
      <c r="E300" s="12"/>
      <c r="F300" s="1" t="s">
        <v>2517</v>
      </c>
      <c r="G300" s="1" t="s">
        <v>2518</v>
      </c>
      <c r="H300" s="1">
        <v>3.5811663E7</v>
      </c>
      <c r="I300" s="1" t="s">
        <v>2519</v>
      </c>
      <c r="J300" s="1" t="s">
        <v>2520</v>
      </c>
      <c r="K300" s="132">
        <v>0.0</v>
      </c>
    </row>
    <row r="301" hidden="1">
      <c r="A301" s="1" t="s">
        <v>2521</v>
      </c>
      <c r="B301" s="1" t="s">
        <v>2522</v>
      </c>
      <c r="C301" s="1" t="s">
        <v>2523</v>
      </c>
      <c r="D301" s="1">
        <v>2026.0</v>
      </c>
      <c r="E301" s="1" t="s">
        <v>736</v>
      </c>
      <c r="F301" s="1" t="s">
        <v>825</v>
      </c>
      <c r="G301" s="1" t="s">
        <v>2524</v>
      </c>
      <c r="H301" s="1">
        <v>4.1522461E7</v>
      </c>
      <c r="I301" s="1" t="s">
        <v>2525</v>
      </c>
      <c r="J301" s="1" t="s">
        <v>2526</v>
      </c>
      <c r="K301" s="132">
        <v>1.0</v>
      </c>
    </row>
    <row r="302" hidden="1">
      <c r="A302" s="1" t="s">
        <v>2527</v>
      </c>
      <c r="B302" s="1" t="s">
        <v>2528</v>
      </c>
      <c r="C302" s="1" t="s">
        <v>2529</v>
      </c>
      <c r="D302" s="1">
        <v>2018.0</v>
      </c>
      <c r="E302" s="1" t="s">
        <v>940</v>
      </c>
      <c r="F302" s="1" t="s">
        <v>2174</v>
      </c>
      <c r="G302" s="1" t="s">
        <v>2530</v>
      </c>
      <c r="H302" s="1">
        <v>2.9652169E7</v>
      </c>
      <c r="I302" s="1" t="s">
        <v>2531</v>
      </c>
      <c r="J302" s="1" t="s">
        <v>2532</v>
      </c>
      <c r="K302" s="132">
        <v>0.0</v>
      </c>
    </row>
    <row r="303" hidden="1">
      <c r="A303" s="1" t="s">
        <v>2533</v>
      </c>
      <c r="B303" s="1" t="s">
        <v>2534</v>
      </c>
      <c r="C303" s="1" t="s">
        <v>2535</v>
      </c>
      <c r="D303" s="1">
        <v>2020.0</v>
      </c>
      <c r="E303" s="1" t="s">
        <v>689</v>
      </c>
      <c r="F303" s="1" t="s">
        <v>2536</v>
      </c>
      <c r="G303" s="1" t="s">
        <v>2537</v>
      </c>
      <c r="H303" s="1">
        <v>3.1980156E7</v>
      </c>
      <c r="I303" s="1" t="s">
        <v>2538</v>
      </c>
      <c r="J303" s="1" t="s">
        <v>2539</v>
      </c>
      <c r="K303" s="132">
        <v>0.0</v>
      </c>
    </row>
    <row r="304" hidden="1">
      <c r="A304" s="1" t="s">
        <v>2540</v>
      </c>
      <c r="B304" s="1" t="s">
        <v>2541</v>
      </c>
      <c r="C304" s="1" t="s">
        <v>2542</v>
      </c>
      <c r="D304" s="1">
        <v>2016.0</v>
      </c>
      <c r="E304" s="1" t="s">
        <v>674</v>
      </c>
      <c r="F304" s="1" t="s">
        <v>2543</v>
      </c>
      <c r="G304" s="12"/>
      <c r="H304" s="1">
        <v>2.8327683E7</v>
      </c>
      <c r="I304" s="1" t="s">
        <v>2544</v>
      </c>
      <c r="J304" s="1" t="s">
        <v>2545</v>
      </c>
      <c r="K304" s="132">
        <v>0.0</v>
      </c>
    </row>
    <row r="305" hidden="1">
      <c r="A305" s="1" t="s">
        <v>2546</v>
      </c>
      <c r="B305" s="1" t="s">
        <v>2547</v>
      </c>
      <c r="C305" s="1" t="s">
        <v>2548</v>
      </c>
      <c r="D305" s="1">
        <v>2014.0</v>
      </c>
      <c r="E305" s="12"/>
      <c r="F305" s="1" t="s">
        <v>926</v>
      </c>
      <c r="G305" s="1" t="s">
        <v>2549</v>
      </c>
      <c r="H305" s="1">
        <v>2.4901918E7</v>
      </c>
      <c r="I305" s="1" t="s">
        <v>2550</v>
      </c>
      <c r="J305" s="1" t="s">
        <v>2551</v>
      </c>
      <c r="K305" s="132">
        <v>0.0</v>
      </c>
    </row>
    <row r="306" hidden="1">
      <c r="A306" s="1" t="s">
        <v>2552</v>
      </c>
      <c r="B306" s="1" t="s">
        <v>2553</v>
      </c>
      <c r="C306" s="1" t="s">
        <v>2554</v>
      </c>
      <c r="D306" s="1">
        <v>2021.0</v>
      </c>
      <c r="E306" s="1" t="s">
        <v>658</v>
      </c>
      <c r="F306" s="1" t="s">
        <v>1217</v>
      </c>
      <c r="G306" s="1" t="s">
        <v>2555</v>
      </c>
      <c r="H306" s="1">
        <v>3.3837592E7</v>
      </c>
      <c r="I306" s="1" t="s">
        <v>2556</v>
      </c>
      <c r="J306" s="1" t="s">
        <v>2557</v>
      </c>
      <c r="K306" s="132">
        <v>0.0</v>
      </c>
    </row>
    <row r="307" hidden="1">
      <c r="A307" s="1" t="s">
        <v>2558</v>
      </c>
      <c r="B307" s="1" t="s">
        <v>2559</v>
      </c>
      <c r="C307" s="1" t="s">
        <v>2560</v>
      </c>
      <c r="D307" s="1">
        <v>2005.0</v>
      </c>
      <c r="E307" s="1" t="s">
        <v>723</v>
      </c>
      <c r="F307" s="1" t="s">
        <v>767</v>
      </c>
      <c r="G307" s="1" t="s">
        <v>2561</v>
      </c>
      <c r="H307" s="1">
        <v>1.5689862E7</v>
      </c>
      <c r="I307" s="1" t="s">
        <v>2562</v>
      </c>
      <c r="J307" s="1" t="s">
        <v>2563</v>
      </c>
      <c r="K307" s="132">
        <v>0.0</v>
      </c>
    </row>
    <row r="308" hidden="1">
      <c r="A308" s="1" t="s">
        <v>2564</v>
      </c>
      <c r="B308" s="1" t="s">
        <v>2565</v>
      </c>
      <c r="C308" s="1" t="s">
        <v>2566</v>
      </c>
      <c r="D308" s="1">
        <v>2009.0</v>
      </c>
      <c r="E308" s="1" t="s">
        <v>658</v>
      </c>
      <c r="F308" s="1" t="s">
        <v>659</v>
      </c>
      <c r="G308" s="1" t="s">
        <v>2567</v>
      </c>
      <c r="H308" s="1">
        <v>1.9263035E7</v>
      </c>
      <c r="I308" s="1" t="s">
        <v>2568</v>
      </c>
      <c r="J308" s="1" t="s">
        <v>2569</v>
      </c>
      <c r="K308" s="132">
        <v>0.0</v>
      </c>
    </row>
    <row r="309" hidden="1">
      <c r="A309" s="1" t="s">
        <v>2570</v>
      </c>
      <c r="B309" s="1" t="s">
        <v>2571</v>
      </c>
      <c r="C309" s="1" t="s">
        <v>2572</v>
      </c>
      <c r="D309" s="1">
        <v>2015.0</v>
      </c>
      <c r="E309" s="1" t="s">
        <v>658</v>
      </c>
      <c r="F309" s="1" t="s">
        <v>659</v>
      </c>
      <c r="G309" s="1" t="s">
        <v>2573</v>
      </c>
      <c r="H309" s="1">
        <v>2.4770382E7</v>
      </c>
      <c r="I309" s="1" t="s">
        <v>2574</v>
      </c>
      <c r="J309" s="1" t="s">
        <v>2575</v>
      </c>
      <c r="K309" s="132">
        <v>0.0</v>
      </c>
    </row>
    <row r="310" hidden="1">
      <c r="A310" s="1" t="s">
        <v>2576</v>
      </c>
      <c r="B310" s="1" t="s">
        <v>2577</v>
      </c>
      <c r="C310" s="1" t="s">
        <v>2578</v>
      </c>
      <c r="D310" s="1">
        <v>2005.0</v>
      </c>
      <c r="E310" s="1" t="s">
        <v>697</v>
      </c>
      <c r="F310" s="1" t="s">
        <v>737</v>
      </c>
      <c r="G310" s="1" t="s">
        <v>2579</v>
      </c>
      <c r="H310" s="1">
        <v>1.5827356E7</v>
      </c>
      <c r="I310" s="1" t="s">
        <v>2580</v>
      </c>
      <c r="J310" s="1" t="s">
        <v>2581</v>
      </c>
      <c r="K310" s="132">
        <v>0.0</v>
      </c>
    </row>
    <row r="311" hidden="1">
      <c r="A311" s="1" t="s">
        <v>2582</v>
      </c>
      <c r="B311" s="1" t="s">
        <v>2583</v>
      </c>
      <c r="C311" s="1" t="s">
        <v>2584</v>
      </c>
      <c r="D311" s="1">
        <v>2016.0</v>
      </c>
      <c r="E311" s="1" t="s">
        <v>666</v>
      </c>
      <c r="F311" s="1" t="s">
        <v>737</v>
      </c>
      <c r="G311" s="1" t="s">
        <v>2585</v>
      </c>
      <c r="H311" s="1">
        <v>2.6948548E7</v>
      </c>
      <c r="I311" s="1" t="s">
        <v>2586</v>
      </c>
      <c r="J311" s="1" t="s">
        <v>2587</v>
      </c>
      <c r="K311" s="132">
        <v>0.0</v>
      </c>
    </row>
    <row r="312" hidden="1">
      <c r="A312" s="1" t="s">
        <v>2588</v>
      </c>
      <c r="B312" s="1" t="s">
        <v>2589</v>
      </c>
      <c r="C312" s="1" t="s">
        <v>2590</v>
      </c>
      <c r="D312" s="1">
        <v>2015.0</v>
      </c>
      <c r="E312" s="1" t="s">
        <v>940</v>
      </c>
      <c r="F312" s="1" t="s">
        <v>659</v>
      </c>
      <c r="G312" s="1" t="s">
        <v>2591</v>
      </c>
      <c r="H312" s="1">
        <v>2.4531357E7</v>
      </c>
      <c r="I312" s="1" t="s">
        <v>2592</v>
      </c>
      <c r="J312" s="1" t="s">
        <v>2593</v>
      </c>
      <c r="K312" s="132">
        <v>0.0</v>
      </c>
    </row>
    <row r="313" hidden="1">
      <c r="A313" s="1" t="s">
        <v>2594</v>
      </c>
      <c r="B313" s="1" t="s">
        <v>2595</v>
      </c>
      <c r="C313" s="1" t="s">
        <v>2596</v>
      </c>
      <c r="D313" s="1">
        <v>2022.0</v>
      </c>
      <c r="E313" s="12"/>
      <c r="F313" s="1" t="s">
        <v>2597</v>
      </c>
      <c r="G313" s="12"/>
      <c r="H313" s="1">
        <v>3.6055668E7</v>
      </c>
      <c r="I313" s="1" t="s">
        <v>2598</v>
      </c>
      <c r="J313" s="1" t="s">
        <v>2599</v>
      </c>
      <c r="K313" s="132">
        <v>0.0</v>
      </c>
    </row>
    <row r="314">
      <c r="A314" s="1" t="s">
        <v>2600</v>
      </c>
      <c r="B314" s="1" t="s">
        <v>2601</v>
      </c>
      <c r="C314" s="1" t="s">
        <v>2602</v>
      </c>
      <c r="D314" s="1">
        <v>2015.0</v>
      </c>
      <c r="E314" s="1" t="s">
        <v>736</v>
      </c>
      <c r="F314" s="1" t="s">
        <v>2603</v>
      </c>
      <c r="G314" s="1" t="s">
        <v>83</v>
      </c>
      <c r="H314" s="1">
        <v>2.5128968E7</v>
      </c>
      <c r="I314" s="1" t="s">
        <v>2604</v>
      </c>
      <c r="J314" s="1" t="s">
        <v>1059</v>
      </c>
      <c r="K314" s="132">
        <v>3.0</v>
      </c>
    </row>
    <row r="315" hidden="1">
      <c r="A315" s="1" t="s">
        <v>2605</v>
      </c>
      <c r="B315" s="1" t="s">
        <v>2606</v>
      </c>
      <c r="C315" s="1" t="s">
        <v>2607</v>
      </c>
      <c r="D315" s="1">
        <v>2011.0</v>
      </c>
      <c r="E315" s="1" t="s">
        <v>940</v>
      </c>
      <c r="F315" s="1" t="s">
        <v>2603</v>
      </c>
      <c r="G315" s="1" t="s">
        <v>2608</v>
      </c>
      <c r="H315" s="1">
        <v>2.0495802E7</v>
      </c>
      <c r="I315" s="1" t="s">
        <v>2609</v>
      </c>
      <c r="J315" s="1" t="s">
        <v>2610</v>
      </c>
      <c r="K315" s="132">
        <v>0.0</v>
      </c>
    </row>
    <row r="316" hidden="1">
      <c r="A316" s="1" t="s">
        <v>2611</v>
      </c>
      <c r="B316" s="1" t="s">
        <v>2612</v>
      </c>
      <c r="C316" s="1" t="s">
        <v>2613</v>
      </c>
      <c r="D316" s="1">
        <v>2019.0</v>
      </c>
      <c r="E316" s="12"/>
      <c r="F316" s="1" t="s">
        <v>2614</v>
      </c>
      <c r="G316" s="1" t="s">
        <v>2615</v>
      </c>
      <c r="H316" s="1">
        <v>3.1828089E7</v>
      </c>
      <c r="I316" s="1" t="s">
        <v>2616</v>
      </c>
      <c r="J316" s="1" t="s">
        <v>2617</v>
      </c>
      <c r="K316" s="132">
        <v>0.0</v>
      </c>
    </row>
    <row r="317" hidden="1">
      <c r="A317" s="1" t="s">
        <v>2618</v>
      </c>
      <c r="B317" s="1" t="s">
        <v>2619</v>
      </c>
      <c r="C317" s="1" t="s">
        <v>2620</v>
      </c>
      <c r="D317" s="1">
        <v>2018.0</v>
      </c>
      <c r="E317" s="1" t="s">
        <v>729</v>
      </c>
      <c r="F317" s="1" t="s">
        <v>825</v>
      </c>
      <c r="G317" s="1" t="s">
        <v>2621</v>
      </c>
      <c r="H317" s="1">
        <v>3.0345322E7</v>
      </c>
      <c r="I317" s="1" t="s">
        <v>2622</v>
      </c>
      <c r="J317" s="1" t="s">
        <v>2623</v>
      </c>
      <c r="K317" s="132">
        <v>0.0</v>
      </c>
    </row>
    <row r="318" hidden="1">
      <c r="A318" s="1" t="s">
        <v>2624</v>
      </c>
      <c r="B318" s="1" t="s">
        <v>2625</v>
      </c>
      <c r="C318" s="1" t="s">
        <v>2626</v>
      </c>
      <c r="D318" s="1">
        <v>2025.0</v>
      </c>
      <c r="E318" s="1" t="s">
        <v>898</v>
      </c>
      <c r="F318" s="1" t="s">
        <v>886</v>
      </c>
      <c r="G318" s="1" t="s">
        <v>2627</v>
      </c>
      <c r="H318" s="1">
        <v>4.0834676E7</v>
      </c>
      <c r="I318" s="1" t="s">
        <v>2628</v>
      </c>
      <c r="J318" s="1" t="s">
        <v>2629</v>
      </c>
      <c r="K318" s="132">
        <v>0.0</v>
      </c>
    </row>
    <row r="319" hidden="1">
      <c r="A319" s="1" t="s">
        <v>2630</v>
      </c>
      <c r="B319" s="1" t="s">
        <v>2631</v>
      </c>
      <c r="C319" s="1" t="s">
        <v>2632</v>
      </c>
      <c r="D319" s="1">
        <v>2025.0</v>
      </c>
      <c r="E319" s="1" t="s">
        <v>940</v>
      </c>
      <c r="F319" s="1" t="s">
        <v>690</v>
      </c>
      <c r="G319" s="1" t="s">
        <v>2633</v>
      </c>
      <c r="H319" s="1">
        <v>4.0269014E7</v>
      </c>
      <c r="I319" s="1" t="s">
        <v>2634</v>
      </c>
      <c r="J319" s="1" t="s">
        <v>2635</v>
      </c>
      <c r="K319" s="132">
        <v>0.0</v>
      </c>
    </row>
    <row r="320" hidden="1">
      <c r="A320" s="1" t="s">
        <v>2636</v>
      </c>
      <c r="B320" s="1" t="s">
        <v>2637</v>
      </c>
      <c r="C320" s="12"/>
      <c r="D320" s="1">
        <v>2026.0</v>
      </c>
      <c r="E320" s="1" t="s">
        <v>761</v>
      </c>
      <c r="F320" s="1" t="s">
        <v>2638</v>
      </c>
      <c r="G320" s="1" t="s">
        <v>2639</v>
      </c>
      <c r="H320" s="1">
        <v>4.2428404E7</v>
      </c>
      <c r="I320" s="1" t="s">
        <v>2640</v>
      </c>
      <c r="J320" s="1" t="s">
        <v>2641</v>
      </c>
      <c r="K320" s="132">
        <v>0.0</v>
      </c>
    </row>
    <row r="321" hidden="1">
      <c r="A321" s="1" t="s">
        <v>2642</v>
      </c>
      <c r="B321" s="1" t="s">
        <v>2643</v>
      </c>
      <c r="C321" s="1" t="s">
        <v>2644</v>
      </c>
      <c r="D321" s="1">
        <v>2023.0</v>
      </c>
      <c r="E321" s="1" t="s">
        <v>736</v>
      </c>
      <c r="F321" s="1" t="s">
        <v>1191</v>
      </c>
      <c r="G321" s="1" t="s">
        <v>2645</v>
      </c>
      <c r="H321" s="1">
        <v>3.5438677E7</v>
      </c>
      <c r="I321" s="1" t="s">
        <v>2646</v>
      </c>
      <c r="J321" s="1" t="s">
        <v>2647</v>
      </c>
      <c r="K321" s="132">
        <v>0.0</v>
      </c>
    </row>
    <row r="322" hidden="1">
      <c r="A322" s="1" t="s">
        <v>2648</v>
      </c>
      <c r="B322" s="1" t="s">
        <v>2649</v>
      </c>
      <c r="C322" s="1" t="s">
        <v>2650</v>
      </c>
      <c r="D322" s="1">
        <v>2017.0</v>
      </c>
      <c r="E322" s="1" t="s">
        <v>689</v>
      </c>
      <c r="F322" s="1" t="s">
        <v>2353</v>
      </c>
      <c r="G322" s="12"/>
      <c r="H322" s="1">
        <v>2.9911785E7</v>
      </c>
      <c r="I322" s="1" t="s">
        <v>2651</v>
      </c>
      <c r="J322" s="1" t="s">
        <v>2652</v>
      </c>
      <c r="K322" s="132">
        <v>0.0</v>
      </c>
    </row>
    <row r="323" hidden="1">
      <c r="A323" s="1" t="s">
        <v>2653</v>
      </c>
      <c r="B323" s="1" t="s">
        <v>2654</v>
      </c>
      <c r="C323" s="1" t="s">
        <v>2655</v>
      </c>
      <c r="D323" s="1">
        <v>2006.0</v>
      </c>
      <c r="E323" s="1" t="s">
        <v>666</v>
      </c>
      <c r="F323" s="1" t="s">
        <v>982</v>
      </c>
      <c r="G323" s="1" t="s">
        <v>2656</v>
      </c>
      <c r="H323" s="1">
        <v>1.6193302E7</v>
      </c>
      <c r="I323" s="1" t="s">
        <v>2657</v>
      </c>
      <c r="J323" s="1" t="s">
        <v>2658</v>
      </c>
      <c r="K323" s="132">
        <v>0.0</v>
      </c>
    </row>
    <row r="324" hidden="1">
      <c r="A324" s="1" t="s">
        <v>2659</v>
      </c>
      <c r="B324" s="1" t="s">
        <v>2660</v>
      </c>
      <c r="C324" s="1" t="s">
        <v>2661</v>
      </c>
      <c r="D324" s="1">
        <v>2020.0</v>
      </c>
      <c r="E324" s="1" t="s">
        <v>666</v>
      </c>
      <c r="F324" s="1" t="s">
        <v>2662</v>
      </c>
      <c r="G324" s="1" t="s">
        <v>2663</v>
      </c>
      <c r="H324" s="1">
        <v>3.2443364E7</v>
      </c>
      <c r="I324" s="1" t="s">
        <v>2664</v>
      </c>
      <c r="J324" s="1" t="s">
        <v>2665</v>
      </c>
      <c r="K324" s="132">
        <v>0.0</v>
      </c>
    </row>
    <row r="325" hidden="1">
      <c r="A325" s="1" t="s">
        <v>2666</v>
      </c>
      <c r="B325" s="1" t="s">
        <v>2667</v>
      </c>
      <c r="C325" s="1" t="s">
        <v>2668</v>
      </c>
      <c r="D325" s="1">
        <v>2025.0</v>
      </c>
      <c r="E325" s="1" t="s">
        <v>723</v>
      </c>
      <c r="F325" s="1" t="s">
        <v>819</v>
      </c>
      <c r="G325" s="1" t="s">
        <v>2669</v>
      </c>
      <c r="H325" s="1">
        <v>3.9982035E7</v>
      </c>
      <c r="I325" s="1" t="s">
        <v>2670</v>
      </c>
      <c r="J325" s="1" t="s">
        <v>2671</v>
      </c>
      <c r="K325" s="132">
        <v>0.0</v>
      </c>
    </row>
    <row r="326" hidden="1">
      <c r="A326" s="1" t="s">
        <v>2672</v>
      </c>
      <c r="B326" s="1" t="s">
        <v>2673</v>
      </c>
      <c r="C326" s="1" t="s">
        <v>2674</v>
      </c>
      <c r="D326" s="1">
        <v>1994.0</v>
      </c>
      <c r="E326" s="1" t="s">
        <v>723</v>
      </c>
      <c r="F326" s="1" t="s">
        <v>2675</v>
      </c>
      <c r="G326" s="12"/>
      <c r="H326" s="1">
        <v>8165955.0</v>
      </c>
      <c r="I326" s="1" t="s">
        <v>2676</v>
      </c>
      <c r="J326" s="1" t="s">
        <v>2677</v>
      </c>
      <c r="K326" s="132">
        <v>0.0</v>
      </c>
    </row>
    <row r="327" hidden="1">
      <c r="A327" s="1" t="s">
        <v>2678</v>
      </c>
      <c r="B327" s="1" t="s">
        <v>2679</v>
      </c>
      <c r="C327" s="1" t="s">
        <v>2680</v>
      </c>
      <c r="D327" s="1">
        <v>2004.0</v>
      </c>
      <c r="E327" s="1" t="s">
        <v>689</v>
      </c>
      <c r="F327" s="1" t="s">
        <v>659</v>
      </c>
      <c r="G327" s="1" t="s">
        <v>2681</v>
      </c>
      <c r="H327" s="1">
        <v>1.2845425E7</v>
      </c>
      <c r="I327" s="1" t="s">
        <v>2682</v>
      </c>
      <c r="J327" s="1" t="s">
        <v>2683</v>
      </c>
      <c r="K327" s="132">
        <v>0.0</v>
      </c>
    </row>
    <row r="328" hidden="1">
      <c r="A328" s="1" t="s">
        <v>2684</v>
      </c>
      <c r="B328" s="1" t="s">
        <v>2685</v>
      </c>
      <c r="C328" s="1" t="s">
        <v>2686</v>
      </c>
      <c r="D328" s="1">
        <v>2015.0</v>
      </c>
      <c r="E328" s="1" t="s">
        <v>666</v>
      </c>
      <c r="F328" s="1" t="s">
        <v>737</v>
      </c>
      <c r="G328" s="1" t="s">
        <v>2687</v>
      </c>
      <c r="H328" s="1">
        <v>2.5646363E7</v>
      </c>
      <c r="I328" s="1" t="s">
        <v>2688</v>
      </c>
      <c r="J328" s="1" t="s">
        <v>2689</v>
      </c>
      <c r="K328" s="132">
        <v>0.0</v>
      </c>
    </row>
    <row r="329" hidden="1">
      <c r="A329" s="1" t="s">
        <v>2690</v>
      </c>
      <c r="B329" s="1" t="s">
        <v>2685</v>
      </c>
      <c r="C329" s="1" t="s">
        <v>2691</v>
      </c>
      <c r="D329" s="1">
        <v>2015.0</v>
      </c>
      <c r="E329" s="1" t="s">
        <v>736</v>
      </c>
      <c r="F329" s="1" t="s">
        <v>767</v>
      </c>
      <c r="G329" s="1" t="s">
        <v>2692</v>
      </c>
      <c r="H329" s="1">
        <v>2.5242512E7</v>
      </c>
      <c r="I329" s="1" t="s">
        <v>2693</v>
      </c>
      <c r="J329" s="1" t="s">
        <v>2689</v>
      </c>
      <c r="K329" s="132">
        <v>0.0</v>
      </c>
    </row>
    <row r="330" hidden="1">
      <c r="A330" s="1" t="s">
        <v>2694</v>
      </c>
      <c r="B330" s="1" t="s">
        <v>2695</v>
      </c>
      <c r="C330" s="1" t="s">
        <v>2696</v>
      </c>
      <c r="D330" s="1">
        <v>2012.0</v>
      </c>
      <c r="E330" s="1" t="s">
        <v>666</v>
      </c>
      <c r="F330" s="1" t="s">
        <v>767</v>
      </c>
      <c r="G330" s="1" t="s">
        <v>2697</v>
      </c>
      <c r="H330" s="1">
        <v>2.2281194E7</v>
      </c>
      <c r="I330" s="1" t="s">
        <v>2698</v>
      </c>
      <c r="J330" s="1" t="s">
        <v>2699</v>
      </c>
      <c r="K330" s="132">
        <v>0.0</v>
      </c>
    </row>
    <row r="331" hidden="1">
      <c r="A331" s="1" t="s">
        <v>2700</v>
      </c>
      <c r="B331" s="1" t="s">
        <v>2701</v>
      </c>
      <c r="C331" s="1" t="s">
        <v>2702</v>
      </c>
      <c r="D331" s="1">
        <v>1990.0</v>
      </c>
      <c r="E331" s="1" t="s">
        <v>666</v>
      </c>
      <c r="F331" s="1" t="s">
        <v>819</v>
      </c>
      <c r="G331" s="12"/>
      <c r="H331" s="1">
        <v>2323135.0</v>
      </c>
      <c r="I331" s="1" t="s">
        <v>2703</v>
      </c>
      <c r="J331" s="1" t="s">
        <v>2704</v>
      </c>
      <c r="K331" s="132">
        <v>1.0</v>
      </c>
    </row>
    <row r="332" hidden="1">
      <c r="A332" s="1" t="s">
        <v>2705</v>
      </c>
      <c r="B332" s="1" t="s">
        <v>2706</v>
      </c>
      <c r="C332" s="1" t="s">
        <v>2707</v>
      </c>
      <c r="D332" s="1">
        <v>1994.0</v>
      </c>
      <c r="E332" s="12"/>
      <c r="F332" s="1" t="s">
        <v>659</v>
      </c>
      <c r="G332" s="1" t="s">
        <v>2708</v>
      </c>
      <c r="H332" s="1">
        <v>8536044.0</v>
      </c>
      <c r="I332" s="1" t="s">
        <v>2709</v>
      </c>
      <c r="J332" s="1" t="s">
        <v>2710</v>
      </c>
      <c r="K332" s="132">
        <v>0.0</v>
      </c>
    </row>
    <row r="333" hidden="1">
      <c r="A333" s="1" t="s">
        <v>2711</v>
      </c>
      <c r="B333" s="1" t="s">
        <v>2712</v>
      </c>
      <c r="C333" s="1" t="s">
        <v>2713</v>
      </c>
      <c r="D333" s="1">
        <v>2000.0</v>
      </c>
      <c r="E333" s="12"/>
      <c r="F333" s="1" t="s">
        <v>2714</v>
      </c>
      <c r="G333" s="12"/>
      <c r="H333" s="1">
        <v>1.1204965E7</v>
      </c>
      <c r="I333" s="1" t="s">
        <v>2715</v>
      </c>
      <c r="J333" s="1" t="s">
        <v>2716</v>
      </c>
      <c r="K333" s="132">
        <v>0.0</v>
      </c>
    </row>
    <row r="334">
      <c r="A334" s="1" t="s">
        <v>2717</v>
      </c>
      <c r="B334" s="1" t="s">
        <v>2718</v>
      </c>
      <c r="C334" s="1" t="s">
        <v>2719</v>
      </c>
      <c r="D334" s="1">
        <v>2022.0</v>
      </c>
      <c r="E334" s="1" t="s">
        <v>658</v>
      </c>
      <c r="F334" s="1" t="s">
        <v>982</v>
      </c>
      <c r="G334" s="1" t="s">
        <v>86</v>
      </c>
      <c r="H334" s="1">
        <v>3.4601649E7</v>
      </c>
      <c r="I334" s="1" t="s">
        <v>2720</v>
      </c>
      <c r="J334" s="1" t="s">
        <v>1061</v>
      </c>
      <c r="K334" s="132">
        <v>3.0</v>
      </c>
    </row>
    <row r="335" hidden="1">
      <c r="A335" s="1" t="s">
        <v>2721</v>
      </c>
      <c r="B335" s="1" t="s">
        <v>2722</v>
      </c>
      <c r="C335" s="1" t="s">
        <v>2723</v>
      </c>
      <c r="D335" s="1">
        <v>2026.0</v>
      </c>
      <c r="E335" s="1" t="s">
        <v>697</v>
      </c>
      <c r="F335" s="1" t="s">
        <v>2724</v>
      </c>
      <c r="G335" s="1" t="s">
        <v>2725</v>
      </c>
      <c r="H335" s="1">
        <v>4.2349518E7</v>
      </c>
      <c r="I335" s="1" t="s">
        <v>2726</v>
      </c>
      <c r="J335" s="1" t="s">
        <v>2727</v>
      </c>
      <c r="K335" s="132">
        <v>0.0</v>
      </c>
    </row>
    <row r="336">
      <c r="A336" s="1" t="s">
        <v>2728</v>
      </c>
      <c r="B336" s="1" t="s">
        <v>2729</v>
      </c>
      <c r="C336" s="1" t="s">
        <v>2730</v>
      </c>
      <c r="D336" s="1">
        <v>2016.0</v>
      </c>
      <c r="E336" s="1" t="s">
        <v>940</v>
      </c>
      <c r="F336" s="1" t="s">
        <v>982</v>
      </c>
      <c r="G336" s="1" t="s">
        <v>89</v>
      </c>
      <c r="H336" s="1">
        <v>2.672505E7</v>
      </c>
      <c r="I336" s="1" t="s">
        <v>2731</v>
      </c>
      <c r="J336" s="1" t="s">
        <v>1062</v>
      </c>
      <c r="K336" s="132">
        <v>3.0</v>
      </c>
    </row>
    <row r="337" hidden="1">
      <c r="A337" s="1" t="s">
        <v>2732</v>
      </c>
      <c r="B337" s="1" t="s">
        <v>2733</v>
      </c>
      <c r="C337" s="1" t="s">
        <v>2734</v>
      </c>
      <c r="D337" s="1">
        <v>2001.0</v>
      </c>
      <c r="E337" s="1" t="s">
        <v>898</v>
      </c>
      <c r="F337" s="1" t="s">
        <v>886</v>
      </c>
      <c r="G337" s="1" t="s">
        <v>2735</v>
      </c>
      <c r="H337" s="1">
        <v>1.1706694E7</v>
      </c>
      <c r="I337" s="1" t="s">
        <v>2736</v>
      </c>
      <c r="J337" s="1" t="s">
        <v>2737</v>
      </c>
      <c r="K337" s="132">
        <v>0.0</v>
      </c>
    </row>
    <row r="338" hidden="1">
      <c r="A338" s="1" t="s">
        <v>2738</v>
      </c>
      <c r="B338" s="1" t="s">
        <v>2739</v>
      </c>
      <c r="C338" s="1" t="s">
        <v>2740</v>
      </c>
      <c r="D338" s="1">
        <v>2019.0</v>
      </c>
      <c r="E338" s="1" t="s">
        <v>681</v>
      </c>
      <c r="F338" s="1" t="s">
        <v>659</v>
      </c>
      <c r="G338" s="1" t="s">
        <v>2741</v>
      </c>
      <c r="H338" s="1">
        <v>3.0888448E7</v>
      </c>
      <c r="I338" s="1" t="s">
        <v>2742</v>
      </c>
      <c r="J338" s="1" t="s">
        <v>2743</v>
      </c>
      <c r="K338" s="132">
        <v>0.0</v>
      </c>
    </row>
    <row r="339" hidden="1">
      <c r="A339" s="1" t="s">
        <v>2744</v>
      </c>
      <c r="B339" s="1" t="s">
        <v>2745</v>
      </c>
      <c r="C339" s="1" t="s">
        <v>2746</v>
      </c>
      <c r="D339" s="1">
        <v>2014.0</v>
      </c>
      <c r="E339" s="1" t="s">
        <v>898</v>
      </c>
      <c r="F339" s="1" t="s">
        <v>1125</v>
      </c>
      <c r="G339" s="1" t="s">
        <v>2747</v>
      </c>
      <c r="H339" s="1">
        <v>2.4488793E7</v>
      </c>
      <c r="I339" s="1" t="s">
        <v>2748</v>
      </c>
      <c r="J339" s="1" t="s">
        <v>2749</v>
      </c>
      <c r="K339" s="132">
        <v>0.0</v>
      </c>
    </row>
    <row r="340" hidden="1">
      <c r="A340" s="1" t="s">
        <v>2750</v>
      </c>
      <c r="B340" s="1" t="s">
        <v>2751</v>
      </c>
      <c r="C340" s="1" t="s">
        <v>2752</v>
      </c>
      <c r="D340" s="1">
        <v>2018.0</v>
      </c>
      <c r="E340" s="1" t="s">
        <v>674</v>
      </c>
      <c r="F340" s="1" t="s">
        <v>767</v>
      </c>
      <c r="G340" s="1" t="s">
        <v>2753</v>
      </c>
      <c r="H340" s="1">
        <v>2.9804953E7</v>
      </c>
      <c r="I340" s="1" t="s">
        <v>2754</v>
      </c>
      <c r="J340" s="1" t="s">
        <v>2755</v>
      </c>
      <c r="K340" s="132">
        <v>0.0</v>
      </c>
    </row>
    <row r="341" hidden="1">
      <c r="A341" s="1" t="s">
        <v>2756</v>
      </c>
      <c r="B341" s="1" t="s">
        <v>2757</v>
      </c>
      <c r="C341" s="1" t="s">
        <v>2758</v>
      </c>
      <c r="D341" s="1">
        <v>2021.0</v>
      </c>
      <c r="E341" s="1" t="s">
        <v>723</v>
      </c>
      <c r="F341" s="1" t="s">
        <v>767</v>
      </c>
      <c r="G341" s="1" t="s">
        <v>2759</v>
      </c>
      <c r="H341" s="1">
        <v>3.2828934E7</v>
      </c>
      <c r="I341" s="1" t="s">
        <v>2760</v>
      </c>
      <c r="J341" s="1" t="s">
        <v>2761</v>
      </c>
      <c r="K341" s="132">
        <v>0.0</v>
      </c>
    </row>
    <row r="342" hidden="1">
      <c r="A342" s="1" t="s">
        <v>2762</v>
      </c>
      <c r="B342" s="1" t="s">
        <v>2763</v>
      </c>
      <c r="C342" s="1" t="s">
        <v>2764</v>
      </c>
      <c r="D342" s="1">
        <v>2015.0</v>
      </c>
      <c r="E342" s="1" t="s">
        <v>658</v>
      </c>
      <c r="F342" s="1" t="s">
        <v>2765</v>
      </c>
      <c r="G342" s="1" t="s">
        <v>2766</v>
      </c>
      <c r="H342" s="1">
        <v>2.5997949E7</v>
      </c>
      <c r="I342" s="1" t="s">
        <v>2767</v>
      </c>
      <c r="J342" s="1" t="s">
        <v>2768</v>
      </c>
      <c r="K342" s="132">
        <v>0.0</v>
      </c>
    </row>
    <row r="343" hidden="1">
      <c r="A343" s="1" t="s">
        <v>2769</v>
      </c>
      <c r="B343" s="1" t="s">
        <v>2770</v>
      </c>
      <c r="C343" s="1" t="s">
        <v>2771</v>
      </c>
      <c r="D343" s="1">
        <v>2014.0</v>
      </c>
      <c r="E343" s="1" t="s">
        <v>723</v>
      </c>
      <c r="F343" s="1" t="s">
        <v>659</v>
      </c>
      <c r="G343" s="1" t="s">
        <v>2772</v>
      </c>
      <c r="H343" s="1">
        <v>2.3338666E7</v>
      </c>
      <c r="I343" s="1" t="s">
        <v>2773</v>
      </c>
      <c r="J343" s="1" t="s">
        <v>2774</v>
      </c>
      <c r="K343" s="132">
        <v>0.0</v>
      </c>
    </row>
    <row r="344" hidden="1">
      <c r="A344" s="1" t="s">
        <v>2775</v>
      </c>
      <c r="B344" s="1" t="s">
        <v>2776</v>
      </c>
      <c r="C344" s="1" t="s">
        <v>2777</v>
      </c>
      <c r="D344" s="1">
        <v>2023.0</v>
      </c>
      <c r="E344" s="1" t="s">
        <v>689</v>
      </c>
      <c r="F344" s="1" t="s">
        <v>737</v>
      </c>
      <c r="G344" s="1" t="s">
        <v>2778</v>
      </c>
      <c r="H344" s="1">
        <v>3.685628E7</v>
      </c>
      <c r="I344" s="1" t="s">
        <v>2779</v>
      </c>
      <c r="J344" s="1" t="s">
        <v>2780</v>
      </c>
      <c r="K344" s="132">
        <v>0.0</v>
      </c>
    </row>
    <row r="345" hidden="1">
      <c r="A345" s="1" t="s">
        <v>2781</v>
      </c>
      <c r="B345" s="1" t="s">
        <v>2782</v>
      </c>
      <c r="C345" s="1" t="s">
        <v>2783</v>
      </c>
      <c r="D345" s="1">
        <v>2021.0</v>
      </c>
      <c r="E345" s="1" t="s">
        <v>729</v>
      </c>
      <c r="F345" s="1" t="s">
        <v>1136</v>
      </c>
      <c r="G345" s="1" t="s">
        <v>2784</v>
      </c>
      <c r="H345" s="1">
        <v>3.3634332E7</v>
      </c>
      <c r="I345" s="1" t="s">
        <v>2785</v>
      </c>
      <c r="J345" s="1" t="s">
        <v>2786</v>
      </c>
      <c r="K345" s="132">
        <v>0.0</v>
      </c>
    </row>
    <row r="346" hidden="1">
      <c r="A346" s="1" t="s">
        <v>2787</v>
      </c>
      <c r="B346" s="1" t="s">
        <v>2788</v>
      </c>
      <c r="C346" s="1" t="s">
        <v>2789</v>
      </c>
      <c r="D346" s="1">
        <v>2008.0</v>
      </c>
      <c r="E346" s="1" t="s">
        <v>844</v>
      </c>
      <c r="F346" s="1" t="s">
        <v>2790</v>
      </c>
      <c r="G346" s="1" t="s">
        <v>2791</v>
      </c>
      <c r="H346" s="1">
        <v>1.8230264E7</v>
      </c>
      <c r="I346" s="1" t="s">
        <v>2792</v>
      </c>
      <c r="J346" s="1" t="s">
        <v>2793</v>
      </c>
      <c r="K346" s="132">
        <v>0.0</v>
      </c>
    </row>
    <row r="347" hidden="1">
      <c r="A347" s="1" t="s">
        <v>2794</v>
      </c>
      <c r="B347" s="1" t="s">
        <v>2795</v>
      </c>
      <c r="C347" s="1" t="s">
        <v>2796</v>
      </c>
      <c r="D347" s="1">
        <v>2001.0</v>
      </c>
      <c r="E347" s="1" t="s">
        <v>761</v>
      </c>
      <c r="F347" s="1" t="s">
        <v>1698</v>
      </c>
      <c r="G347" s="1" t="s">
        <v>2797</v>
      </c>
      <c r="H347" s="1">
        <v>1.1445751E7</v>
      </c>
      <c r="I347" s="1" t="s">
        <v>2798</v>
      </c>
      <c r="J347" s="1" t="s">
        <v>2799</v>
      </c>
      <c r="K347" s="132">
        <v>0.0</v>
      </c>
    </row>
    <row r="348" hidden="1">
      <c r="A348" s="1" t="s">
        <v>2800</v>
      </c>
      <c r="B348" s="1" t="s">
        <v>2801</v>
      </c>
      <c r="C348" s="1" t="s">
        <v>2802</v>
      </c>
      <c r="D348" s="1">
        <v>2019.0</v>
      </c>
      <c r="E348" s="1" t="s">
        <v>723</v>
      </c>
      <c r="F348" s="1" t="s">
        <v>825</v>
      </c>
      <c r="G348" s="1" t="s">
        <v>2803</v>
      </c>
      <c r="H348" s="1">
        <v>3.083428E7</v>
      </c>
      <c r="I348" s="1" t="s">
        <v>2804</v>
      </c>
      <c r="J348" s="1" t="s">
        <v>2805</v>
      </c>
      <c r="K348" s="132">
        <v>0.0</v>
      </c>
    </row>
    <row r="349" hidden="1">
      <c r="A349" s="1" t="s">
        <v>2806</v>
      </c>
      <c r="B349" s="1" t="s">
        <v>2807</v>
      </c>
      <c r="C349" s="1" t="s">
        <v>2808</v>
      </c>
      <c r="D349" s="1">
        <v>2018.0</v>
      </c>
      <c r="E349" s="1" t="s">
        <v>689</v>
      </c>
      <c r="F349" s="1" t="s">
        <v>1698</v>
      </c>
      <c r="G349" s="1" t="s">
        <v>2809</v>
      </c>
      <c r="H349" s="1">
        <v>2.9059108E7</v>
      </c>
      <c r="I349" s="1" t="s">
        <v>2810</v>
      </c>
      <c r="J349" s="1" t="s">
        <v>2811</v>
      </c>
      <c r="K349" s="132">
        <v>0.0</v>
      </c>
    </row>
    <row r="350" hidden="1">
      <c r="A350" s="1" t="s">
        <v>2812</v>
      </c>
      <c r="B350" s="1" t="s">
        <v>2813</v>
      </c>
      <c r="C350" s="1" t="s">
        <v>2814</v>
      </c>
      <c r="D350" s="1">
        <v>2022.0</v>
      </c>
      <c r="E350" s="1" t="s">
        <v>689</v>
      </c>
      <c r="F350" s="1" t="s">
        <v>2815</v>
      </c>
      <c r="G350" s="1" t="s">
        <v>2816</v>
      </c>
      <c r="H350" s="1">
        <v>3.5250338E7</v>
      </c>
      <c r="I350" s="1" t="s">
        <v>2817</v>
      </c>
      <c r="J350" s="1" t="s">
        <v>2818</v>
      </c>
      <c r="K350" s="132">
        <v>0.0</v>
      </c>
    </row>
    <row r="351" hidden="1">
      <c r="A351" s="1" t="s">
        <v>2819</v>
      </c>
      <c r="B351" s="1" t="s">
        <v>2820</v>
      </c>
      <c r="C351" s="1" t="s">
        <v>2821</v>
      </c>
      <c r="D351" s="1">
        <v>2022.0</v>
      </c>
      <c r="E351" s="1" t="s">
        <v>736</v>
      </c>
      <c r="F351" s="1" t="s">
        <v>2822</v>
      </c>
      <c r="G351" s="1" t="s">
        <v>2823</v>
      </c>
      <c r="H351" s="1">
        <v>3.5075087E7</v>
      </c>
      <c r="I351" s="1" t="s">
        <v>2824</v>
      </c>
      <c r="J351" s="1" t="s">
        <v>2825</v>
      </c>
      <c r="K351" s="132">
        <v>0.0</v>
      </c>
    </row>
    <row r="352" hidden="1">
      <c r="A352" s="1" t="s">
        <v>2826</v>
      </c>
      <c r="B352" s="1" t="s">
        <v>2827</v>
      </c>
      <c r="C352" s="1" t="s">
        <v>2828</v>
      </c>
      <c r="D352" s="1">
        <v>2004.0</v>
      </c>
      <c r="E352" s="1" t="s">
        <v>689</v>
      </c>
      <c r="F352" s="1" t="s">
        <v>1477</v>
      </c>
      <c r="G352" s="1" t="s">
        <v>2829</v>
      </c>
      <c r="H352" s="1">
        <v>1.5013599E7</v>
      </c>
      <c r="I352" s="1" t="s">
        <v>2830</v>
      </c>
      <c r="J352" s="1" t="s">
        <v>2831</v>
      </c>
      <c r="K352" s="132">
        <v>0.0</v>
      </c>
    </row>
    <row r="353" hidden="1">
      <c r="A353" s="1" t="s">
        <v>2832</v>
      </c>
      <c r="B353" s="1" t="s">
        <v>2833</v>
      </c>
      <c r="C353" s="1" t="s">
        <v>2834</v>
      </c>
      <c r="D353" s="1">
        <v>2008.0</v>
      </c>
      <c r="E353" s="1" t="s">
        <v>729</v>
      </c>
      <c r="F353" s="1" t="s">
        <v>705</v>
      </c>
      <c r="G353" s="1" t="s">
        <v>2835</v>
      </c>
      <c r="H353" s="1">
        <v>1.8929746E7</v>
      </c>
      <c r="I353" s="1" t="s">
        <v>2836</v>
      </c>
      <c r="J353" s="1" t="s">
        <v>2837</v>
      </c>
      <c r="K353" s="132">
        <v>0.0</v>
      </c>
    </row>
    <row r="354" hidden="1">
      <c r="A354" s="1" t="s">
        <v>2838</v>
      </c>
      <c r="B354" s="1" t="s">
        <v>2839</v>
      </c>
      <c r="C354" s="1" t="s">
        <v>2840</v>
      </c>
      <c r="D354" s="1">
        <v>2023.0</v>
      </c>
      <c r="E354" s="1" t="s">
        <v>729</v>
      </c>
      <c r="F354" s="1" t="s">
        <v>2841</v>
      </c>
      <c r="G354" s="12"/>
      <c r="H354" s="1">
        <v>3.7499157E7</v>
      </c>
      <c r="I354" s="1" t="s">
        <v>2842</v>
      </c>
      <c r="J354" s="1" t="s">
        <v>2843</v>
      </c>
      <c r="K354" s="132">
        <v>0.0</v>
      </c>
    </row>
    <row r="355">
      <c r="A355" s="1" t="s">
        <v>2844</v>
      </c>
      <c r="B355" s="1" t="s">
        <v>2845</v>
      </c>
      <c r="C355" s="1" t="s">
        <v>2846</v>
      </c>
      <c r="D355" s="1">
        <v>2009.0</v>
      </c>
      <c r="E355" s="1" t="s">
        <v>940</v>
      </c>
      <c r="F355" s="1" t="s">
        <v>2353</v>
      </c>
      <c r="G355" s="12"/>
      <c r="H355" s="1">
        <v>1.9374299E7</v>
      </c>
      <c r="I355" s="1" t="s">
        <v>2847</v>
      </c>
      <c r="J355" s="1" t="s">
        <v>1064</v>
      </c>
      <c r="K355" s="132">
        <v>3.0</v>
      </c>
    </row>
    <row r="356" hidden="1">
      <c r="A356" s="1" t="s">
        <v>2848</v>
      </c>
      <c r="B356" s="1" t="s">
        <v>2849</v>
      </c>
      <c r="C356" s="1" t="s">
        <v>2850</v>
      </c>
      <c r="D356" s="1">
        <v>2025.0</v>
      </c>
      <c r="E356" s="1" t="s">
        <v>666</v>
      </c>
      <c r="F356" s="1" t="s">
        <v>767</v>
      </c>
      <c r="G356" s="1" t="s">
        <v>2851</v>
      </c>
      <c r="H356" s="1">
        <v>3.904799E7</v>
      </c>
      <c r="I356" s="1" t="s">
        <v>2852</v>
      </c>
      <c r="J356" s="1" t="s">
        <v>2853</v>
      </c>
      <c r="K356" s="132">
        <v>0.0</v>
      </c>
    </row>
    <row r="357">
      <c r="A357" s="1" t="s">
        <v>2854</v>
      </c>
      <c r="B357" s="1" t="s">
        <v>2855</v>
      </c>
      <c r="C357" s="1" t="s">
        <v>2856</v>
      </c>
      <c r="D357" s="1">
        <v>2012.0</v>
      </c>
      <c r="E357" s="1" t="s">
        <v>658</v>
      </c>
      <c r="F357" s="1" t="s">
        <v>767</v>
      </c>
      <c r="G357" s="1" t="s">
        <v>92</v>
      </c>
      <c r="H357" s="1">
        <v>2.2840988E7</v>
      </c>
      <c r="I357" s="1" t="s">
        <v>2857</v>
      </c>
      <c r="J357" s="1" t="s">
        <v>1066</v>
      </c>
      <c r="K357" s="132">
        <v>3.0</v>
      </c>
    </row>
    <row r="358" hidden="1">
      <c r="A358" s="1" t="s">
        <v>2858</v>
      </c>
      <c r="B358" s="1" t="s">
        <v>2859</v>
      </c>
      <c r="C358" s="1" t="s">
        <v>2860</v>
      </c>
      <c r="D358" s="1">
        <v>2026.0</v>
      </c>
      <c r="E358" s="1" t="s">
        <v>723</v>
      </c>
      <c r="F358" s="1" t="s">
        <v>659</v>
      </c>
      <c r="G358" s="1" t="s">
        <v>2861</v>
      </c>
      <c r="H358" s="1">
        <v>4.0351242E7</v>
      </c>
      <c r="I358" s="1" t="s">
        <v>2862</v>
      </c>
      <c r="J358" s="1" t="s">
        <v>2863</v>
      </c>
      <c r="K358" s="132">
        <v>0.0</v>
      </c>
    </row>
    <row r="359">
      <c r="A359" s="1" t="s">
        <v>2864</v>
      </c>
      <c r="B359" s="1" t="s">
        <v>2865</v>
      </c>
      <c r="C359" s="1" t="s">
        <v>2866</v>
      </c>
      <c r="D359" s="1">
        <v>2005.0</v>
      </c>
      <c r="E359" s="1" t="s">
        <v>736</v>
      </c>
      <c r="F359" s="1" t="s">
        <v>767</v>
      </c>
      <c r="G359" s="1" t="s">
        <v>94</v>
      </c>
      <c r="H359" s="1">
        <v>1.5650664E7</v>
      </c>
      <c r="I359" s="1" t="s">
        <v>2867</v>
      </c>
      <c r="J359" s="1" t="s">
        <v>1068</v>
      </c>
      <c r="K359" s="132">
        <v>3.0</v>
      </c>
    </row>
    <row r="360" hidden="1">
      <c r="A360" s="1" t="s">
        <v>2868</v>
      </c>
      <c r="B360" s="1" t="s">
        <v>2869</v>
      </c>
      <c r="C360" s="1" t="s">
        <v>2870</v>
      </c>
      <c r="D360" s="1">
        <v>2006.0</v>
      </c>
      <c r="E360" s="1" t="s">
        <v>729</v>
      </c>
      <c r="F360" s="1" t="s">
        <v>737</v>
      </c>
      <c r="G360" s="1" t="s">
        <v>2871</v>
      </c>
      <c r="H360" s="1">
        <v>1.6685087E7</v>
      </c>
      <c r="I360" s="1" t="s">
        <v>2872</v>
      </c>
      <c r="J360" s="1" t="s">
        <v>2873</v>
      </c>
      <c r="K360" s="132">
        <v>0.0</v>
      </c>
    </row>
    <row r="361" hidden="1">
      <c r="A361" s="1" t="s">
        <v>2874</v>
      </c>
      <c r="B361" s="1" t="s">
        <v>2875</v>
      </c>
      <c r="C361" s="1" t="s">
        <v>2876</v>
      </c>
      <c r="D361" s="1">
        <v>2012.0</v>
      </c>
      <c r="E361" s="1" t="s">
        <v>689</v>
      </c>
      <c r="F361" s="1" t="s">
        <v>2877</v>
      </c>
      <c r="G361" s="1" t="s">
        <v>2878</v>
      </c>
      <c r="H361" s="1">
        <v>2.2127572E7</v>
      </c>
      <c r="I361" s="1" t="s">
        <v>2879</v>
      </c>
      <c r="J361" s="1" t="s">
        <v>2880</v>
      </c>
      <c r="K361" s="132">
        <v>0.0</v>
      </c>
    </row>
    <row r="362" hidden="1">
      <c r="A362" s="1" t="s">
        <v>2881</v>
      </c>
      <c r="B362" s="1" t="s">
        <v>2882</v>
      </c>
      <c r="C362" s="1" t="s">
        <v>2883</v>
      </c>
      <c r="D362" s="1">
        <v>2012.0</v>
      </c>
      <c r="E362" s="1" t="s">
        <v>729</v>
      </c>
      <c r="F362" s="1" t="s">
        <v>767</v>
      </c>
      <c r="G362" s="1" t="s">
        <v>2884</v>
      </c>
      <c r="H362" s="1">
        <v>2.2717211E7</v>
      </c>
      <c r="I362" s="1" t="s">
        <v>2885</v>
      </c>
      <c r="J362" s="1" t="s">
        <v>2886</v>
      </c>
      <c r="K362" s="132">
        <v>0.0</v>
      </c>
    </row>
    <row r="363" hidden="1">
      <c r="A363" s="1" t="s">
        <v>2887</v>
      </c>
      <c r="B363" s="1" t="s">
        <v>2882</v>
      </c>
      <c r="C363" s="1" t="s">
        <v>2888</v>
      </c>
      <c r="D363" s="1">
        <v>2012.0</v>
      </c>
      <c r="E363" s="1" t="s">
        <v>940</v>
      </c>
      <c r="F363" s="1" t="s">
        <v>659</v>
      </c>
      <c r="G363" s="1" t="s">
        <v>2889</v>
      </c>
      <c r="H363" s="1">
        <v>2.2273781E7</v>
      </c>
      <c r="I363" s="1" t="s">
        <v>2890</v>
      </c>
      <c r="J363" s="1" t="s">
        <v>2886</v>
      </c>
      <c r="K363" s="132">
        <v>0.0</v>
      </c>
    </row>
    <row r="364" hidden="1">
      <c r="A364" s="1" t="s">
        <v>2891</v>
      </c>
      <c r="B364" s="1" t="s">
        <v>2892</v>
      </c>
      <c r="C364" s="1" t="s">
        <v>2893</v>
      </c>
      <c r="D364" s="1">
        <v>2020.0</v>
      </c>
      <c r="E364" s="1" t="s">
        <v>761</v>
      </c>
      <c r="F364" s="1" t="s">
        <v>825</v>
      </c>
      <c r="G364" s="1" t="s">
        <v>2894</v>
      </c>
      <c r="H364" s="1">
        <v>3.2743011E7</v>
      </c>
      <c r="I364" s="1" t="s">
        <v>2895</v>
      </c>
      <c r="J364" s="1" t="s">
        <v>2896</v>
      </c>
      <c r="K364" s="132">
        <v>0.0</v>
      </c>
    </row>
    <row r="365" hidden="1">
      <c r="A365" s="1" t="s">
        <v>2897</v>
      </c>
      <c r="B365" s="1" t="s">
        <v>2898</v>
      </c>
      <c r="C365" s="1" t="s">
        <v>2899</v>
      </c>
      <c r="D365" s="1">
        <v>2020.0</v>
      </c>
      <c r="E365" s="1" t="s">
        <v>674</v>
      </c>
      <c r="F365" s="1" t="s">
        <v>825</v>
      </c>
      <c r="G365" s="1" t="s">
        <v>2900</v>
      </c>
      <c r="H365" s="1">
        <v>3.2974411E7</v>
      </c>
      <c r="I365" s="1" t="s">
        <v>2901</v>
      </c>
      <c r="J365" s="1" t="s">
        <v>2902</v>
      </c>
      <c r="K365" s="132">
        <v>0.0</v>
      </c>
    </row>
    <row r="366" hidden="1">
      <c r="A366" s="1" t="s">
        <v>2903</v>
      </c>
      <c r="B366" s="1" t="s">
        <v>2904</v>
      </c>
      <c r="C366" s="1" t="s">
        <v>2905</v>
      </c>
      <c r="D366" s="1">
        <v>2014.0</v>
      </c>
      <c r="E366" s="1" t="s">
        <v>761</v>
      </c>
      <c r="F366" s="1" t="s">
        <v>2906</v>
      </c>
      <c r="G366" s="1" t="s">
        <v>2907</v>
      </c>
      <c r="H366" s="1">
        <v>2.4825597E7</v>
      </c>
      <c r="I366" s="1" t="s">
        <v>2908</v>
      </c>
      <c r="J366" s="1" t="s">
        <v>1069</v>
      </c>
      <c r="K366" s="132">
        <v>2.0</v>
      </c>
    </row>
    <row r="367" hidden="1">
      <c r="A367" s="1" t="s">
        <v>2909</v>
      </c>
      <c r="B367" s="1" t="s">
        <v>2910</v>
      </c>
      <c r="C367" s="1" t="s">
        <v>2911</v>
      </c>
      <c r="D367" s="1">
        <v>2018.0</v>
      </c>
      <c r="E367" s="1" t="s">
        <v>723</v>
      </c>
      <c r="F367" s="1" t="s">
        <v>2912</v>
      </c>
      <c r="G367" s="1" t="s">
        <v>2913</v>
      </c>
      <c r="H367" s="1">
        <v>2.8749093E7</v>
      </c>
      <c r="I367" s="1" t="s">
        <v>2914</v>
      </c>
      <c r="J367" s="1" t="s">
        <v>2915</v>
      </c>
      <c r="K367" s="132">
        <v>0.0</v>
      </c>
    </row>
    <row r="368">
      <c r="A368" s="1" t="s">
        <v>2916</v>
      </c>
      <c r="B368" s="1" t="s">
        <v>2917</v>
      </c>
      <c r="C368" s="1" t="s">
        <v>2918</v>
      </c>
      <c r="D368" s="1">
        <v>2015.0</v>
      </c>
      <c r="E368" s="1" t="s">
        <v>761</v>
      </c>
      <c r="F368" s="1" t="s">
        <v>767</v>
      </c>
      <c r="G368" s="1" t="s">
        <v>97</v>
      </c>
      <c r="H368" s="1">
        <v>2.5891223E7</v>
      </c>
      <c r="I368" s="1" t="s">
        <v>2919</v>
      </c>
      <c r="J368" s="1" t="s">
        <v>1070</v>
      </c>
      <c r="K368" s="132">
        <v>3.0</v>
      </c>
    </row>
    <row r="369" hidden="1">
      <c r="A369" s="1" t="s">
        <v>2920</v>
      </c>
      <c r="B369" s="1" t="s">
        <v>2921</v>
      </c>
      <c r="C369" s="1" t="s">
        <v>2922</v>
      </c>
      <c r="D369" s="1">
        <v>2023.0</v>
      </c>
      <c r="E369" s="1" t="s">
        <v>666</v>
      </c>
      <c r="F369" s="1" t="s">
        <v>1174</v>
      </c>
      <c r="G369" s="1" t="s">
        <v>2923</v>
      </c>
      <c r="H369" s="1">
        <v>3.7158913E7</v>
      </c>
      <c r="I369" s="1" t="s">
        <v>2924</v>
      </c>
      <c r="J369" s="1" t="s">
        <v>2925</v>
      </c>
      <c r="K369" s="132">
        <v>0.0</v>
      </c>
    </row>
    <row r="370" hidden="1">
      <c r="A370" s="1" t="s">
        <v>2926</v>
      </c>
      <c r="B370" s="1" t="s">
        <v>2927</v>
      </c>
      <c r="C370" s="1" t="s">
        <v>2928</v>
      </c>
      <c r="D370" s="1">
        <v>2025.0</v>
      </c>
      <c r="E370" s="1" t="s">
        <v>736</v>
      </c>
      <c r="F370" s="1" t="s">
        <v>2929</v>
      </c>
      <c r="G370" s="1" t="s">
        <v>2930</v>
      </c>
      <c r="H370" s="1">
        <v>3.9970465E7</v>
      </c>
      <c r="I370" s="1" t="s">
        <v>2931</v>
      </c>
      <c r="J370" s="1" t="s">
        <v>2932</v>
      </c>
      <c r="K370" s="132">
        <v>0.0</v>
      </c>
    </row>
    <row r="371">
      <c r="A371" s="1" t="s">
        <v>2933</v>
      </c>
      <c r="B371" s="1" t="s">
        <v>2934</v>
      </c>
      <c r="C371" s="1" t="s">
        <v>2935</v>
      </c>
      <c r="D371" s="1">
        <v>2007.0</v>
      </c>
      <c r="E371" s="1" t="s">
        <v>666</v>
      </c>
      <c r="F371" s="1" t="s">
        <v>737</v>
      </c>
      <c r="G371" s="1" t="s">
        <v>99</v>
      </c>
      <c r="H371" s="1">
        <v>1.7293471E7</v>
      </c>
      <c r="I371" s="1" t="s">
        <v>2936</v>
      </c>
      <c r="J371" s="1" t="s">
        <v>1071</v>
      </c>
      <c r="K371" s="132">
        <v>3.0</v>
      </c>
    </row>
    <row r="372" hidden="1">
      <c r="A372" s="1" t="s">
        <v>2937</v>
      </c>
      <c r="B372" s="1" t="s">
        <v>2938</v>
      </c>
      <c r="C372" s="1" t="s">
        <v>2939</v>
      </c>
      <c r="D372" s="1">
        <v>1996.0</v>
      </c>
      <c r="E372" s="1" t="s">
        <v>736</v>
      </c>
      <c r="F372" s="1" t="s">
        <v>1521</v>
      </c>
      <c r="G372" s="1" t="s">
        <v>2940</v>
      </c>
      <c r="H372" s="1">
        <v>8618155.0</v>
      </c>
      <c r="I372" s="1" t="s">
        <v>2941</v>
      </c>
      <c r="J372" s="1" t="s">
        <v>2942</v>
      </c>
      <c r="K372" s="132">
        <v>0.0</v>
      </c>
    </row>
    <row r="373" hidden="1">
      <c r="A373" s="1" t="s">
        <v>2943</v>
      </c>
      <c r="B373" s="1" t="s">
        <v>2944</v>
      </c>
      <c r="C373" s="1" t="s">
        <v>2945</v>
      </c>
      <c r="D373" s="1">
        <v>2009.0</v>
      </c>
      <c r="E373" s="1" t="s">
        <v>674</v>
      </c>
      <c r="F373" s="1" t="s">
        <v>737</v>
      </c>
      <c r="G373" s="1" t="s">
        <v>2946</v>
      </c>
      <c r="H373" s="1">
        <v>1.9561174E7</v>
      </c>
      <c r="I373" s="1" t="s">
        <v>2947</v>
      </c>
      <c r="J373" s="1" t="s">
        <v>2948</v>
      </c>
      <c r="K373" s="132">
        <v>0.0</v>
      </c>
    </row>
    <row r="374" hidden="1">
      <c r="A374" s="1" t="s">
        <v>2949</v>
      </c>
      <c r="B374" s="1" t="s">
        <v>2950</v>
      </c>
      <c r="C374" s="1" t="s">
        <v>2951</v>
      </c>
      <c r="D374" s="1">
        <v>2024.0</v>
      </c>
      <c r="E374" s="1" t="s">
        <v>729</v>
      </c>
      <c r="F374" s="1" t="s">
        <v>825</v>
      </c>
      <c r="G374" s="1" t="s">
        <v>2952</v>
      </c>
      <c r="H374" s="1">
        <v>3.9415796E7</v>
      </c>
      <c r="I374" s="1" t="s">
        <v>2953</v>
      </c>
      <c r="J374" s="1" t="s">
        <v>2954</v>
      </c>
      <c r="K374" s="132">
        <v>0.0</v>
      </c>
    </row>
    <row r="375">
      <c r="A375" s="1" t="s">
        <v>2955</v>
      </c>
      <c r="B375" s="1" t="s">
        <v>2956</v>
      </c>
      <c r="C375" s="1" t="s">
        <v>2957</v>
      </c>
      <c r="D375" s="1">
        <v>2020.0</v>
      </c>
      <c r="E375" s="1" t="s">
        <v>723</v>
      </c>
      <c r="F375" s="1" t="s">
        <v>1620</v>
      </c>
      <c r="G375" s="1" t="s">
        <v>103</v>
      </c>
      <c r="H375" s="1">
        <v>3.1704697E7</v>
      </c>
      <c r="I375" s="1" t="s">
        <v>2958</v>
      </c>
      <c r="J375" s="1" t="s">
        <v>1073</v>
      </c>
      <c r="K375" s="132">
        <v>3.0</v>
      </c>
    </row>
    <row r="376" hidden="1">
      <c r="A376" s="1" t="s">
        <v>2959</v>
      </c>
      <c r="B376" s="1" t="s">
        <v>2960</v>
      </c>
      <c r="C376" s="1" t="s">
        <v>2961</v>
      </c>
      <c r="D376" s="1">
        <v>2015.0</v>
      </c>
      <c r="E376" s="1" t="s">
        <v>898</v>
      </c>
      <c r="F376" s="1" t="s">
        <v>886</v>
      </c>
      <c r="G376" s="1" t="s">
        <v>2962</v>
      </c>
      <c r="H376" s="1">
        <v>2.6051483E7</v>
      </c>
      <c r="I376" s="1" t="s">
        <v>2963</v>
      </c>
      <c r="J376" s="1" t="s">
        <v>2964</v>
      </c>
      <c r="K376" s="132">
        <v>0.0</v>
      </c>
    </row>
    <row r="377" hidden="1">
      <c r="A377" s="1" t="s">
        <v>2965</v>
      </c>
      <c r="B377" s="1" t="s">
        <v>2966</v>
      </c>
      <c r="C377" s="1" t="s">
        <v>2967</v>
      </c>
      <c r="D377" s="1">
        <v>2008.0</v>
      </c>
      <c r="E377" s="1" t="s">
        <v>940</v>
      </c>
      <c r="F377" s="1" t="s">
        <v>2968</v>
      </c>
      <c r="G377" s="12"/>
      <c r="H377" s="1">
        <v>1.9102185E7</v>
      </c>
      <c r="I377" s="1" t="s">
        <v>2969</v>
      </c>
      <c r="J377" s="1" t="s">
        <v>2970</v>
      </c>
      <c r="K377" s="132">
        <v>0.0</v>
      </c>
    </row>
    <row r="378" hidden="1">
      <c r="A378" s="1" t="s">
        <v>2971</v>
      </c>
      <c r="B378" s="1" t="s">
        <v>2972</v>
      </c>
      <c r="C378" s="1" t="s">
        <v>2973</v>
      </c>
      <c r="D378" s="1">
        <v>2016.0</v>
      </c>
      <c r="E378" s="1" t="s">
        <v>674</v>
      </c>
      <c r="F378" s="1" t="s">
        <v>737</v>
      </c>
      <c r="G378" s="1" t="s">
        <v>2974</v>
      </c>
      <c r="H378" s="1">
        <v>2.7343215E7</v>
      </c>
      <c r="I378" s="1" t="s">
        <v>2975</v>
      </c>
      <c r="J378" s="1" t="s">
        <v>2976</v>
      </c>
      <c r="K378" s="132">
        <v>0.0</v>
      </c>
    </row>
    <row r="379" hidden="1">
      <c r="A379" s="1" t="s">
        <v>2977</v>
      </c>
      <c r="B379" s="1" t="s">
        <v>2978</v>
      </c>
      <c r="C379" s="1" t="s">
        <v>2979</v>
      </c>
      <c r="D379" s="1">
        <v>2017.0</v>
      </c>
      <c r="E379" s="1" t="s">
        <v>689</v>
      </c>
      <c r="F379" s="1" t="s">
        <v>1119</v>
      </c>
      <c r="G379" s="1" t="s">
        <v>2980</v>
      </c>
      <c r="H379" s="1">
        <v>2.8241715E7</v>
      </c>
      <c r="I379" s="1" t="s">
        <v>2981</v>
      </c>
      <c r="J379" s="1" t="s">
        <v>2982</v>
      </c>
      <c r="K379" s="132">
        <v>0.0</v>
      </c>
    </row>
    <row r="380" hidden="1">
      <c r="A380" s="1" t="s">
        <v>2983</v>
      </c>
      <c r="B380" s="1" t="s">
        <v>2984</v>
      </c>
      <c r="C380" s="1" t="s">
        <v>2985</v>
      </c>
      <c r="D380" s="1">
        <v>2018.0</v>
      </c>
      <c r="E380" s="1" t="s">
        <v>940</v>
      </c>
      <c r="F380" s="1" t="s">
        <v>737</v>
      </c>
      <c r="G380" s="1" t="s">
        <v>2986</v>
      </c>
      <c r="H380" s="1">
        <v>2.9443537E7</v>
      </c>
      <c r="I380" s="1" t="s">
        <v>2987</v>
      </c>
      <c r="J380" s="1" t="s">
        <v>2988</v>
      </c>
      <c r="K380" s="132">
        <v>0.0</v>
      </c>
    </row>
    <row r="381" hidden="1">
      <c r="A381" s="1" t="s">
        <v>2989</v>
      </c>
      <c r="B381" s="1" t="s">
        <v>2990</v>
      </c>
      <c r="C381" s="1" t="s">
        <v>2991</v>
      </c>
      <c r="D381" s="1">
        <v>2019.0</v>
      </c>
      <c r="E381" s="1" t="s">
        <v>674</v>
      </c>
      <c r="F381" s="1" t="s">
        <v>2992</v>
      </c>
      <c r="G381" s="1" t="s">
        <v>2993</v>
      </c>
      <c r="H381" s="1">
        <v>3.1512448E7</v>
      </c>
      <c r="I381" s="1" t="s">
        <v>2994</v>
      </c>
      <c r="J381" s="1" t="s">
        <v>2995</v>
      </c>
      <c r="K381" s="132">
        <v>0.0</v>
      </c>
    </row>
    <row r="382" hidden="1">
      <c r="A382" s="1" t="s">
        <v>2996</v>
      </c>
      <c r="B382" s="1" t="s">
        <v>2997</v>
      </c>
      <c r="C382" s="1" t="s">
        <v>2998</v>
      </c>
      <c r="D382" s="1">
        <v>2026.0</v>
      </c>
      <c r="E382" s="1" t="s">
        <v>689</v>
      </c>
      <c r="F382" s="1" t="s">
        <v>899</v>
      </c>
      <c r="G382" s="1" t="s">
        <v>2999</v>
      </c>
      <c r="H382" s="1">
        <v>4.1827078E7</v>
      </c>
      <c r="I382" s="1" t="s">
        <v>3000</v>
      </c>
      <c r="J382" s="1" t="s">
        <v>3001</v>
      </c>
      <c r="K382" s="132">
        <v>0.0</v>
      </c>
    </row>
    <row r="383" hidden="1">
      <c r="A383" s="1" t="s">
        <v>3002</v>
      </c>
      <c r="B383" s="1" t="s">
        <v>3003</v>
      </c>
      <c r="C383" s="1" t="s">
        <v>3004</v>
      </c>
      <c r="D383" s="1">
        <v>2026.0</v>
      </c>
      <c r="E383" s="1" t="s">
        <v>689</v>
      </c>
      <c r="F383" s="1" t="s">
        <v>933</v>
      </c>
      <c r="G383" s="1" t="s">
        <v>3005</v>
      </c>
      <c r="H383" s="1">
        <v>4.070119E7</v>
      </c>
      <c r="I383" s="1" t="s">
        <v>3006</v>
      </c>
      <c r="J383" s="1" t="s">
        <v>3001</v>
      </c>
      <c r="K383" s="132">
        <v>0.0</v>
      </c>
    </row>
    <row r="384" hidden="1">
      <c r="A384" s="1" t="s">
        <v>3007</v>
      </c>
      <c r="B384" s="1" t="s">
        <v>3008</v>
      </c>
      <c r="C384" s="1" t="s">
        <v>3009</v>
      </c>
      <c r="D384" s="1">
        <v>2003.0</v>
      </c>
      <c r="E384" s="1" t="s">
        <v>940</v>
      </c>
      <c r="F384" s="1" t="s">
        <v>1217</v>
      </c>
      <c r="G384" s="1" t="s">
        <v>3010</v>
      </c>
      <c r="H384" s="1">
        <v>1.2641643E7</v>
      </c>
      <c r="I384" s="1" t="s">
        <v>3011</v>
      </c>
      <c r="J384" s="1" t="s">
        <v>3012</v>
      </c>
      <c r="K384" s="132">
        <v>0.0</v>
      </c>
    </row>
    <row r="385" hidden="1">
      <c r="A385" s="1" t="s">
        <v>3013</v>
      </c>
      <c r="B385" s="1" t="s">
        <v>3014</v>
      </c>
      <c r="C385" s="1" t="s">
        <v>3015</v>
      </c>
      <c r="D385" s="1">
        <v>2022.0</v>
      </c>
      <c r="E385" s="1" t="s">
        <v>681</v>
      </c>
      <c r="F385" s="1" t="s">
        <v>737</v>
      </c>
      <c r="G385" s="1" t="s">
        <v>3016</v>
      </c>
      <c r="H385" s="1">
        <v>3.6260487E7</v>
      </c>
      <c r="I385" s="1" t="s">
        <v>3017</v>
      </c>
      <c r="J385" s="1" t="s">
        <v>3018</v>
      </c>
      <c r="K385" s="132">
        <v>0.0</v>
      </c>
    </row>
    <row r="386" hidden="1">
      <c r="A386" s="1" t="s">
        <v>3019</v>
      </c>
      <c r="B386" s="1" t="s">
        <v>3020</v>
      </c>
      <c r="C386" s="1" t="s">
        <v>3021</v>
      </c>
      <c r="D386" s="1">
        <v>2024.0</v>
      </c>
      <c r="E386" s="1" t="s">
        <v>658</v>
      </c>
      <c r="F386" s="1" t="s">
        <v>698</v>
      </c>
      <c r="G386" s="1" t="s">
        <v>3022</v>
      </c>
      <c r="H386" s="1">
        <v>3.8677365E7</v>
      </c>
      <c r="I386" s="1" t="s">
        <v>3023</v>
      </c>
      <c r="J386" s="1" t="s">
        <v>3024</v>
      </c>
      <c r="K386" s="132">
        <v>0.0</v>
      </c>
    </row>
    <row r="387">
      <c r="A387" s="1" t="s">
        <v>3025</v>
      </c>
      <c r="B387" s="1" t="s">
        <v>3026</v>
      </c>
      <c r="C387" s="1" t="s">
        <v>3027</v>
      </c>
      <c r="D387" s="1">
        <v>2025.0</v>
      </c>
      <c r="E387" s="1" t="s">
        <v>736</v>
      </c>
      <c r="F387" s="1" t="s">
        <v>825</v>
      </c>
      <c r="G387" s="1" t="s">
        <v>105</v>
      </c>
      <c r="H387" s="1">
        <v>3.9886263E7</v>
      </c>
      <c r="I387" s="1" t="s">
        <v>3028</v>
      </c>
      <c r="J387" s="1" t="s">
        <v>1074</v>
      </c>
      <c r="K387" s="132">
        <v>3.0</v>
      </c>
    </row>
    <row r="388">
      <c r="A388" s="1" t="s">
        <v>3029</v>
      </c>
      <c r="B388" s="1" t="s">
        <v>3030</v>
      </c>
      <c r="C388" s="1" t="s">
        <v>3031</v>
      </c>
      <c r="D388" s="1">
        <v>2012.0</v>
      </c>
      <c r="E388" s="1" t="s">
        <v>898</v>
      </c>
      <c r="F388" s="1" t="s">
        <v>886</v>
      </c>
      <c r="G388" s="1" t="s">
        <v>107</v>
      </c>
      <c r="H388" s="1">
        <v>2.2425308E7</v>
      </c>
      <c r="I388" s="1" t="s">
        <v>3032</v>
      </c>
      <c r="J388" s="1" t="s">
        <v>1075</v>
      </c>
      <c r="K388" s="132">
        <v>3.0</v>
      </c>
    </row>
    <row r="389">
      <c r="A389" s="1" t="s">
        <v>3033</v>
      </c>
      <c r="B389" s="1" t="s">
        <v>3034</v>
      </c>
      <c r="C389" s="1" t="s">
        <v>3035</v>
      </c>
      <c r="D389" s="1">
        <v>2014.0</v>
      </c>
      <c r="E389" s="1" t="s">
        <v>666</v>
      </c>
      <c r="F389" s="1" t="s">
        <v>767</v>
      </c>
      <c r="G389" s="1" t="s">
        <v>111</v>
      </c>
      <c r="H389" s="1">
        <v>2.4630956E7</v>
      </c>
      <c r="I389" s="1" t="s">
        <v>3036</v>
      </c>
      <c r="J389" s="1" t="s">
        <v>1076</v>
      </c>
      <c r="K389" s="132">
        <v>3.0</v>
      </c>
    </row>
    <row r="390" hidden="1">
      <c r="A390" s="1" t="s">
        <v>3037</v>
      </c>
      <c r="B390" s="1" t="s">
        <v>3038</v>
      </c>
      <c r="C390" s="1" t="s">
        <v>3039</v>
      </c>
      <c r="D390" s="1">
        <v>2019.0</v>
      </c>
      <c r="E390" s="1" t="s">
        <v>723</v>
      </c>
      <c r="F390" s="1" t="s">
        <v>737</v>
      </c>
      <c r="G390" s="1" t="s">
        <v>3040</v>
      </c>
      <c r="H390" s="1">
        <v>3.0557034E7</v>
      </c>
      <c r="I390" s="1" t="s">
        <v>3041</v>
      </c>
      <c r="J390" s="1" t="s">
        <v>3042</v>
      </c>
      <c r="K390" s="132">
        <v>0.0</v>
      </c>
    </row>
    <row r="391" hidden="1">
      <c r="A391" s="1" t="s">
        <v>3043</v>
      </c>
      <c r="B391" s="1" t="s">
        <v>3044</v>
      </c>
      <c r="C391" s="1" t="s">
        <v>3045</v>
      </c>
      <c r="D391" s="1">
        <v>2023.0</v>
      </c>
      <c r="E391" s="1" t="s">
        <v>898</v>
      </c>
      <c r="F391" s="1" t="s">
        <v>3046</v>
      </c>
      <c r="G391" s="1" t="s">
        <v>3047</v>
      </c>
      <c r="H391" s="1">
        <v>3.8066516E7</v>
      </c>
      <c r="I391" s="1" t="s">
        <v>3048</v>
      </c>
      <c r="J391" s="1" t="s">
        <v>3049</v>
      </c>
      <c r="K391" s="132">
        <v>0.0</v>
      </c>
    </row>
    <row r="392" hidden="1">
      <c r="A392" s="1" t="s">
        <v>3050</v>
      </c>
      <c r="B392" s="1" t="s">
        <v>3051</v>
      </c>
      <c r="C392" s="1" t="s">
        <v>3052</v>
      </c>
      <c r="D392" s="1">
        <v>2025.0</v>
      </c>
      <c r="E392" s="1" t="s">
        <v>729</v>
      </c>
      <c r="F392" s="1" t="s">
        <v>767</v>
      </c>
      <c r="G392" s="1" t="s">
        <v>3053</v>
      </c>
      <c r="H392" s="1">
        <v>4.0086524E7</v>
      </c>
      <c r="I392" s="1" t="s">
        <v>3054</v>
      </c>
      <c r="J392" s="1" t="s">
        <v>3055</v>
      </c>
      <c r="K392" s="132">
        <v>0.0</v>
      </c>
    </row>
    <row r="393" hidden="1">
      <c r="A393" s="1" t="s">
        <v>3056</v>
      </c>
      <c r="B393" s="1" t="s">
        <v>3057</v>
      </c>
      <c r="C393" s="1" t="s">
        <v>3058</v>
      </c>
      <c r="D393" s="1">
        <v>2018.0</v>
      </c>
      <c r="E393" s="1" t="s">
        <v>666</v>
      </c>
      <c r="F393" s="1" t="s">
        <v>659</v>
      </c>
      <c r="G393" s="1" t="s">
        <v>3059</v>
      </c>
      <c r="H393" s="1">
        <v>2.8801704E7</v>
      </c>
      <c r="I393" s="1" t="s">
        <v>3060</v>
      </c>
      <c r="J393" s="1" t="s">
        <v>3061</v>
      </c>
      <c r="K393" s="132">
        <v>0.0</v>
      </c>
    </row>
    <row r="394" hidden="1">
      <c r="A394" s="1" t="s">
        <v>3062</v>
      </c>
      <c r="B394" s="1" t="s">
        <v>3063</v>
      </c>
      <c r="C394" s="1" t="s">
        <v>3064</v>
      </c>
      <c r="D394" s="1">
        <v>2017.0</v>
      </c>
      <c r="E394" s="1" t="s">
        <v>666</v>
      </c>
      <c r="F394" s="1" t="s">
        <v>1125</v>
      </c>
      <c r="G394" s="1" t="s">
        <v>3065</v>
      </c>
      <c r="H394" s="1">
        <v>2.7362929E7</v>
      </c>
      <c r="I394" s="1" t="s">
        <v>3066</v>
      </c>
      <c r="J394" s="1" t="s">
        <v>3067</v>
      </c>
      <c r="K394" s="132">
        <v>0.0</v>
      </c>
    </row>
    <row r="395" hidden="1">
      <c r="A395" s="1" t="s">
        <v>3068</v>
      </c>
      <c r="B395" s="1" t="s">
        <v>3069</v>
      </c>
      <c r="C395" s="1" t="s">
        <v>3070</v>
      </c>
      <c r="D395" s="1">
        <v>2021.0</v>
      </c>
      <c r="E395" s="12"/>
      <c r="F395" s="1" t="s">
        <v>3071</v>
      </c>
      <c r="G395" s="1" t="s">
        <v>3072</v>
      </c>
      <c r="H395" s="1">
        <v>3.495643E7</v>
      </c>
      <c r="I395" s="1" t="s">
        <v>3073</v>
      </c>
      <c r="J395" s="1" t="s">
        <v>3074</v>
      </c>
      <c r="K395" s="132">
        <v>0.0</v>
      </c>
    </row>
    <row r="396" hidden="1">
      <c r="A396" s="1" t="s">
        <v>3075</v>
      </c>
      <c r="B396" s="1" t="s">
        <v>3076</v>
      </c>
      <c r="C396" s="1" t="s">
        <v>3077</v>
      </c>
      <c r="D396" s="1">
        <v>2007.0</v>
      </c>
      <c r="E396" s="1" t="s">
        <v>689</v>
      </c>
      <c r="F396" s="1" t="s">
        <v>737</v>
      </c>
      <c r="G396" s="1" t="s">
        <v>3078</v>
      </c>
      <c r="H396" s="1">
        <v>1.7218661E7</v>
      </c>
      <c r="I396" s="1" t="s">
        <v>3079</v>
      </c>
      <c r="J396" s="1" t="s">
        <v>1077</v>
      </c>
      <c r="K396" s="132">
        <v>2.0</v>
      </c>
    </row>
    <row r="397">
      <c r="A397" s="1" t="s">
        <v>3080</v>
      </c>
      <c r="B397" s="1" t="s">
        <v>3081</v>
      </c>
      <c r="C397" s="1" t="s">
        <v>3082</v>
      </c>
      <c r="D397" s="1">
        <v>2026.0</v>
      </c>
      <c r="E397" s="1" t="s">
        <v>666</v>
      </c>
      <c r="F397" s="1" t="s">
        <v>2638</v>
      </c>
      <c r="G397" s="1" t="s">
        <v>113</v>
      </c>
      <c r="H397" s="1">
        <v>4.2131028E7</v>
      </c>
      <c r="I397" s="1" t="s">
        <v>3083</v>
      </c>
      <c r="J397" s="1" t="s">
        <v>1078</v>
      </c>
      <c r="K397" s="132">
        <v>3.0</v>
      </c>
    </row>
    <row r="398" hidden="1">
      <c r="A398" s="1" t="s">
        <v>3084</v>
      </c>
      <c r="B398" s="1" t="s">
        <v>3085</v>
      </c>
      <c r="C398" s="1" t="s">
        <v>3086</v>
      </c>
      <c r="D398" s="1">
        <v>2001.0</v>
      </c>
      <c r="E398" s="1" t="s">
        <v>674</v>
      </c>
      <c r="F398" s="1" t="s">
        <v>767</v>
      </c>
      <c r="G398" s="1" t="s">
        <v>3087</v>
      </c>
      <c r="H398" s="1">
        <v>1.153609E7</v>
      </c>
      <c r="I398" s="1" t="s">
        <v>3088</v>
      </c>
      <c r="J398" s="1" t="s">
        <v>3089</v>
      </c>
      <c r="K398" s="132">
        <v>0.0</v>
      </c>
    </row>
    <row r="399" hidden="1">
      <c r="A399" s="1" t="s">
        <v>3090</v>
      </c>
      <c r="B399" s="1" t="s">
        <v>3091</v>
      </c>
      <c r="C399" s="1" t="s">
        <v>3092</v>
      </c>
      <c r="D399" s="1">
        <v>2021.0</v>
      </c>
      <c r="E399" s="1" t="s">
        <v>697</v>
      </c>
      <c r="F399" s="1" t="s">
        <v>737</v>
      </c>
      <c r="G399" s="1" t="s">
        <v>3093</v>
      </c>
      <c r="H399" s="1">
        <v>3.3945339E7</v>
      </c>
      <c r="I399" s="1" t="s">
        <v>3094</v>
      </c>
      <c r="J399" s="1" t="s">
        <v>3095</v>
      </c>
      <c r="K399" s="132">
        <v>0.0</v>
      </c>
    </row>
    <row r="400" hidden="1">
      <c r="A400" s="1" t="s">
        <v>3096</v>
      </c>
      <c r="B400" s="1" t="s">
        <v>3097</v>
      </c>
      <c r="C400" s="1" t="s">
        <v>3098</v>
      </c>
      <c r="D400" s="1">
        <v>2021.0</v>
      </c>
      <c r="E400" s="1" t="s">
        <v>674</v>
      </c>
      <c r="F400" s="1" t="s">
        <v>1470</v>
      </c>
      <c r="G400" s="1" t="s">
        <v>3099</v>
      </c>
      <c r="H400" s="1">
        <v>3.4039734E7</v>
      </c>
      <c r="I400" s="1" t="s">
        <v>3100</v>
      </c>
      <c r="J400" s="1" t="s">
        <v>3101</v>
      </c>
      <c r="K400" s="132">
        <v>0.0</v>
      </c>
    </row>
    <row r="401" hidden="1">
      <c r="A401" s="1" t="s">
        <v>3102</v>
      </c>
      <c r="B401" s="1" t="s">
        <v>3103</v>
      </c>
      <c r="C401" s="1" t="s">
        <v>3104</v>
      </c>
      <c r="D401" s="1">
        <v>2024.0</v>
      </c>
      <c r="E401" s="1" t="s">
        <v>723</v>
      </c>
      <c r="F401" s="1" t="s">
        <v>659</v>
      </c>
      <c r="G401" s="1" t="s">
        <v>3105</v>
      </c>
      <c r="H401" s="1">
        <v>3.8226736E7</v>
      </c>
      <c r="I401" s="1" t="s">
        <v>3106</v>
      </c>
      <c r="J401" s="1" t="s">
        <v>3107</v>
      </c>
      <c r="K401" s="132">
        <v>1.0</v>
      </c>
    </row>
    <row r="402" hidden="1">
      <c r="A402" s="1" t="s">
        <v>3108</v>
      </c>
      <c r="B402" s="1" t="s">
        <v>3109</v>
      </c>
      <c r="C402" s="1" t="s">
        <v>3110</v>
      </c>
      <c r="D402" s="1">
        <v>2018.0</v>
      </c>
      <c r="E402" s="1" t="s">
        <v>658</v>
      </c>
      <c r="F402" s="1" t="s">
        <v>886</v>
      </c>
      <c r="G402" s="1" t="s">
        <v>3111</v>
      </c>
      <c r="H402" s="1">
        <v>2.9776815E7</v>
      </c>
      <c r="I402" s="1" t="s">
        <v>3112</v>
      </c>
      <c r="J402" s="1" t="s">
        <v>3113</v>
      </c>
      <c r="K402" s="132">
        <v>1.0</v>
      </c>
    </row>
    <row r="403" hidden="1">
      <c r="A403" s="1" t="s">
        <v>3114</v>
      </c>
      <c r="B403" s="1" t="s">
        <v>3115</v>
      </c>
      <c r="C403" s="1" t="s">
        <v>3116</v>
      </c>
      <c r="D403" s="1">
        <v>2019.0</v>
      </c>
      <c r="E403" s="1" t="s">
        <v>761</v>
      </c>
      <c r="F403" s="1" t="s">
        <v>926</v>
      </c>
      <c r="G403" s="1" t="s">
        <v>3117</v>
      </c>
      <c r="H403" s="1">
        <v>3.1201076E7</v>
      </c>
      <c r="I403" s="1" t="s">
        <v>3118</v>
      </c>
      <c r="J403" s="1" t="s">
        <v>3119</v>
      </c>
      <c r="K403" s="132">
        <v>1.0</v>
      </c>
    </row>
    <row r="404" hidden="1">
      <c r="A404" s="1" t="s">
        <v>3120</v>
      </c>
      <c r="B404" s="1" t="s">
        <v>3121</v>
      </c>
      <c r="C404" s="1" t="s">
        <v>3122</v>
      </c>
      <c r="D404" s="1">
        <v>2025.0</v>
      </c>
      <c r="E404" s="1" t="s">
        <v>761</v>
      </c>
      <c r="F404" s="1" t="s">
        <v>3123</v>
      </c>
      <c r="G404" s="1" t="s">
        <v>3124</v>
      </c>
      <c r="H404" s="1">
        <v>4.1018256E7</v>
      </c>
      <c r="I404" s="1" t="s">
        <v>3125</v>
      </c>
      <c r="J404" s="1" t="s">
        <v>3126</v>
      </c>
      <c r="K404" s="132">
        <v>0.0</v>
      </c>
    </row>
    <row r="405" hidden="1">
      <c r="A405" s="1" t="s">
        <v>3127</v>
      </c>
      <c r="B405" s="1" t="s">
        <v>3128</v>
      </c>
      <c r="C405" s="1" t="s">
        <v>3129</v>
      </c>
      <c r="D405" s="1">
        <v>2025.0</v>
      </c>
      <c r="E405" s="1" t="s">
        <v>940</v>
      </c>
      <c r="F405" s="1" t="s">
        <v>659</v>
      </c>
      <c r="G405" s="1" t="s">
        <v>3130</v>
      </c>
      <c r="H405" s="1">
        <v>3.9194385E7</v>
      </c>
      <c r="I405" s="1" t="s">
        <v>3131</v>
      </c>
      <c r="J405" s="1" t="s">
        <v>3132</v>
      </c>
      <c r="K405" s="132">
        <v>0.0</v>
      </c>
    </row>
    <row r="406" hidden="1">
      <c r="A406" s="1" t="s">
        <v>3133</v>
      </c>
      <c r="B406" s="1" t="s">
        <v>3134</v>
      </c>
      <c r="C406" s="1" t="s">
        <v>3135</v>
      </c>
      <c r="D406" s="1">
        <v>1995.0</v>
      </c>
      <c r="E406" s="1" t="s">
        <v>674</v>
      </c>
      <c r="F406" s="1" t="s">
        <v>1620</v>
      </c>
      <c r="G406" s="1" t="s">
        <v>3136</v>
      </c>
      <c r="H406" s="1">
        <v>8800852.0</v>
      </c>
      <c r="I406" s="1" t="s">
        <v>3137</v>
      </c>
      <c r="J406" s="1" t="s">
        <v>3138</v>
      </c>
      <c r="K406" s="132">
        <v>0.0</v>
      </c>
    </row>
    <row r="407" hidden="1">
      <c r="A407" s="1" t="s">
        <v>3139</v>
      </c>
      <c r="B407" s="1" t="s">
        <v>3140</v>
      </c>
      <c r="C407" s="1" t="s">
        <v>3141</v>
      </c>
      <c r="D407" s="1">
        <v>2009.0</v>
      </c>
      <c r="E407" s="1" t="s">
        <v>736</v>
      </c>
      <c r="F407" s="1" t="s">
        <v>737</v>
      </c>
      <c r="G407" s="1" t="s">
        <v>3142</v>
      </c>
      <c r="H407" s="1">
        <v>1.8936277E7</v>
      </c>
      <c r="I407" s="1" t="s">
        <v>3143</v>
      </c>
      <c r="J407" s="1" t="s">
        <v>3144</v>
      </c>
      <c r="K407" s="132">
        <v>0.0</v>
      </c>
    </row>
    <row r="408">
      <c r="A408" s="1" t="s">
        <v>3145</v>
      </c>
      <c r="B408" s="1" t="s">
        <v>3146</v>
      </c>
      <c r="C408" s="1" t="s">
        <v>3147</v>
      </c>
      <c r="D408" s="1">
        <v>2006.0</v>
      </c>
      <c r="E408" s="1" t="s">
        <v>723</v>
      </c>
      <c r="F408" s="1" t="s">
        <v>737</v>
      </c>
      <c r="G408" s="1" t="s">
        <v>115</v>
      </c>
      <c r="H408" s="1">
        <v>1.6282583E7</v>
      </c>
      <c r="I408" s="1" t="s">
        <v>3148</v>
      </c>
      <c r="J408" s="1" t="s">
        <v>1080</v>
      </c>
      <c r="K408" s="132">
        <v>3.0</v>
      </c>
    </row>
    <row r="409" hidden="1">
      <c r="A409" s="1" t="s">
        <v>3149</v>
      </c>
      <c r="B409" s="1" t="s">
        <v>3150</v>
      </c>
      <c r="C409" s="1" t="s">
        <v>3151</v>
      </c>
      <c r="D409" s="1">
        <v>2014.0</v>
      </c>
      <c r="E409" s="1" t="s">
        <v>940</v>
      </c>
      <c r="F409" s="1" t="s">
        <v>767</v>
      </c>
      <c r="G409" s="1" t="s">
        <v>3152</v>
      </c>
      <c r="H409" s="1">
        <v>2.4582053E7</v>
      </c>
      <c r="I409" s="1" t="s">
        <v>3153</v>
      </c>
      <c r="J409" s="1" t="s">
        <v>3154</v>
      </c>
      <c r="K409" s="132">
        <v>0.0</v>
      </c>
    </row>
    <row r="410" hidden="1">
      <c r="A410" s="1" t="s">
        <v>3155</v>
      </c>
      <c r="B410" s="1" t="s">
        <v>3156</v>
      </c>
      <c r="C410" s="1" t="s">
        <v>3157</v>
      </c>
      <c r="D410" s="1">
        <v>2014.0</v>
      </c>
      <c r="E410" s="1" t="s">
        <v>666</v>
      </c>
      <c r="F410" s="1" t="s">
        <v>659</v>
      </c>
      <c r="G410" s="1" t="s">
        <v>3158</v>
      </c>
      <c r="H410" s="1">
        <v>2.3807029E7</v>
      </c>
      <c r="I410" s="1" t="s">
        <v>3159</v>
      </c>
      <c r="J410" s="1" t="s">
        <v>3160</v>
      </c>
      <c r="K410" s="132">
        <v>0.0</v>
      </c>
    </row>
    <row r="411" hidden="1">
      <c r="A411" s="1" t="s">
        <v>3161</v>
      </c>
      <c r="B411" s="1" t="s">
        <v>3162</v>
      </c>
      <c r="C411" s="1" t="s">
        <v>3163</v>
      </c>
      <c r="D411" s="1">
        <v>2016.0</v>
      </c>
      <c r="E411" s="1" t="s">
        <v>736</v>
      </c>
      <c r="F411" s="1" t="s">
        <v>767</v>
      </c>
      <c r="G411" s="1" t="s">
        <v>3164</v>
      </c>
      <c r="H411" s="1">
        <v>2.6321112E7</v>
      </c>
      <c r="I411" s="1" t="s">
        <v>3165</v>
      </c>
      <c r="J411" s="1" t="s">
        <v>3166</v>
      </c>
      <c r="K411" s="132">
        <v>0.0</v>
      </c>
    </row>
    <row r="412" hidden="1">
      <c r="A412" s="1" t="s">
        <v>3167</v>
      </c>
      <c r="B412" s="1" t="s">
        <v>3168</v>
      </c>
      <c r="C412" s="1" t="s">
        <v>3169</v>
      </c>
      <c r="D412" s="1">
        <v>2017.0</v>
      </c>
      <c r="E412" s="1" t="s">
        <v>729</v>
      </c>
      <c r="F412" s="1" t="s">
        <v>886</v>
      </c>
      <c r="G412" s="1" t="s">
        <v>3170</v>
      </c>
      <c r="H412" s="1">
        <v>2.8705571E7</v>
      </c>
      <c r="I412" s="1" t="s">
        <v>3171</v>
      </c>
      <c r="J412" s="1" t="s">
        <v>3172</v>
      </c>
      <c r="K412" s="132">
        <v>0.0</v>
      </c>
    </row>
    <row r="413" hidden="1">
      <c r="A413" s="1" t="s">
        <v>3173</v>
      </c>
      <c r="B413" s="1" t="s">
        <v>3174</v>
      </c>
      <c r="C413" s="1" t="s">
        <v>3175</v>
      </c>
      <c r="D413" s="1">
        <v>2018.0</v>
      </c>
      <c r="E413" s="1" t="s">
        <v>674</v>
      </c>
      <c r="F413" s="1" t="s">
        <v>767</v>
      </c>
      <c r="G413" s="1" t="s">
        <v>3176</v>
      </c>
      <c r="H413" s="1">
        <v>2.9937346E7</v>
      </c>
      <c r="I413" s="1" t="s">
        <v>3177</v>
      </c>
      <c r="J413" s="1" t="s">
        <v>3178</v>
      </c>
      <c r="K413" s="132">
        <v>0.0</v>
      </c>
    </row>
    <row r="414" hidden="1">
      <c r="A414" s="1" t="s">
        <v>3179</v>
      </c>
      <c r="B414" s="1" t="s">
        <v>3180</v>
      </c>
      <c r="C414" s="1" t="s">
        <v>3181</v>
      </c>
      <c r="D414" s="1">
        <v>2001.0</v>
      </c>
      <c r="E414" s="1" t="s">
        <v>813</v>
      </c>
      <c r="F414" s="1" t="s">
        <v>737</v>
      </c>
      <c r="G414" s="1" t="s">
        <v>3182</v>
      </c>
      <c r="H414" s="1">
        <v>1.1394604E7</v>
      </c>
      <c r="I414" s="1" t="s">
        <v>3183</v>
      </c>
      <c r="J414" s="1" t="s">
        <v>3184</v>
      </c>
      <c r="K414" s="132">
        <v>0.0</v>
      </c>
    </row>
    <row r="415" hidden="1">
      <c r="A415" s="1" t="s">
        <v>3185</v>
      </c>
      <c r="B415" s="1" t="s">
        <v>3186</v>
      </c>
      <c r="C415" s="1" t="s">
        <v>3187</v>
      </c>
      <c r="D415" s="1">
        <v>2006.0</v>
      </c>
      <c r="E415" s="1" t="s">
        <v>658</v>
      </c>
      <c r="F415" s="1" t="s">
        <v>767</v>
      </c>
      <c r="G415" s="1" t="s">
        <v>3188</v>
      </c>
      <c r="H415" s="1">
        <v>1.6904589E7</v>
      </c>
      <c r="I415" s="1" t="s">
        <v>3189</v>
      </c>
      <c r="J415" s="1" t="s">
        <v>3190</v>
      </c>
      <c r="K415" s="132">
        <v>1.0</v>
      </c>
    </row>
    <row r="416" hidden="1">
      <c r="A416" s="1" t="s">
        <v>3191</v>
      </c>
      <c r="B416" s="1" t="s">
        <v>3192</v>
      </c>
      <c r="C416" s="1" t="s">
        <v>3193</v>
      </c>
      <c r="D416" s="1">
        <v>1999.0</v>
      </c>
      <c r="E416" s="1" t="s">
        <v>1745</v>
      </c>
      <c r="F416" s="1" t="s">
        <v>767</v>
      </c>
      <c r="G416" s="1" t="s">
        <v>3194</v>
      </c>
      <c r="H416" s="1">
        <v>1.0424549E7</v>
      </c>
      <c r="I416" s="1" t="s">
        <v>3195</v>
      </c>
      <c r="J416" s="1" t="s">
        <v>3196</v>
      </c>
      <c r="K416" s="132">
        <v>0.0</v>
      </c>
    </row>
    <row r="417" hidden="1">
      <c r="A417" s="1" t="s">
        <v>3197</v>
      </c>
      <c r="B417" s="1" t="s">
        <v>3198</v>
      </c>
      <c r="C417" s="1" t="s">
        <v>3199</v>
      </c>
      <c r="D417" s="1">
        <v>2025.0</v>
      </c>
      <c r="E417" s="1" t="s">
        <v>729</v>
      </c>
      <c r="F417" s="1" t="s">
        <v>3200</v>
      </c>
      <c r="G417" s="1" t="s">
        <v>3201</v>
      </c>
      <c r="H417" s="1">
        <v>4.0101801E7</v>
      </c>
      <c r="I417" s="1" t="s">
        <v>3202</v>
      </c>
      <c r="J417" s="1" t="s">
        <v>3203</v>
      </c>
      <c r="K417" s="132">
        <v>0.0</v>
      </c>
    </row>
    <row r="418" hidden="1">
      <c r="A418" s="1" t="s">
        <v>3204</v>
      </c>
      <c r="B418" s="1" t="s">
        <v>3205</v>
      </c>
      <c r="C418" s="1" t="s">
        <v>3206</v>
      </c>
      <c r="D418" s="1">
        <v>2013.0</v>
      </c>
      <c r="E418" s="1" t="s">
        <v>681</v>
      </c>
      <c r="F418" s="1" t="s">
        <v>737</v>
      </c>
      <c r="G418" s="1" t="s">
        <v>3207</v>
      </c>
      <c r="H418" s="1">
        <v>2.4001575E7</v>
      </c>
      <c r="I418" s="1" t="s">
        <v>3208</v>
      </c>
      <c r="J418" s="1" t="s">
        <v>3209</v>
      </c>
      <c r="K418" s="132">
        <v>0.0</v>
      </c>
    </row>
    <row r="419" hidden="1">
      <c r="A419" s="1" t="s">
        <v>3210</v>
      </c>
      <c r="B419" s="1" t="s">
        <v>3211</v>
      </c>
      <c r="C419" s="1" t="s">
        <v>3212</v>
      </c>
      <c r="D419" s="1">
        <v>2016.0</v>
      </c>
      <c r="E419" s="1" t="s">
        <v>898</v>
      </c>
      <c r="F419" s="1" t="s">
        <v>982</v>
      </c>
      <c r="G419" s="1" t="s">
        <v>3213</v>
      </c>
      <c r="H419" s="1">
        <v>2.7568219E7</v>
      </c>
      <c r="I419" s="1" t="s">
        <v>3214</v>
      </c>
      <c r="J419" s="1" t="s">
        <v>3215</v>
      </c>
      <c r="K419" s="132">
        <v>0.0</v>
      </c>
    </row>
    <row r="420" hidden="1">
      <c r="A420" s="1" t="s">
        <v>3216</v>
      </c>
      <c r="B420" s="1" t="s">
        <v>3217</v>
      </c>
      <c r="C420" s="1" t="s">
        <v>3218</v>
      </c>
      <c r="D420" s="1">
        <v>2003.0</v>
      </c>
      <c r="E420" s="1" t="s">
        <v>666</v>
      </c>
      <c r="F420" s="1" t="s">
        <v>711</v>
      </c>
      <c r="G420" s="1" t="s">
        <v>3219</v>
      </c>
      <c r="H420" s="1">
        <v>1.2793556E7</v>
      </c>
      <c r="I420" s="1" t="s">
        <v>3220</v>
      </c>
      <c r="J420" s="1" t="s">
        <v>3221</v>
      </c>
      <c r="K420" s="132">
        <v>0.0</v>
      </c>
    </row>
    <row r="421" hidden="1">
      <c r="A421" s="1" t="s">
        <v>3222</v>
      </c>
      <c r="B421" s="1" t="s">
        <v>3223</v>
      </c>
      <c r="C421" s="1" t="s">
        <v>3224</v>
      </c>
      <c r="D421" s="1">
        <v>2020.0</v>
      </c>
      <c r="E421" s="1" t="s">
        <v>761</v>
      </c>
      <c r="F421" s="1" t="s">
        <v>737</v>
      </c>
      <c r="G421" s="1" t="s">
        <v>3225</v>
      </c>
      <c r="H421" s="1">
        <v>3.2452208E7</v>
      </c>
      <c r="I421" s="1" t="s">
        <v>3226</v>
      </c>
      <c r="J421" s="1" t="s">
        <v>3227</v>
      </c>
      <c r="K421" s="132">
        <v>0.0</v>
      </c>
    </row>
    <row r="422" hidden="1">
      <c r="A422" s="1" t="s">
        <v>3228</v>
      </c>
      <c r="B422" s="1" t="s">
        <v>3229</v>
      </c>
      <c r="C422" s="1" t="s">
        <v>3230</v>
      </c>
      <c r="D422" s="1">
        <v>2022.0</v>
      </c>
      <c r="E422" s="1" t="s">
        <v>697</v>
      </c>
      <c r="F422" s="1" t="s">
        <v>3046</v>
      </c>
      <c r="G422" s="1" t="s">
        <v>3231</v>
      </c>
      <c r="H422" s="1">
        <v>3.5773666E7</v>
      </c>
      <c r="I422" s="1" t="s">
        <v>3232</v>
      </c>
      <c r="J422" s="1" t="s">
        <v>3233</v>
      </c>
      <c r="K422" s="132">
        <v>0.0</v>
      </c>
    </row>
    <row r="423" hidden="1">
      <c r="A423" s="1" t="s">
        <v>3234</v>
      </c>
      <c r="B423" s="1" t="s">
        <v>3235</v>
      </c>
      <c r="C423" s="1" t="s">
        <v>3236</v>
      </c>
      <c r="D423" s="1">
        <v>2002.0</v>
      </c>
      <c r="E423" s="1" t="s">
        <v>689</v>
      </c>
      <c r="F423" s="1" t="s">
        <v>2308</v>
      </c>
      <c r="G423" s="1" t="s">
        <v>3237</v>
      </c>
      <c r="H423" s="1">
        <v>1.1953554E7</v>
      </c>
      <c r="I423" s="1" t="s">
        <v>3238</v>
      </c>
      <c r="J423" s="1" t="s">
        <v>3239</v>
      </c>
      <c r="K423" s="132">
        <v>0.0</v>
      </c>
    </row>
    <row r="424" hidden="1">
      <c r="A424" s="1" t="s">
        <v>3240</v>
      </c>
      <c r="B424" s="1" t="s">
        <v>3241</v>
      </c>
      <c r="C424" s="1" t="s">
        <v>3242</v>
      </c>
      <c r="D424" s="1">
        <v>2000.0</v>
      </c>
      <c r="E424" s="12"/>
      <c r="F424" s="1" t="s">
        <v>659</v>
      </c>
      <c r="G424" s="1" t="s">
        <v>3243</v>
      </c>
      <c r="H424" s="1">
        <v>1.1147151E7</v>
      </c>
      <c r="I424" s="1" t="s">
        <v>3244</v>
      </c>
      <c r="J424" s="1" t="s">
        <v>3245</v>
      </c>
      <c r="K424" s="132">
        <v>0.0</v>
      </c>
    </row>
    <row r="425" hidden="1">
      <c r="A425" s="1" t="s">
        <v>3246</v>
      </c>
      <c r="B425" s="1" t="s">
        <v>3247</v>
      </c>
      <c r="C425" s="1" t="s">
        <v>3248</v>
      </c>
      <c r="D425" s="1">
        <v>2003.0</v>
      </c>
      <c r="E425" s="1" t="s">
        <v>674</v>
      </c>
      <c r="F425" s="1" t="s">
        <v>659</v>
      </c>
      <c r="G425" s="1" t="s">
        <v>3249</v>
      </c>
      <c r="H425" s="1">
        <v>1.2897981E7</v>
      </c>
      <c r="I425" s="1" t="s">
        <v>3250</v>
      </c>
      <c r="J425" s="1" t="s">
        <v>3251</v>
      </c>
      <c r="K425" s="132">
        <v>0.0</v>
      </c>
    </row>
    <row r="426" hidden="1">
      <c r="A426" s="1" t="s">
        <v>3252</v>
      </c>
      <c r="B426" s="1" t="s">
        <v>3253</v>
      </c>
      <c r="C426" s="1" t="s">
        <v>3254</v>
      </c>
      <c r="D426" s="1">
        <v>2021.0</v>
      </c>
      <c r="E426" s="1" t="s">
        <v>689</v>
      </c>
      <c r="F426" s="1" t="s">
        <v>737</v>
      </c>
      <c r="G426" s="1" t="s">
        <v>3255</v>
      </c>
      <c r="H426" s="1">
        <v>3.3555943E7</v>
      </c>
      <c r="I426" s="1" t="s">
        <v>3256</v>
      </c>
      <c r="J426" s="1" t="s">
        <v>3257</v>
      </c>
      <c r="K426" s="132">
        <v>0.0</v>
      </c>
    </row>
    <row r="427" hidden="1">
      <c r="A427" s="1" t="s">
        <v>3258</v>
      </c>
      <c r="B427" s="1" t="s">
        <v>3259</v>
      </c>
      <c r="C427" s="1" t="s">
        <v>3260</v>
      </c>
      <c r="D427" s="1">
        <v>2021.0</v>
      </c>
      <c r="E427" s="1" t="s">
        <v>898</v>
      </c>
      <c r="F427" s="1" t="s">
        <v>793</v>
      </c>
      <c r="G427" s="1" t="s">
        <v>3261</v>
      </c>
      <c r="H427" s="1">
        <v>3.4542671E7</v>
      </c>
      <c r="I427" s="1" t="s">
        <v>3262</v>
      </c>
      <c r="J427" s="1" t="s">
        <v>3263</v>
      </c>
      <c r="K427" s="132">
        <v>0.0</v>
      </c>
    </row>
    <row r="428" hidden="1">
      <c r="A428" s="1" t="s">
        <v>3264</v>
      </c>
      <c r="B428" s="1" t="s">
        <v>3265</v>
      </c>
      <c r="C428" s="1" t="s">
        <v>3266</v>
      </c>
      <c r="D428" s="1">
        <v>2012.0</v>
      </c>
      <c r="E428" s="12"/>
      <c r="F428" s="1" t="s">
        <v>926</v>
      </c>
      <c r="G428" s="1" t="s">
        <v>3267</v>
      </c>
      <c r="H428" s="1">
        <v>2.3268821E7</v>
      </c>
      <c r="I428" s="1" t="s">
        <v>3268</v>
      </c>
      <c r="J428" s="1" t="s">
        <v>3269</v>
      </c>
      <c r="K428" s="132">
        <v>0.0</v>
      </c>
    </row>
    <row r="429" hidden="1">
      <c r="A429" s="1" t="s">
        <v>3270</v>
      </c>
      <c r="B429" s="1" t="s">
        <v>3271</v>
      </c>
      <c r="C429" s="1" t="s">
        <v>3272</v>
      </c>
      <c r="D429" s="1">
        <v>2012.0</v>
      </c>
      <c r="E429" s="1" t="s">
        <v>940</v>
      </c>
      <c r="F429" s="1" t="s">
        <v>3273</v>
      </c>
      <c r="G429" s="12"/>
      <c r="H429" s="1">
        <v>2.2424039E7</v>
      </c>
      <c r="I429" s="1" t="s">
        <v>3274</v>
      </c>
      <c r="J429" s="1" t="s">
        <v>3269</v>
      </c>
      <c r="K429" s="132">
        <v>0.0</v>
      </c>
    </row>
    <row r="430" hidden="1">
      <c r="A430" s="1" t="s">
        <v>3275</v>
      </c>
      <c r="B430" s="1" t="s">
        <v>3276</v>
      </c>
      <c r="C430" s="1" t="s">
        <v>3277</v>
      </c>
      <c r="D430" s="1">
        <v>2013.0</v>
      </c>
      <c r="E430" s="1" t="s">
        <v>736</v>
      </c>
      <c r="F430" s="1" t="s">
        <v>3278</v>
      </c>
      <c r="G430" s="1" t="s">
        <v>3279</v>
      </c>
      <c r="H430" s="1">
        <v>2.3307675E7</v>
      </c>
      <c r="I430" s="1" t="s">
        <v>3280</v>
      </c>
      <c r="J430" s="1" t="s">
        <v>3281</v>
      </c>
      <c r="K430" s="132">
        <v>0.0</v>
      </c>
    </row>
    <row r="431" hidden="1">
      <c r="A431" s="1" t="s">
        <v>3282</v>
      </c>
      <c r="B431" s="1" t="s">
        <v>3283</v>
      </c>
      <c r="C431" s="1" t="s">
        <v>3284</v>
      </c>
      <c r="D431" s="1">
        <v>2024.0</v>
      </c>
      <c r="E431" s="1" t="s">
        <v>761</v>
      </c>
      <c r="F431" s="1" t="s">
        <v>737</v>
      </c>
      <c r="G431" s="1" t="s">
        <v>3285</v>
      </c>
      <c r="H431" s="1">
        <v>3.8845474E7</v>
      </c>
      <c r="I431" s="1" t="s">
        <v>3286</v>
      </c>
      <c r="J431" s="1" t="s">
        <v>3287</v>
      </c>
      <c r="K431" s="132">
        <v>0.0</v>
      </c>
    </row>
    <row r="432" hidden="1">
      <c r="A432" s="1" t="s">
        <v>3288</v>
      </c>
      <c r="B432" s="1" t="s">
        <v>3289</v>
      </c>
      <c r="C432" s="1" t="s">
        <v>3290</v>
      </c>
      <c r="D432" s="1">
        <v>2025.0</v>
      </c>
      <c r="E432" s="1" t="s">
        <v>761</v>
      </c>
      <c r="F432" s="1" t="s">
        <v>737</v>
      </c>
      <c r="G432" s="1" t="s">
        <v>3291</v>
      </c>
      <c r="H432" s="1">
        <v>4.0476596E7</v>
      </c>
      <c r="I432" s="1" t="s">
        <v>3292</v>
      </c>
      <c r="J432" s="1" t="s">
        <v>3293</v>
      </c>
      <c r="K432" s="132">
        <v>0.0</v>
      </c>
    </row>
    <row r="433" hidden="1">
      <c r="A433" s="1" t="s">
        <v>3294</v>
      </c>
      <c r="B433" s="1" t="s">
        <v>3295</v>
      </c>
      <c r="C433" s="1" t="s">
        <v>3296</v>
      </c>
      <c r="D433" s="1">
        <v>2013.0</v>
      </c>
      <c r="E433" s="1" t="s">
        <v>761</v>
      </c>
      <c r="F433" s="1" t="s">
        <v>730</v>
      </c>
      <c r="G433" s="1" t="s">
        <v>3297</v>
      </c>
      <c r="H433" s="1">
        <v>2.3864175E7</v>
      </c>
      <c r="I433" s="1" t="s">
        <v>3298</v>
      </c>
      <c r="J433" s="1" t="s">
        <v>3299</v>
      </c>
      <c r="K433" s="132">
        <v>1.0</v>
      </c>
    </row>
    <row r="434" hidden="1">
      <c r="A434" s="1" t="s">
        <v>3300</v>
      </c>
      <c r="B434" s="1" t="s">
        <v>3301</v>
      </c>
      <c r="C434" s="1" t="s">
        <v>3302</v>
      </c>
      <c r="D434" s="1">
        <v>2015.0</v>
      </c>
      <c r="E434" s="1" t="s">
        <v>761</v>
      </c>
      <c r="F434" s="1" t="s">
        <v>2308</v>
      </c>
      <c r="G434" s="1" t="s">
        <v>3303</v>
      </c>
      <c r="H434" s="1">
        <v>2.5514139E7</v>
      </c>
      <c r="I434" s="1" t="s">
        <v>3304</v>
      </c>
      <c r="J434" s="1" t="s">
        <v>3305</v>
      </c>
      <c r="K434" s="132">
        <v>0.0</v>
      </c>
    </row>
    <row r="435" hidden="1">
      <c r="A435" s="1" t="s">
        <v>3306</v>
      </c>
      <c r="B435" s="1" t="s">
        <v>3307</v>
      </c>
      <c r="C435" s="1" t="s">
        <v>3308</v>
      </c>
      <c r="D435" s="1">
        <v>2016.0</v>
      </c>
      <c r="E435" s="1" t="s">
        <v>666</v>
      </c>
      <c r="F435" s="1" t="s">
        <v>2308</v>
      </c>
      <c r="G435" s="1" t="s">
        <v>3309</v>
      </c>
      <c r="H435" s="1">
        <v>2.5881568E7</v>
      </c>
      <c r="I435" s="1" t="s">
        <v>3310</v>
      </c>
      <c r="J435" s="1" t="s">
        <v>1081</v>
      </c>
      <c r="K435" s="132">
        <v>1.0</v>
      </c>
    </row>
    <row r="436">
      <c r="A436" s="1" t="s">
        <v>3311</v>
      </c>
      <c r="B436" s="1" t="s">
        <v>3312</v>
      </c>
      <c r="C436" s="1" t="s">
        <v>3313</v>
      </c>
      <c r="D436" s="1">
        <v>2016.0</v>
      </c>
      <c r="E436" s="1" t="s">
        <v>689</v>
      </c>
      <c r="F436" s="1" t="s">
        <v>2308</v>
      </c>
      <c r="G436" s="1" t="s">
        <v>117</v>
      </c>
      <c r="H436" s="1">
        <v>2.6164058E7</v>
      </c>
      <c r="I436" s="1" t="s">
        <v>3314</v>
      </c>
      <c r="J436" s="1" t="s">
        <v>1081</v>
      </c>
      <c r="K436" s="132">
        <v>3.0</v>
      </c>
    </row>
    <row r="437" hidden="1">
      <c r="A437" s="1" t="s">
        <v>3315</v>
      </c>
      <c r="B437" s="1" t="s">
        <v>3316</v>
      </c>
      <c r="C437" s="1" t="s">
        <v>3317</v>
      </c>
      <c r="D437" s="1">
        <v>2019.0</v>
      </c>
      <c r="E437" s="1" t="s">
        <v>697</v>
      </c>
      <c r="F437" s="1" t="s">
        <v>730</v>
      </c>
      <c r="G437" s="1" t="s">
        <v>3318</v>
      </c>
      <c r="H437" s="1">
        <v>3.1169571E7</v>
      </c>
      <c r="I437" s="1" t="s">
        <v>3319</v>
      </c>
      <c r="J437" s="1" t="s">
        <v>1082</v>
      </c>
      <c r="K437" s="132">
        <v>2.0</v>
      </c>
    </row>
    <row r="438" hidden="1">
      <c r="A438" s="1" t="s">
        <v>3320</v>
      </c>
      <c r="B438" s="1" t="s">
        <v>3321</v>
      </c>
      <c r="C438" s="1" t="s">
        <v>3322</v>
      </c>
      <c r="D438" s="1">
        <v>2008.0</v>
      </c>
      <c r="E438" s="1" t="s">
        <v>898</v>
      </c>
      <c r="F438" s="1" t="s">
        <v>659</v>
      </c>
      <c r="G438" s="1" t="s">
        <v>3323</v>
      </c>
      <c r="H438" s="1">
        <v>1.8762911E7</v>
      </c>
      <c r="I438" s="1" t="s">
        <v>3324</v>
      </c>
      <c r="J438" s="1" t="s">
        <v>3325</v>
      </c>
      <c r="K438" s="132">
        <v>0.0</v>
      </c>
    </row>
    <row r="439" hidden="1">
      <c r="A439" s="1" t="s">
        <v>3326</v>
      </c>
      <c r="B439" s="1" t="s">
        <v>3327</v>
      </c>
      <c r="C439" s="1" t="s">
        <v>3328</v>
      </c>
      <c r="D439" s="1">
        <v>2026.0</v>
      </c>
      <c r="E439" s="1" t="s">
        <v>697</v>
      </c>
      <c r="F439" s="1" t="s">
        <v>659</v>
      </c>
      <c r="G439" s="1" t="s">
        <v>3329</v>
      </c>
      <c r="H439" s="1">
        <v>4.2319381E7</v>
      </c>
      <c r="I439" s="1" t="s">
        <v>3330</v>
      </c>
      <c r="J439" s="1" t="s">
        <v>3331</v>
      </c>
      <c r="K439" s="132">
        <v>0.0</v>
      </c>
    </row>
    <row r="440">
      <c r="A440" s="1" t="s">
        <v>3332</v>
      </c>
      <c r="B440" s="1" t="s">
        <v>3333</v>
      </c>
      <c r="C440" s="1" t="s">
        <v>3334</v>
      </c>
      <c r="D440" s="1">
        <v>2010.0</v>
      </c>
      <c r="E440" s="1" t="s">
        <v>697</v>
      </c>
      <c r="F440" s="1" t="s">
        <v>3335</v>
      </c>
      <c r="G440" s="1" t="s">
        <v>120</v>
      </c>
      <c r="H440" s="1">
        <v>2.0591671E7</v>
      </c>
      <c r="I440" s="1" t="s">
        <v>3336</v>
      </c>
      <c r="J440" s="1" t="s">
        <v>1084</v>
      </c>
      <c r="K440" s="132">
        <v>3.0</v>
      </c>
    </row>
    <row r="441" hidden="1">
      <c r="A441" s="1" t="s">
        <v>3337</v>
      </c>
      <c r="B441" s="1" t="s">
        <v>3338</v>
      </c>
      <c r="C441" s="1" t="s">
        <v>3339</v>
      </c>
      <c r="D441" s="1">
        <v>2023.0</v>
      </c>
      <c r="E441" s="1" t="s">
        <v>729</v>
      </c>
      <c r="F441" s="1" t="s">
        <v>1136</v>
      </c>
      <c r="G441" s="1" t="s">
        <v>3340</v>
      </c>
      <c r="H441" s="1">
        <v>3.6988698E7</v>
      </c>
      <c r="I441" s="1" t="s">
        <v>3341</v>
      </c>
      <c r="J441" s="1" t="s">
        <v>3342</v>
      </c>
      <c r="K441" s="132">
        <v>0.0</v>
      </c>
    </row>
    <row r="442" hidden="1">
      <c r="A442" s="1" t="s">
        <v>3343</v>
      </c>
      <c r="B442" s="1" t="s">
        <v>3344</v>
      </c>
      <c r="C442" s="1" t="s">
        <v>3345</v>
      </c>
      <c r="D442" s="1">
        <v>2015.0</v>
      </c>
      <c r="E442" s="1" t="s">
        <v>761</v>
      </c>
      <c r="F442" s="1" t="s">
        <v>2603</v>
      </c>
      <c r="G442" s="1" t="s">
        <v>3346</v>
      </c>
      <c r="H442" s="1">
        <v>2.5645436E7</v>
      </c>
      <c r="I442" s="1" t="s">
        <v>3347</v>
      </c>
      <c r="J442" s="1" t="s">
        <v>3348</v>
      </c>
      <c r="K442" s="132">
        <v>1.0</v>
      </c>
    </row>
    <row r="443" hidden="1">
      <c r="A443" s="1" t="s">
        <v>3349</v>
      </c>
      <c r="B443" s="1" t="s">
        <v>3350</v>
      </c>
      <c r="C443" s="1" t="s">
        <v>3351</v>
      </c>
      <c r="D443" s="1">
        <v>2025.0</v>
      </c>
      <c r="E443" s="12"/>
      <c r="F443" s="1" t="s">
        <v>1714</v>
      </c>
      <c r="G443" s="1" t="s">
        <v>3352</v>
      </c>
      <c r="H443" s="1">
        <v>4.0839658E7</v>
      </c>
      <c r="I443" s="1" t="s">
        <v>3353</v>
      </c>
      <c r="J443" s="1" t="s">
        <v>3354</v>
      </c>
      <c r="K443" s="132">
        <v>0.0</v>
      </c>
    </row>
    <row r="444" hidden="1">
      <c r="A444" s="1" t="s">
        <v>3355</v>
      </c>
      <c r="B444" s="1" t="s">
        <v>3356</v>
      </c>
      <c r="C444" s="1" t="s">
        <v>3357</v>
      </c>
      <c r="D444" s="1">
        <v>2007.0</v>
      </c>
      <c r="E444" s="1" t="s">
        <v>697</v>
      </c>
      <c r="F444" s="1" t="s">
        <v>767</v>
      </c>
      <c r="G444" s="1" t="s">
        <v>3358</v>
      </c>
      <c r="H444" s="1">
        <v>1.7560476E7</v>
      </c>
      <c r="I444" s="1" t="s">
        <v>3359</v>
      </c>
      <c r="J444" s="1" t="s">
        <v>3360</v>
      </c>
      <c r="K444" s="132">
        <v>0.0</v>
      </c>
    </row>
    <row r="445" hidden="1">
      <c r="A445" s="1" t="s">
        <v>3361</v>
      </c>
      <c r="B445" s="1" t="s">
        <v>3362</v>
      </c>
      <c r="C445" s="1" t="s">
        <v>3363</v>
      </c>
      <c r="D445" s="1">
        <v>1995.0</v>
      </c>
      <c r="E445" s="1" t="s">
        <v>940</v>
      </c>
      <c r="F445" s="1" t="s">
        <v>3364</v>
      </c>
      <c r="G445" s="1" t="s">
        <v>3365</v>
      </c>
      <c r="H445" s="1">
        <v>7740939.0</v>
      </c>
      <c r="I445" s="1" t="s">
        <v>3366</v>
      </c>
      <c r="J445" s="1" t="s">
        <v>3367</v>
      </c>
      <c r="K445" s="132">
        <v>0.0</v>
      </c>
    </row>
    <row r="446" hidden="1">
      <c r="A446" s="1" t="s">
        <v>3368</v>
      </c>
      <c r="B446" s="1" t="s">
        <v>3362</v>
      </c>
      <c r="C446" s="1" t="s">
        <v>3369</v>
      </c>
      <c r="D446" s="1">
        <v>2003.0</v>
      </c>
      <c r="E446" s="1" t="s">
        <v>666</v>
      </c>
      <c r="F446" s="1" t="s">
        <v>982</v>
      </c>
      <c r="G446" s="1" t="s">
        <v>3370</v>
      </c>
      <c r="H446" s="1">
        <v>1.273471E7</v>
      </c>
      <c r="I446" s="1" t="s">
        <v>3371</v>
      </c>
      <c r="J446" s="1" t="s">
        <v>3372</v>
      </c>
      <c r="K446" s="132">
        <v>0.0</v>
      </c>
    </row>
    <row r="447" hidden="1">
      <c r="A447" s="1" t="s">
        <v>3373</v>
      </c>
      <c r="B447" s="1" t="s">
        <v>3374</v>
      </c>
      <c r="C447" s="1" t="s">
        <v>3375</v>
      </c>
      <c r="D447" s="1">
        <v>2020.0</v>
      </c>
      <c r="E447" s="1" t="s">
        <v>666</v>
      </c>
      <c r="F447" s="1" t="s">
        <v>737</v>
      </c>
      <c r="G447" s="1" t="s">
        <v>3376</v>
      </c>
      <c r="H447" s="1">
        <v>3.2298131E7</v>
      </c>
      <c r="I447" s="1" t="s">
        <v>3377</v>
      </c>
      <c r="J447" s="1" t="s">
        <v>3378</v>
      </c>
      <c r="K447" s="132">
        <v>0.0</v>
      </c>
    </row>
    <row r="448" hidden="1">
      <c r="A448" s="1" t="s">
        <v>3379</v>
      </c>
      <c r="B448" s="1" t="s">
        <v>3380</v>
      </c>
      <c r="C448" s="1" t="s">
        <v>3381</v>
      </c>
      <c r="D448" s="1">
        <v>2007.0</v>
      </c>
      <c r="E448" s="1" t="s">
        <v>697</v>
      </c>
      <c r="F448" s="1" t="s">
        <v>2597</v>
      </c>
      <c r="G448" s="12"/>
      <c r="H448" s="1">
        <v>1.7623606E7</v>
      </c>
      <c r="I448" s="1" t="s">
        <v>3382</v>
      </c>
      <c r="J448" s="1" t="s">
        <v>3383</v>
      </c>
      <c r="K448" s="132">
        <v>0.0</v>
      </c>
    </row>
    <row r="449" hidden="1">
      <c r="A449" s="1" t="s">
        <v>3384</v>
      </c>
      <c r="B449" s="1" t="s">
        <v>3385</v>
      </c>
      <c r="C449" s="1" t="s">
        <v>3386</v>
      </c>
      <c r="D449" s="1">
        <v>2012.0</v>
      </c>
      <c r="E449" s="1" t="s">
        <v>658</v>
      </c>
      <c r="F449" s="1" t="s">
        <v>737</v>
      </c>
      <c r="G449" s="1" t="s">
        <v>3387</v>
      </c>
      <c r="H449" s="1">
        <v>2.2713551E7</v>
      </c>
      <c r="I449" s="1" t="s">
        <v>3388</v>
      </c>
      <c r="J449" s="1" t="s">
        <v>3389</v>
      </c>
      <c r="K449" s="132">
        <v>0.0</v>
      </c>
    </row>
    <row r="450" hidden="1">
      <c r="A450" s="1" t="s">
        <v>3390</v>
      </c>
      <c r="B450" s="1" t="s">
        <v>3391</v>
      </c>
      <c r="C450" s="1" t="s">
        <v>3392</v>
      </c>
      <c r="D450" s="1">
        <v>2008.0</v>
      </c>
      <c r="E450" s="1" t="s">
        <v>761</v>
      </c>
      <c r="F450" s="1" t="s">
        <v>767</v>
      </c>
      <c r="G450" s="1" t="s">
        <v>3393</v>
      </c>
      <c r="H450" s="1">
        <v>1.8589271E7</v>
      </c>
      <c r="I450" s="1" t="s">
        <v>3394</v>
      </c>
      <c r="J450" s="1" t="s">
        <v>3395</v>
      </c>
      <c r="K450" s="132">
        <v>0.0</v>
      </c>
    </row>
    <row r="451" hidden="1">
      <c r="A451" s="1" t="s">
        <v>3396</v>
      </c>
      <c r="B451" s="1" t="s">
        <v>3397</v>
      </c>
      <c r="C451" s="1" t="s">
        <v>3398</v>
      </c>
      <c r="D451" s="1">
        <v>2018.0</v>
      </c>
      <c r="E451" s="1" t="s">
        <v>697</v>
      </c>
      <c r="F451" s="1" t="s">
        <v>1167</v>
      </c>
      <c r="G451" s="1" t="s">
        <v>3399</v>
      </c>
      <c r="H451" s="1">
        <v>2.9680779E7</v>
      </c>
      <c r="I451" s="1" t="s">
        <v>3400</v>
      </c>
      <c r="J451" s="1" t="s">
        <v>3401</v>
      </c>
      <c r="K451" s="132">
        <v>0.0</v>
      </c>
    </row>
    <row r="452" hidden="1">
      <c r="A452" s="1" t="s">
        <v>3402</v>
      </c>
      <c r="B452" s="1" t="s">
        <v>3403</v>
      </c>
      <c r="C452" s="1" t="s">
        <v>3404</v>
      </c>
      <c r="D452" s="1">
        <v>2020.0</v>
      </c>
      <c r="E452" s="1" t="s">
        <v>723</v>
      </c>
      <c r="F452" s="1" t="s">
        <v>659</v>
      </c>
      <c r="G452" s="1" t="s">
        <v>3405</v>
      </c>
      <c r="H452" s="1">
        <v>3.1612263E7</v>
      </c>
      <c r="I452" s="1" t="s">
        <v>3406</v>
      </c>
      <c r="J452" s="1" t="s">
        <v>3407</v>
      </c>
      <c r="K452" s="132">
        <v>0.0</v>
      </c>
    </row>
    <row r="453" hidden="1">
      <c r="A453" s="1" t="s">
        <v>3408</v>
      </c>
      <c r="B453" s="1" t="s">
        <v>3409</v>
      </c>
      <c r="C453" s="1" t="s">
        <v>3410</v>
      </c>
      <c r="D453" s="1">
        <v>2024.0</v>
      </c>
      <c r="E453" s="1" t="s">
        <v>697</v>
      </c>
      <c r="F453" s="1" t="s">
        <v>737</v>
      </c>
      <c r="G453" s="1" t="s">
        <v>3411</v>
      </c>
      <c r="H453" s="1">
        <v>3.8794906E7</v>
      </c>
      <c r="I453" s="1" t="s">
        <v>3412</v>
      </c>
      <c r="J453" s="1" t="s">
        <v>3413</v>
      </c>
      <c r="K453" s="132">
        <v>0.0</v>
      </c>
    </row>
    <row r="454" hidden="1">
      <c r="A454" s="1" t="s">
        <v>3414</v>
      </c>
      <c r="B454" s="1" t="s">
        <v>3415</v>
      </c>
      <c r="C454" s="1" t="s">
        <v>3416</v>
      </c>
      <c r="D454" s="1">
        <v>2013.0</v>
      </c>
      <c r="E454" s="1" t="s">
        <v>761</v>
      </c>
      <c r="F454" s="1" t="s">
        <v>3417</v>
      </c>
      <c r="G454" s="1" t="s">
        <v>3418</v>
      </c>
      <c r="H454" s="1">
        <v>2.3686085E7</v>
      </c>
      <c r="I454" s="1" t="s">
        <v>3419</v>
      </c>
      <c r="J454" s="1" t="s">
        <v>3420</v>
      </c>
      <c r="K454" s="132">
        <v>0.0</v>
      </c>
    </row>
    <row r="455" hidden="1">
      <c r="A455" s="1" t="s">
        <v>3421</v>
      </c>
      <c r="B455" s="1" t="s">
        <v>3422</v>
      </c>
      <c r="C455" s="1" t="s">
        <v>3423</v>
      </c>
      <c r="D455" s="1">
        <v>2002.0</v>
      </c>
      <c r="E455" s="1" t="s">
        <v>940</v>
      </c>
      <c r="F455" s="1" t="s">
        <v>711</v>
      </c>
      <c r="G455" s="1" t="s">
        <v>3424</v>
      </c>
      <c r="H455" s="1">
        <v>1.2002492E7</v>
      </c>
      <c r="I455" s="1" t="s">
        <v>3425</v>
      </c>
      <c r="J455" s="1" t="s">
        <v>3426</v>
      </c>
      <c r="K455" s="132">
        <v>0.0</v>
      </c>
    </row>
    <row r="456" hidden="1">
      <c r="A456" s="1" t="s">
        <v>3427</v>
      </c>
      <c r="B456" s="1" t="s">
        <v>3428</v>
      </c>
      <c r="C456" s="1" t="s">
        <v>3429</v>
      </c>
      <c r="D456" s="1">
        <v>2026.0</v>
      </c>
      <c r="E456" s="12"/>
      <c r="F456" s="1" t="s">
        <v>3430</v>
      </c>
      <c r="G456" s="1" t="s">
        <v>3431</v>
      </c>
      <c r="H456" s="1">
        <v>4.1522287E7</v>
      </c>
      <c r="I456" s="1" t="s">
        <v>3432</v>
      </c>
      <c r="J456" s="1" t="s">
        <v>3433</v>
      </c>
      <c r="K456" s="132">
        <v>0.0</v>
      </c>
    </row>
    <row r="457" hidden="1">
      <c r="A457" s="1" t="s">
        <v>3434</v>
      </c>
      <c r="B457" s="1" t="s">
        <v>3435</v>
      </c>
      <c r="C457" s="1" t="s">
        <v>3436</v>
      </c>
      <c r="D457" s="1">
        <v>2001.0</v>
      </c>
      <c r="E457" s="1" t="s">
        <v>761</v>
      </c>
      <c r="F457" s="1" t="s">
        <v>767</v>
      </c>
      <c r="G457" s="1" t="s">
        <v>3437</v>
      </c>
      <c r="H457" s="1">
        <v>1.1447547E7</v>
      </c>
      <c r="I457" s="1" t="s">
        <v>3438</v>
      </c>
      <c r="J457" s="1" t="s">
        <v>3439</v>
      </c>
      <c r="K457" s="132">
        <v>0.0</v>
      </c>
    </row>
    <row r="458" hidden="1">
      <c r="A458" s="1" t="s">
        <v>3440</v>
      </c>
      <c r="B458" s="1" t="s">
        <v>3441</v>
      </c>
      <c r="C458" s="1" t="s">
        <v>3442</v>
      </c>
      <c r="D458" s="1">
        <v>2004.0</v>
      </c>
      <c r="E458" s="1" t="s">
        <v>898</v>
      </c>
      <c r="F458" s="1" t="s">
        <v>737</v>
      </c>
      <c r="G458" s="1" t="s">
        <v>3443</v>
      </c>
      <c r="H458" s="1">
        <v>1.5572316E7</v>
      </c>
      <c r="I458" s="1" t="s">
        <v>3444</v>
      </c>
      <c r="J458" s="1" t="s">
        <v>3445</v>
      </c>
      <c r="K458" s="132">
        <v>0.0</v>
      </c>
    </row>
    <row r="459" hidden="1">
      <c r="A459" s="1" t="s">
        <v>3446</v>
      </c>
      <c r="B459" s="1" t="s">
        <v>3447</v>
      </c>
      <c r="C459" s="1" t="s">
        <v>3448</v>
      </c>
      <c r="D459" s="1">
        <v>2019.0</v>
      </c>
      <c r="E459" s="1" t="s">
        <v>658</v>
      </c>
      <c r="F459" s="1" t="s">
        <v>682</v>
      </c>
      <c r="G459" s="1" t="s">
        <v>3449</v>
      </c>
      <c r="H459" s="1">
        <v>3.1409425E7</v>
      </c>
      <c r="I459" s="1" t="s">
        <v>3450</v>
      </c>
      <c r="J459" s="1" t="s">
        <v>3451</v>
      </c>
      <c r="K459" s="132">
        <v>0.0</v>
      </c>
    </row>
    <row r="460" hidden="1">
      <c r="A460" s="1" t="s">
        <v>3452</v>
      </c>
      <c r="B460" s="1" t="s">
        <v>3453</v>
      </c>
      <c r="C460" s="1" t="s">
        <v>3454</v>
      </c>
      <c r="D460" s="1">
        <v>2009.0</v>
      </c>
      <c r="E460" s="1" t="s">
        <v>681</v>
      </c>
      <c r="F460" s="1" t="s">
        <v>767</v>
      </c>
      <c r="G460" s="1" t="s">
        <v>3455</v>
      </c>
      <c r="H460" s="1">
        <v>1.9896041E7</v>
      </c>
      <c r="I460" s="1" t="s">
        <v>3456</v>
      </c>
      <c r="J460" s="1" t="s">
        <v>3457</v>
      </c>
      <c r="K460" s="132">
        <v>0.0</v>
      </c>
    </row>
    <row r="461" hidden="1">
      <c r="A461" s="1" t="s">
        <v>3458</v>
      </c>
      <c r="B461" s="1" t="s">
        <v>3459</v>
      </c>
      <c r="C461" s="1" t="s">
        <v>3460</v>
      </c>
      <c r="D461" s="1">
        <v>2016.0</v>
      </c>
      <c r="E461" s="1" t="s">
        <v>898</v>
      </c>
      <c r="F461" s="1" t="s">
        <v>886</v>
      </c>
      <c r="G461" s="1" t="s">
        <v>3461</v>
      </c>
      <c r="H461" s="1">
        <v>2.7802924E7</v>
      </c>
      <c r="I461" s="1" t="s">
        <v>3462</v>
      </c>
      <c r="J461" s="1" t="s">
        <v>3463</v>
      </c>
      <c r="K461" s="132">
        <v>0.0</v>
      </c>
    </row>
    <row r="462">
      <c r="A462" s="1" t="s">
        <v>3464</v>
      </c>
      <c r="B462" s="1" t="s">
        <v>3465</v>
      </c>
      <c r="C462" s="1" t="s">
        <v>3466</v>
      </c>
      <c r="D462" s="1">
        <v>2011.0</v>
      </c>
      <c r="E462" s="1" t="s">
        <v>666</v>
      </c>
      <c r="F462" s="1" t="s">
        <v>659</v>
      </c>
      <c r="G462" s="1" t="s">
        <v>122</v>
      </c>
      <c r="H462" s="1">
        <v>2.1290116E7</v>
      </c>
      <c r="I462" s="1" t="s">
        <v>3467</v>
      </c>
      <c r="J462" s="1" t="s">
        <v>1085</v>
      </c>
      <c r="K462" s="132">
        <v>3.0</v>
      </c>
    </row>
    <row r="463" hidden="1">
      <c r="A463" s="1" t="s">
        <v>3468</v>
      </c>
      <c r="B463" s="1" t="s">
        <v>3469</v>
      </c>
      <c r="C463" s="1" t="s">
        <v>3470</v>
      </c>
      <c r="D463" s="1">
        <v>2012.0</v>
      </c>
      <c r="E463" s="1" t="s">
        <v>729</v>
      </c>
      <c r="F463" s="1" t="s">
        <v>767</v>
      </c>
      <c r="G463" s="1" t="s">
        <v>3471</v>
      </c>
      <c r="H463" s="1">
        <v>2.2732367E7</v>
      </c>
      <c r="I463" s="1" t="s">
        <v>3472</v>
      </c>
      <c r="J463" s="1" t="s">
        <v>3473</v>
      </c>
      <c r="K463" s="132">
        <v>0.0</v>
      </c>
    </row>
    <row r="464" hidden="1">
      <c r="A464" s="1" t="s">
        <v>3474</v>
      </c>
      <c r="B464" s="1" t="s">
        <v>3475</v>
      </c>
      <c r="C464" s="1" t="s">
        <v>3476</v>
      </c>
      <c r="D464" s="1">
        <v>2013.0</v>
      </c>
      <c r="E464" s="1" t="s">
        <v>666</v>
      </c>
      <c r="F464" s="1" t="s">
        <v>767</v>
      </c>
      <c r="G464" s="1" t="s">
        <v>3477</v>
      </c>
      <c r="H464" s="1">
        <v>2.3538044E7</v>
      </c>
      <c r="I464" s="1" t="s">
        <v>3478</v>
      </c>
      <c r="J464" s="1" t="s">
        <v>3479</v>
      </c>
      <c r="K464" s="132">
        <v>0.0</v>
      </c>
    </row>
    <row r="465" hidden="1">
      <c r="A465" s="1" t="s">
        <v>3480</v>
      </c>
      <c r="B465" s="1" t="s">
        <v>3469</v>
      </c>
      <c r="C465" s="1" t="s">
        <v>3481</v>
      </c>
      <c r="D465" s="1">
        <v>2013.0</v>
      </c>
      <c r="E465" s="1" t="s">
        <v>689</v>
      </c>
      <c r="F465" s="1" t="s">
        <v>767</v>
      </c>
      <c r="G465" s="1" t="s">
        <v>3482</v>
      </c>
      <c r="H465" s="1">
        <v>2.3369444E7</v>
      </c>
      <c r="I465" s="1" t="s">
        <v>3483</v>
      </c>
      <c r="J465" s="1" t="s">
        <v>3479</v>
      </c>
      <c r="K465" s="132">
        <v>0.0</v>
      </c>
    </row>
    <row r="466" hidden="1">
      <c r="A466" s="1" t="s">
        <v>3484</v>
      </c>
      <c r="B466" s="1" t="s">
        <v>3485</v>
      </c>
      <c r="C466" s="1" t="s">
        <v>3486</v>
      </c>
      <c r="D466" s="1">
        <v>2016.0</v>
      </c>
      <c r="E466" s="1" t="s">
        <v>658</v>
      </c>
      <c r="F466" s="1" t="s">
        <v>3487</v>
      </c>
      <c r="G466" s="12"/>
      <c r="H466" s="1">
        <v>2.76823E7</v>
      </c>
      <c r="I466" s="1" t="s">
        <v>3488</v>
      </c>
      <c r="J466" s="1" t="s">
        <v>3489</v>
      </c>
      <c r="K466" s="132">
        <v>0.0</v>
      </c>
    </row>
    <row r="467" hidden="1">
      <c r="A467" s="1" t="s">
        <v>3490</v>
      </c>
      <c r="B467" s="1" t="s">
        <v>3491</v>
      </c>
      <c r="C467" s="1" t="s">
        <v>3492</v>
      </c>
      <c r="D467" s="1">
        <v>2023.0</v>
      </c>
      <c r="E467" s="12"/>
      <c r="F467" s="1" t="s">
        <v>3493</v>
      </c>
      <c r="G467" s="1" t="s">
        <v>3494</v>
      </c>
      <c r="H467" s="1">
        <v>3.7089769E7</v>
      </c>
      <c r="I467" s="1" t="s">
        <v>3495</v>
      </c>
      <c r="J467" s="1" t="s">
        <v>3496</v>
      </c>
      <c r="K467" s="132">
        <v>0.0</v>
      </c>
    </row>
    <row r="468" hidden="1">
      <c r="A468" s="1" t="s">
        <v>3497</v>
      </c>
      <c r="B468" s="1" t="s">
        <v>3498</v>
      </c>
      <c r="C468" s="1" t="s">
        <v>3499</v>
      </c>
      <c r="D468" s="1">
        <v>2025.0</v>
      </c>
      <c r="E468" s="1" t="s">
        <v>940</v>
      </c>
      <c r="F468" s="1" t="s">
        <v>3500</v>
      </c>
      <c r="G468" s="1" t="s">
        <v>3501</v>
      </c>
      <c r="H468" s="1">
        <v>4.0181441E7</v>
      </c>
      <c r="I468" s="1" t="s">
        <v>3502</v>
      </c>
      <c r="J468" s="1" t="s">
        <v>3503</v>
      </c>
      <c r="K468" s="132">
        <v>0.0</v>
      </c>
    </row>
    <row r="469" hidden="1">
      <c r="A469" s="1" t="s">
        <v>3504</v>
      </c>
      <c r="B469" s="1" t="s">
        <v>3505</v>
      </c>
      <c r="C469" s="1" t="s">
        <v>3506</v>
      </c>
      <c r="D469" s="1">
        <v>2004.0</v>
      </c>
      <c r="E469" s="1" t="s">
        <v>3507</v>
      </c>
      <c r="F469" s="1" t="s">
        <v>737</v>
      </c>
      <c r="G469" s="1" t="s">
        <v>3508</v>
      </c>
      <c r="H469" s="1">
        <v>1.5090395E7</v>
      </c>
      <c r="I469" s="1" t="s">
        <v>3509</v>
      </c>
      <c r="J469" s="1" t="s">
        <v>3510</v>
      </c>
      <c r="K469" s="132">
        <v>0.0</v>
      </c>
    </row>
    <row r="470" hidden="1">
      <c r="A470" s="1" t="s">
        <v>3511</v>
      </c>
      <c r="B470" s="1" t="s">
        <v>3512</v>
      </c>
      <c r="C470" s="1" t="s">
        <v>3513</v>
      </c>
      <c r="D470" s="1">
        <v>2004.0</v>
      </c>
      <c r="E470" s="1" t="s">
        <v>689</v>
      </c>
      <c r="F470" s="1" t="s">
        <v>737</v>
      </c>
      <c r="G470" s="1" t="s">
        <v>3514</v>
      </c>
      <c r="H470" s="1">
        <v>1.4977666E7</v>
      </c>
      <c r="I470" s="1" t="s">
        <v>3515</v>
      </c>
      <c r="J470" s="1" t="s">
        <v>3510</v>
      </c>
      <c r="K470" s="132">
        <v>0.0</v>
      </c>
    </row>
    <row r="471" hidden="1">
      <c r="A471" s="1" t="s">
        <v>3516</v>
      </c>
      <c r="B471" s="1" t="s">
        <v>3512</v>
      </c>
      <c r="C471" s="1" t="s">
        <v>3517</v>
      </c>
      <c r="D471" s="1">
        <v>2004.0</v>
      </c>
      <c r="E471" s="1" t="s">
        <v>689</v>
      </c>
      <c r="F471" s="1" t="s">
        <v>737</v>
      </c>
      <c r="G471" s="1" t="s">
        <v>3518</v>
      </c>
      <c r="H471" s="1">
        <v>1.4977667E7</v>
      </c>
      <c r="I471" s="1" t="s">
        <v>3519</v>
      </c>
      <c r="J471" s="1" t="s">
        <v>3510</v>
      </c>
      <c r="K471" s="132">
        <v>1.0</v>
      </c>
    </row>
    <row r="472" hidden="1">
      <c r="A472" s="1" t="s">
        <v>3520</v>
      </c>
      <c r="B472" s="1" t="s">
        <v>3521</v>
      </c>
      <c r="C472" s="1" t="s">
        <v>3522</v>
      </c>
      <c r="D472" s="1">
        <v>2023.0</v>
      </c>
      <c r="E472" s="1" t="s">
        <v>729</v>
      </c>
      <c r="F472" s="1" t="s">
        <v>3523</v>
      </c>
      <c r="G472" s="1" t="s">
        <v>3524</v>
      </c>
      <c r="H472" s="1">
        <v>3.7893482E7</v>
      </c>
      <c r="I472" s="1" t="s">
        <v>3525</v>
      </c>
      <c r="J472" s="1" t="s">
        <v>3526</v>
      </c>
      <c r="K472" s="132">
        <v>0.0</v>
      </c>
    </row>
    <row r="473" hidden="1">
      <c r="A473" s="1" t="s">
        <v>3527</v>
      </c>
      <c r="B473" s="1" t="s">
        <v>3528</v>
      </c>
      <c r="C473" s="1" t="s">
        <v>3529</v>
      </c>
      <c r="D473" s="1">
        <v>1985.0</v>
      </c>
      <c r="E473" s="1" t="s">
        <v>674</v>
      </c>
      <c r="F473" s="1" t="s">
        <v>819</v>
      </c>
      <c r="G473" s="12"/>
      <c r="H473" s="1">
        <v>3896609.0</v>
      </c>
      <c r="I473" s="1" t="s">
        <v>3530</v>
      </c>
      <c r="J473" s="1" t="s">
        <v>3531</v>
      </c>
      <c r="K473" s="132">
        <v>0.0</v>
      </c>
    </row>
    <row r="474" hidden="1">
      <c r="A474" s="1" t="s">
        <v>3532</v>
      </c>
      <c r="B474" s="1" t="s">
        <v>3533</v>
      </c>
      <c r="C474" s="1" t="s">
        <v>3534</v>
      </c>
      <c r="D474" s="1">
        <v>2021.0</v>
      </c>
      <c r="E474" s="1" t="s">
        <v>681</v>
      </c>
      <c r="F474" s="1" t="s">
        <v>1174</v>
      </c>
      <c r="G474" s="1" t="s">
        <v>3535</v>
      </c>
      <c r="H474" s="1">
        <v>3.4814896E7</v>
      </c>
      <c r="I474" s="1" t="s">
        <v>3536</v>
      </c>
      <c r="J474" s="1" t="s">
        <v>3537</v>
      </c>
      <c r="K474" s="132">
        <v>0.0</v>
      </c>
    </row>
    <row r="475" hidden="1">
      <c r="A475" s="1" t="s">
        <v>3538</v>
      </c>
      <c r="B475" s="1" t="s">
        <v>3539</v>
      </c>
      <c r="C475" s="1" t="s">
        <v>3540</v>
      </c>
      <c r="D475" s="1">
        <v>2021.0</v>
      </c>
      <c r="E475" s="1" t="s">
        <v>681</v>
      </c>
      <c r="F475" s="1" t="s">
        <v>982</v>
      </c>
      <c r="G475" s="1" t="s">
        <v>3541</v>
      </c>
      <c r="H475" s="1">
        <v>3.3609182E7</v>
      </c>
      <c r="I475" s="1" t="s">
        <v>3542</v>
      </c>
      <c r="J475" s="1" t="s">
        <v>3543</v>
      </c>
      <c r="K475" s="132">
        <v>0.0</v>
      </c>
    </row>
    <row r="476" hidden="1">
      <c r="A476" s="1" t="s">
        <v>3544</v>
      </c>
      <c r="B476" s="1" t="s">
        <v>3545</v>
      </c>
      <c r="C476" s="1" t="s">
        <v>3546</v>
      </c>
      <c r="D476" s="1">
        <v>1999.0</v>
      </c>
      <c r="E476" s="1" t="s">
        <v>813</v>
      </c>
      <c r="F476" s="1" t="s">
        <v>737</v>
      </c>
      <c r="G476" s="1" t="s">
        <v>3547</v>
      </c>
      <c r="H476" s="1">
        <v>1.0352774E7</v>
      </c>
      <c r="I476" s="1" t="s">
        <v>3548</v>
      </c>
      <c r="J476" s="1" t="s">
        <v>3549</v>
      </c>
      <c r="K476" s="132">
        <v>0.0</v>
      </c>
    </row>
    <row r="477" hidden="1">
      <c r="A477" s="1" t="s">
        <v>3550</v>
      </c>
      <c r="B477" s="1" t="s">
        <v>3551</v>
      </c>
      <c r="C477" s="1" t="s">
        <v>3552</v>
      </c>
      <c r="D477" s="1">
        <v>2016.0</v>
      </c>
      <c r="E477" s="1" t="s">
        <v>674</v>
      </c>
      <c r="F477" s="1" t="s">
        <v>767</v>
      </c>
      <c r="G477" s="1" t="s">
        <v>3553</v>
      </c>
      <c r="H477" s="1">
        <v>2.7349715E7</v>
      </c>
      <c r="I477" s="1" t="s">
        <v>3554</v>
      </c>
      <c r="J477" s="1" t="s">
        <v>3555</v>
      </c>
      <c r="K477" s="132">
        <v>0.0</v>
      </c>
    </row>
    <row r="478" hidden="1">
      <c r="A478" s="1" t="s">
        <v>3556</v>
      </c>
      <c r="B478" s="1" t="s">
        <v>3557</v>
      </c>
      <c r="C478" s="1" t="s">
        <v>3558</v>
      </c>
      <c r="D478" s="1">
        <v>2018.0</v>
      </c>
      <c r="E478" s="1" t="s">
        <v>736</v>
      </c>
      <c r="F478" s="1" t="s">
        <v>767</v>
      </c>
      <c r="G478" s="1" t="s">
        <v>3559</v>
      </c>
      <c r="H478" s="1">
        <v>2.9032903E7</v>
      </c>
      <c r="I478" s="1" t="s">
        <v>3560</v>
      </c>
      <c r="J478" s="1" t="s">
        <v>3561</v>
      </c>
      <c r="K478" s="132">
        <v>0.0</v>
      </c>
    </row>
    <row r="479" hidden="1">
      <c r="A479" s="1" t="s">
        <v>3562</v>
      </c>
      <c r="B479" s="1" t="s">
        <v>3563</v>
      </c>
      <c r="C479" s="1" t="s">
        <v>3564</v>
      </c>
      <c r="D479" s="1">
        <v>2023.0</v>
      </c>
      <c r="E479" s="1" t="s">
        <v>681</v>
      </c>
      <c r="F479" s="1" t="s">
        <v>825</v>
      </c>
      <c r="G479" s="1" t="s">
        <v>3565</v>
      </c>
      <c r="H479" s="1">
        <v>3.8035216E7</v>
      </c>
      <c r="I479" s="1" t="s">
        <v>3566</v>
      </c>
      <c r="J479" s="1" t="s">
        <v>3567</v>
      </c>
      <c r="K479" s="132">
        <v>0.0</v>
      </c>
    </row>
    <row r="480" hidden="1">
      <c r="A480" s="1" t="s">
        <v>3568</v>
      </c>
      <c r="B480" s="1" t="s">
        <v>3569</v>
      </c>
      <c r="C480" s="1" t="s">
        <v>3570</v>
      </c>
      <c r="D480" s="1">
        <v>2016.0</v>
      </c>
      <c r="E480" s="1" t="s">
        <v>736</v>
      </c>
      <c r="F480" s="1" t="s">
        <v>1248</v>
      </c>
      <c r="G480" s="1" t="s">
        <v>3571</v>
      </c>
      <c r="H480" s="1">
        <v>2.5601016E7</v>
      </c>
      <c r="I480" s="1" t="s">
        <v>3572</v>
      </c>
      <c r="J480" s="1" t="s">
        <v>3573</v>
      </c>
      <c r="K480" s="132">
        <v>0.0</v>
      </c>
    </row>
    <row r="481" hidden="1">
      <c r="A481" s="1" t="s">
        <v>3574</v>
      </c>
      <c r="B481" s="1" t="s">
        <v>3575</v>
      </c>
      <c r="C481" s="1" t="s">
        <v>3576</v>
      </c>
      <c r="D481" s="1">
        <v>2022.0</v>
      </c>
      <c r="E481" s="1" t="s">
        <v>940</v>
      </c>
      <c r="F481" s="1" t="s">
        <v>825</v>
      </c>
      <c r="G481" s="1" t="s">
        <v>3577</v>
      </c>
      <c r="H481" s="1">
        <v>3.5464901E7</v>
      </c>
      <c r="I481" s="1" t="s">
        <v>3578</v>
      </c>
      <c r="J481" s="1" t="s">
        <v>3579</v>
      </c>
      <c r="K481" s="132">
        <v>0.0</v>
      </c>
    </row>
    <row r="482" hidden="1">
      <c r="A482" s="1" t="s">
        <v>3580</v>
      </c>
      <c r="B482" s="1" t="s">
        <v>3581</v>
      </c>
      <c r="C482" s="1" t="s">
        <v>3582</v>
      </c>
      <c r="D482" s="1">
        <v>1996.0</v>
      </c>
      <c r="E482" s="1" t="s">
        <v>697</v>
      </c>
      <c r="F482" s="1" t="s">
        <v>730</v>
      </c>
      <c r="G482" s="12"/>
      <c r="H482" s="1">
        <v>8666597.0</v>
      </c>
      <c r="I482" s="1" t="s">
        <v>3583</v>
      </c>
      <c r="J482" s="1" t="s">
        <v>1086</v>
      </c>
      <c r="K482" s="132">
        <v>2.0</v>
      </c>
    </row>
    <row r="483" hidden="1">
      <c r="A483" s="1" t="s">
        <v>3584</v>
      </c>
      <c r="B483" s="1" t="s">
        <v>3581</v>
      </c>
      <c r="C483" s="1" t="s">
        <v>3585</v>
      </c>
      <c r="D483" s="1">
        <v>2001.0</v>
      </c>
      <c r="E483" s="1" t="s">
        <v>674</v>
      </c>
      <c r="F483" s="1" t="s">
        <v>730</v>
      </c>
      <c r="G483" s="1" t="s">
        <v>3586</v>
      </c>
      <c r="H483" s="1">
        <v>1.1568194E7</v>
      </c>
      <c r="I483" s="1" t="s">
        <v>3587</v>
      </c>
      <c r="J483" s="1" t="s">
        <v>3588</v>
      </c>
      <c r="K483" s="132">
        <v>0.0</v>
      </c>
    </row>
    <row r="484" hidden="1">
      <c r="A484" s="1" t="s">
        <v>3589</v>
      </c>
      <c r="B484" s="1" t="s">
        <v>3590</v>
      </c>
      <c r="C484" s="1" t="s">
        <v>3591</v>
      </c>
      <c r="D484" s="1">
        <v>2022.0</v>
      </c>
      <c r="E484" s="1" t="s">
        <v>674</v>
      </c>
      <c r="F484" s="1" t="s">
        <v>682</v>
      </c>
      <c r="G484" s="1" t="s">
        <v>3592</v>
      </c>
      <c r="H484" s="1">
        <v>3.6096886E7</v>
      </c>
      <c r="I484" s="1" t="s">
        <v>3593</v>
      </c>
      <c r="J484" s="1" t="s">
        <v>3594</v>
      </c>
      <c r="K484" s="132">
        <v>0.0</v>
      </c>
    </row>
    <row r="485" hidden="1">
      <c r="A485" s="1" t="s">
        <v>3595</v>
      </c>
      <c r="B485" s="1" t="s">
        <v>3596</v>
      </c>
      <c r="C485" s="1" t="s">
        <v>3597</v>
      </c>
      <c r="D485" s="1">
        <v>2024.0</v>
      </c>
      <c r="E485" s="1" t="s">
        <v>940</v>
      </c>
      <c r="F485" s="1" t="s">
        <v>682</v>
      </c>
      <c r="G485" s="1" t="s">
        <v>3598</v>
      </c>
      <c r="H485" s="1">
        <v>3.8605374E7</v>
      </c>
      <c r="I485" s="1" t="s">
        <v>3599</v>
      </c>
      <c r="J485" s="1" t="s">
        <v>3600</v>
      </c>
      <c r="K485" s="132">
        <v>0.0</v>
      </c>
    </row>
    <row r="486" hidden="1">
      <c r="A486" s="1" t="s">
        <v>3601</v>
      </c>
      <c r="B486" s="1" t="s">
        <v>3602</v>
      </c>
      <c r="C486" s="1" t="s">
        <v>3603</v>
      </c>
      <c r="D486" s="1">
        <v>1996.0</v>
      </c>
      <c r="E486" s="1" t="s">
        <v>940</v>
      </c>
      <c r="F486" s="1" t="s">
        <v>1649</v>
      </c>
      <c r="G486" s="1" t="s">
        <v>3604</v>
      </c>
      <c r="H486" s="1">
        <v>8736296.0</v>
      </c>
      <c r="I486" s="1" t="s">
        <v>3605</v>
      </c>
      <c r="J486" s="1" t="s">
        <v>3606</v>
      </c>
      <c r="K486" s="132">
        <v>0.0</v>
      </c>
    </row>
    <row r="487" hidden="1">
      <c r="A487" s="1" t="s">
        <v>3607</v>
      </c>
      <c r="B487" s="1" t="s">
        <v>3608</v>
      </c>
      <c r="C487" s="1" t="s">
        <v>3609</v>
      </c>
      <c r="D487" s="1">
        <v>2008.0</v>
      </c>
      <c r="E487" s="1" t="s">
        <v>898</v>
      </c>
      <c r="F487" s="1" t="s">
        <v>767</v>
      </c>
      <c r="G487" s="1" t="s">
        <v>3610</v>
      </c>
      <c r="H487" s="1">
        <v>1.9038708E7</v>
      </c>
      <c r="I487" s="1" t="s">
        <v>3611</v>
      </c>
      <c r="J487" s="1" t="s">
        <v>3612</v>
      </c>
      <c r="K487" s="132">
        <v>0.0</v>
      </c>
    </row>
    <row r="488" hidden="1">
      <c r="A488" s="1" t="s">
        <v>3613</v>
      </c>
      <c r="B488" s="1" t="s">
        <v>3614</v>
      </c>
      <c r="C488" s="1" t="s">
        <v>3615</v>
      </c>
      <c r="D488" s="1">
        <v>2003.0</v>
      </c>
      <c r="E488" s="1" t="s">
        <v>1469</v>
      </c>
      <c r="F488" s="1" t="s">
        <v>737</v>
      </c>
      <c r="G488" s="1" t="s">
        <v>3616</v>
      </c>
      <c r="H488" s="1">
        <v>1.2642266E7</v>
      </c>
      <c r="I488" s="1" t="s">
        <v>3617</v>
      </c>
      <c r="J488" s="1" t="s">
        <v>3618</v>
      </c>
      <c r="K488" s="132">
        <v>0.0</v>
      </c>
    </row>
    <row r="489" hidden="1">
      <c r="A489" s="1" t="s">
        <v>3619</v>
      </c>
      <c r="B489" s="1" t="s">
        <v>3620</v>
      </c>
      <c r="C489" s="1" t="s">
        <v>3621</v>
      </c>
      <c r="D489" s="1">
        <v>2016.0</v>
      </c>
      <c r="E489" s="12"/>
      <c r="F489" s="1" t="s">
        <v>2403</v>
      </c>
      <c r="G489" s="12"/>
      <c r="H489" s="1">
        <v>2.6875887E7</v>
      </c>
      <c r="I489" s="1" t="s">
        <v>3622</v>
      </c>
      <c r="J489" s="1" t="s">
        <v>3623</v>
      </c>
      <c r="K489" s="132">
        <v>0.0</v>
      </c>
    </row>
    <row r="490" hidden="1">
      <c r="A490" s="1" t="s">
        <v>3624</v>
      </c>
      <c r="B490" s="1" t="s">
        <v>3625</v>
      </c>
      <c r="C490" s="1" t="s">
        <v>3626</v>
      </c>
      <c r="D490" s="1">
        <v>2010.0</v>
      </c>
      <c r="E490" s="1" t="s">
        <v>761</v>
      </c>
      <c r="F490" s="1" t="s">
        <v>1852</v>
      </c>
      <c r="G490" s="1" t="s">
        <v>3627</v>
      </c>
      <c r="H490" s="1">
        <v>2.0607509E7</v>
      </c>
      <c r="I490" s="1" t="s">
        <v>3628</v>
      </c>
      <c r="J490" s="1" t="s">
        <v>3629</v>
      </c>
      <c r="K490" s="132">
        <v>1.0</v>
      </c>
    </row>
    <row r="491" hidden="1">
      <c r="A491" s="1" t="s">
        <v>3630</v>
      </c>
      <c r="B491" s="1" t="s">
        <v>3631</v>
      </c>
      <c r="C491" s="1" t="s">
        <v>3632</v>
      </c>
      <c r="D491" s="1">
        <v>2022.0</v>
      </c>
      <c r="E491" s="1" t="s">
        <v>729</v>
      </c>
      <c r="F491" s="1" t="s">
        <v>1698</v>
      </c>
      <c r="G491" s="1" t="s">
        <v>3633</v>
      </c>
      <c r="H491" s="1">
        <v>3.5551165E7</v>
      </c>
      <c r="I491" s="1" t="s">
        <v>3634</v>
      </c>
      <c r="J491" s="1" t="s">
        <v>3635</v>
      </c>
      <c r="K491" s="132">
        <v>0.0</v>
      </c>
    </row>
    <row r="492" hidden="1">
      <c r="A492" s="1" t="s">
        <v>3636</v>
      </c>
      <c r="B492" s="1" t="s">
        <v>3637</v>
      </c>
      <c r="C492" s="1" t="s">
        <v>3638</v>
      </c>
      <c r="D492" s="1">
        <v>2016.0</v>
      </c>
      <c r="E492" s="1" t="s">
        <v>761</v>
      </c>
      <c r="F492" s="1" t="s">
        <v>1147</v>
      </c>
      <c r="G492" s="1" t="s">
        <v>3639</v>
      </c>
      <c r="H492" s="1">
        <v>2.6869286E7</v>
      </c>
      <c r="I492" s="1" t="s">
        <v>3640</v>
      </c>
      <c r="J492" s="1" t="s">
        <v>3641</v>
      </c>
      <c r="K492" s="132">
        <v>0.0</v>
      </c>
    </row>
    <row r="493" hidden="1">
      <c r="A493" s="1" t="s">
        <v>3642</v>
      </c>
      <c r="B493" s="1" t="s">
        <v>3643</v>
      </c>
      <c r="C493" s="1" t="s">
        <v>3644</v>
      </c>
      <c r="D493" s="1">
        <v>2017.0</v>
      </c>
      <c r="E493" s="1" t="s">
        <v>681</v>
      </c>
      <c r="F493" s="1" t="s">
        <v>1191</v>
      </c>
      <c r="G493" s="1" t="s">
        <v>3645</v>
      </c>
      <c r="H493" s="1">
        <v>2.7930453E7</v>
      </c>
      <c r="I493" s="1" t="s">
        <v>3646</v>
      </c>
      <c r="J493" s="1" t="s">
        <v>3647</v>
      </c>
      <c r="K493" s="132">
        <v>0.0</v>
      </c>
    </row>
    <row r="494" hidden="1">
      <c r="A494" s="1" t="s">
        <v>3648</v>
      </c>
      <c r="B494" s="1" t="s">
        <v>3649</v>
      </c>
      <c r="C494" s="1" t="s">
        <v>3650</v>
      </c>
      <c r="D494" s="1">
        <v>2018.0</v>
      </c>
      <c r="E494" s="1" t="s">
        <v>666</v>
      </c>
      <c r="F494" s="1" t="s">
        <v>1147</v>
      </c>
      <c r="G494" s="1" t="s">
        <v>3651</v>
      </c>
      <c r="H494" s="1">
        <v>2.940752E7</v>
      </c>
      <c r="I494" s="1" t="s">
        <v>3652</v>
      </c>
      <c r="J494" s="1" t="s">
        <v>3653</v>
      </c>
      <c r="K494" s="132">
        <v>0.0</v>
      </c>
    </row>
    <row r="495" hidden="1">
      <c r="A495" s="1" t="s">
        <v>3654</v>
      </c>
      <c r="B495" s="1" t="s">
        <v>3655</v>
      </c>
      <c r="C495" s="1" t="s">
        <v>3656</v>
      </c>
      <c r="D495" s="1">
        <v>2008.0</v>
      </c>
      <c r="E495" s="1" t="s">
        <v>940</v>
      </c>
      <c r="F495" s="1" t="s">
        <v>659</v>
      </c>
      <c r="G495" s="1" t="s">
        <v>3657</v>
      </c>
      <c r="H495" s="1">
        <v>1.7934715E7</v>
      </c>
      <c r="I495" s="1" t="s">
        <v>3658</v>
      </c>
      <c r="J495" s="1" t="s">
        <v>3659</v>
      </c>
      <c r="K495" s="132">
        <v>0.0</v>
      </c>
    </row>
    <row r="496">
      <c r="A496" s="1" t="s">
        <v>3660</v>
      </c>
      <c r="B496" s="1" t="s">
        <v>3661</v>
      </c>
      <c r="C496" s="1" t="s">
        <v>3662</v>
      </c>
      <c r="D496" s="1">
        <v>2015.0</v>
      </c>
      <c r="E496" s="1" t="s">
        <v>689</v>
      </c>
      <c r="F496" s="1" t="s">
        <v>2603</v>
      </c>
      <c r="G496" s="1" t="s">
        <v>124</v>
      </c>
      <c r="H496" s="1">
        <v>2.5192689E7</v>
      </c>
      <c r="I496" s="1" t="s">
        <v>3663</v>
      </c>
      <c r="J496" s="1" t="s">
        <v>1088</v>
      </c>
      <c r="K496" s="132">
        <v>3.0</v>
      </c>
    </row>
    <row r="497" hidden="1">
      <c r="A497" s="1" t="s">
        <v>3664</v>
      </c>
      <c r="B497" s="1" t="s">
        <v>3665</v>
      </c>
      <c r="C497" s="1" t="s">
        <v>3666</v>
      </c>
      <c r="D497" s="1">
        <v>2013.0</v>
      </c>
      <c r="E497" s="1" t="s">
        <v>723</v>
      </c>
      <c r="F497" s="1" t="s">
        <v>1125</v>
      </c>
      <c r="G497" s="1" t="s">
        <v>3667</v>
      </c>
      <c r="H497" s="1">
        <v>2.3288773E7</v>
      </c>
      <c r="I497" s="1" t="s">
        <v>3668</v>
      </c>
      <c r="J497" s="1" t="s">
        <v>3669</v>
      </c>
      <c r="K497" s="132">
        <v>0.0</v>
      </c>
    </row>
    <row r="498" hidden="1">
      <c r="A498" s="1" t="s">
        <v>3670</v>
      </c>
      <c r="B498" s="1" t="s">
        <v>3671</v>
      </c>
      <c r="C498" s="1" t="s">
        <v>3672</v>
      </c>
      <c r="D498" s="1">
        <v>2026.0</v>
      </c>
      <c r="E498" s="1" t="s">
        <v>658</v>
      </c>
      <c r="F498" s="1" t="s">
        <v>1154</v>
      </c>
      <c r="G498" s="1" t="s">
        <v>3673</v>
      </c>
      <c r="H498" s="1">
        <v>4.2208111E7</v>
      </c>
      <c r="I498" s="1" t="s">
        <v>3674</v>
      </c>
      <c r="J498" s="1" t="s">
        <v>3675</v>
      </c>
      <c r="K498" s="132">
        <v>0.0</v>
      </c>
    </row>
    <row r="499" hidden="1">
      <c r="A499" s="1" t="s">
        <v>3676</v>
      </c>
      <c r="B499" s="1" t="s">
        <v>3677</v>
      </c>
      <c r="C499" s="1" t="s">
        <v>3678</v>
      </c>
      <c r="D499" s="1">
        <v>2007.0</v>
      </c>
      <c r="E499" s="1" t="s">
        <v>940</v>
      </c>
      <c r="F499" s="1" t="s">
        <v>737</v>
      </c>
      <c r="G499" s="1" t="s">
        <v>3679</v>
      </c>
      <c r="H499" s="1">
        <v>1.72449E7</v>
      </c>
      <c r="I499" s="1" t="s">
        <v>3680</v>
      </c>
      <c r="J499" s="1" t="s">
        <v>3681</v>
      </c>
      <c r="K499" s="132">
        <v>0.0</v>
      </c>
    </row>
    <row r="500" hidden="1">
      <c r="A500" s="1" t="s">
        <v>3682</v>
      </c>
      <c r="B500" s="1" t="s">
        <v>3683</v>
      </c>
      <c r="C500" s="1" t="s">
        <v>3684</v>
      </c>
      <c r="D500" s="1">
        <v>2025.0</v>
      </c>
      <c r="E500" s="1" t="s">
        <v>761</v>
      </c>
      <c r="F500" s="1" t="s">
        <v>682</v>
      </c>
      <c r="G500" s="1" t="s">
        <v>3685</v>
      </c>
      <c r="H500" s="1">
        <v>4.07137E7</v>
      </c>
      <c r="I500" s="1" t="s">
        <v>3686</v>
      </c>
      <c r="J500" s="1" t="s">
        <v>3687</v>
      </c>
      <c r="K500" s="132">
        <v>0.0</v>
      </c>
    </row>
    <row r="501" hidden="1">
      <c r="A501" s="1" t="s">
        <v>3688</v>
      </c>
      <c r="B501" s="1" t="s">
        <v>3689</v>
      </c>
      <c r="C501" s="1" t="s">
        <v>3690</v>
      </c>
      <c r="D501" s="1">
        <v>2014.0</v>
      </c>
      <c r="E501" s="1" t="s">
        <v>674</v>
      </c>
      <c r="F501" s="1" t="s">
        <v>659</v>
      </c>
      <c r="G501" s="1" t="s">
        <v>3691</v>
      </c>
      <c r="H501" s="1">
        <v>2.3996068E7</v>
      </c>
      <c r="I501" s="1" t="s">
        <v>3692</v>
      </c>
      <c r="J501" s="1" t="s">
        <v>3693</v>
      </c>
      <c r="K501" s="132">
        <v>0.0</v>
      </c>
    </row>
    <row r="502" hidden="1">
      <c r="A502" s="1" t="s">
        <v>3694</v>
      </c>
      <c r="B502" s="1" t="s">
        <v>3695</v>
      </c>
      <c r="C502" s="1" t="s">
        <v>3696</v>
      </c>
      <c r="D502" s="1">
        <v>2005.0</v>
      </c>
      <c r="E502" s="1" t="s">
        <v>674</v>
      </c>
      <c r="F502" s="1" t="s">
        <v>3697</v>
      </c>
      <c r="G502" s="1" t="s">
        <v>3698</v>
      </c>
      <c r="H502" s="1">
        <v>1.6167266E7</v>
      </c>
      <c r="I502" s="1" t="s">
        <v>3699</v>
      </c>
      <c r="J502" s="1" t="s">
        <v>3700</v>
      </c>
      <c r="K502" s="132">
        <v>0.0</v>
      </c>
    </row>
    <row r="503" hidden="1">
      <c r="A503" s="1" t="s">
        <v>3701</v>
      </c>
      <c r="B503" s="1" t="s">
        <v>3702</v>
      </c>
      <c r="C503" s="1" t="s">
        <v>3703</v>
      </c>
      <c r="D503" s="1">
        <v>2004.0</v>
      </c>
      <c r="E503" s="1" t="s">
        <v>674</v>
      </c>
      <c r="F503" s="1" t="s">
        <v>3704</v>
      </c>
      <c r="G503" s="12"/>
      <c r="H503" s="1">
        <v>1.5756168E7</v>
      </c>
      <c r="I503" s="1" t="s">
        <v>3705</v>
      </c>
      <c r="J503" s="1" t="s">
        <v>1089</v>
      </c>
      <c r="K503" s="132">
        <v>2.0</v>
      </c>
    </row>
    <row r="504">
      <c r="A504" s="1" t="s">
        <v>3706</v>
      </c>
      <c r="B504" s="1" t="s">
        <v>3707</v>
      </c>
      <c r="C504" s="1" t="s">
        <v>3708</v>
      </c>
      <c r="D504" s="1">
        <v>2007.0</v>
      </c>
      <c r="E504" s="1" t="s">
        <v>940</v>
      </c>
      <c r="F504" s="1" t="s">
        <v>737</v>
      </c>
      <c r="G504" s="1" t="s">
        <v>126</v>
      </c>
      <c r="H504" s="1">
        <v>1.7261567E7</v>
      </c>
      <c r="I504" s="1" t="s">
        <v>3709</v>
      </c>
      <c r="J504" s="1" t="s">
        <v>1091</v>
      </c>
      <c r="K504" s="132">
        <v>3.0</v>
      </c>
    </row>
    <row r="505" hidden="1">
      <c r="A505" s="1" t="s">
        <v>3710</v>
      </c>
      <c r="B505" s="1" t="s">
        <v>3711</v>
      </c>
      <c r="C505" s="1" t="s">
        <v>3712</v>
      </c>
      <c r="D505" s="1">
        <v>2016.0</v>
      </c>
      <c r="E505" s="1" t="s">
        <v>681</v>
      </c>
      <c r="F505" s="1" t="s">
        <v>3713</v>
      </c>
      <c r="G505" s="1" t="s">
        <v>3714</v>
      </c>
      <c r="H505" s="1">
        <v>2.7735985E7</v>
      </c>
      <c r="I505" s="1" t="s">
        <v>3715</v>
      </c>
      <c r="J505" s="1" t="s">
        <v>3716</v>
      </c>
      <c r="K505" s="132">
        <v>0.0</v>
      </c>
    </row>
    <row r="506" hidden="1">
      <c r="A506" s="1" t="s">
        <v>3717</v>
      </c>
      <c r="B506" s="1" t="s">
        <v>3718</v>
      </c>
      <c r="C506" s="12"/>
      <c r="D506" s="1">
        <v>2023.0</v>
      </c>
      <c r="E506" s="1" t="s">
        <v>697</v>
      </c>
      <c r="F506" s="1" t="s">
        <v>3713</v>
      </c>
      <c r="G506" s="1" t="s">
        <v>3719</v>
      </c>
      <c r="H506" s="1">
        <v>3.7309651E7</v>
      </c>
      <c r="I506" s="1" t="s">
        <v>3720</v>
      </c>
      <c r="J506" s="1" t="s">
        <v>3721</v>
      </c>
      <c r="K506" s="132">
        <v>0.0</v>
      </c>
    </row>
    <row r="507">
      <c r="A507" s="1" t="s">
        <v>3722</v>
      </c>
      <c r="B507" s="1" t="s">
        <v>3723</v>
      </c>
      <c r="C507" s="1" t="s">
        <v>3724</v>
      </c>
      <c r="D507" s="1">
        <v>2024.0</v>
      </c>
      <c r="E507" s="1" t="s">
        <v>674</v>
      </c>
      <c r="F507" s="1" t="s">
        <v>737</v>
      </c>
      <c r="G507" s="1" t="s">
        <v>129</v>
      </c>
      <c r="H507" s="1">
        <v>3.9221503E7</v>
      </c>
      <c r="I507" s="1" t="s">
        <v>3725</v>
      </c>
      <c r="J507" s="1" t="s">
        <v>1092</v>
      </c>
      <c r="K507" s="132">
        <v>3.0</v>
      </c>
    </row>
    <row r="508" hidden="1">
      <c r="A508" s="1" t="s">
        <v>3726</v>
      </c>
      <c r="B508" s="1" t="s">
        <v>3727</v>
      </c>
      <c r="C508" s="1" t="s">
        <v>3728</v>
      </c>
      <c r="D508" s="1">
        <v>1998.0</v>
      </c>
      <c r="E508" s="1" t="s">
        <v>837</v>
      </c>
      <c r="F508" s="1" t="s">
        <v>767</v>
      </c>
      <c r="G508" s="1" t="s">
        <v>3729</v>
      </c>
      <c r="H508" s="1">
        <v>9848591.0</v>
      </c>
      <c r="I508" s="1" t="s">
        <v>3730</v>
      </c>
      <c r="J508" s="1" t="s">
        <v>3731</v>
      </c>
      <c r="K508" s="132">
        <v>0.0</v>
      </c>
    </row>
    <row r="509" hidden="1">
      <c r="A509" s="1" t="s">
        <v>3732</v>
      </c>
      <c r="B509" s="1" t="s">
        <v>3733</v>
      </c>
      <c r="C509" s="1" t="s">
        <v>3734</v>
      </c>
      <c r="D509" s="1">
        <v>2020.0</v>
      </c>
      <c r="E509" s="1" t="s">
        <v>940</v>
      </c>
      <c r="F509" s="1" t="s">
        <v>737</v>
      </c>
      <c r="G509" s="1" t="s">
        <v>3735</v>
      </c>
      <c r="H509" s="1">
        <v>3.2182127E7</v>
      </c>
      <c r="I509" s="1" t="s">
        <v>3736</v>
      </c>
      <c r="J509" s="1" t="s">
        <v>3737</v>
      </c>
      <c r="K509" s="132">
        <v>0.0</v>
      </c>
    </row>
    <row r="510" hidden="1">
      <c r="A510" s="1" t="s">
        <v>3738</v>
      </c>
      <c r="B510" s="1" t="s">
        <v>3739</v>
      </c>
      <c r="C510" s="1" t="s">
        <v>3740</v>
      </c>
      <c r="D510" s="1">
        <v>2016.0</v>
      </c>
      <c r="E510" s="1" t="s">
        <v>761</v>
      </c>
      <c r="F510" s="1" t="s">
        <v>737</v>
      </c>
      <c r="G510" s="1" t="s">
        <v>3741</v>
      </c>
      <c r="H510" s="1">
        <v>2.715929E7</v>
      </c>
      <c r="I510" s="1" t="s">
        <v>3742</v>
      </c>
      <c r="J510" s="1" t="s">
        <v>3743</v>
      </c>
      <c r="K510" s="132">
        <v>0.0</v>
      </c>
    </row>
    <row r="511" hidden="1">
      <c r="A511" s="1" t="s">
        <v>3744</v>
      </c>
      <c r="B511" s="1" t="s">
        <v>3745</v>
      </c>
      <c r="C511" s="1" t="s">
        <v>3746</v>
      </c>
      <c r="D511" s="1">
        <v>2010.0</v>
      </c>
      <c r="E511" s="1" t="s">
        <v>689</v>
      </c>
      <c r="F511" s="1" t="s">
        <v>3747</v>
      </c>
      <c r="G511" s="1" t="s">
        <v>3748</v>
      </c>
      <c r="H511" s="1">
        <v>2.0575918E7</v>
      </c>
      <c r="I511" s="1" t="s">
        <v>3749</v>
      </c>
      <c r="J511" s="1" t="s">
        <v>3750</v>
      </c>
      <c r="K511" s="132">
        <v>0.0</v>
      </c>
    </row>
    <row r="512" hidden="1">
      <c r="A512" s="1" t="s">
        <v>3751</v>
      </c>
      <c r="B512" s="1" t="s">
        <v>3752</v>
      </c>
      <c r="C512" s="1" t="s">
        <v>3753</v>
      </c>
      <c r="D512" s="1">
        <v>2026.0</v>
      </c>
      <c r="E512" s="1" t="s">
        <v>940</v>
      </c>
      <c r="F512" s="1" t="s">
        <v>767</v>
      </c>
      <c r="G512" s="1" t="s">
        <v>3754</v>
      </c>
      <c r="H512" s="1">
        <v>4.1838565E7</v>
      </c>
      <c r="I512" s="1" t="s">
        <v>3755</v>
      </c>
      <c r="J512" s="1" t="s">
        <v>3756</v>
      </c>
      <c r="K512" s="132">
        <v>0.0</v>
      </c>
    </row>
    <row r="513" hidden="1">
      <c r="A513" s="1" t="s">
        <v>3757</v>
      </c>
      <c r="B513" s="1" t="s">
        <v>3758</v>
      </c>
      <c r="C513" s="1" t="s">
        <v>3759</v>
      </c>
      <c r="D513" s="1">
        <v>2025.0</v>
      </c>
      <c r="E513" s="1" t="s">
        <v>658</v>
      </c>
      <c r="F513" s="1" t="s">
        <v>3760</v>
      </c>
      <c r="G513" s="1" t="s">
        <v>3761</v>
      </c>
      <c r="H513" s="1">
        <v>4.084469E7</v>
      </c>
      <c r="I513" s="1" t="s">
        <v>3762</v>
      </c>
      <c r="J513" s="1" t="s">
        <v>3763</v>
      </c>
      <c r="K513" s="132">
        <v>0.0</v>
      </c>
    </row>
    <row r="514" hidden="1">
      <c r="A514" s="1" t="s">
        <v>3764</v>
      </c>
      <c r="B514" s="1" t="s">
        <v>3765</v>
      </c>
      <c r="C514" s="1" t="s">
        <v>3766</v>
      </c>
      <c r="D514" s="1">
        <v>2001.0</v>
      </c>
      <c r="E514" s="1" t="s">
        <v>940</v>
      </c>
      <c r="F514" s="1" t="s">
        <v>1852</v>
      </c>
      <c r="G514" s="1" t="s">
        <v>3767</v>
      </c>
      <c r="H514" s="1">
        <v>1.1357697E7</v>
      </c>
      <c r="I514" s="1" t="s">
        <v>3768</v>
      </c>
      <c r="J514" s="1" t="s">
        <v>3769</v>
      </c>
      <c r="K514" s="132">
        <v>1.0</v>
      </c>
    </row>
    <row r="515" hidden="1">
      <c r="A515" s="1" t="s">
        <v>3770</v>
      </c>
      <c r="B515" s="1" t="s">
        <v>3771</v>
      </c>
      <c r="C515" s="1" t="s">
        <v>3772</v>
      </c>
      <c r="D515" s="1">
        <v>2025.0</v>
      </c>
      <c r="E515" s="1" t="s">
        <v>697</v>
      </c>
      <c r="F515" s="1" t="s">
        <v>767</v>
      </c>
      <c r="G515" s="1" t="s">
        <v>3773</v>
      </c>
      <c r="H515" s="1">
        <v>3.9343075E7</v>
      </c>
      <c r="I515" s="1" t="s">
        <v>3774</v>
      </c>
      <c r="J515" s="1" t="s">
        <v>3775</v>
      </c>
      <c r="K515" s="132">
        <v>0.0</v>
      </c>
    </row>
    <row r="516" hidden="1">
      <c r="A516" s="1" t="s">
        <v>3776</v>
      </c>
      <c r="B516" s="1" t="s">
        <v>3777</v>
      </c>
      <c r="C516" s="1" t="s">
        <v>3778</v>
      </c>
      <c r="D516" s="1">
        <v>2003.0</v>
      </c>
      <c r="E516" s="1" t="s">
        <v>736</v>
      </c>
      <c r="F516" s="1" t="s">
        <v>1167</v>
      </c>
      <c r="G516" s="1" t="s">
        <v>3779</v>
      </c>
      <c r="H516" s="1">
        <v>1.2527244E7</v>
      </c>
      <c r="I516" s="1" t="s">
        <v>3780</v>
      </c>
      <c r="J516" s="1" t="s">
        <v>3781</v>
      </c>
      <c r="K516" s="132">
        <v>0.0</v>
      </c>
    </row>
    <row r="517" hidden="1">
      <c r="A517" s="1" t="s">
        <v>3782</v>
      </c>
      <c r="B517" s="1" t="s">
        <v>3783</v>
      </c>
      <c r="C517" s="1" t="s">
        <v>3784</v>
      </c>
      <c r="D517" s="1">
        <v>2025.0</v>
      </c>
      <c r="E517" s="1" t="s">
        <v>666</v>
      </c>
      <c r="F517" s="1" t="s">
        <v>737</v>
      </c>
      <c r="G517" s="1" t="s">
        <v>3785</v>
      </c>
      <c r="H517" s="1">
        <v>4.0308075E7</v>
      </c>
      <c r="I517" s="1" t="s">
        <v>3786</v>
      </c>
      <c r="J517" s="1" t="s">
        <v>3787</v>
      </c>
      <c r="K517" s="132">
        <v>0.0</v>
      </c>
    </row>
    <row r="518" hidden="1">
      <c r="A518" s="1" t="s">
        <v>3788</v>
      </c>
      <c r="B518" s="1" t="s">
        <v>3789</v>
      </c>
      <c r="C518" s="1" t="s">
        <v>3790</v>
      </c>
      <c r="D518" s="1">
        <v>2010.0</v>
      </c>
      <c r="E518" s="1" t="s">
        <v>940</v>
      </c>
      <c r="F518" s="1" t="s">
        <v>711</v>
      </c>
      <c r="G518" s="1" t="s">
        <v>3791</v>
      </c>
      <c r="H518" s="1">
        <v>2.0357328E7</v>
      </c>
      <c r="I518" s="1" t="s">
        <v>3792</v>
      </c>
      <c r="J518" s="1" t="s">
        <v>3793</v>
      </c>
      <c r="K518" s="132">
        <v>0.0</v>
      </c>
    </row>
    <row r="519" hidden="1">
      <c r="A519" s="1" t="s">
        <v>3794</v>
      </c>
      <c r="B519" s="1" t="s">
        <v>3795</v>
      </c>
      <c r="C519" s="1" t="s">
        <v>3796</v>
      </c>
      <c r="D519" s="1">
        <v>1997.0</v>
      </c>
      <c r="E519" s="1" t="s">
        <v>3797</v>
      </c>
      <c r="F519" s="1" t="s">
        <v>1589</v>
      </c>
      <c r="G519" s="12"/>
      <c r="H519" s="1">
        <v>9421595.0</v>
      </c>
      <c r="I519" s="1" t="s">
        <v>3798</v>
      </c>
      <c r="J519" s="1" t="s">
        <v>3799</v>
      </c>
      <c r="K519" s="132">
        <v>0.0</v>
      </c>
    </row>
    <row r="520" hidden="1">
      <c r="A520" s="1" t="s">
        <v>3800</v>
      </c>
      <c r="B520" s="1" t="s">
        <v>3801</v>
      </c>
      <c r="C520" s="1" t="s">
        <v>3802</v>
      </c>
      <c r="D520" s="1">
        <v>2002.0</v>
      </c>
      <c r="E520" s="1" t="s">
        <v>681</v>
      </c>
      <c r="F520" s="1" t="s">
        <v>2724</v>
      </c>
      <c r="G520" s="1" t="s">
        <v>3803</v>
      </c>
      <c r="H520" s="1">
        <v>1.2439778E7</v>
      </c>
      <c r="I520" s="1" t="s">
        <v>3804</v>
      </c>
      <c r="J520" s="1" t="s">
        <v>3805</v>
      </c>
      <c r="K520" s="132">
        <v>0.0</v>
      </c>
    </row>
    <row r="521" hidden="1">
      <c r="A521" s="1" t="s">
        <v>3806</v>
      </c>
      <c r="B521" s="1" t="s">
        <v>3807</v>
      </c>
      <c r="C521" s="1" t="s">
        <v>3808</v>
      </c>
      <c r="D521" s="1">
        <v>2007.0</v>
      </c>
      <c r="E521" s="1" t="s">
        <v>761</v>
      </c>
      <c r="F521" s="1" t="s">
        <v>3809</v>
      </c>
      <c r="G521" s="1" t="s">
        <v>3810</v>
      </c>
      <c r="H521" s="1">
        <v>1.7578979E7</v>
      </c>
      <c r="I521" s="1" t="s">
        <v>3811</v>
      </c>
      <c r="J521" s="1" t="s">
        <v>3812</v>
      </c>
      <c r="K521" s="132">
        <v>0.0</v>
      </c>
    </row>
    <row r="522" hidden="1">
      <c r="A522" s="1" t="s">
        <v>3813</v>
      </c>
      <c r="B522" s="1" t="s">
        <v>3814</v>
      </c>
      <c r="C522" s="1" t="s">
        <v>3815</v>
      </c>
      <c r="D522" s="1">
        <v>2024.0</v>
      </c>
      <c r="E522" s="1" t="s">
        <v>723</v>
      </c>
      <c r="F522" s="1" t="s">
        <v>767</v>
      </c>
      <c r="G522" s="1" t="s">
        <v>3816</v>
      </c>
      <c r="H522" s="1">
        <v>3.7270112E7</v>
      </c>
      <c r="I522" s="1" t="s">
        <v>3817</v>
      </c>
      <c r="J522" s="1" t="s">
        <v>3818</v>
      </c>
      <c r="K522" s="132">
        <v>0.0</v>
      </c>
    </row>
    <row r="523" hidden="1">
      <c r="A523" s="1" t="s">
        <v>3819</v>
      </c>
      <c r="B523" s="1" t="s">
        <v>3820</v>
      </c>
      <c r="C523" s="1" t="s">
        <v>3821</v>
      </c>
      <c r="D523" s="1">
        <v>1991.0</v>
      </c>
      <c r="E523" s="12"/>
      <c r="F523" s="1" t="s">
        <v>767</v>
      </c>
      <c r="G523" s="1" t="s">
        <v>3822</v>
      </c>
      <c r="H523" s="1">
        <v>2009118.0</v>
      </c>
      <c r="I523" s="1" t="s">
        <v>3823</v>
      </c>
      <c r="J523" s="1" t="s">
        <v>3824</v>
      </c>
      <c r="K523" s="132">
        <v>0.0</v>
      </c>
    </row>
    <row r="524" hidden="1">
      <c r="A524" s="1" t="s">
        <v>3825</v>
      </c>
      <c r="B524" s="1" t="s">
        <v>3826</v>
      </c>
      <c r="C524" s="1" t="s">
        <v>3827</v>
      </c>
      <c r="D524" s="1">
        <v>2009.0</v>
      </c>
      <c r="E524" s="1" t="s">
        <v>729</v>
      </c>
      <c r="F524" s="1" t="s">
        <v>737</v>
      </c>
      <c r="G524" s="1" t="s">
        <v>3828</v>
      </c>
      <c r="H524" s="1">
        <v>1.955647E7</v>
      </c>
      <c r="I524" s="1" t="s">
        <v>3829</v>
      </c>
      <c r="J524" s="1" t="s">
        <v>3830</v>
      </c>
      <c r="K524" s="132">
        <v>0.0</v>
      </c>
    </row>
    <row r="525" hidden="1">
      <c r="A525" s="1" t="s">
        <v>3831</v>
      </c>
      <c r="B525" s="1" t="s">
        <v>3832</v>
      </c>
      <c r="C525" s="1" t="s">
        <v>3833</v>
      </c>
      <c r="D525" s="1">
        <v>2009.0</v>
      </c>
      <c r="E525" s="1" t="s">
        <v>674</v>
      </c>
      <c r="F525" s="1" t="s">
        <v>730</v>
      </c>
      <c r="G525" s="1" t="s">
        <v>3834</v>
      </c>
      <c r="H525" s="1">
        <v>1.9723992E7</v>
      </c>
      <c r="I525" s="1" t="s">
        <v>3835</v>
      </c>
      <c r="J525" s="1" t="s">
        <v>3836</v>
      </c>
      <c r="K525" s="132">
        <v>0.0</v>
      </c>
    </row>
    <row r="526" hidden="1">
      <c r="A526" s="1" t="s">
        <v>3837</v>
      </c>
      <c r="B526" s="1" t="s">
        <v>3838</v>
      </c>
      <c r="C526" s="1" t="s">
        <v>3839</v>
      </c>
      <c r="D526" s="1">
        <v>2004.0</v>
      </c>
      <c r="E526" s="1" t="s">
        <v>736</v>
      </c>
      <c r="F526" s="1" t="s">
        <v>659</v>
      </c>
      <c r="G526" s="1" t="s">
        <v>3840</v>
      </c>
      <c r="H526" s="1">
        <v>1.3680104E7</v>
      </c>
      <c r="I526" s="1" t="s">
        <v>3841</v>
      </c>
      <c r="J526" s="1" t="s">
        <v>3842</v>
      </c>
      <c r="K526" s="132">
        <v>0.0</v>
      </c>
    </row>
    <row r="527" hidden="1">
      <c r="A527" s="1" t="s">
        <v>3843</v>
      </c>
      <c r="B527" s="1" t="s">
        <v>3844</v>
      </c>
      <c r="C527" s="1" t="s">
        <v>3845</v>
      </c>
      <c r="D527" s="1">
        <v>2009.0</v>
      </c>
      <c r="E527" s="1" t="s">
        <v>666</v>
      </c>
      <c r="F527" s="1" t="s">
        <v>3846</v>
      </c>
      <c r="G527" s="1" t="s">
        <v>3847</v>
      </c>
      <c r="H527" s="1">
        <v>1.9423416E7</v>
      </c>
      <c r="I527" s="1" t="s">
        <v>3848</v>
      </c>
      <c r="J527" s="1" t="s">
        <v>3849</v>
      </c>
      <c r="K527" s="132">
        <v>0.0</v>
      </c>
    </row>
    <row r="528" hidden="1">
      <c r="A528" s="1" t="s">
        <v>3850</v>
      </c>
      <c r="B528" s="1" t="s">
        <v>3851</v>
      </c>
      <c r="C528" s="1" t="s">
        <v>3852</v>
      </c>
      <c r="D528" s="1">
        <v>2025.0</v>
      </c>
      <c r="E528" s="1" t="s">
        <v>681</v>
      </c>
      <c r="F528" s="1" t="s">
        <v>865</v>
      </c>
      <c r="G528" s="1" t="s">
        <v>3853</v>
      </c>
      <c r="H528" s="1">
        <v>3.9930348E7</v>
      </c>
      <c r="I528" s="1" t="s">
        <v>3854</v>
      </c>
      <c r="J528" s="1" t="s">
        <v>3855</v>
      </c>
      <c r="K528" s="132">
        <v>0.0</v>
      </c>
    </row>
    <row r="529" hidden="1">
      <c r="A529" s="1" t="s">
        <v>3856</v>
      </c>
      <c r="B529" s="1" t="s">
        <v>3857</v>
      </c>
      <c r="C529" s="1" t="s">
        <v>3858</v>
      </c>
      <c r="D529" s="1">
        <v>2025.0</v>
      </c>
      <c r="E529" s="1" t="s">
        <v>689</v>
      </c>
      <c r="F529" s="1" t="s">
        <v>865</v>
      </c>
      <c r="G529" s="1" t="s">
        <v>3859</v>
      </c>
      <c r="H529" s="1">
        <v>3.8864306E7</v>
      </c>
      <c r="I529" s="1" t="s">
        <v>3860</v>
      </c>
      <c r="J529" s="1" t="s">
        <v>3855</v>
      </c>
      <c r="K529" s="132">
        <v>0.0</v>
      </c>
    </row>
    <row r="530" hidden="1">
      <c r="A530" s="1" t="s">
        <v>3861</v>
      </c>
      <c r="B530" s="1" t="s">
        <v>3862</v>
      </c>
      <c r="C530" s="1" t="s">
        <v>3863</v>
      </c>
      <c r="D530" s="1">
        <v>2020.0</v>
      </c>
      <c r="E530" s="1" t="s">
        <v>658</v>
      </c>
      <c r="F530" s="1" t="s">
        <v>659</v>
      </c>
      <c r="G530" s="1" t="s">
        <v>3864</v>
      </c>
      <c r="H530" s="1">
        <v>3.2699919E7</v>
      </c>
      <c r="I530" s="1" t="s">
        <v>3865</v>
      </c>
      <c r="J530" s="1" t="s">
        <v>3866</v>
      </c>
      <c r="K530" s="132">
        <v>0.0</v>
      </c>
    </row>
    <row r="531" hidden="1">
      <c r="A531" s="1" t="s">
        <v>3867</v>
      </c>
      <c r="B531" s="1" t="s">
        <v>3868</v>
      </c>
      <c r="C531" s="1" t="s">
        <v>3869</v>
      </c>
      <c r="D531" s="1">
        <v>2006.0</v>
      </c>
      <c r="E531" s="1" t="s">
        <v>658</v>
      </c>
      <c r="F531" s="1" t="s">
        <v>659</v>
      </c>
      <c r="G531" s="1" t="s">
        <v>3870</v>
      </c>
      <c r="H531" s="1">
        <v>1.6465537E7</v>
      </c>
      <c r="I531" s="1" t="s">
        <v>3871</v>
      </c>
      <c r="J531" s="1" t="s">
        <v>3872</v>
      </c>
      <c r="K531" s="132">
        <v>0.0</v>
      </c>
    </row>
    <row r="532" hidden="1">
      <c r="A532" s="1" t="s">
        <v>3873</v>
      </c>
      <c r="B532" s="1" t="s">
        <v>3874</v>
      </c>
      <c r="C532" s="1" t="s">
        <v>3875</v>
      </c>
      <c r="D532" s="1">
        <v>2016.0</v>
      </c>
      <c r="E532" s="1" t="s">
        <v>898</v>
      </c>
      <c r="F532" s="1" t="s">
        <v>886</v>
      </c>
      <c r="G532" s="1" t="s">
        <v>3876</v>
      </c>
      <c r="H532" s="1">
        <v>2.7876265E7</v>
      </c>
      <c r="I532" s="1" t="s">
        <v>3877</v>
      </c>
      <c r="J532" s="1" t="s">
        <v>3878</v>
      </c>
      <c r="K532" s="132">
        <v>0.0</v>
      </c>
    </row>
    <row r="533" hidden="1">
      <c r="A533" s="1" t="s">
        <v>3879</v>
      </c>
      <c r="B533" s="1" t="s">
        <v>3880</v>
      </c>
      <c r="C533" s="1" t="s">
        <v>3881</v>
      </c>
      <c r="D533" s="1">
        <v>2017.0</v>
      </c>
      <c r="E533" s="1" t="s">
        <v>658</v>
      </c>
      <c r="F533" s="1" t="s">
        <v>825</v>
      </c>
      <c r="G533" s="1" t="s">
        <v>3882</v>
      </c>
      <c r="H533" s="1">
        <v>2.8840143E7</v>
      </c>
      <c r="I533" s="1" t="s">
        <v>3883</v>
      </c>
      <c r="J533" s="1" t="s">
        <v>3884</v>
      </c>
      <c r="K533" s="132">
        <v>0.0</v>
      </c>
    </row>
    <row r="534" hidden="1">
      <c r="A534" s="1" t="s">
        <v>3885</v>
      </c>
      <c r="B534" s="1" t="s">
        <v>3886</v>
      </c>
      <c r="C534" s="1" t="s">
        <v>3887</v>
      </c>
      <c r="D534" s="1">
        <v>1992.0</v>
      </c>
      <c r="E534" s="1" t="s">
        <v>1469</v>
      </c>
      <c r="F534" s="1" t="s">
        <v>737</v>
      </c>
      <c r="G534" s="1" t="s">
        <v>3888</v>
      </c>
      <c r="H534" s="1">
        <v>1558237.0</v>
      </c>
      <c r="I534" s="1" t="s">
        <v>3889</v>
      </c>
      <c r="J534" s="1" t="s">
        <v>3890</v>
      </c>
      <c r="K534" s="132">
        <v>0.0</v>
      </c>
    </row>
    <row r="535" hidden="1">
      <c r="A535" s="1" t="s">
        <v>3891</v>
      </c>
      <c r="B535" s="1" t="s">
        <v>3892</v>
      </c>
      <c r="C535" s="1" t="s">
        <v>3893</v>
      </c>
      <c r="D535" s="1">
        <v>2009.0</v>
      </c>
      <c r="E535" s="1" t="s">
        <v>844</v>
      </c>
      <c r="F535" s="1" t="s">
        <v>3894</v>
      </c>
      <c r="G535" s="12"/>
      <c r="H535" s="1">
        <v>1.9280799E7</v>
      </c>
      <c r="I535" s="1" t="s">
        <v>3895</v>
      </c>
      <c r="J535" s="1" t="s">
        <v>3896</v>
      </c>
      <c r="K535" s="132">
        <v>0.0</v>
      </c>
    </row>
    <row r="536" hidden="1">
      <c r="A536" s="1" t="s">
        <v>3897</v>
      </c>
      <c r="B536" s="1" t="s">
        <v>3898</v>
      </c>
      <c r="C536" s="1" t="s">
        <v>3899</v>
      </c>
      <c r="D536" s="1">
        <v>2016.0</v>
      </c>
      <c r="E536" s="1" t="s">
        <v>658</v>
      </c>
      <c r="F536" s="1" t="s">
        <v>1136</v>
      </c>
      <c r="G536" s="1" t="s">
        <v>3900</v>
      </c>
      <c r="H536" s="1">
        <v>2.7388213E7</v>
      </c>
      <c r="I536" s="1" t="s">
        <v>3901</v>
      </c>
      <c r="J536" s="1" t="s">
        <v>3902</v>
      </c>
      <c r="K536" s="132">
        <v>0.0</v>
      </c>
    </row>
    <row r="537" hidden="1">
      <c r="A537" s="1" t="s">
        <v>3903</v>
      </c>
      <c r="B537" s="1" t="s">
        <v>3904</v>
      </c>
      <c r="C537" s="1" t="s">
        <v>3905</v>
      </c>
      <c r="D537" s="1">
        <v>2018.0</v>
      </c>
      <c r="E537" s="1" t="s">
        <v>674</v>
      </c>
      <c r="F537" s="1" t="s">
        <v>825</v>
      </c>
      <c r="G537" s="1" t="s">
        <v>3906</v>
      </c>
      <c r="H537" s="1">
        <v>3.027622E7</v>
      </c>
      <c r="I537" s="1" t="s">
        <v>3907</v>
      </c>
      <c r="J537" s="1" t="s">
        <v>3908</v>
      </c>
      <c r="K537" s="132">
        <v>0.0</v>
      </c>
    </row>
    <row r="538" hidden="1">
      <c r="A538" s="1" t="s">
        <v>3909</v>
      </c>
      <c r="B538" s="1" t="s">
        <v>3910</v>
      </c>
      <c r="C538" s="1" t="s">
        <v>3911</v>
      </c>
      <c r="D538" s="1">
        <v>2020.0</v>
      </c>
      <c r="E538" s="1" t="s">
        <v>681</v>
      </c>
      <c r="F538" s="1" t="s">
        <v>933</v>
      </c>
      <c r="G538" s="1" t="s">
        <v>3912</v>
      </c>
      <c r="H538" s="1">
        <v>3.2221043E7</v>
      </c>
      <c r="I538" s="1" t="s">
        <v>3913</v>
      </c>
      <c r="J538" s="1" t="s">
        <v>3914</v>
      </c>
      <c r="K538" s="132">
        <v>0.0</v>
      </c>
    </row>
    <row r="539" hidden="1">
      <c r="A539" s="1" t="s">
        <v>3915</v>
      </c>
      <c r="B539" s="1" t="s">
        <v>3916</v>
      </c>
      <c r="C539" s="1" t="s">
        <v>3917</v>
      </c>
      <c r="D539" s="1">
        <v>2011.0</v>
      </c>
      <c r="E539" s="1" t="s">
        <v>689</v>
      </c>
      <c r="F539" s="1" t="s">
        <v>659</v>
      </c>
      <c r="G539" s="1" t="s">
        <v>3918</v>
      </c>
      <c r="H539" s="1">
        <v>2.0680245E7</v>
      </c>
      <c r="I539" s="1" t="s">
        <v>3919</v>
      </c>
      <c r="J539" s="1" t="s">
        <v>3920</v>
      </c>
      <c r="K539" s="132">
        <v>0.0</v>
      </c>
    </row>
    <row r="540" hidden="1">
      <c r="A540" s="1" t="s">
        <v>3921</v>
      </c>
      <c r="B540" s="1" t="s">
        <v>3922</v>
      </c>
      <c r="C540" s="1" t="s">
        <v>3923</v>
      </c>
      <c r="D540" s="1">
        <v>2011.0</v>
      </c>
      <c r="E540" s="1" t="s">
        <v>697</v>
      </c>
      <c r="F540" s="1" t="s">
        <v>767</v>
      </c>
      <c r="G540" s="1" t="s">
        <v>3924</v>
      </c>
      <c r="H540" s="1">
        <v>2.1624672E7</v>
      </c>
      <c r="I540" s="1" t="s">
        <v>3925</v>
      </c>
      <c r="J540" s="1" t="s">
        <v>3926</v>
      </c>
      <c r="K540" s="132">
        <v>0.0</v>
      </c>
    </row>
    <row r="541" hidden="1">
      <c r="A541" s="1" t="s">
        <v>3927</v>
      </c>
      <c r="B541" s="1" t="s">
        <v>3928</v>
      </c>
      <c r="C541" s="1" t="s">
        <v>3929</v>
      </c>
      <c r="D541" s="1">
        <v>2013.0</v>
      </c>
      <c r="E541" s="1" t="s">
        <v>674</v>
      </c>
      <c r="F541" s="1" t="s">
        <v>659</v>
      </c>
      <c r="G541" s="1" t="s">
        <v>3930</v>
      </c>
      <c r="H541" s="1">
        <v>2.3073817E7</v>
      </c>
      <c r="I541" s="1" t="s">
        <v>3931</v>
      </c>
      <c r="J541" s="1" t="s">
        <v>3932</v>
      </c>
      <c r="K541" s="132">
        <v>0.0</v>
      </c>
    </row>
    <row r="542" hidden="1">
      <c r="A542" s="1" t="s">
        <v>3933</v>
      </c>
      <c r="B542" s="1" t="s">
        <v>3934</v>
      </c>
      <c r="C542" s="1" t="s">
        <v>3935</v>
      </c>
      <c r="D542" s="1">
        <v>2006.0</v>
      </c>
      <c r="E542" s="1" t="s">
        <v>898</v>
      </c>
      <c r="F542" s="1" t="s">
        <v>737</v>
      </c>
      <c r="G542" s="1" t="s">
        <v>3936</v>
      </c>
      <c r="H542" s="1">
        <v>1.6923826E7</v>
      </c>
      <c r="I542" s="1" t="s">
        <v>3937</v>
      </c>
      <c r="J542" s="1" t="s">
        <v>3938</v>
      </c>
      <c r="K542" s="132">
        <v>1.0</v>
      </c>
    </row>
    <row r="543" hidden="1">
      <c r="A543" s="1" t="s">
        <v>3939</v>
      </c>
      <c r="B543" s="1" t="s">
        <v>3940</v>
      </c>
      <c r="C543" s="1" t="s">
        <v>3941</v>
      </c>
      <c r="D543" s="1">
        <v>2008.0</v>
      </c>
      <c r="E543" s="1" t="s">
        <v>658</v>
      </c>
      <c r="F543" s="1" t="s">
        <v>2603</v>
      </c>
      <c r="G543" s="1" t="s">
        <v>3942</v>
      </c>
      <c r="H543" s="1">
        <v>1.7431619E7</v>
      </c>
      <c r="I543" s="1" t="s">
        <v>3943</v>
      </c>
      <c r="J543" s="1" t="s">
        <v>3944</v>
      </c>
      <c r="K543" s="132">
        <v>1.0</v>
      </c>
    </row>
    <row r="544" hidden="1">
      <c r="A544" s="1" t="s">
        <v>3945</v>
      </c>
      <c r="B544" s="1" t="s">
        <v>3946</v>
      </c>
      <c r="C544" s="1" t="s">
        <v>3947</v>
      </c>
      <c r="D544" s="1">
        <v>2011.0</v>
      </c>
      <c r="E544" s="1" t="s">
        <v>729</v>
      </c>
      <c r="F544" s="1" t="s">
        <v>737</v>
      </c>
      <c r="G544" s="1" t="s">
        <v>3948</v>
      </c>
      <c r="H544" s="1">
        <v>2.1712483E7</v>
      </c>
      <c r="I544" s="1" t="s">
        <v>3949</v>
      </c>
      <c r="J544" s="1" t="s">
        <v>3950</v>
      </c>
      <c r="K544" s="132">
        <v>1.0</v>
      </c>
    </row>
    <row r="545">
      <c r="A545" s="1" t="s">
        <v>3951</v>
      </c>
      <c r="B545" s="1" t="s">
        <v>3952</v>
      </c>
      <c r="C545" s="1" t="s">
        <v>3953</v>
      </c>
      <c r="D545" s="1">
        <v>2018.0</v>
      </c>
      <c r="E545" s="1" t="s">
        <v>761</v>
      </c>
      <c r="F545" s="1" t="s">
        <v>737</v>
      </c>
      <c r="G545" s="1" t="s">
        <v>131</v>
      </c>
      <c r="H545" s="1">
        <v>2.9741911E7</v>
      </c>
      <c r="I545" s="1" t="s">
        <v>3954</v>
      </c>
      <c r="J545" s="1" t="s">
        <v>1094</v>
      </c>
      <c r="K545" s="132">
        <v>3.0</v>
      </c>
    </row>
    <row r="546" hidden="1">
      <c r="A546" s="1" t="s">
        <v>3955</v>
      </c>
      <c r="B546" s="1" t="s">
        <v>3956</v>
      </c>
      <c r="C546" s="1" t="s">
        <v>3957</v>
      </c>
      <c r="D546" s="1">
        <v>2024.0</v>
      </c>
      <c r="E546" s="1" t="s">
        <v>681</v>
      </c>
      <c r="F546" s="1" t="s">
        <v>2638</v>
      </c>
      <c r="G546" s="1" t="s">
        <v>3958</v>
      </c>
      <c r="H546" s="1">
        <v>3.9524273E7</v>
      </c>
      <c r="I546" s="1" t="s">
        <v>3959</v>
      </c>
      <c r="J546" s="1" t="s">
        <v>3960</v>
      </c>
      <c r="K546" s="132">
        <v>0.0</v>
      </c>
    </row>
    <row r="547" hidden="1">
      <c r="A547" s="1" t="s">
        <v>3961</v>
      </c>
      <c r="B547" s="1" t="s">
        <v>3962</v>
      </c>
      <c r="C547" s="1" t="s">
        <v>3963</v>
      </c>
      <c r="D547" s="1">
        <v>2023.0</v>
      </c>
      <c r="E547" s="1" t="s">
        <v>723</v>
      </c>
      <c r="F547" s="1" t="s">
        <v>690</v>
      </c>
      <c r="G547" s="1" t="s">
        <v>3964</v>
      </c>
      <c r="H547" s="1">
        <v>3.6750662E7</v>
      </c>
      <c r="I547" s="1" t="s">
        <v>3965</v>
      </c>
      <c r="J547" s="1" t="s">
        <v>3966</v>
      </c>
      <c r="K547" s="132">
        <v>0.0</v>
      </c>
    </row>
    <row r="548" hidden="1">
      <c r="A548" s="1" t="s">
        <v>3967</v>
      </c>
      <c r="B548" s="1" t="s">
        <v>3968</v>
      </c>
      <c r="C548" s="1" t="s">
        <v>3969</v>
      </c>
      <c r="D548" s="1">
        <v>2010.0</v>
      </c>
      <c r="E548" s="1" t="s">
        <v>697</v>
      </c>
      <c r="F548" s="1" t="s">
        <v>3970</v>
      </c>
      <c r="G548" s="1" t="s">
        <v>3971</v>
      </c>
      <c r="H548" s="1">
        <v>2.0225073E7</v>
      </c>
      <c r="I548" s="1" t="s">
        <v>3972</v>
      </c>
      <c r="J548" s="1" t="s">
        <v>3973</v>
      </c>
      <c r="K548" s="132">
        <v>0.0</v>
      </c>
    </row>
    <row r="549" hidden="1">
      <c r="A549" s="1" t="s">
        <v>3974</v>
      </c>
      <c r="B549" s="1" t="s">
        <v>3975</v>
      </c>
      <c r="C549" s="1" t="s">
        <v>3976</v>
      </c>
      <c r="D549" s="1">
        <v>2022.0</v>
      </c>
      <c r="E549" s="1" t="s">
        <v>723</v>
      </c>
      <c r="F549" s="1" t="s">
        <v>825</v>
      </c>
      <c r="G549" s="1" t="s">
        <v>3977</v>
      </c>
      <c r="H549" s="1">
        <v>3.5155707E7</v>
      </c>
      <c r="I549" s="1" t="s">
        <v>3978</v>
      </c>
      <c r="J549" s="1" t="s">
        <v>3979</v>
      </c>
      <c r="K549" s="132">
        <v>0.0</v>
      </c>
    </row>
    <row r="550" hidden="1">
      <c r="A550" s="1" t="s">
        <v>3980</v>
      </c>
      <c r="B550" s="1" t="s">
        <v>3981</v>
      </c>
      <c r="C550" s="1" t="s">
        <v>3982</v>
      </c>
      <c r="D550" s="1">
        <v>2020.0</v>
      </c>
      <c r="E550" s="12"/>
      <c r="F550" s="1" t="s">
        <v>3983</v>
      </c>
      <c r="G550" s="1" t="s">
        <v>3984</v>
      </c>
      <c r="H550" s="1">
        <v>3.2556055E7</v>
      </c>
      <c r="I550" s="1" t="s">
        <v>3985</v>
      </c>
      <c r="J550" s="1" t="s">
        <v>3986</v>
      </c>
      <c r="K550" s="132">
        <v>0.0</v>
      </c>
    </row>
    <row r="551" hidden="1">
      <c r="A551" s="1" t="s">
        <v>3987</v>
      </c>
      <c r="B551" s="1" t="s">
        <v>3988</v>
      </c>
      <c r="C551" s="1" t="s">
        <v>3989</v>
      </c>
      <c r="D551" s="1">
        <v>2014.0</v>
      </c>
      <c r="E551" s="1" t="s">
        <v>761</v>
      </c>
      <c r="F551" s="1" t="s">
        <v>982</v>
      </c>
      <c r="G551" s="1" t="s">
        <v>3990</v>
      </c>
      <c r="H551" s="1">
        <v>2.4756534E7</v>
      </c>
      <c r="I551" s="1" t="s">
        <v>3991</v>
      </c>
      <c r="J551" s="1" t="s">
        <v>3992</v>
      </c>
      <c r="K551" s="132">
        <v>0.0</v>
      </c>
    </row>
    <row r="552" hidden="1">
      <c r="A552" s="1" t="s">
        <v>3993</v>
      </c>
      <c r="B552" s="1" t="s">
        <v>3994</v>
      </c>
      <c r="C552" s="1" t="s">
        <v>3995</v>
      </c>
      <c r="D552" s="1">
        <v>2016.0</v>
      </c>
      <c r="E552" s="1" t="s">
        <v>940</v>
      </c>
      <c r="F552" s="1" t="s">
        <v>737</v>
      </c>
      <c r="G552" s="1" t="s">
        <v>3996</v>
      </c>
      <c r="H552" s="1">
        <v>2.6838934E7</v>
      </c>
      <c r="I552" s="1" t="s">
        <v>3997</v>
      </c>
      <c r="J552" s="1" t="s">
        <v>3998</v>
      </c>
      <c r="K552" s="132">
        <v>0.0</v>
      </c>
    </row>
    <row r="553" hidden="1">
      <c r="A553" s="1" t="s">
        <v>3999</v>
      </c>
      <c r="B553" s="1" t="s">
        <v>4000</v>
      </c>
      <c r="C553" s="1" t="s">
        <v>4001</v>
      </c>
      <c r="D553" s="1">
        <v>2010.0</v>
      </c>
      <c r="E553" s="1" t="s">
        <v>736</v>
      </c>
      <c r="F553" s="1" t="s">
        <v>659</v>
      </c>
      <c r="G553" s="1" t="s">
        <v>4002</v>
      </c>
      <c r="H553" s="1">
        <v>1.9557391E7</v>
      </c>
      <c r="I553" s="1" t="s">
        <v>4003</v>
      </c>
      <c r="J553" s="1" t="s">
        <v>4004</v>
      </c>
      <c r="K553" s="132">
        <v>0.0</v>
      </c>
    </row>
    <row r="554" hidden="1">
      <c r="A554" s="1" t="s">
        <v>4005</v>
      </c>
      <c r="B554" s="1" t="s">
        <v>4006</v>
      </c>
      <c r="C554" s="1" t="s">
        <v>4007</v>
      </c>
      <c r="D554" s="1">
        <v>2005.0</v>
      </c>
      <c r="E554" s="1" t="s">
        <v>898</v>
      </c>
      <c r="F554" s="1" t="s">
        <v>2603</v>
      </c>
      <c r="G554" s="1" t="s">
        <v>4008</v>
      </c>
      <c r="H554" s="1">
        <v>1.6075231E7</v>
      </c>
      <c r="I554" s="1" t="s">
        <v>4009</v>
      </c>
      <c r="J554" s="1" t="s">
        <v>4010</v>
      </c>
      <c r="K554" s="132">
        <v>1.0</v>
      </c>
    </row>
    <row r="555" hidden="1">
      <c r="A555" s="1" t="s">
        <v>4011</v>
      </c>
      <c r="B555" s="1" t="s">
        <v>4012</v>
      </c>
      <c r="C555" s="1" t="s">
        <v>4013</v>
      </c>
      <c r="D555" s="1">
        <v>2025.0</v>
      </c>
      <c r="E555" s="1" t="s">
        <v>940</v>
      </c>
      <c r="F555" s="1" t="s">
        <v>3123</v>
      </c>
      <c r="G555" s="1" t="s">
        <v>4014</v>
      </c>
      <c r="H555" s="1">
        <v>4.033081E7</v>
      </c>
      <c r="I555" s="1" t="s">
        <v>4015</v>
      </c>
      <c r="J555" s="1" t="s">
        <v>4016</v>
      </c>
      <c r="K555" s="132">
        <v>0.0</v>
      </c>
    </row>
    <row r="556" hidden="1">
      <c r="A556" s="1" t="s">
        <v>4017</v>
      </c>
      <c r="B556" s="1" t="s">
        <v>4018</v>
      </c>
      <c r="C556" s="1" t="s">
        <v>4019</v>
      </c>
      <c r="D556" s="1">
        <v>2018.0</v>
      </c>
      <c r="E556" s="1" t="s">
        <v>723</v>
      </c>
      <c r="F556" s="1" t="s">
        <v>659</v>
      </c>
      <c r="G556" s="1" t="s">
        <v>4020</v>
      </c>
      <c r="H556" s="1">
        <v>2.867474E7</v>
      </c>
      <c r="I556" s="1" t="s">
        <v>4021</v>
      </c>
      <c r="J556" s="1" t="s">
        <v>4022</v>
      </c>
      <c r="K556" s="132">
        <v>0.0</v>
      </c>
    </row>
    <row r="557" hidden="1">
      <c r="A557" s="1" t="s">
        <v>4023</v>
      </c>
      <c r="B557" s="1" t="s">
        <v>4024</v>
      </c>
      <c r="C557" s="1" t="s">
        <v>4025</v>
      </c>
      <c r="D557" s="1">
        <v>2023.0</v>
      </c>
      <c r="E557" s="1" t="s">
        <v>689</v>
      </c>
      <c r="F557" s="1" t="s">
        <v>1160</v>
      </c>
      <c r="G557" s="1" t="s">
        <v>4026</v>
      </c>
      <c r="H557" s="1">
        <v>3.6902868E7</v>
      </c>
      <c r="I557" s="1" t="s">
        <v>4027</v>
      </c>
      <c r="J557" s="1" t="s">
        <v>4028</v>
      </c>
      <c r="K557" s="132">
        <v>0.0</v>
      </c>
    </row>
    <row r="558" hidden="1">
      <c r="A558" s="1" t="s">
        <v>4029</v>
      </c>
      <c r="B558" s="1" t="s">
        <v>4030</v>
      </c>
      <c r="C558" s="1" t="s">
        <v>4031</v>
      </c>
      <c r="D558" s="1">
        <v>2026.0</v>
      </c>
      <c r="E558" s="1" t="s">
        <v>940</v>
      </c>
      <c r="F558" s="1" t="s">
        <v>659</v>
      </c>
      <c r="G558" s="1" t="s">
        <v>4032</v>
      </c>
      <c r="H558" s="1">
        <v>4.1685797E7</v>
      </c>
      <c r="I558" s="1" t="s">
        <v>4033</v>
      </c>
      <c r="J558" s="1" t="s">
        <v>4034</v>
      </c>
      <c r="K558" s="132">
        <v>0.0</v>
      </c>
    </row>
    <row r="559" hidden="1">
      <c r="A559" s="1" t="s">
        <v>4035</v>
      </c>
      <c r="B559" s="1" t="s">
        <v>4036</v>
      </c>
      <c r="C559" s="1" t="s">
        <v>4037</v>
      </c>
      <c r="D559" s="1">
        <v>2011.0</v>
      </c>
      <c r="E559" s="1" t="s">
        <v>723</v>
      </c>
      <c r="F559" s="1" t="s">
        <v>4038</v>
      </c>
      <c r="G559" s="1" t="s">
        <v>4039</v>
      </c>
      <c r="H559" s="1">
        <v>2.125882E7</v>
      </c>
      <c r="I559" s="1" t="s">
        <v>4040</v>
      </c>
      <c r="J559" s="1" t="s">
        <v>4041</v>
      </c>
      <c r="K559" s="132">
        <v>0.0</v>
      </c>
    </row>
    <row r="560" hidden="1">
      <c r="A560" s="1" t="s">
        <v>4042</v>
      </c>
      <c r="B560" s="1" t="s">
        <v>4043</v>
      </c>
      <c r="C560" s="1" t="s">
        <v>4044</v>
      </c>
      <c r="D560" s="1">
        <v>2013.0</v>
      </c>
      <c r="E560" s="1" t="s">
        <v>940</v>
      </c>
      <c r="F560" s="1" t="s">
        <v>651</v>
      </c>
      <c r="G560" s="1" t="s">
        <v>4045</v>
      </c>
      <c r="H560" s="1">
        <v>2.3629979E7</v>
      </c>
      <c r="I560" s="1" t="s">
        <v>4046</v>
      </c>
      <c r="J560" s="1" t="s">
        <v>4047</v>
      </c>
      <c r="K560" s="132">
        <v>0.0</v>
      </c>
    </row>
    <row r="561" hidden="1">
      <c r="A561" s="1" t="s">
        <v>4048</v>
      </c>
      <c r="B561" s="1" t="s">
        <v>4049</v>
      </c>
      <c r="C561" s="1" t="s">
        <v>4050</v>
      </c>
      <c r="D561" s="1">
        <v>2015.0</v>
      </c>
      <c r="E561" s="1" t="s">
        <v>940</v>
      </c>
      <c r="F561" s="1" t="s">
        <v>659</v>
      </c>
      <c r="G561" s="1" t="s">
        <v>4051</v>
      </c>
      <c r="H561" s="1">
        <v>2.4280956E7</v>
      </c>
      <c r="I561" s="1" t="s">
        <v>4052</v>
      </c>
      <c r="J561" s="1" t="s">
        <v>4053</v>
      </c>
      <c r="K561" s="132">
        <v>0.0</v>
      </c>
    </row>
    <row r="562" hidden="1">
      <c r="A562" s="1" t="s">
        <v>4054</v>
      </c>
      <c r="B562" s="1" t="s">
        <v>4055</v>
      </c>
      <c r="C562" s="1" t="s">
        <v>4056</v>
      </c>
      <c r="D562" s="1">
        <v>2016.0</v>
      </c>
      <c r="E562" s="1" t="s">
        <v>697</v>
      </c>
      <c r="F562" s="1" t="s">
        <v>982</v>
      </c>
      <c r="G562" s="1" t="s">
        <v>4057</v>
      </c>
      <c r="H562" s="1">
        <v>2.7146668E7</v>
      </c>
      <c r="I562" s="1" t="s">
        <v>4058</v>
      </c>
      <c r="J562" s="1" t="s">
        <v>4059</v>
      </c>
      <c r="K562" s="132">
        <v>0.0</v>
      </c>
    </row>
    <row r="563" hidden="1">
      <c r="A563" s="1" t="s">
        <v>4060</v>
      </c>
      <c r="B563" s="1" t="s">
        <v>4061</v>
      </c>
      <c r="C563" s="1" t="s">
        <v>4062</v>
      </c>
      <c r="D563" s="1">
        <v>2010.0</v>
      </c>
      <c r="E563" s="1" t="s">
        <v>689</v>
      </c>
      <c r="F563" s="1" t="s">
        <v>737</v>
      </c>
      <c r="G563" s="1" t="s">
        <v>4063</v>
      </c>
      <c r="H563" s="1">
        <v>2.0194956E7</v>
      </c>
      <c r="I563" s="1" t="s">
        <v>4064</v>
      </c>
      <c r="J563" s="1" t="s">
        <v>4065</v>
      </c>
      <c r="K563" s="132">
        <v>0.0</v>
      </c>
    </row>
    <row r="564" hidden="1">
      <c r="A564" s="1" t="s">
        <v>4066</v>
      </c>
      <c r="B564" s="1" t="s">
        <v>4067</v>
      </c>
      <c r="C564" s="1" t="s">
        <v>4068</v>
      </c>
      <c r="D564" s="1">
        <v>2017.0</v>
      </c>
      <c r="E564" s="1" t="s">
        <v>681</v>
      </c>
      <c r="F564" s="1" t="s">
        <v>933</v>
      </c>
      <c r="G564" s="1" t="s">
        <v>4069</v>
      </c>
      <c r="H564" s="1">
        <v>2.7992239E7</v>
      </c>
      <c r="I564" s="1" t="s">
        <v>4070</v>
      </c>
      <c r="J564" s="1" t="s">
        <v>4071</v>
      </c>
      <c r="K564" s="132">
        <v>0.0</v>
      </c>
    </row>
    <row r="565" hidden="1">
      <c r="A565" s="1" t="s">
        <v>4072</v>
      </c>
      <c r="B565" s="1" t="s">
        <v>4073</v>
      </c>
      <c r="C565" s="1" t="s">
        <v>4074</v>
      </c>
      <c r="D565" s="1">
        <v>2025.0</v>
      </c>
      <c r="E565" s="1" t="s">
        <v>674</v>
      </c>
      <c r="F565" s="1" t="s">
        <v>659</v>
      </c>
      <c r="G565" s="1" t="s">
        <v>4075</v>
      </c>
      <c r="H565" s="1">
        <v>3.9686717E7</v>
      </c>
      <c r="I565" s="1" t="s">
        <v>4076</v>
      </c>
      <c r="J565" s="1" t="s">
        <v>4077</v>
      </c>
      <c r="K565" s="132">
        <v>0.0</v>
      </c>
    </row>
    <row r="566" hidden="1">
      <c r="A566" s="1" t="s">
        <v>4078</v>
      </c>
      <c r="B566" s="1" t="s">
        <v>4079</v>
      </c>
      <c r="C566" s="1" t="s">
        <v>4080</v>
      </c>
      <c r="D566" s="1">
        <v>2013.0</v>
      </c>
      <c r="E566" s="1" t="s">
        <v>674</v>
      </c>
      <c r="F566" s="1" t="s">
        <v>737</v>
      </c>
      <c r="G566" s="1" t="s">
        <v>4081</v>
      </c>
      <c r="H566" s="1">
        <v>2.3845398E7</v>
      </c>
      <c r="I566" s="1" t="s">
        <v>4082</v>
      </c>
      <c r="J566" s="1" t="s">
        <v>4083</v>
      </c>
      <c r="K566" s="132">
        <v>0.0</v>
      </c>
    </row>
    <row r="567" hidden="1">
      <c r="A567" s="1" t="s">
        <v>4084</v>
      </c>
      <c r="B567" s="1" t="s">
        <v>4085</v>
      </c>
      <c r="C567" s="1" t="s">
        <v>4086</v>
      </c>
      <c r="D567" s="1">
        <v>2002.0</v>
      </c>
      <c r="E567" s="1" t="s">
        <v>1469</v>
      </c>
      <c r="F567" s="1" t="s">
        <v>737</v>
      </c>
      <c r="G567" s="1" t="s">
        <v>4087</v>
      </c>
      <c r="H567" s="1">
        <v>1.1912091E7</v>
      </c>
      <c r="I567" s="1" t="s">
        <v>4088</v>
      </c>
      <c r="J567" s="1" t="s">
        <v>4089</v>
      </c>
      <c r="K567" s="132">
        <v>0.0</v>
      </c>
    </row>
    <row r="568" hidden="1">
      <c r="A568" s="1" t="s">
        <v>4090</v>
      </c>
      <c r="B568" s="1" t="s">
        <v>4091</v>
      </c>
      <c r="C568" s="1" t="s">
        <v>4092</v>
      </c>
      <c r="D568" s="1">
        <v>2019.0</v>
      </c>
      <c r="E568" s="1" t="s">
        <v>736</v>
      </c>
      <c r="F568" s="1" t="s">
        <v>659</v>
      </c>
      <c r="G568" s="1" t="s">
        <v>4093</v>
      </c>
      <c r="H568" s="1">
        <v>3.0019072E7</v>
      </c>
      <c r="I568" s="1" t="s">
        <v>4094</v>
      </c>
      <c r="J568" s="1" t="s">
        <v>4095</v>
      </c>
      <c r="K568" s="132">
        <v>0.0</v>
      </c>
    </row>
    <row r="569" hidden="1">
      <c r="A569" s="1" t="s">
        <v>4096</v>
      </c>
      <c r="B569" s="1" t="s">
        <v>4097</v>
      </c>
      <c r="C569" s="1" t="s">
        <v>4098</v>
      </c>
      <c r="D569" s="1">
        <v>2005.0</v>
      </c>
      <c r="E569" s="12"/>
      <c r="F569" s="1" t="s">
        <v>4099</v>
      </c>
      <c r="G569" s="1" t="s">
        <v>4100</v>
      </c>
      <c r="H569" s="1">
        <v>1.574812E7</v>
      </c>
      <c r="I569" s="1" t="s">
        <v>4101</v>
      </c>
      <c r="J569" s="1" t="s">
        <v>4102</v>
      </c>
      <c r="K569" s="132">
        <v>0.0</v>
      </c>
    </row>
    <row r="570" hidden="1">
      <c r="A570" s="1" t="s">
        <v>4103</v>
      </c>
      <c r="B570" s="1" t="s">
        <v>4104</v>
      </c>
      <c r="C570" s="1" t="s">
        <v>4105</v>
      </c>
      <c r="D570" s="1">
        <v>2019.0</v>
      </c>
      <c r="E570" s="1" t="s">
        <v>658</v>
      </c>
      <c r="F570" s="1" t="s">
        <v>737</v>
      </c>
      <c r="G570" s="1" t="s">
        <v>4106</v>
      </c>
      <c r="H570" s="1">
        <v>3.1306589E7</v>
      </c>
      <c r="I570" s="1" t="s">
        <v>4107</v>
      </c>
      <c r="J570" s="1" t="s">
        <v>4108</v>
      </c>
      <c r="K570" s="132">
        <v>0.0</v>
      </c>
    </row>
    <row r="571" hidden="1">
      <c r="A571" s="1" t="s">
        <v>4109</v>
      </c>
      <c r="B571" s="1" t="s">
        <v>4110</v>
      </c>
      <c r="C571" s="1" t="s">
        <v>4111</v>
      </c>
      <c r="D571" s="1">
        <v>2008.0</v>
      </c>
      <c r="E571" s="1" t="s">
        <v>723</v>
      </c>
      <c r="F571" s="1" t="s">
        <v>767</v>
      </c>
      <c r="G571" s="1" t="s">
        <v>4112</v>
      </c>
      <c r="H571" s="1">
        <v>1.8237696E7</v>
      </c>
      <c r="I571" s="1" t="s">
        <v>4113</v>
      </c>
      <c r="J571" s="1" t="s">
        <v>4114</v>
      </c>
      <c r="K571" s="132">
        <v>0.0</v>
      </c>
    </row>
    <row r="572" hidden="1">
      <c r="A572" s="1" t="s">
        <v>4115</v>
      </c>
      <c r="B572" s="1" t="s">
        <v>4116</v>
      </c>
      <c r="C572" s="1" t="s">
        <v>4117</v>
      </c>
      <c r="D572" s="1">
        <v>2018.0</v>
      </c>
      <c r="E572" s="1" t="s">
        <v>813</v>
      </c>
      <c r="F572" s="1" t="s">
        <v>4118</v>
      </c>
      <c r="G572" s="1" t="s">
        <v>4119</v>
      </c>
      <c r="H572" s="1">
        <v>2.9574163E7</v>
      </c>
      <c r="I572" s="1" t="s">
        <v>4120</v>
      </c>
      <c r="J572" s="1" t="s">
        <v>4121</v>
      </c>
      <c r="K572" s="132">
        <v>0.0</v>
      </c>
    </row>
    <row r="573" hidden="1">
      <c r="A573" s="1" t="s">
        <v>4122</v>
      </c>
      <c r="B573" s="1" t="s">
        <v>4123</v>
      </c>
      <c r="C573" s="1" t="s">
        <v>4124</v>
      </c>
      <c r="D573" s="1">
        <v>2009.0</v>
      </c>
      <c r="E573" s="1" t="s">
        <v>697</v>
      </c>
      <c r="F573" s="1" t="s">
        <v>659</v>
      </c>
      <c r="G573" s="1" t="s">
        <v>4125</v>
      </c>
      <c r="H573" s="1">
        <v>1.928808E7</v>
      </c>
      <c r="I573" s="1" t="s">
        <v>4126</v>
      </c>
      <c r="J573" s="1" t="s">
        <v>4127</v>
      </c>
      <c r="K573" s="132">
        <v>0.0</v>
      </c>
    </row>
    <row r="574" hidden="1">
      <c r="A574" s="1" t="s">
        <v>4128</v>
      </c>
      <c r="B574" s="1" t="s">
        <v>4129</v>
      </c>
      <c r="C574" s="1" t="s">
        <v>4130</v>
      </c>
      <c r="D574" s="1">
        <v>2010.0</v>
      </c>
      <c r="E574" s="1" t="s">
        <v>674</v>
      </c>
      <c r="F574" s="1" t="s">
        <v>659</v>
      </c>
      <c r="G574" s="1" t="s">
        <v>4131</v>
      </c>
      <c r="H574" s="1">
        <v>2.0111952E7</v>
      </c>
      <c r="I574" s="1" t="s">
        <v>4132</v>
      </c>
      <c r="J574" s="1" t="s">
        <v>4133</v>
      </c>
      <c r="K574" s="132">
        <v>0.0</v>
      </c>
    </row>
    <row r="575" hidden="1">
      <c r="A575" s="1" t="s">
        <v>4134</v>
      </c>
      <c r="B575" s="1" t="s">
        <v>4135</v>
      </c>
      <c r="C575" s="1" t="s">
        <v>4136</v>
      </c>
      <c r="D575" s="1">
        <v>2014.0</v>
      </c>
      <c r="E575" s="1" t="s">
        <v>736</v>
      </c>
      <c r="F575" s="1" t="s">
        <v>659</v>
      </c>
      <c r="G575" s="1" t="s">
        <v>4137</v>
      </c>
      <c r="H575" s="1">
        <v>2.3117168E7</v>
      </c>
      <c r="I575" s="1" t="s">
        <v>4138</v>
      </c>
      <c r="J575" s="1" t="s">
        <v>4139</v>
      </c>
      <c r="K575" s="132">
        <v>0.0</v>
      </c>
    </row>
    <row r="576">
      <c r="A576" s="1" t="s">
        <v>4140</v>
      </c>
      <c r="B576" s="1" t="s">
        <v>4141</v>
      </c>
      <c r="C576" s="1" t="s">
        <v>4142</v>
      </c>
      <c r="D576" s="1">
        <v>2020.0</v>
      </c>
      <c r="E576" s="1" t="s">
        <v>761</v>
      </c>
      <c r="F576" s="1" t="s">
        <v>2315</v>
      </c>
      <c r="G576" s="1" t="s">
        <v>133</v>
      </c>
      <c r="H576" s="1">
        <v>3.2125668E7</v>
      </c>
      <c r="I576" s="1" t="s">
        <v>4143</v>
      </c>
      <c r="J576" s="1" t="s">
        <v>1095</v>
      </c>
      <c r="K576" s="132">
        <v>3.0</v>
      </c>
    </row>
    <row r="577" hidden="1">
      <c r="A577" s="1" t="s">
        <v>4144</v>
      </c>
      <c r="B577" s="1" t="s">
        <v>4145</v>
      </c>
      <c r="C577" s="1" t="s">
        <v>4146</v>
      </c>
      <c r="D577" s="1">
        <v>2026.0</v>
      </c>
      <c r="E577" s="1" t="s">
        <v>697</v>
      </c>
      <c r="F577" s="1" t="s">
        <v>737</v>
      </c>
      <c r="G577" s="1" t="s">
        <v>4147</v>
      </c>
      <c r="H577" s="1">
        <v>4.2310826E7</v>
      </c>
      <c r="I577" s="1" t="s">
        <v>4148</v>
      </c>
      <c r="J577" s="1" t="s">
        <v>4149</v>
      </c>
      <c r="K577" s="132">
        <v>0.0</v>
      </c>
    </row>
    <row r="578" hidden="1">
      <c r="A578" s="1" t="s">
        <v>4150</v>
      </c>
      <c r="B578" s="1" t="s">
        <v>4151</v>
      </c>
      <c r="C578" s="1" t="s">
        <v>4152</v>
      </c>
      <c r="D578" s="1">
        <v>1987.0</v>
      </c>
      <c r="E578" s="1" t="s">
        <v>813</v>
      </c>
      <c r="F578" s="1" t="s">
        <v>737</v>
      </c>
      <c r="G578" s="1" t="s">
        <v>4153</v>
      </c>
      <c r="H578" s="1">
        <v>3303978.0</v>
      </c>
      <c r="I578" s="1" t="s">
        <v>4154</v>
      </c>
      <c r="J578" s="1" t="s">
        <v>4155</v>
      </c>
      <c r="K578" s="132">
        <v>0.0</v>
      </c>
    </row>
    <row r="579">
      <c r="A579" s="1" t="s">
        <v>4156</v>
      </c>
      <c r="B579" s="1" t="s">
        <v>4157</v>
      </c>
      <c r="C579" s="1" t="s">
        <v>4158</v>
      </c>
      <c r="D579" s="1">
        <v>2020.0</v>
      </c>
      <c r="E579" s="1" t="s">
        <v>697</v>
      </c>
      <c r="F579" s="1" t="s">
        <v>767</v>
      </c>
      <c r="G579" s="1" t="s">
        <v>135</v>
      </c>
      <c r="H579" s="1">
        <v>3.2059954E7</v>
      </c>
      <c r="I579" s="1" t="s">
        <v>4159</v>
      </c>
      <c r="J579" s="1" t="s">
        <v>1097</v>
      </c>
      <c r="K579" s="132">
        <v>3.0</v>
      </c>
    </row>
    <row r="580" hidden="1">
      <c r="A580" s="1" t="s">
        <v>4160</v>
      </c>
      <c r="B580" s="1" t="s">
        <v>4161</v>
      </c>
      <c r="C580" s="1" t="s">
        <v>4162</v>
      </c>
      <c r="D580" s="1">
        <v>2010.0</v>
      </c>
      <c r="E580" s="1" t="s">
        <v>723</v>
      </c>
      <c r="F580" s="1" t="s">
        <v>4163</v>
      </c>
      <c r="G580" s="1" t="s">
        <v>4164</v>
      </c>
      <c r="H580" s="1">
        <v>2.0210967E7</v>
      </c>
      <c r="I580" s="1" t="s">
        <v>4165</v>
      </c>
      <c r="J580" s="1" t="s">
        <v>4166</v>
      </c>
      <c r="K580" s="132">
        <v>0.0</v>
      </c>
    </row>
    <row r="581" hidden="1">
      <c r="A581" s="1" t="s">
        <v>4167</v>
      </c>
      <c r="B581" s="1" t="s">
        <v>4168</v>
      </c>
      <c r="C581" s="1" t="s">
        <v>4169</v>
      </c>
      <c r="D581" s="1">
        <v>1991.0</v>
      </c>
      <c r="E581" s="1" t="s">
        <v>658</v>
      </c>
      <c r="F581" s="1" t="s">
        <v>730</v>
      </c>
      <c r="G581" s="12"/>
      <c r="H581" s="1">
        <v>1874764.0</v>
      </c>
      <c r="I581" s="1" t="s">
        <v>4170</v>
      </c>
      <c r="J581" s="1" t="s">
        <v>4171</v>
      </c>
      <c r="K581" s="132">
        <v>0.0</v>
      </c>
    </row>
    <row r="582" hidden="1">
      <c r="A582" s="1" t="s">
        <v>4172</v>
      </c>
      <c r="B582" s="1" t="s">
        <v>4173</v>
      </c>
      <c r="C582" s="1" t="s">
        <v>4174</v>
      </c>
      <c r="D582" s="1">
        <v>1994.0</v>
      </c>
      <c r="E582" s="1" t="s">
        <v>729</v>
      </c>
      <c r="F582" s="1" t="s">
        <v>1508</v>
      </c>
      <c r="G582" s="1" t="s">
        <v>4175</v>
      </c>
      <c r="H582" s="1">
        <v>8090841.0</v>
      </c>
      <c r="I582" s="1" t="s">
        <v>4176</v>
      </c>
      <c r="J582" s="1" t="s">
        <v>4177</v>
      </c>
      <c r="K582" s="132">
        <v>0.0</v>
      </c>
    </row>
    <row r="583" hidden="1">
      <c r="A583" s="1" t="s">
        <v>4178</v>
      </c>
      <c r="B583" s="1" t="s">
        <v>4179</v>
      </c>
      <c r="C583" s="1" t="s">
        <v>4180</v>
      </c>
      <c r="D583" s="1">
        <v>1995.0</v>
      </c>
      <c r="E583" s="1" t="s">
        <v>658</v>
      </c>
      <c r="F583" s="1" t="s">
        <v>730</v>
      </c>
      <c r="G583" s="1" t="s">
        <v>4181</v>
      </c>
      <c r="H583" s="1">
        <v>7642660.0</v>
      </c>
      <c r="I583" s="1" t="s">
        <v>4182</v>
      </c>
      <c r="J583" s="1" t="s">
        <v>4183</v>
      </c>
      <c r="K583" s="132">
        <v>0.0</v>
      </c>
    </row>
    <row r="584" hidden="1">
      <c r="A584" s="1" t="s">
        <v>4184</v>
      </c>
      <c r="B584" s="1" t="s">
        <v>4185</v>
      </c>
      <c r="C584" s="1" t="s">
        <v>4186</v>
      </c>
      <c r="D584" s="1">
        <v>2021.0</v>
      </c>
      <c r="E584" s="1" t="s">
        <v>658</v>
      </c>
      <c r="F584" s="1" t="s">
        <v>1174</v>
      </c>
      <c r="G584" s="1" t="s">
        <v>4187</v>
      </c>
      <c r="H584" s="1">
        <v>3.4348704E7</v>
      </c>
      <c r="I584" s="1" t="s">
        <v>4188</v>
      </c>
      <c r="J584" s="1" t="s">
        <v>4189</v>
      </c>
      <c r="K584" s="132">
        <v>0.0</v>
      </c>
    </row>
    <row r="585" hidden="1">
      <c r="A585" s="1" t="s">
        <v>4190</v>
      </c>
      <c r="B585" s="1" t="s">
        <v>4191</v>
      </c>
      <c r="C585" s="1" t="s">
        <v>4192</v>
      </c>
      <c r="D585" s="1">
        <v>2020.0</v>
      </c>
      <c r="E585" s="1" t="s">
        <v>666</v>
      </c>
      <c r="F585" s="1" t="s">
        <v>825</v>
      </c>
      <c r="G585" s="1" t="s">
        <v>4193</v>
      </c>
      <c r="H585" s="1">
        <v>3.2490026E7</v>
      </c>
      <c r="I585" s="1" t="s">
        <v>4194</v>
      </c>
      <c r="J585" s="1" t="s">
        <v>1099</v>
      </c>
      <c r="K585" s="132">
        <v>2.0</v>
      </c>
    </row>
    <row r="586">
      <c r="A586" s="1" t="s">
        <v>4195</v>
      </c>
      <c r="B586" s="1" t="s">
        <v>4196</v>
      </c>
      <c r="C586" s="1" t="s">
        <v>4197</v>
      </c>
      <c r="D586" s="1">
        <v>2026.0</v>
      </c>
      <c r="E586" s="1" t="s">
        <v>689</v>
      </c>
      <c r="F586" s="1" t="s">
        <v>4198</v>
      </c>
      <c r="G586" s="1" t="s">
        <v>137</v>
      </c>
      <c r="H586" s="1">
        <v>4.1536854E7</v>
      </c>
      <c r="I586" s="1" t="s">
        <v>4199</v>
      </c>
      <c r="J586" s="1" t="s">
        <v>1101</v>
      </c>
      <c r="K586" s="132">
        <v>3.0</v>
      </c>
    </row>
    <row r="587" hidden="1">
      <c r="A587" s="1" t="s">
        <v>4200</v>
      </c>
      <c r="B587" s="1" t="s">
        <v>4201</v>
      </c>
      <c r="C587" s="1" t="s">
        <v>4202</v>
      </c>
      <c r="D587" s="1">
        <v>2019.0</v>
      </c>
      <c r="E587" s="1" t="s">
        <v>898</v>
      </c>
      <c r="F587" s="1" t="s">
        <v>730</v>
      </c>
      <c r="G587" s="1" t="s">
        <v>4203</v>
      </c>
      <c r="H587" s="1">
        <v>3.180042E7</v>
      </c>
      <c r="I587" s="1" t="s">
        <v>4204</v>
      </c>
      <c r="J587" s="1" t="s">
        <v>4205</v>
      </c>
      <c r="K587" s="132">
        <v>0.0</v>
      </c>
    </row>
    <row r="588" hidden="1">
      <c r="A588" s="1" t="s">
        <v>4206</v>
      </c>
      <c r="B588" s="1" t="s">
        <v>4207</v>
      </c>
      <c r="C588" s="1" t="s">
        <v>4208</v>
      </c>
      <c r="D588" s="1">
        <v>2017.0</v>
      </c>
      <c r="E588" s="1" t="s">
        <v>689</v>
      </c>
      <c r="F588" s="1" t="s">
        <v>737</v>
      </c>
      <c r="G588" s="1" t="s">
        <v>4209</v>
      </c>
      <c r="H588" s="1">
        <v>2.7836905E7</v>
      </c>
      <c r="I588" s="1" t="s">
        <v>4210</v>
      </c>
      <c r="J588" s="1" t="s">
        <v>4211</v>
      </c>
      <c r="K588" s="132">
        <v>0.0</v>
      </c>
    </row>
    <row r="589" hidden="1">
      <c r="A589" s="1" t="s">
        <v>4212</v>
      </c>
      <c r="B589" s="1" t="s">
        <v>4213</v>
      </c>
      <c r="C589" s="1" t="s">
        <v>4214</v>
      </c>
      <c r="D589" s="1">
        <v>2019.0</v>
      </c>
      <c r="E589" s="1" t="s">
        <v>658</v>
      </c>
      <c r="F589" s="1" t="s">
        <v>2536</v>
      </c>
      <c r="G589" s="1" t="s">
        <v>4215</v>
      </c>
      <c r="H589" s="1">
        <v>3.1130273E7</v>
      </c>
      <c r="I589" s="1" t="s">
        <v>4216</v>
      </c>
      <c r="J589" s="1" t="s">
        <v>4217</v>
      </c>
      <c r="K589" s="132">
        <v>0.0</v>
      </c>
    </row>
    <row r="590" hidden="1">
      <c r="A590" s="1" t="s">
        <v>4218</v>
      </c>
      <c r="B590" s="1" t="s">
        <v>4219</v>
      </c>
      <c r="C590" s="1" t="s">
        <v>4220</v>
      </c>
      <c r="D590" s="1">
        <v>2010.0</v>
      </c>
      <c r="E590" s="1" t="s">
        <v>658</v>
      </c>
      <c r="F590" s="1" t="s">
        <v>737</v>
      </c>
      <c r="G590" s="1" t="s">
        <v>4221</v>
      </c>
      <c r="H590" s="1">
        <v>2.039297E7</v>
      </c>
      <c r="I590" s="1" t="s">
        <v>4222</v>
      </c>
      <c r="J590" s="1" t="s">
        <v>4223</v>
      </c>
      <c r="K590" s="132">
        <v>0.0</v>
      </c>
    </row>
    <row r="591" hidden="1">
      <c r="A591" s="1" t="s">
        <v>4224</v>
      </c>
      <c r="B591" s="1" t="s">
        <v>4225</v>
      </c>
      <c r="C591" s="1" t="s">
        <v>4226</v>
      </c>
      <c r="D591" s="1">
        <v>2005.0</v>
      </c>
      <c r="E591" s="1" t="s">
        <v>723</v>
      </c>
      <c r="F591" s="1" t="s">
        <v>3046</v>
      </c>
      <c r="G591" s="1" t="s">
        <v>4227</v>
      </c>
      <c r="H591" s="1">
        <v>1.5723704E7</v>
      </c>
      <c r="I591" s="1" t="s">
        <v>4228</v>
      </c>
      <c r="J591" s="1" t="s">
        <v>4229</v>
      </c>
      <c r="K591" s="132">
        <v>0.0</v>
      </c>
    </row>
    <row r="592" hidden="1">
      <c r="A592" s="1" t="s">
        <v>4230</v>
      </c>
      <c r="B592" s="1" t="s">
        <v>4231</v>
      </c>
      <c r="C592" s="1" t="s">
        <v>4232</v>
      </c>
      <c r="D592" s="1">
        <v>2009.0</v>
      </c>
      <c r="E592" s="1" t="s">
        <v>674</v>
      </c>
      <c r="F592" s="1" t="s">
        <v>737</v>
      </c>
      <c r="G592" s="1" t="s">
        <v>4233</v>
      </c>
      <c r="H592" s="1">
        <v>1.9483077E7</v>
      </c>
      <c r="I592" s="1" t="s">
        <v>4234</v>
      </c>
      <c r="J592" s="1" t="s">
        <v>4235</v>
      </c>
      <c r="K592" s="132">
        <v>0.0</v>
      </c>
    </row>
    <row r="593" hidden="1">
      <c r="A593" s="1" t="s">
        <v>4236</v>
      </c>
      <c r="B593" s="1" t="s">
        <v>4237</v>
      </c>
      <c r="C593" s="1" t="s">
        <v>4238</v>
      </c>
      <c r="D593" s="1">
        <v>2014.0</v>
      </c>
      <c r="E593" s="1" t="s">
        <v>674</v>
      </c>
      <c r="F593" s="1" t="s">
        <v>659</v>
      </c>
      <c r="G593" s="1" t="s">
        <v>4239</v>
      </c>
      <c r="H593" s="1">
        <v>2.3974633E7</v>
      </c>
      <c r="I593" s="1" t="s">
        <v>4240</v>
      </c>
      <c r="J593" s="1" t="s">
        <v>4241</v>
      </c>
      <c r="K593" s="132">
        <v>0.0</v>
      </c>
    </row>
    <row r="594" hidden="1">
      <c r="A594" s="1" t="s">
        <v>4242</v>
      </c>
      <c r="B594" s="1" t="s">
        <v>4243</v>
      </c>
      <c r="C594" s="1" t="s">
        <v>4244</v>
      </c>
      <c r="D594" s="1">
        <v>2014.0</v>
      </c>
      <c r="E594" s="1" t="s">
        <v>666</v>
      </c>
      <c r="F594" s="1" t="s">
        <v>1620</v>
      </c>
      <c r="G594" s="1" t="s">
        <v>4245</v>
      </c>
      <c r="H594" s="1">
        <v>2.3242961E7</v>
      </c>
      <c r="I594" s="1" t="s">
        <v>4246</v>
      </c>
      <c r="J594" s="1" t="s">
        <v>4247</v>
      </c>
      <c r="K594" s="132">
        <v>0.0</v>
      </c>
    </row>
    <row r="595" hidden="1">
      <c r="A595" s="1" t="s">
        <v>4248</v>
      </c>
      <c r="B595" s="1" t="s">
        <v>4249</v>
      </c>
      <c r="C595" s="1" t="s">
        <v>4250</v>
      </c>
      <c r="D595" s="1">
        <v>2013.0</v>
      </c>
      <c r="E595" s="1" t="s">
        <v>898</v>
      </c>
      <c r="F595" s="1" t="s">
        <v>2603</v>
      </c>
      <c r="G595" s="1" t="s">
        <v>4251</v>
      </c>
      <c r="H595" s="1">
        <v>2.3982635E7</v>
      </c>
      <c r="I595" s="1" t="s">
        <v>4252</v>
      </c>
      <c r="J595" s="1" t="s">
        <v>4253</v>
      </c>
      <c r="K595" s="132">
        <v>0.0</v>
      </c>
    </row>
    <row r="596" hidden="1">
      <c r="A596" s="1" t="s">
        <v>4254</v>
      </c>
      <c r="B596" s="1" t="s">
        <v>4255</v>
      </c>
      <c r="C596" s="1" t="s">
        <v>4256</v>
      </c>
      <c r="D596" s="1">
        <v>2003.0</v>
      </c>
      <c r="E596" s="1" t="s">
        <v>674</v>
      </c>
      <c r="F596" s="1" t="s">
        <v>886</v>
      </c>
      <c r="G596" s="1" t="s">
        <v>4257</v>
      </c>
      <c r="H596" s="1">
        <v>1.2893151E7</v>
      </c>
      <c r="I596" s="1" t="s">
        <v>4258</v>
      </c>
      <c r="J596" s="1" t="s">
        <v>4259</v>
      </c>
      <c r="K596" s="132">
        <v>0.0</v>
      </c>
    </row>
    <row r="597" hidden="1">
      <c r="A597" s="1" t="s">
        <v>4260</v>
      </c>
      <c r="B597" s="1" t="s">
        <v>4261</v>
      </c>
      <c r="C597" s="1" t="s">
        <v>4262</v>
      </c>
      <c r="D597" s="1">
        <v>2008.0</v>
      </c>
      <c r="E597" s="1" t="s">
        <v>689</v>
      </c>
      <c r="F597" s="1" t="s">
        <v>659</v>
      </c>
      <c r="G597" s="1" t="s">
        <v>4263</v>
      </c>
      <c r="H597" s="1">
        <v>1.8193194E7</v>
      </c>
      <c r="I597" s="1" t="s">
        <v>4264</v>
      </c>
      <c r="J597" s="1" t="s">
        <v>4265</v>
      </c>
      <c r="K597" s="132">
        <v>0.0</v>
      </c>
    </row>
    <row r="598" hidden="1">
      <c r="A598" s="1" t="s">
        <v>4266</v>
      </c>
      <c r="B598" s="1" t="s">
        <v>4267</v>
      </c>
      <c r="C598" s="1" t="s">
        <v>4268</v>
      </c>
      <c r="D598" s="1">
        <v>1996.0</v>
      </c>
      <c r="E598" s="1" t="s">
        <v>837</v>
      </c>
      <c r="F598" s="1" t="s">
        <v>737</v>
      </c>
      <c r="G598" s="1" t="s">
        <v>4269</v>
      </c>
      <c r="H598" s="1">
        <v>8947402.0</v>
      </c>
      <c r="I598" s="1" t="s">
        <v>4270</v>
      </c>
      <c r="J598" s="1" t="s">
        <v>4271</v>
      </c>
      <c r="K598" s="132">
        <v>0.0</v>
      </c>
    </row>
    <row r="599" hidden="1">
      <c r="A599" s="1" t="s">
        <v>4272</v>
      </c>
      <c r="B599" s="1" t="s">
        <v>4273</v>
      </c>
      <c r="C599" s="1" t="s">
        <v>4274</v>
      </c>
      <c r="D599" s="1">
        <v>2024.0</v>
      </c>
      <c r="E599" s="1" t="s">
        <v>681</v>
      </c>
      <c r="F599" s="1" t="s">
        <v>825</v>
      </c>
      <c r="G599" s="1" t="s">
        <v>4275</v>
      </c>
      <c r="H599" s="1">
        <v>3.9555324E7</v>
      </c>
      <c r="I599" s="1" t="s">
        <v>4276</v>
      </c>
      <c r="J599" s="1" t="s">
        <v>4277</v>
      </c>
      <c r="K599" s="132">
        <v>1.0</v>
      </c>
    </row>
    <row r="600" hidden="1">
      <c r="A600" s="1" t="s">
        <v>4278</v>
      </c>
      <c r="B600" s="1" t="s">
        <v>4279</v>
      </c>
      <c r="C600" s="1" t="s">
        <v>4280</v>
      </c>
      <c r="D600" s="1">
        <v>2004.0</v>
      </c>
      <c r="E600" s="1" t="s">
        <v>658</v>
      </c>
      <c r="F600" s="1" t="s">
        <v>1119</v>
      </c>
      <c r="G600" s="12"/>
      <c r="H600" s="1">
        <v>1.5363236E7</v>
      </c>
      <c r="I600" s="1" t="s">
        <v>4281</v>
      </c>
      <c r="J600" s="1" t="s">
        <v>4282</v>
      </c>
      <c r="K600" s="132">
        <v>0.0</v>
      </c>
    </row>
    <row r="601" hidden="1">
      <c r="A601" s="1" t="s">
        <v>4283</v>
      </c>
      <c r="B601" s="1" t="s">
        <v>4284</v>
      </c>
      <c r="C601" s="1" t="s">
        <v>4285</v>
      </c>
      <c r="D601" s="1">
        <v>2009.0</v>
      </c>
      <c r="E601" s="1" t="s">
        <v>761</v>
      </c>
      <c r="F601" s="1" t="s">
        <v>767</v>
      </c>
      <c r="G601" s="1" t="s">
        <v>4286</v>
      </c>
      <c r="H601" s="1">
        <v>1.9560639E7</v>
      </c>
      <c r="I601" s="1" t="s">
        <v>4287</v>
      </c>
      <c r="J601" s="1" t="s">
        <v>4288</v>
      </c>
      <c r="K601" s="132">
        <v>0.0</v>
      </c>
    </row>
    <row r="602" hidden="1">
      <c r="A602" s="1" t="s">
        <v>4289</v>
      </c>
      <c r="B602" s="1" t="s">
        <v>4284</v>
      </c>
      <c r="C602" s="1" t="s">
        <v>4290</v>
      </c>
      <c r="D602" s="1">
        <v>2009.0</v>
      </c>
      <c r="E602" s="1" t="s">
        <v>940</v>
      </c>
      <c r="F602" s="1" t="s">
        <v>4291</v>
      </c>
      <c r="G602" s="1" t="s">
        <v>4292</v>
      </c>
      <c r="H602" s="1">
        <v>1.935375E7</v>
      </c>
      <c r="I602" s="1" t="s">
        <v>4293</v>
      </c>
      <c r="J602" s="1" t="s">
        <v>4288</v>
      </c>
      <c r="K602" s="132">
        <v>0.0</v>
      </c>
    </row>
    <row r="603" hidden="1">
      <c r="A603" s="1" t="s">
        <v>4294</v>
      </c>
      <c r="B603" s="1" t="s">
        <v>4295</v>
      </c>
      <c r="C603" s="1" t="s">
        <v>4296</v>
      </c>
      <c r="D603" s="1">
        <v>2009.0</v>
      </c>
      <c r="E603" s="1" t="s">
        <v>666</v>
      </c>
      <c r="F603" s="1" t="s">
        <v>659</v>
      </c>
      <c r="G603" s="1" t="s">
        <v>4297</v>
      </c>
      <c r="H603" s="1">
        <v>1.9139845E7</v>
      </c>
      <c r="I603" s="1" t="s">
        <v>4298</v>
      </c>
      <c r="J603" s="1" t="s">
        <v>4288</v>
      </c>
      <c r="K603" s="132">
        <v>0.0</v>
      </c>
    </row>
    <row r="604" hidden="1">
      <c r="A604" s="1" t="s">
        <v>4299</v>
      </c>
      <c r="B604" s="1" t="s">
        <v>4300</v>
      </c>
      <c r="C604" s="1" t="s">
        <v>4301</v>
      </c>
      <c r="D604" s="1">
        <v>2011.0</v>
      </c>
      <c r="E604" s="1" t="s">
        <v>674</v>
      </c>
      <c r="F604" s="1" t="s">
        <v>767</v>
      </c>
      <c r="G604" s="1" t="s">
        <v>4302</v>
      </c>
      <c r="H604" s="1">
        <v>2.1782375E7</v>
      </c>
      <c r="I604" s="1" t="s">
        <v>4303</v>
      </c>
      <c r="J604" s="1" t="s">
        <v>4304</v>
      </c>
      <c r="K604" s="132">
        <v>0.0</v>
      </c>
    </row>
    <row r="605" hidden="1">
      <c r="A605" s="1" t="s">
        <v>4305</v>
      </c>
      <c r="B605" s="1" t="s">
        <v>4300</v>
      </c>
      <c r="C605" s="1" t="s">
        <v>4306</v>
      </c>
      <c r="D605" s="1">
        <v>2011.0</v>
      </c>
      <c r="E605" s="1" t="s">
        <v>761</v>
      </c>
      <c r="F605" s="1" t="s">
        <v>737</v>
      </c>
      <c r="G605" s="1" t="s">
        <v>4307</v>
      </c>
      <c r="H605" s="1">
        <v>2.1441418E7</v>
      </c>
      <c r="I605" s="1" t="s">
        <v>4308</v>
      </c>
      <c r="J605" s="1" t="s">
        <v>4304</v>
      </c>
      <c r="K605" s="132">
        <v>0.0</v>
      </c>
    </row>
    <row r="606" hidden="1">
      <c r="A606" s="1" t="s">
        <v>4309</v>
      </c>
      <c r="B606" s="1" t="s">
        <v>4310</v>
      </c>
      <c r="C606" s="1" t="s">
        <v>4311</v>
      </c>
      <c r="D606" s="1">
        <v>2012.0</v>
      </c>
      <c r="E606" s="1" t="s">
        <v>736</v>
      </c>
      <c r="F606" s="1" t="s">
        <v>659</v>
      </c>
      <c r="G606" s="1" t="s">
        <v>4312</v>
      </c>
      <c r="H606" s="1">
        <v>2.1290113E7</v>
      </c>
      <c r="I606" s="1" t="s">
        <v>4313</v>
      </c>
      <c r="J606" s="1" t="s">
        <v>4314</v>
      </c>
      <c r="K606" s="132">
        <v>0.0</v>
      </c>
    </row>
    <row r="607" hidden="1">
      <c r="A607" s="1" t="s">
        <v>4315</v>
      </c>
      <c r="B607" s="1" t="s">
        <v>4316</v>
      </c>
      <c r="C607" s="1" t="s">
        <v>4317</v>
      </c>
      <c r="D607" s="1">
        <v>2020.0</v>
      </c>
      <c r="E607" s="1" t="s">
        <v>666</v>
      </c>
      <c r="F607" s="1" t="s">
        <v>737</v>
      </c>
      <c r="G607" s="1" t="s">
        <v>4318</v>
      </c>
      <c r="H607" s="1">
        <v>3.2302205E7</v>
      </c>
      <c r="I607" s="1" t="s">
        <v>4319</v>
      </c>
      <c r="J607" s="1" t="s">
        <v>4320</v>
      </c>
      <c r="K607" s="132">
        <v>0.0</v>
      </c>
    </row>
    <row r="608" hidden="1">
      <c r="A608" s="1" t="s">
        <v>4321</v>
      </c>
      <c r="B608" s="1" t="s">
        <v>4322</v>
      </c>
      <c r="C608" s="1" t="s">
        <v>4323</v>
      </c>
      <c r="D608" s="1">
        <v>2011.0</v>
      </c>
      <c r="E608" s="1" t="s">
        <v>658</v>
      </c>
      <c r="F608" s="1" t="s">
        <v>737</v>
      </c>
      <c r="G608" s="1" t="s">
        <v>4324</v>
      </c>
      <c r="H608" s="1">
        <v>2.1610263E7</v>
      </c>
      <c r="I608" s="1" t="s">
        <v>4325</v>
      </c>
      <c r="J608" s="1" t="s">
        <v>4326</v>
      </c>
      <c r="K608" s="132">
        <v>0.0</v>
      </c>
    </row>
    <row r="609" hidden="1">
      <c r="A609" s="1" t="s">
        <v>4327</v>
      </c>
      <c r="B609" s="1" t="s">
        <v>4328</v>
      </c>
      <c r="C609" s="1" t="s">
        <v>4329</v>
      </c>
      <c r="D609" s="1">
        <v>2012.0</v>
      </c>
      <c r="E609" s="1" t="s">
        <v>761</v>
      </c>
      <c r="F609" s="1" t="s">
        <v>737</v>
      </c>
      <c r="G609" s="1" t="s">
        <v>4330</v>
      </c>
      <c r="H609" s="1">
        <v>2.2691456E7</v>
      </c>
      <c r="I609" s="1" t="s">
        <v>4331</v>
      </c>
      <c r="J609" s="1" t="s">
        <v>4332</v>
      </c>
      <c r="K609" s="132">
        <v>0.0</v>
      </c>
    </row>
    <row r="610" hidden="1">
      <c r="A610" s="1" t="s">
        <v>4333</v>
      </c>
      <c r="B610" s="1" t="s">
        <v>4334</v>
      </c>
      <c r="C610" s="1" t="s">
        <v>4335</v>
      </c>
      <c r="D610" s="1">
        <v>2022.0</v>
      </c>
      <c r="E610" s="1" t="s">
        <v>898</v>
      </c>
      <c r="F610" s="1" t="s">
        <v>825</v>
      </c>
      <c r="G610" s="1" t="s">
        <v>4336</v>
      </c>
      <c r="H610" s="1">
        <v>3.6518729E7</v>
      </c>
      <c r="I610" s="1" t="s">
        <v>4337</v>
      </c>
      <c r="J610" s="1" t="s">
        <v>4338</v>
      </c>
      <c r="K610" s="132">
        <v>0.0</v>
      </c>
    </row>
    <row r="611" hidden="1">
      <c r="A611" s="1" t="s">
        <v>4339</v>
      </c>
      <c r="B611" s="1" t="s">
        <v>4340</v>
      </c>
      <c r="C611" s="1" t="s">
        <v>4341</v>
      </c>
      <c r="D611" s="1">
        <v>2005.0</v>
      </c>
      <c r="E611" s="1" t="s">
        <v>674</v>
      </c>
      <c r="F611" s="1" t="s">
        <v>2308</v>
      </c>
      <c r="G611" s="1" t="s">
        <v>4342</v>
      </c>
      <c r="H611" s="1">
        <v>1.6162987E7</v>
      </c>
      <c r="I611" s="1" t="s">
        <v>4343</v>
      </c>
      <c r="J611" s="1" t="s">
        <v>4344</v>
      </c>
      <c r="K611" s="132">
        <v>0.0</v>
      </c>
    </row>
    <row r="612" hidden="1">
      <c r="A612" s="1" t="s">
        <v>4345</v>
      </c>
      <c r="B612" s="1" t="s">
        <v>4346</v>
      </c>
      <c r="C612" s="1" t="s">
        <v>4347</v>
      </c>
      <c r="D612" s="1">
        <v>2008.0</v>
      </c>
      <c r="E612" s="1" t="s">
        <v>723</v>
      </c>
      <c r="F612" s="1" t="s">
        <v>737</v>
      </c>
      <c r="G612" s="1" t="s">
        <v>4348</v>
      </c>
      <c r="H612" s="1">
        <v>1.7940146E7</v>
      </c>
      <c r="I612" s="1" t="s">
        <v>4349</v>
      </c>
      <c r="J612" s="1" t="s">
        <v>4350</v>
      </c>
      <c r="K612" s="132">
        <v>0.0</v>
      </c>
    </row>
    <row r="613" hidden="1">
      <c r="A613" s="1" t="s">
        <v>4351</v>
      </c>
      <c r="B613" s="1" t="s">
        <v>4352</v>
      </c>
      <c r="C613" s="1" t="s">
        <v>4353</v>
      </c>
      <c r="D613" s="1">
        <v>2010.0</v>
      </c>
      <c r="E613" s="1" t="s">
        <v>723</v>
      </c>
      <c r="F613" s="1" t="s">
        <v>1217</v>
      </c>
      <c r="G613" s="1" t="s">
        <v>4354</v>
      </c>
      <c r="H613" s="1">
        <v>1.9486478E7</v>
      </c>
      <c r="I613" s="1" t="s">
        <v>4355</v>
      </c>
      <c r="J613" s="1" t="s">
        <v>4356</v>
      </c>
      <c r="K613" s="132">
        <v>0.0</v>
      </c>
    </row>
    <row r="614" hidden="1">
      <c r="A614" s="1" t="s">
        <v>4357</v>
      </c>
      <c r="B614" s="1" t="s">
        <v>4358</v>
      </c>
      <c r="C614" s="1" t="s">
        <v>4359</v>
      </c>
      <c r="D614" s="1">
        <v>2013.0</v>
      </c>
      <c r="E614" s="1" t="s">
        <v>723</v>
      </c>
      <c r="F614" s="1" t="s">
        <v>767</v>
      </c>
      <c r="G614" s="1" t="s">
        <v>4360</v>
      </c>
      <c r="H614" s="1">
        <v>2.3270788E7</v>
      </c>
      <c r="I614" s="1" t="s">
        <v>4361</v>
      </c>
      <c r="J614" s="1" t="s">
        <v>4363</v>
      </c>
      <c r="K614" s="132">
        <v>0.0</v>
      </c>
    </row>
    <row r="615">
      <c r="A615" s="1" t="s">
        <v>4365</v>
      </c>
      <c r="B615" s="1" t="s">
        <v>4366</v>
      </c>
      <c r="C615" s="1" t="s">
        <v>4371</v>
      </c>
      <c r="D615" s="1">
        <v>2024.0</v>
      </c>
      <c r="E615" s="1" t="s">
        <v>736</v>
      </c>
      <c r="F615" s="1" t="s">
        <v>1136</v>
      </c>
      <c r="G615" s="1" t="s">
        <v>140</v>
      </c>
      <c r="H615" s="1">
        <v>3.7468645E7</v>
      </c>
      <c r="I615" s="1" t="s">
        <v>4372</v>
      </c>
      <c r="J615" s="1" t="s">
        <v>1102</v>
      </c>
      <c r="K615" s="132">
        <v>3.0</v>
      </c>
    </row>
    <row r="616" hidden="1">
      <c r="A616" s="1" t="s">
        <v>4373</v>
      </c>
      <c r="B616" s="1" t="s">
        <v>4374</v>
      </c>
      <c r="C616" s="1" t="s">
        <v>4377</v>
      </c>
      <c r="D616" s="1">
        <v>2003.0</v>
      </c>
      <c r="E616" s="1" t="s">
        <v>1745</v>
      </c>
      <c r="F616" s="1" t="s">
        <v>737</v>
      </c>
      <c r="G616" s="1" t="s">
        <v>4380</v>
      </c>
      <c r="H616" s="1">
        <v>1.2860539E7</v>
      </c>
      <c r="I616" s="1" t="s">
        <v>4384</v>
      </c>
      <c r="J616" s="1" t="s">
        <v>4386</v>
      </c>
      <c r="K616" s="132">
        <v>0.0</v>
      </c>
    </row>
    <row r="617" hidden="1">
      <c r="A617" s="1" t="s">
        <v>4388</v>
      </c>
      <c r="B617" s="1" t="s">
        <v>4389</v>
      </c>
      <c r="C617" s="1" t="s">
        <v>4393</v>
      </c>
      <c r="D617" s="1">
        <v>2021.0</v>
      </c>
      <c r="E617" s="1" t="s">
        <v>658</v>
      </c>
      <c r="F617" s="1" t="s">
        <v>659</v>
      </c>
      <c r="G617" s="1" t="s">
        <v>4395</v>
      </c>
      <c r="H617" s="1">
        <v>3.3615404E7</v>
      </c>
      <c r="I617" s="1" t="s">
        <v>4396</v>
      </c>
      <c r="J617" s="1" t="s">
        <v>4397</v>
      </c>
      <c r="K617" s="132">
        <v>0.0</v>
      </c>
    </row>
    <row r="618">
      <c r="A618" s="1" t="s">
        <v>4399</v>
      </c>
      <c r="B618" s="1" t="s">
        <v>4400</v>
      </c>
      <c r="C618" s="1" t="s">
        <v>4405</v>
      </c>
      <c r="D618" s="1">
        <v>2009.0</v>
      </c>
      <c r="E618" s="1" t="s">
        <v>729</v>
      </c>
      <c r="F618" s="1" t="s">
        <v>737</v>
      </c>
      <c r="G618" s="1" t="s">
        <v>142</v>
      </c>
      <c r="H618" s="1">
        <v>1.9684298E7</v>
      </c>
      <c r="I618" s="1" t="s">
        <v>4408</v>
      </c>
      <c r="J618" s="1" t="s">
        <v>1103</v>
      </c>
      <c r="K618" s="132">
        <v>3.0</v>
      </c>
    </row>
    <row r="619" hidden="1">
      <c r="A619" s="1" t="s">
        <v>4409</v>
      </c>
      <c r="B619" s="1" t="s">
        <v>4411</v>
      </c>
      <c r="C619" s="1" t="s">
        <v>4418</v>
      </c>
      <c r="D619" s="1">
        <v>2025.0</v>
      </c>
      <c r="E619" s="1" t="s">
        <v>940</v>
      </c>
      <c r="F619" s="1" t="s">
        <v>698</v>
      </c>
      <c r="G619" s="1" t="s">
        <v>4421</v>
      </c>
      <c r="H619" s="1">
        <v>3.9956454E7</v>
      </c>
      <c r="I619" s="1" t="s">
        <v>4422</v>
      </c>
      <c r="J619" s="1" t="s">
        <v>4424</v>
      </c>
      <c r="K619" s="132">
        <v>0.0</v>
      </c>
    </row>
    <row r="620" hidden="1">
      <c r="A620" s="1" t="s">
        <v>4426</v>
      </c>
      <c r="B620" s="1" t="s">
        <v>4427</v>
      </c>
      <c r="C620" s="1" t="s">
        <v>4429</v>
      </c>
      <c r="D620" s="1">
        <v>1996.0</v>
      </c>
      <c r="E620" s="1" t="s">
        <v>658</v>
      </c>
      <c r="F620" s="1" t="s">
        <v>1217</v>
      </c>
      <c r="G620" s="1" t="s">
        <v>4431</v>
      </c>
      <c r="H620" s="1">
        <v>8896099.0</v>
      </c>
      <c r="I620" s="1" t="s">
        <v>4435</v>
      </c>
      <c r="J620" s="1" t="s">
        <v>4436</v>
      </c>
      <c r="K620" s="132">
        <v>0.0</v>
      </c>
    </row>
    <row r="621" hidden="1">
      <c r="A621" s="1" t="s">
        <v>4437</v>
      </c>
      <c r="B621" s="1" t="s">
        <v>4438</v>
      </c>
      <c r="C621" s="1" t="s">
        <v>4444</v>
      </c>
      <c r="D621" s="1">
        <v>2010.0</v>
      </c>
      <c r="E621" s="1" t="s">
        <v>689</v>
      </c>
      <c r="F621" s="1" t="s">
        <v>2992</v>
      </c>
      <c r="G621" s="12"/>
      <c r="H621" s="1">
        <v>2.0369525E7</v>
      </c>
      <c r="I621" s="1" t="s">
        <v>4445</v>
      </c>
      <c r="J621" s="1" t="s">
        <v>4446</v>
      </c>
      <c r="K621" s="132">
        <v>0.0</v>
      </c>
    </row>
    <row r="622" hidden="1">
      <c r="A622" s="1" t="s">
        <v>4447</v>
      </c>
      <c r="B622" s="1" t="s">
        <v>4448</v>
      </c>
      <c r="C622" s="1" t="s">
        <v>4452</v>
      </c>
      <c r="D622" s="1">
        <v>2016.0</v>
      </c>
      <c r="E622" s="1" t="s">
        <v>729</v>
      </c>
      <c r="F622" s="1" t="s">
        <v>737</v>
      </c>
      <c r="G622" s="1" t="s">
        <v>4453</v>
      </c>
      <c r="H622" s="1">
        <v>2.7466222E7</v>
      </c>
      <c r="I622" s="1" t="s">
        <v>4454</v>
      </c>
      <c r="J622" s="1" t="s">
        <v>4455</v>
      </c>
      <c r="K622" s="132">
        <v>0.0</v>
      </c>
    </row>
    <row r="623" hidden="1">
      <c r="A623" s="1" t="s">
        <v>4456</v>
      </c>
      <c r="B623" s="1" t="s">
        <v>4457</v>
      </c>
      <c r="C623" s="1" t="s">
        <v>4458</v>
      </c>
      <c r="D623" s="1">
        <v>2016.0</v>
      </c>
      <c r="E623" s="1" t="s">
        <v>898</v>
      </c>
      <c r="F623" s="1" t="s">
        <v>767</v>
      </c>
      <c r="G623" s="1" t="s">
        <v>4459</v>
      </c>
      <c r="H623" s="1">
        <v>2.7289276E7</v>
      </c>
      <c r="I623" s="1" t="s">
        <v>4460</v>
      </c>
      <c r="J623" s="1" t="s">
        <v>4455</v>
      </c>
      <c r="K623" s="132">
        <v>0.0</v>
      </c>
    </row>
    <row r="624" hidden="1">
      <c r="A624" s="1" t="s">
        <v>4461</v>
      </c>
      <c r="B624" s="1" t="s">
        <v>4462</v>
      </c>
      <c r="C624" s="1" t="s">
        <v>4463</v>
      </c>
      <c r="D624" s="1">
        <v>2017.0</v>
      </c>
      <c r="E624" s="1" t="s">
        <v>736</v>
      </c>
      <c r="F624" s="1" t="s">
        <v>659</v>
      </c>
      <c r="G624" s="1" t="s">
        <v>4464</v>
      </c>
      <c r="H624" s="1">
        <v>2.7155856E7</v>
      </c>
      <c r="I624" s="1" t="s">
        <v>4465</v>
      </c>
      <c r="J624" s="1" t="s">
        <v>4466</v>
      </c>
      <c r="K624" s="132">
        <v>0.0</v>
      </c>
    </row>
    <row r="625" hidden="1">
      <c r="A625" s="1" t="s">
        <v>4467</v>
      </c>
      <c r="B625" s="1" t="s">
        <v>4468</v>
      </c>
      <c r="C625" s="1" t="s">
        <v>4469</v>
      </c>
      <c r="D625" s="1">
        <v>2003.0</v>
      </c>
      <c r="E625" s="1" t="s">
        <v>674</v>
      </c>
      <c r="F625" s="1" t="s">
        <v>3697</v>
      </c>
      <c r="G625" s="1" t="s">
        <v>4470</v>
      </c>
      <c r="H625" s="1">
        <v>1.2975729E7</v>
      </c>
      <c r="I625" s="1" t="s">
        <v>4471</v>
      </c>
      <c r="J625" s="1" t="s">
        <v>4472</v>
      </c>
      <c r="K625" s="132">
        <v>1.0</v>
      </c>
    </row>
    <row r="626" hidden="1">
      <c r="A626" s="1" t="s">
        <v>4473</v>
      </c>
      <c r="B626" s="1" t="s">
        <v>4474</v>
      </c>
      <c r="C626" s="1" t="s">
        <v>4475</v>
      </c>
      <c r="D626" s="1">
        <v>2020.0</v>
      </c>
      <c r="E626" s="1" t="s">
        <v>658</v>
      </c>
      <c r="F626" s="1" t="s">
        <v>737</v>
      </c>
      <c r="G626" s="1" t="s">
        <v>4476</v>
      </c>
      <c r="H626" s="1">
        <v>3.2631074E7</v>
      </c>
      <c r="I626" s="1" t="s">
        <v>4477</v>
      </c>
      <c r="J626" s="1" t="s">
        <v>4478</v>
      </c>
      <c r="K626" s="132">
        <v>0.0</v>
      </c>
    </row>
    <row r="627" hidden="1">
      <c r="A627" s="1" t="s">
        <v>4479</v>
      </c>
      <c r="B627" s="1" t="s">
        <v>4480</v>
      </c>
      <c r="C627" s="1" t="s">
        <v>4481</v>
      </c>
      <c r="D627" s="1">
        <v>1994.0</v>
      </c>
      <c r="E627" s="1" t="s">
        <v>658</v>
      </c>
      <c r="F627" s="1" t="s">
        <v>1508</v>
      </c>
      <c r="G627" s="1" t="s">
        <v>4482</v>
      </c>
      <c r="H627" s="1">
        <v>8047560.0</v>
      </c>
      <c r="I627" s="1" t="s">
        <v>4483</v>
      </c>
      <c r="J627" s="1" t="s">
        <v>4484</v>
      </c>
      <c r="K627" s="132">
        <v>0.0</v>
      </c>
    </row>
    <row r="628" hidden="1">
      <c r="A628" s="1" t="s">
        <v>4485</v>
      </c>
      <c r="B628" s="1" t="s">
        <v>4486</v>
      </c>
      <c r="C628" s="1" t="s">
        <v>4487</v>
      </c>
      <c r="D628" s="1">
        <v>2023.0</v>
      </c>
      <c r="E628" s="1" t="s">
        <v>723</v>
      </c>
      <c r="F628" s="1" t="s">
        <v>767</v>
      </c>
      <c r="G628" s="1" t="s">
        <v>4488</v>
      </c>
      <c r="H628" s="1">
        <v>3.5842062E7</v>
      </c>
      <c r="I628" s="1" t="s">
        <v>4489</v>
      </c>
      <c r="J628" s="1" t="s">
        <v>4490</v>
      </c>
      <c r="K628" s="132">
        <v>0.0</v>
      </c>
    </row>
    <row r="629" hidden="1">
      <c r="A629" s="1" t="s">
        <v>4491</v>
      </c>
      <c r="B629" s="1" t="s">
        <v>4492</v>
      </c>
      <c r="C629" s="1" t="s">
        <v>4493</v>
      </c>
      <c r="D629" s="1">
        <v>2012.0</v>
      </c>
      <c r="E629" s="1" t="s">
        <v>658</v>
      </c>
      <c r="F629" s="1" t="s">
        <v>886</v>
      </c>
      <c r="G629" s="1" t="s">
        <v>4494</v>
      </c>
      <c r="H629" s="1">
        <v>2.1775147E7</v>
      </c>
      <c r="I629" s="1" t="s">
        <v>4495</v>
      </c>
      <c r="J629" s="1" t="s">
        <v>4496</v>
      </c>
      <c r="K629" s="132">
        <v>0.0</v>
      </c>
    </row>
    <row r="630" hidden="1">
      <c r="A630" s="1" t="s">
        <v>4497</v>
      </c>
      <c r="B630" s="1" t="s">
        <v>4498</v>
      </c>
      <c r="C630" s="1" t="s">
        <v>4499</v>
      </c>
      <c r="D630" s="1">
        <v>2016.0</v>
      </c>
      <c r="E630" s="1" t="s">
        <v>674</v>
      </c>
      <c r="F630" s="1" t="s">
        <v>659</v>
      </c>
      <c r="G630" s="1" t="s">
        <v>4500</v>
      </c>
      <c r="H630" s="1">
        <v>2.58545E7</v>
      </c>
      <c r="I630" s="1" t="s">
        <v>4501</v>
      </c>
      <c r="J630" s="1" t="s">
        <v>4502</v>
      </c>
      <c r="K630" s="132">
        <v>0.0</v>
      </c>
    </row>
    <row r="631" hidden="1">
      <c r="A631" s="1" t="s">
        <v>4503</v>
      </c>
      <c r="B631" s="1" t="s">
        <v>4504</v>
      </c>
      <c r="C631" s="1" t="s">
        <v>4505</v>
      </c>
      <c r="D631" s="1">
        <v>2018.0</v>
      </c>
      <c r="E631" s="1" t="s">
        <v>666</v>
      </c>
      <c r="F631" s="1" t="s">
        <v>682</v>
      </c>
      <c r="G631" s="1" t="s">
        <v>4506</v>
      </c>
      <c r="H631" s="1">
        <v>2.9724252E7</v>
      </c>
      <c r="I631" s="1" t="s">
        <v>4507</v>
      </c>
      <c r="J631" s="1" t="s">
        <v>4508</v>
      </c>
      <c r="K631" s="132">
        <v>0.0</v>
      </c>
    </row>
    <row r="632" hidden="1">
      <c r="A632" s="1" t="s">
        <v>4509</v>
      </c>
      <c r="B632" s="1" t="s">
        <v>4510</v>
      </c>
      <c r="C632" s="1" t="s">
        <v>4511</v>
      </c>
      <c r="D632" s="1">
        <v>1998.0</v>
      </c>
      <c r="E632" s="1" t="s">
        <v>898</v>
      </c>
      <c r="F632" s="1" t="s">
        <v>819</v>
      </c>
      <c r="G632" s="1" t="s">
        <v>4512</v>
      </c>
      <c r="H632" s="1">
        <v>9917711.0</v>
      </c>
      <c r="I632" s="1" t="s">
        <v>4513</v>
      </c>
      <c r="J632" s="1" t="s">
        <v>4514</v>
      </c>
      <c r="K632" s="132">
        <v>0.0</v>
      </c>
    </row>
    <row r="633" hidden="1">
      <c r="A633" s="1" t="s">
        <v>4515</v>
      </c>
      <c r="B633" s="1" t="s">
        <v>4516</v>
      </c>
      <c r="C633" s="1" t="s">
        <v>4517</v>
      </c>
      <c r="D633" s="1">
        <v>2004.0</v>
      </c>
      <c r="E633" s="1" t="s">
        <v>689</v>
      </c>
      <c r="F633" s="1" t="s">
        <v>737</v>
      </c>
      <c r="G633" s="1" t="s">
        <v>4518</v>
      </c>
      <c r="H633" s="1">
        <v>1.4977662E7</v>
      </c>
      <c r="I633" s="1" t="s">
        <v>4519</v>
      </c>
      <c r="J633" s="1" t="s">
        <v>4520</v>
      </c>
      <c r="K633" s="132">
        <v>0.0</v>
      </c>
    </row>
    <row r="634" hidden="1">
      <c r="A634" s="1" t="s">
        <v>4521</v>
      </c>
      <c r="B634" s="1" t="s">
        <v>4522</v>
      </c>
      <c r="C634" s="1" t="s">
        <v>4523</v>
      </c>
      <c r="D634" s="1">
        <v>2008.0</v>
      </c>
      <c r="E634" s="1" t="s">
        <v>1469</v>
      </c>
      <c r="F634" s="1" t="s">
        <v>2790</v>
      </c>
      <c r="G634" s="1" t="s">
        <v>4524</v>
      </c>
      <c r="H634" s="1">
        <v>1.8380934E7</v>
      </c>
      <c r="I634" s="1" t="s">
        <v>4525</v>
      </c>
      <c r="J634" s="1" t="s">
        <v>4526</v>
      </c>
      <c r="K634" s="132">
        <v>0.0</v>
      </c>
    </row>
    <row r="635" hidden="1">
      <c r="A635" s="1" t="s">
        <v>4527</v>
      </c>
      <c r="B635" s="1" t="s">
        <v>4528</v>
      </c>
      <c r="C635" s="1" t="s">
        <v>4529</v>
      </c>
      <c r="D635" s="1">
        <v>2007.0</v>
      </c>
      <c r="E635" s="1" t="s">
        <v>940</v>
      </c>
      <c r="F635" s="1" t="s">
        <v>659</v>
      </c>
      <c r="G635" s="1" t="s">
        <v>4530</v>
      </c>
      <c r="H635" s="1">
        <v>1.7149647E7</v>
      </c>
      <c r="I635" s="1" t="s">
        <v>4531</v>
      </c>
      <c r="J635" s="1" t="s">
        <v>4532</v>
      </c>
      <c r="K635" s="132">
        <v>0.0</v>
      </c>
    </row>
    <row r="636" hidden="1">
      <c r="A636" s="1" t="s">
        <v>4533</v>
      </c>
      <c r="B636" s="1" t="s">
        <v>4534</v>
      </c>
      <c r="C636" s="1" t="s">
        <v>4535</v>
      </c>
      <c r="D636" s="1">
        <v>2014.0</v>
      </c>
      <c r="E636" s="1" t="s">
        <v>729</v>
      </c>
      <c r="F636" s="1" t="s">
        <v>1649</v>
      </c>
      <c r="G636" s="1" t="s">
        <v>4536</v>
      </c>
      <c r="H636" s="1">
        <v>2.5384473E7</v>
      </c>
      <c r="I636" s="1" t="s">
        <v>4537</v>
      </c>
      <c r="J636" s="1" t="s">
        <v>4538</v>
      </c>
      <c r="K636" s="132">
        <v>0.0</v>
      </c>
    </row>
    <row r="637" hidden="1">
      <c r="A637" s="1" t="s">
        <v>4539</v>
      </c>
      <c r="B637" s="1" t="s">
        <v>4540</v>
      </c>
      <c r="C637" s="1" t="s">
        <v>4541</v>
      </c>
      <c r="D637" s="1">
        <v>2012.0</v>
      </c>
      <c r="E637" s="1" t="s">
        <v>729</v>
      </c>
      <c r="F637" s="1" t="s">
        <v>3487</v>
      </c>
      <c r="G637" s="12"/>
      <c r="H637" s="1">
        <v>2.316296E7</v>
      </c>
      <c r="I637" s="1" t="s">
        <v>4542</v>
      </c>
      <c r="J637" s="1" t="s">
        <v>4543</v>
      </c>
      <c r="K637" s="132">
        <v>0.0</v>
      </c>
    </row>
    <row r="638" hidden="1">
      <c r="A638" s="1" t="s">
        <v>4544</v>
      </c>
      <c r="B638" s="1" t="s">
        <v>4545</v>
      </c>
      <c r="C638" s="1" t="s">
        <v>4546</v>
      </c>
      <c r="D638" s="1">
        <v>2021.0</v>
      </c>
      <c r="E638" s="1" t="s">
        <v>940</v>
      </c>
      <c r="F638" s="1" t="s">
        <v>1174</v>
      </c>
      <c r="G638" s="1" t="s">
        <v>4547</v>
      </c>
      <c r="H638" s="1">
        <v>3.3931067E7</v>
      </c>
      <c r="I638" s="1" t="s">
        <v>4548</v>
      </c>
      <c r="J638" s="1" t="s">
        <v>4549</v>
      </c>
      <c r="K638" s="132">
        <v>0.0</v>
      </c>
    </row>
    <row r="639" hidden="1">
      <c r="A639" s="1" t="s">
        <v>4550</v>
      </c>
      <c r="B639" s="1" t="s">
        <v>4551</v>
      </c>
      <c r="C639" s="1" t="s">
        <v>4552</v>
      </c>
      <c r="D639" s="1">
        <v>1998.0</v>
      </c>
      <c r="E639" s="1" t="s">
        <v>837</v>
      </c>
      <c r="F639" s="1" t="s">
        <v>767</v>
      </c>
      <c r="G639" s="1" t="s">
        <v>4553</v>
      </c>
      <c r="H639" s="1">
        <v>9848597.0</v>
      </c>
      <c r="I639" s="1" t="s">
        <v>4554</v>
      </c>
      <c r="J639" s="1" t="s">
        <v>4555</v>
      </c>
      <c r="K639" s="132">
        <v>0.0</v>
      </c>
    </row>
    <row r="640" hidden="1">
      <c r="A640" s="1" t="s">
        <v>4556</v>
      </c>
      <c r="B640" s="1" t="s">
        <v>4557</v>
      </c>
      <c r="C640" s="1" t="s">
        <v>4558</v>
      </c>
      <c r="D640" s="1">
        <v>2024.0</v>
      </c>
      <c r="E640" s="1" t="s">
        <v>697</v>
      </c>
      <c r="F640" s="1" t="s">
        <v>4559</v>
      </c>
      <c r="G640" s="1" t="s">
        <v>4560</v>
      </c>
      <c r="H640" s="1">
        <v>3.8911895E7</v>
      </c>
      <c r="I640" s="1" t="s">
        <v>4561</v>
      </c>
      <c r="J640" s="1" t="s">
        <v>4562</v>
      </c>
      <c r="K640" s="132">
        <v>0.0</v>
      </c>
    </row>
    <row r="641" hidden="1">
      <c r="A641" s="1" t="s">
        <v>4563</v>
      </c>
      <c r="B641" s="1" t="s">
        <v>4564</v>
      </c>
      <c r="C641" s="1" t="s">
        <v>4565</v>
      </c>
      <c r="D641" s="1">
        <v>1985.0</v>
      </c>
      <c r="E641" s="1" t="s">
        <v>697</v>
      </c>
      <c r="F641" s="1" t="s">
        <v>1698</v>
      </c>
      <c r="G641" s="12"/>
      <c r="H641" s="1">
        <v>3839558.0</v>
      </c>
      <c r="I641" s="1" t="s">
        <v>4566</v>
      </c>
      <c r="J641" s="1" t="s">
        <v>4567</v>
      </c>
      <c r="K641" s="132">
        <v>0.0</v>
      </c>
    </row>
    <row r="642" hidden="1">
      <c r="A642" s="1" t="s">
        <v>4568</v>
      </c>
      <c r="B642" s="1" t="s">
        <v>4569</v>
      </c>
      <c r="C642" s="1" t="s">
        <v>4570</v>
      </c>
      <c r="D642" s="1">
        <v>2017.0</v>
      </c>
      <c r="E642" s="1" t="s">
        <v>940</v>
      </c>
      <c r="F642" s="1" t="s">
        <v>2662</v>
      </c>
      <c r="G642" s="1" t="s">
        <v>4571</v>
      </c>
      <c r="H642" s="1">
        <v>2.844529E7</v>
      </c>
      <c r="I642" s="1" t="s">
        <v>4572</v>
      </c>
      <c r="J642" s="1" t="s">
        <v>4573</v>
      </c>
      <c r="K642" s="132">
        <v>0.0</v>
      </c>
    </row>
    <row r="643" hidden="1">
      <c r="A643" s="1" t="s">
        <v>4574</v>
      </c>
      <c r="B643" s="1" t="s">
        <v>4575</v>
      </c>
      <c r="C643" s="1" t="s">
        <v>4578</v>
      </c>
      <c r="D643" s="1">
        <v>2026.0</v>
      </c>
      <c r="E643" s="1" t="s">
        <v>736</v>
      </c>
      <c r="F643" s="1" t="s">
        <v>659</v>
      </c>
      <c r="G643" s="1" t="s">
        <v>4579</v>
      </c>
      <c r="H643" s="1">
        <v>4.1562143E7</v>
      </c>
      <c r="I643" s="1" t="s">
        <v>4580</v>
      </c>
      <c r="J643" s="1" t="s">
        <v>4581</v>
      </c>
      <c r="K643" s="132">
        <v>1.0</v>
      </c>
    </row>
    <row r="644" hidden="1">
      <c r="A644" s="1" t="s">
        <v>4582</v>
      </c>
      <c r="B644" s="1" t="s">
        <v>4583</v>
      </c>
      <c r="C644" s="1" t="s">
        <v>4584</v>
      </c>
      <c r="D644" s="1">
        <v>2020.0</v>
      </c>
      <c r="E644" s="1" t="s">
        <v>4585</v>
      </c>
      <c r="F644" s="1" t="s">
        <v>4586</v>
      </c>
      <c r="G644" s="1" t="s">
        <v>4587</v>
      </c>
      <c r="H644" s="1">
        <v>3.1351901E7</v>
      </c>
      <c r="I644" s="1" t="s">
        <v>4588</v>
      </c>
      <c r="J644" s="1" t="s">
        <v>4589</v>
      </c>
      <c r="K644" s="132">
        <v>0.0</v>
      </c>
    </row>
    <row r="645" hidden="1">
      <c r="A645" s="1" t="s">
        <v>4590</v>
      </c>
      <c r="B645" s="1" t="s">
        <v>4591</v>
      </c>
      <c r="C645" s="1" t="s">
        <v>4592</v>
      </c>
      <c r="D645" s="1">
        <v>2022.0</v>
      </c>
      <c r="E645" s="1" t="s">
        <v>681</v>
      </c>
      <c r="F645" s="1" t="s">
        <v>3713</v>
      </c>
      <c r="G645" s="1" t="s">
        <v>4593</v>
      </c>
      <c r="H645" s="1">
        <v>3.6190389E7</v>
      </c>
      <c r="I645" s="1" t="s">
        <v>4594</v>
      </c>
      <c r="J645" s="1" t="s">
        <v>4595</v>
      </c>
      <c r="K645" s="132">
        <v>0.0</v>
      </c>
    </row>
    <row r="646">
      <c r="A646" s="1" t="s">
        <v>4596</v>
      </c>
      <c r="B646" s="1" t="s">
        <v>4597</v>
      </c>
      <c r="C646" s="1" t="s">
        <v>4598</v>
      </c>
      <c r="D646" s="1">
        <v>2020.0</v>
      </c>
      <c r="E646" s="12"/>
      <c r="F646" s="1" t="s">
        <v>4599</v>
      </c>
      <c r="G646" s="1" t="s">
        <v>144</v>
      </c>
      <c r="H646" s="1">
        <v>3.1967599E7</v>
      </c>
      <c r="I646" s="1" t="s">
        <v>4600</v>
      </c>
      <c r="J646" s="1" t="s">
        <v>1104</v>
      </c>
      <c r="K646" s="132">
        <v>3.0</v>
      </c>
    </row>
    <row r="647" hidden="1">
      <c r="A647" s="1" t="s">
        <v>4601</v>
      </c>
      <c r="B647" s="1" t="s">
        <v>4602</v>
      </c>
      <c r="C647" s="1" t="s">
        <v>4603</v>
      </c>
      <c r="D647" s="1">
        <v>1997.0</v>
      </c>
      <c r="E647" s="12"/>
      <c r="F647" s="1" t="s">
        <v>982</v>
      </c>
      <c r="G647" s="1" t="s">
        <v>4604</v>
      </c>
      <c r="H647" s="1">
        <v>9006756.0</v>
      </c>
      <c r="I647" s="1" t="s">
        <v>4605</v>
      </c>
      <c r="J647" s="1" t="s">
        <v>4606</v>
      </c>
      <c r="K647" s="132">
        <v>0.0</v>
      </c>
    </row>
    <row r="648" hidden="1">
      <c r="A648" s="1" t="s">
        <v>4607</v>
      </c>
      <c r="B648" s="1" t="s">
        <v>4608</v>
      </c>
      <c r="C648" s="1" t="s">
        <v>4609</v>
      </c>
      <c r="D648" s="1">
        <v>2010.0</v>
      </c>
      <c r="E648" s="1" t="s">
        <v>666</v>
      </c>
      <c r="F648" s="1" t="s">
        <v>2906</v>
      </c>
      <c r="G648" s="1" t="s">
        <v>4610</v>
      </c>
      <c r="H648" s="1">
        <v>2.051768E7</v>
      </c>
      <c r="I648" s="1" t="s">
        <v>4611</v>
      </c>
      <c r="J648" s="1" t="s">
        <v>4612</v>
      </c>
      <c r="K648" s="132">
        <v>0.0</v>
      </c>
    </row>
    <row r="649" hidden="1">
      <c r="A649" s="1" t="s">
        <v>4613</v>
      </c>
      <c r="B649" s="1" t="s">
        <v>4614</v>
      </c>
      <c r="C649" s="1" t="s">
        <v>4615</v>
      </c>
      <c r="D649" s="1">
        <v>2010.0</v>
      </c>
      <c r="E649" s="1" t="s">
        <v>681</v>
      </c>
      <c r="F649" s="1" t="s">
        <v>1649</v>
      </c>
      <c r="G649" s="1" t="s">
        <v>4616</v>
      </c>
      <c r="H649" s="1">
        <v>2.0934698E7</v>
      </c>
      <c r="I649" s="1" t="s">
        <v>4617</v>
      </c>
      <c r="J649" s="1" t="s">
        <v>4618</v>
      </c>
      <c r="K649" s="132">
        <v>0.0</v>
      </c>
    </row>
    <row r="650" hidden="1">
      <c r="A650" s="1" t="s">
        <v>4619</v>
      </c>
      <c r="B650" s="1" t="s">
        <v>4620</v>
      </c>
      <c r="C650" s="1" t="s">
        <v>4621</v>
      </c>
      <c r="D650" s="1">
        <v>2021.0</v>
      </c>
      <c r="E650" s="1" t="s">
        <v>658</v>
      </c>
      <c r="F650" s="1" t="s">
        <v>659</v>
      </c>
      <c r="G650" s="1" t="s">
        <v>4622</v>
      </c>
      <c r="H650" s="1">
        <v>3.3604735E7</v>
      </c>
      <c r="I650" s="1" t="s">
        <v>4623</v>
      </c>
      <c r="J650" s="1" t="s">
        <v>4624</v>
      </c>
      <c r="K650" s="132">
        <v>0.0</v>
      </c>
    </row>
    <row r="651" hidden="1">
      <c r="A651" s="1" t="s">
        <v>4625</v>
      </c>
      <c r="B651" s="1" t="s">
        <v>4626</v>
      </c>
      <c r="C651" s="1" t="s">
        <v>4627</v>
      </c>
      <c r="D651" s="1">
        <v>2022.0</v>
      </c>
      <c r="E651" s="1" t="s">
        <v>666</v>
      </c>
      <c r="F651" s="1" t="s">
        <v>659</v>
      </c>
      <c r="G651" s="1" t="s">
        <v>4628</v>
      </c>
      <c r="H651" s="1">
        <v>3.4368905E7</v>
      </c>
      <c r="I651" s="1" t="s">
        <v>4629</v>
      </c>
      <c r="J651" s="1" t="s">
        <v>4630</v>
      </c>
      <c r="K651" s="132">
        <v>0.0</v>
      </c>
    </row>
    <row r="652" hidden="1">
      <c r="A652" s="1" t="s">
        <v>4631</v>
      </c>
      <c r="B652" s="1" t="s">
        <v>4632</v>
      </c>
      <c r="C652" s="1" t="s">
        <v>4633</v>
      </c>
      <c r="D652" s="1">
        <v>2018.0</v>
      </c>
      <c r="E652" s="1" t="s">
        <v>761</v>
      </c>
      <c r="F652" s="1" t="s">
        <v>737</v>
      </c>
      <c r="G652" s="1" t="s">
        <v>4634</v>
      </c>
      <c r="H652" s="1">
        <v>2.9741923E7</v>
      </c>
      <c r="I652" s="1" t="s">
        <v>4635</v>
      </c>
      <c r="J652" s="1" t="s">
        <v>4636</v>
      </c>
      <c r="K652" s="132">
        <v>0.0</v>
      </c>
    </row>
    <row r="653" hidden="1">
      <c r="A653" s="1" t="s">
        <v>4637</v>
      </c>
      <c r="B653" s="1" t="s">
        <v>4638</v>
      </c>
      <c r="C653" s="1" t="s">
        <v>4639</v>
      </c>
      <c r="D653" s="1">
        <v>2009.0</v>
      </c>
      <c r="E653" s="1" t="s">
        <v>689</v>
      </c>
      <c r="F653" s="1" t="s">
        <v>2510</v>
      </c>
      <c r="G653" s="12"/>
      <c r="H653" s="1">
        <v>1.9323939E7</v>
      </c>
      <c r="I653" s="1" t="s">
        <v>4640</v>
      </c>
      <c r="J653" s="1" t="s">
        <v>4641</v>
      </c>
      <c r="K653" s="132">
        <v>0.0</v>
      </c>
    </row>
    <row r="654" hidden="1">
      <c r="A654" s="1" t="s">
        <v>4642</v>
      </c>
      <c r="B654" s="1" t="s">
        <v>4643</v>
      </c>
      <c r="C654" s="1" t="s">
        <v>4644</v>
      </c>
      <c r="D654" s="1">
        <v>2014.0</v>
      </c>
      <c r="E654" s="1" t="s">
        <v>666</v>
      </c>
      <c r="F654" s="1" t="s">
        <v>4645</v>
      </c>
      <c r="G654" s="1" t="s">
        <v>4646</v>
      </c>
      <c r="H654" s="1">
        <v>2.456035E7</v>
      </c>
      <c r="I654" s="1" t="s">
        <v>4647</v>
      </c>
      <c r="J654" s="1" t="s">
        <v>4648</v>
      </c>
      <c r="K654" s="132">
        <v>0.0</v>
      </c>
    </row>
    <row r="655" hidden="1">
      <c r="A655" s="1" t="s">
        <v>4649</v>
      </c>
      <c r="B655" s="1" t="s">
        <v>4650</v>
      </c>
      <c r="C655" s="1" t="s">
        <v>4651</v>
      </c>
      <c r="D655" s="1">
        <v>2017.0</v>
      </c>
      <c r="E655" s="1" t="s">
        <v>674</v>
      </c>
      <c r="F655" s="1" t="s">
        <v>1174</v>
      </c>
      <c r="G655" s="1" t="s">
        <v>4652</v>
      </c>
      <c r="H655" s="1">
        <v>2.8915914E7</v>
      </c>
      <c r="I655" s="1" t="s">
        <v>4653</v>
      </c>
      <c r="J655" s="1" t="s">
        <v>4654</v>
      </c>
      <c r="K655" s="132">
        <v>0.0</v>
      </c>
    </row>
    <row r="656" hidden="1">
      <c r="A656" s="1" t="s">
        <v>4655</v>
      </c>
      <c r="B656" s="1" t="s">
        <v>4656</v>
      </c>
      <c r="C656" s="1" t="s">
        <v>4657</v>
      </c>
      <c r="D656" s="1">
        <v>2025.0</v>
      </c>
      <c r="E656" s="1" t="s">
        <v>674</v>
      </c>
      <c r="F656" s="1" t="s">
        <v>2510</v>
      </c>
      <c r="G656" s="1" t="s">
        <v>4658</v>
      </c>
      <c r="H656" s="1">
        <v>3.9385323E7</v>
      </c>
      <c r="I656" s="1" t="s">
        <v>4659</v>
      </c>
      <c r="J656" s="1" t="s">
        <v>4661</v>
      </c>
      <c r="K656" s="132">
        <v>0.0</v>
      </c>
    </row>
    <row r="657" hidden="1">
      <c r="A657" s="1" t="s">
        <v>4662</v>
      </c>
      <c r="B657" s="1" t="s">
        <v>4663</v>
      </c>
      <c r="C657" s="1" t="s">
        <v>4664</v>
      </c>
      <c r="D657" s="1">
        <v>2011.0</v>
      </c>
      <c r="E657" s="1" t="s">
        <v>761</v>
      </c>
      <c r="F657" s="1" t="s">
        <v>711</v>
      </c>
      <c r="G657" s="1" t="s">
        <v>4665</v>
      </c>
      <c r="H657" s="1">
        <v>2.1705562E7</v>
      </c>
      <c r="I657" s="1" t="s">
        <v>4666</v>
      </c>
      <c r="J657" s="1" t="s">
        <v>4667</v>
      </c>
      <c r="K657" s="132">
        <v>0.0</v>
      </c>
    </row>
    <row r="658" hidden="1">
      <c r="A658" s="1" t="s">
        <v>4668</v>
      </c>
      <c r="B658" s="1" t="s">
        <v>4669</v>
      </c>
      <c r="C658" s="1" t="s">
        <v>4670</v>
      </c>
      <c r="D658" s="1">
        <v>2019.0</v>
      </c>
      <c r="E658" s="1" t="s">
        <v>761</v>
      </c>
      <c r="F658" s="1" t="s">
        <v>819</v>
      </c>
      <c r="G658" s="1" t="s">
        <v>4671</v>
      </c>
      <c r="H658" s="1">
        <v>3.1135552E7</v>
      </c>
      <c r="I658" s="1" t="s">
        <v>4672</v>
      </c>
      <c r="J658" s="1" t="s">
        <v>4673</v>
      </c>
      <c r="K658" s="132">
        <v>0.0</v>
      </c>
    </row>
    <row r="659" hidden="1">
      <c r="A659" s="1" t="s">
        <v>4674</v>
      </c>
      <c r="B659" s="1" t="s">
        <v>4675</v>
      </c>
      <c r="C659" s="1" t="s">
        <v>4676</v>
      </c>
      <c r="D659" s="1">
        <v>2023.0</v>
      </c>
      <c r="E659" s="1" t="s">
        <v>666</v>
      </c>
      <c r="F659" s="1" t="s">
        <v>865</v>
      </c>
      <c r="G659" s="1" t="s">
        <v>4677</v>
      </c>
      <c r="H659" s="1">
        <v>3.5766451E7</v>
      </c>
      <c r="I659" s="1" t="s">
        <v>4678</v>
      </c>
      <c r="J659" s="1" t="s">
        <v>4679</v>
      </c>
      <c r="K659" s="132">
        <v>0.0</v>
      </c>
    </row>
    <row r="660" hidden="1">
      <c r="A660" s="1" t="s">
        <v>4680</v>
      </c>
      <c r="B660" s="1" t="s">
        <v>4681</v>
      </c>
      <c r="C660" s="1" t="s">
        <v>4682</v>
      </c>
      <c r="D660" s="1">
        <v>2017.0</v>
      </c>
      <c r="E660" s="1" t="s">
        <v>736</v>
      </c>
      <c r="F660" s="1" t="s">
        <v>767</v>
      </c>
      <c r="G660" s="1" t="s">
        <v>4683</v>
      </c>
      <c r="H660" s="1">
        <v>2.7570169E7</v>
      </c>
      <c r="I660" s="1" t="s">
        <v>4684</v>
      </c>
      <c r="J660" s="1" t="s">
        <v>4685</v>
      </c>
      <c r="K660" s="132">
        <v>1.0</v>
      </c>
    </row>
    <row r="661" hidden="1">
      <c r="A661" s="1" t="s">
        <v>4686</v>
      </c>
      <c r="B661" s="1" t="s">
        <v>4687</v>
      </c>
      <c r="C661" s="1" t="s">
        <v>4688</v>
      </c>
      <c r="D661" s="1">
        <v>1999.0</v>
      </c>
      <c r="E661" s="1" t="s">
        <v>674</v>
      </c>
      <c r="F661" s="1" t="s">
        <v>711</v>
      </c>
      <c r="G661" s="1" t="s">
        <v>4689</v>
      </c>
      <c r="H661" s="1">
        <v>1.0530838E7</v>
      </c>
      <c r="I661" s="1" t="s">
        <v>4690</v>
      </c>
      <c r="J661" s="1" t="s">
        <v>4691</v>
      </c>
      <c r="K661" s="132">
        <v>0.0</v>
      </c>
    </row>
    <row r="662">
      <c r="A662" s="1" t="s">
        <v>4692</v>
      </c>
      <c r="B662" s="1" t="s">
        <v>4693</v>
      </c>
      <c r="C662" s="1" t="s">
        <v>4694</v>
      </c>
      <c r="D662" s="1">
        <v>2001.0</v>
      </c>
      <c r="E662" s="12"/>
      <c r="F662" s="1" t="s">
        <v>659</v>
      </c>
      <c r="G662" s="1" t="s">
        <v>146</v>
      </c>
      <c r="H662" s="1">
        <v>1.1354858E7</v>
      </c>
      <c r="I662" s="1" t="s">
        <v>4695</v>
      </c>
      <c r="J662" s="1" t="s">
        <v>1105</v>
      </c>
      <c r="K662" s="132">
        <v>3.0</v>
      </c>
    </row>
    <row r="663" hidden="1">
      <c r="A663" s="1" t="s">
        <v>4696</v>
      </c>
      <c r="B663" s="1" t="s">
        <v>4697</v>
      </c>
      <c r="C663" s="1" t="s">
        <v>4698</v>
      </c>
      <c r="D663" s="1">
        <v>2025.0</v>
      </c>
      <c r="E663" s="12"/>
      <c r="F663" s="1" t="s">
        <v>4699</v>
      </c>
      <c r="G663" s="1" t="s">
        <v>4700</v>
      </c>
      <c r="H663" s="1">
        <v>4.0904719E7</v>
      </c>
      <c r="I663" s="1" t="s">
        <v>4701</v>
      </c>
      <c r="J663" s="1" t="s">
        <v>4702</v>
      </c>
      <c r="K663" s="132">
        <v>0.0</v>
      </c>
    </row>
    <row r="664" hidden="1">
      <c r="A664" s="1" t="s">
        <v>4703</v>
      </c>
      <c r="B664" s="1" t="s">
        <v>4704</v>
      </c>
      <c r="C664" s="1" t="s">
        <v>4705</v>
      </c>
      <c r="D664" s="1">
        <v>2013.0</v>
      </c>
      <c r="E664" s="1" t="s">
        <v>689</v>
      </c>
      <c r="F664" s="1" t="s">
        <v>1174</v>
      </c>
      <c r="G664" s="1" t="s">
        <v>4706</v>
      </c>
      <c r="H664" s="1">
        <v>2.3522373E7</v>
      </c>
      <c r="I664" s="1" t="s">
        <v>4707</v>
      </c>
      <c r="J664" s="1" t="s">
        <v>4708</v>
      </c>
      <c r="K664" s="132">
        <v>0.0</v>
      </c>
    </row>
    <row r="665" hidden="1">
      <c r="A665" s="1" t="s">
        <v>4709</v>
      </c>
      <c r="B665" s="1" t="s">
        <v>4710</v>
      </c>
      <c r="C665" s="1" t="s">
        <v>4711</v>
      </c>
      <c r="D665" s="1">
        <v>1988.0</v>
      </c>
      <c r="E665" s="1" t="s">
        <v>723</v>
      </c>
      <c r="F665" s="1" t="s">
        <v>1698</v>
      </c>
      <c r="G665" s="1" t="s">
        <v>4712</v>
      </c>
      <c r="H665" s="1">
        <v>3257805.0</v>
      </c>
      <c r="I665" s="1" t="s">
        <v>4713</v>
      </c>
      <c r="J665" s="1" t="s">
        <v>4714</v>
      </c>
      <c r="K665" s="132">
        <v>0.0</v>
      </c>
    </row>
    <row r="666" hidden="1">
      <c r="A666" s="1" t="s">
        <v>4715</v>
      </c>
      <c r="B666" s="1" t="s">
        <v>4716</v>
      </c>
      <c r="C666" s="1" t="s">
        <v>4717</v>
      </c>
      <c r="D666" s="1">
        <v>2009.0</v>
      </c>
      <c r="E666" s="1" t="s">
        <v>844</v>
      </c>
      <c r="F666" s="1" t="s">
        <v>2174</v>
      </c>
      <c r="G666" s="1" t="s">
        <v>4718</v>
      </c>
      <c r="H666" s="1">
        <v>1.9180214E7</v>
      </c>
      <c r="I666" s="1" t="s">
        <v>4719</v>
      </c>
      <c r="J666" s="1" t="s">
        <v>4720</v>
      </c>
      <c r="K666" s="132">
        <v>0.0</v>
      </c>
    </row>
    <row r="667">
      <c r="A667" s="1" t="s">
        <v>4721</v>
      </c>
      <c r="B667" s="1" t="s">
        <v>4722</v>
      </c>
      <c r="C667" s="1" t="s">
        <v>4723</v>
      </c>
      <c r="D667" s="1">
        <v>2011.0</v>
      </c>
      <c r="E667" s="1" t="s">
        <v>666</v>
      </c>
      <c r="F667" s="1" t="s">
        <v>767</v>
      </c>
      <c r="G667" s="1" t="s">
        <v>148</v>
      </c>
      <c r="H667" s="1">
        <v>2.1663722E7</v>
      </c>
      <c r="I667" s="1" t="s">
        <v>4724</v>
      </c>
      <c r="J667" s="1" t="s">
        <v>1106</v>
      </c>
      <c r="K667" s="132">
        <v>3.0</v>
      </c>
    </row>
    <row r="668" hidden="1">
      <c r="A668" s="1" t="s">
        <v>4725</v>
      </c>
      <c r="B668" s="1" t="s">
        <v>4726</v>
      </c>
      <c r="C668" s="1" t="s">
        <v>4727</v>
      </c>
      <c r="D668" s="1">
        <v>1996.0</v>
      </c>
      <c r="E668" s="1" t="s">
        <v>1745</v>
      </c>
      <c r="F668" s="1" t="s">
        <v>737</v>
      </c>
      <c r="G668" s="1" t="s">
        <v>4728</v>
      </c>
      <c r="H668" s="1">
        <v>8827316.0</v>
      </c>
      <c r="I668" s="1" t="s">
        <v>4729</v>
      </c>
      <c r="J668" s="1" t="s">
        <v>4730</v>
      </c>
      <c r="K668" s="132">
        <v>0.0</v>
      </c>
    </row>
    <row r="669" hidden="1">
      <c r="A669" s="1" t="s">
        <v>4731</v>
      </c>
      <c r="B669" s="1" t="s">
        <v>4732</v>
      </c>
      <c r="C669" s="1" t="s">
        <v>4733</v>
      </c>
      <c r="D669" s="1">
        <v>2001.0</v>
      </c>
      <c r="E669" s="1" t="s">
        <v>4734</v>
      </c>
      <c r="F669" s="1" t="s">
        <v>1589</v>
      </c>
      <c r="G669" s="12"/>
      <c r="H669" s="1">
        <v>1.1491426E7</v>
      </c>
      <c r="I669" s="1" t="s">
        <v>4735</v>
      </c>
      <c r="J669" s="1" t="s">
        <v>4736</v>
      </c>
      <c r="K669" s="132">
        <v>0.0</v>
      </c>
    </row>
    <row r="670" hidden="1">
      <c r="A670" s="1" t="s">
        <v>4737</v>
      </c>
      <c r="B670" s="1" t="s">
        <v>4738</v>
      </c>
      <c r="C670" s="1" t="s">
        <v>4739</v>
      </c>
      <c r="D670" s="1">
        <v>2006.0</v>
      </c>
      <c r="E670" s="1" t="s">
        <v>658</v>
      </c>
      <c r="F670" s="1" t="s">
        <v>737</v>
      </c>
      <c r="G670" s="1" t="s">
        <v>4740</v>
      </c>
      <c r="H670" s="1">
        <v>1.6493167E7</v>
      </c>
      <c r="I670" s="1" t="s">
        <v>4741</v>
      </c>
      <c r="J670" s="1" t="s">
        <v>4742</v>
      </c>
      <c r="K670" s="132">
        <v>0.0</v>
      </c>
    </row>
    <row r="671" hidden="1">
      <c r="A671" s="1" t="s">
        <v>4743</v>
      </c>
      <c r="B671" s="1" t="s">
        <v>4744</v>
      </c>
      <c r="C671" s="1" t="s">
        <v>4745</v>
      </c>
      <c r="D671" s="1">
        <v>2019.0</v>
      </c>
      <c r="E671" s="1" t="s">
        <v>689</v>
      </c>
      <c r="F671" s="1" t="s">
        <v>2662</v>
      </c>
      <c r="G671" s="1" t="s">
        <v>4746</v>
      </c>
      <c r="H671" s="1">
        <v>3.0882683E7</v>
      </c>
      <c r="I671" s="1" t="s">
        <v>4747</v>
      </c>
      <c r="J671" s="1" t="s">
        <v>4748</v>
      </c>
      <c r="K671" s="132">
        <v>0.0</v>
      </c>
    </row>
    <row r="672" hidden="1">
      <c r="A672" s="1" t="s">
        <v>4749</v>
      </c>
      <c r="B672" s="1" t="s">
        <v>4750</v>
      </c>
      <c r="C672" s="1" t="s">
        <v>4751</v>
      </c>
      <c r="D672" s="1">
        <v>2023.0</v>
      </c>
      <c r="E672" s="1" t="s">
        <v>681</v>
      </c>
      <c r="F672" s="1" t="s">
        <v>682</v>
      </c>
      <c r="G672" s="1" t="s">
        <v>4752</v>
      </c>
      <c r="H672" s="1">
        <v>3.7946263E7</v>
      </c>
      <c r="I672" s="1" t="s">
        <v>4753</v>
      </c>
      <c r="J672" s="1" t="s">
        <v>4754</v>
      </c>
      <c r="K672" s="132">
        <v>0.0</v>
      </c>
    </row>
    <row r="673" hidden="1">
      <c r="A673" s="1" t="s">
        <v>4756</v>
      </c>
      <c r="B673" s="1" t="s">
        <v>4757</v>
      </c>
      <c r="C673" s="1" t="s">
        <v>4758</v>
      </c>
      <c r="D673" s="1">
        <v>2022.0</v>
      </c>
      <c r="E673" s="1" t="s">
        <v>898</v>
      </c>
      <c r="F673" s="1" t="s">
        <v>1174</v>
      </c>
      <c r="G673" s="1" t="s">
        <v>4759</v>
      </c>
      <c r="H673" s="1">
        <v>3.6463165E7</v>
      </c>
      <c r="I673" s="1" t="s">
        <v>4760</v>
      </c>
      <c r="J673" s="1" t="s">
        <v>4761</v>
      </c>
      <c r="K673" s="132">
        <v>0.0</v>
      </c>
    </row>
    <row r="674">
      <c r="A674" s="1" t="s">
        <v>4762</v>
      </c>
      <c r="B674" s="1" t="s">
        <v>4763</v>
      </c>
      <c r="C674" s="1" t="s">
        <v>4764</v>
      </c>
      <c r="D674" s="1">
        <v>2025.0</v>
      </c>
      <c r="E674" s="1" t="s">
        <v>674</v>
      </c>
      <c r="F674" s="1" t="s">
        <v>1136</v>
      </c>
      <c r="G674" s="1" t="s">
        <v>150</v>
      </c>
      <c r="H674" s="1">
        <v>4.0944765E7</v>
      </c>
      <c r="I674" s="1" t="s">
        <v>4765</v>
      </c>
      <c r="J674" s="1" t="s">
        <v>1108</v>
      </c>
      <c r="K674" s="132">
        <v>3.0</v>
      </c>
    </row>
    <row r="675" hidden="1">
      <c r="A675" s="1" t="s">
        <v>4766</v>
      </c>
      <c r="B675" s="1" t="s">
        <v>4767</v>
      </c>
      <c r="C675" s="1" t="s">
        <v>4768</v>
      </c>
      <c r="D675" s="1">
        <v>2007.0</v>
      </c>
      <c r="E675" s="1" t="s">
        <v>736</v>
      </c>
      <c r="F675" s="1" t="s">
        <v>819</v>
      </c>
      <c r="G675" s="1" t="s">
        <v>4769</v>
      </c>
      <c r="H675" s="1">
        <v>1.7091015E7</v>
      </c>
      <c r="I675" s="1" t="s">
        <v>4770</v>
      </c>
      <c r="J675" s="1" t="s">
        <v>4771</v>
      </c>
      <c r="K675" s="132">
        <v>0.0</v>
      </c>
    </row>
    <row r="676" hidden="1">
      <c r="A676" s="1" t="s">
        <v>4772</v>
      </c>
      <c r="B676" s="1" t="s">
        <v>4773</v>
      </c>
      <c r="C676" s="1" t="s">
        <v>4774</v>
      </c>
      <c r="D676" s="1">
        <v>2025.0</v>
      </c>
      <c r="E676" s="1" t="s">
        <v>723</v>
      </c>
      <c r="F676" s="1" t="s">
        <v>3704</v>
      </c>
      <c r="G676" s="1" t="s">
        <v>4775</v>
      </c>
      <c r="H676" s="1">
        <v>3.952687E7</v>
      </c>
      <c r="I676" s="1" t="s">
        <v>4776</v>
      </c>
      <c r="J676" s="1" t="s">
        <v>4777</v>
      </c>
      <c r="K676" s="132">
        <v>0.0</v>
      </c>
    </row>
    <row r="677" hidden="1">
      <c r="A677" s="1" t="s">
        <v>4778</v>
      </c>
      <c r="B677" s="1" t="s">
        <v>4779</v>
      </c>
      <c r="C677" s="1" t="s">
        <v>4780</v>
      </c>
      <c r="D677" s="1">
        <v>1995.0</v>
      </c>
      <c r="E677" s="1" t="s">
        <v>837</v>
      </c>
      <c r="F677" s="1" t="s">
        <v>737</v>
      </c>
      <c r="G677" s="1" t="s">
        <v>4781</v>
      </c>
      <c r="H677" s="1">
        <v>8600739.0</v>
      </c>
      <c r="I677" s="1" t="s">
        <v>4782</v>
      </c>
      <c r="J677" s="1" t="s">
        <v>4783</v>
      </c>
      <c r="K677" s="132">
        <v>0.0</v>
      </c>
    </row>
    <row r="678" hidden="1">
      <c r="A678" s="1" t="s">
        <v>4784</v>
      </c>
      <c r="B678" s="1" t="s">
        <v>4785</v>
      </c>
      <c r="C678" s="1" t="s">
        <v>4786</v>
      </c>
      <c r="D678" s="1">
        <v>1997.0</v>
      </c>
      <c r="E678" s="1" t="s">
        <v>844</v>
      </c>
      <c r="F678" s="1" t="s">
        <v>737</v>
      </c>
      <c r="G678" s="1" t="s">
        <v>4787</v>
      </c>
      <c r="H678" s="1">
        <v>9006702.0</v>
      </c>
      <c r="I678" s="1" t="s">
        <v>4788</v>
      </c>
      <c r="J678" s="1" t="s">
        <v>4789</v>
      </c>
      <c r="K678" s="132">
        <v>0.0</v>
      </c>
    </row>
    <row r="679" hidden="1">
      <c r="A679" s="1" t="s">
        <v>4790</v>
      </c>
      <c r="B679" s="1" t="s">
        <v>4791</v>
      </c>
      <c r="C679" s="1" t="s">
        <v>4792</v>
      </c>
      <c r="D679" s="1">
        <v>2006.0</v>
      </c>
      <c r="E679" s="1" t="s">
        <v>689</v>
      </c>
      <c r="F679" s="1" t="s">
        <v>767</v>
      </c>
      <c r="G679" s="1" t="s">
        <v>4793</v>
      </c>
      <c r="H679" s="1">
        <v>1.6517306E7</v>
      </c>
      <c r="I679" s="1" t="s">
        <v>4794</v>
      </c>
      <c r="J679" s="1" t="s">
        <v>4795</v>
      </c>
      <c r="K679" s="132">
        <v>0.0</v>
      </c>
    </row>
    <row r="680" hidden="1">
      <c r="A680" s="1" t="s">
        <v>4796</v>
      </c>
      <c r="B680" s="1" t="s">
        <v>4797</v>
      </c>
      <c r="C680" s="1" t="s">
        <v>4798</v>
      </c>
      <c r="D680" s="1">
        <v>2014.0</v>
      </c>
      <c r="E680" s="1" t="s">
        <v>723</v>
      </c>
      <c r="F680" s="1" t="s">
        <v>982</v>
      </c>
      <c r="G680" s="1" t="s">
        <v>4799</v>
      </c>
      <c r="H680" s="1">
        <v>2.4323062E7</v>
      </c>
      <c r="I680" s="1" t="s">
        <v>4800</v>
      </c>
      <c r="J680" s="1" t="s">
        <v>4801</v>
      </c>
      <c r="K680" s="132">
        <v>0.0</v>
      </c>
    </row>
    <row r="681" hidden="1">
      <c r="A681" s="1" t="s">
        <v>4802</v>
      </c>
      <c r="B681" s="1" t="s">
        <v>4803</v>
      </c>
      <c r="C681" s="1" t="s">
        <v>4804</v>
      </c>
      <c r="D681" s="1">
        <v>2016.0</v>
      </c>
      <c r="E681" s="1" t="s">
        <v>898</v>
      </c>
      <c r="F681" s="1" t="s">
        <v>4805</v>
      </c>
      <c r="G681" s="1" t="s">
        <v>4806</v>
      </c>
      <c r="H681" s="1">
        <v>2.7164977E7</v>
      </c>
      <c r="I681" s="1" t="s">
        <v>4807</v>
      </c>
      <c r="J681" s="1" t="s">
        <v>4808</v>
      </c>
      <c r="K681" s="132">
        <v>0.0</v>
      </c>
    </row>
    <row r="682">
      <c r="A682" s="1" t="s">
        <v>4809</v>
      </c>
      <c r="B682" s="1" t="s">
        <v>4810</v>
      </c>
      <c r="C682" s="1" t="s">
        <v>4811</v>
      </c>
      <c r="D682" s="1">
        <v>2017.0</v>
      </c>
      <c r="E682" s="1" t="s">
        <v>940</v>
      </c>
      <c r="F682" s="1" t="s">
        <v>659</v>
      </c>
      <c r="G682" s="1" t="s">
        <v>153</v>
      </c>
      <c r="H682" s="1">
        <v>2.6718638E7</v>
      </c>
      <c r="I682" s="1" t="s">
        <v>4812</v>
      </c>
      <c r="J682" s="1" t="s">
        <v>1110</v>
      </c>
      <c r="K682" s="132">
        <v>3.0</v>
      </c>
    </row>
    <row r="683" hidden="1">
      <c r="A683" s="1" t="s">
        <v>4814</v>
      </c>
      <c r="B683" s="1" t="s">
        <v>4815</v>
      </c>
      <c r="C683" s="1" t="s">
        <v>4816</v>
      </c>
      <c r="D683" s="1">
        <v>2002.0</v>
      </c>
      <c r="E683" s="1" t="s">
        <v>736</v>
      </c>
      <c r="F683" s="1" t="s">
        <v>819</v>
      </c>
      <c r="G683" s="1" t="s">
        <v>4817</v>
      </c>
      <c r="H683" s="1">
        <v>1.1795727E7</v>
      </c>
      <c r="I683" s="1" t="s">
        <v>4818</v>
      </c>
      <c r="J683" s="1" t="s">
        <v>4819</v>
      </c>
      <c r="K683" s="132">
        <v>0.0</v>
      </c>
    </row>
    <row r="684" hidden="1">
      <c r="A684" s="1" t="s">
        <v>4820</v>
      </c>
      <c r="B684" s="1" t="s">
        <v>4821</v>
      </c>
      <c r="C684" s="1" t="s">
        <v>4822</v>
      </c>
      <c r="D684" s="1">
        <v>2024.0</v>
      </c>
      <c r="E684" s="1" t="s">
        <v>666</v>
      </c>
      <c r="F684" s="1" t="s">
        <v>2992</v>
      </c>
      <c r="G684" s="1" t="s">
        <v>4823</v>
      </c>
      <c r="H684" s="1">
        <v>3.8752242E7</v>
      </c>
      <c r="I684" s="1" t="s">
        <v>4824</v>
      </c>
      <c r="J684" s="1" t="s">
        <v>4825</v>
      </c>
      <c r="K684" s="132">
        <v>0.0</v>
      </c>
    </row>
    <row r="685" hidden="1">
      <c r="A685" s="1" t="s">
        <v>4826</v>
      </c>
      <c r="B685" s="1" t="s">
        <v>4827</v>
      </c>
      <c r="C685" s="1" t="s">
        <v>4828</v>
      </c>
      <c r="D685" s="1">
        <v>2026.0</v>
      </c>
      <c r="E685" s="12"/>
      <c r="F685" s="1" t="s">
        <v>4829</v>
      </c>
      <c r="G685" s="1" t="s">
        <v>4830</v>
      </c>
      <c r="H685" s="1">
        <v>4.236738E7</v>
      </c>
      <c r="I685" s="1" t="s">
        <v>4831</v>
      </c>
      <c r="J685" s="1" t="s">
        <v>4832</v>
      </c>
      <c r="K685" s="132">
        <v>0.0</v>
      </c>
    </row>
    <row r="686" hidden="1">
      <c r="A686" s="1" t="s">
        <v>4833</v>
      </c>
      <c r="B686" s="1" t="s">
        <v>4834</v>
      </c>
      <c r="C686" s="1" t="s">
        <v>4835</v>
      </c>
      <c r="D686" s="1">
        <v>2006.0</v>
      </c>
      <c r="E686" s="1" t="s">
        <v>681</v>
      </c>
      <c r="F686" s="1" t="s">
        <v>659</v>
      </c>
      <c r="G686" s="1" t="s">
        <v>4836</v>
      </c>
      <c r="H686" s="1">
        <v>1.6909301E7</v>
      </c>
      <c r="I686" s="1" t="s">
        <v>4837</v>
      </c>
      <c r="J686" s="1" t="s">
        <v>4838</v>
      </c>
      <c r="K686" s="132">
        <v>1.0</v>
      </c>
    </row>
    <row r="687" hidden="1">
      <c r="A687" s="1" t="s">
        <v>4839</v>
      </c>
      <c r="B687" s="1" t="s">
        <v>4840</v>
      </c>
      <c r="C687" s="1" t="s">
        <v>4841</v>
      </c>
      <c r="D687" s="1">
        <v>2008.0</v>
      </c>
      <c r="E687" s="1" t="s">
        <v>729</v>
      </c>
      <c r="F687" s="1" t="s">
        <v>1217</v>
      </c>
      <c r="G687" s="1" t="s">
        <v>4842</v>
      </c>
      <c r="H687" s="1">
        <v>1.8208432E7</v>
      </c>
      <c r="I687" s="1" t="s">
        <v>4843</v>
      </c>
      <c r="J687" s="1" t="s">
        <v>4844</v>
      </c>
      <c r="K687" s="132">
        <v>0.0</v>
      </c>
    </row>
    <row r="688">
      <c r="A688" s="1" t="s">
        <v>4845</v>
      </c>
      <c r="B688" s="1" t="s">
        <v>4846</v>
      </c>
      <c r="C688" s="1" t="s">
        <v>4847</v>
      </c>
      <c r="D688" s="1">
        <v>2011.0</v>
      </c>
      <c r="E688" s="1" t="s">
        <v>689</v>
      </c>
      <c r="F688" s="1" t="s">
        <v>659</v>
      </c>
      <c r="G688" s="1" t="s">
        <v>155</v>
      </c>
      <c r="H688" s="1">
        <v>2.0668835E7</v>
      </c>
      <c r="I688" s="1" t="s">
        <v>4848</v>
      </c>
      <c r="J688" s="1" t="s">
        <v>1111</v>
      </c>
      <c r="K688" s="132">
        <v>3.0</v>
      </c>
    </row>
    <row r="689" hidden="1">
      <c r="A689" s="1" t="s">
        <v>4849</v>
      </c>
      <c r="B689" s="1" t="s">
        <v>4850</v>
      </c>
      <c r="C689" s="1" t="s">
        <v>4851</v>
      </c>
      <c r="D689" s="1">
        <v>2022.0</v>
      </c>
      <c r="E689" s="1" t="s">
        <v>689</v>
      </c>
      <c r="F689" s="1" t="s">
        <v>4852</v>
      </c>
      <c r="G689" s="1" t="s">
        <v>4853</v>
      </c>
      <c r="H689" s="1">
        <v>3.5114581E7</v>
      </c>
      <c r="I689" s="1" t="s">
        <v>4854</v>
      </c>
      <c r="J689" s="1" t="s">
        <v>4855</v>
      </c>
      <c r="K689" s="132">
        <v>0.0</v>
      </c>
    </row>
    <row r="690" hidden="1">
      <c r="A690" s="1" t="s">
        <v>4856</v>
      </c>
      <c r="B690" s="1" t="s">
        <v>4857</v>
      </c>
      <c r="C690" s="1" t="s">
        <v>4858</v>
      </c>
      <c r="D690" s="1">
        <v>2023.0</v>
      </c>
      <c r="E690" s="1" t="s">
        <v>729</v>
      </c>
      <c r="F690" s="1" t="s">
        <v>4859</v>
      </c>
      <c r="G690" s="1" t="s">
        <v>4861</v>
      </c>
      <c r="H690" s="1">
        <v>3.7885255E7</v>
      </c>
      <c r="I690" s="1" t="s">
        <v>4862</v>
      </c>
      <c r="J690" s="1" t="s">
        <v>4863</v>
      </c>
      <c r="K690" s="132">
        <v>0.0</v>
      </c>
    </row>
    <row r="691" hidden="1">
      <c r="A691" s="1" t="s">
        <v>4864</v>
      </c>
      <c r="B691" s="1" t="s">
        <v>4865</v>
      </c>
      <c r="C691" s="1" t="s">
        <v>4866</v>
      </c>
      <c r="D691" s="1">
        <v>2024.0</v>
      </c>
      <c r="E691" s="1" t="s">
        <v>844</v>
      </c>
      <c r="F691" s="1" t="s">
        <v>865</v>
      </c>
      <c r="G691" s="1" t="s">
        <v>4867</v>
      </c>
      <c r="H691" s="1">
        <v>3.6935576E7</v>
      </c>
      <c r="I691" s="1" t="s">
        <v>4868</v>
      </c>
      <c r="J691" s="1" t="s">
        <v>4869</v>
      </c>
      <c r="K691" s="132">
        <v>0.0</v>
      </c>
    </row>
    <row r="692" hidden="1">
      <c r="A692" s="1" t="s">
        <v>4870</v>
      </c>
      <c r="B692" s="1" t="s">
        <v>4871</v>
      </c>
      <c r="C692" s="1" t="s">
        <v>4872</v>
      </c>
      <c r="D692" s="1">
        <v>2016.0</v>
      </c>
      <c r="E692" s="1" t="s">
        <v>666</v>
      </c>
      <c r="F692" s="1" t="s">
        <v>1620</v>
      </c>
      <c r="G692" s="1" t="s">
        <v>4873</v>
      </c>
      <c r="H692" s="1">
        <v>2.6400955E7</v>
      </c>
      <c r="I692" s="1" t="s">
        <v>4874</v>
      </c>
      <c r="J692" s="1" t="s">
        <v>4875</v>
      </c>
      <c r="K692" s="132">
        <v>0.0</v>
      </c>
    </row>
    <row r="693" hidden="1">
      <c r="A693" s="1" t="s">
        <v>4876</v>
      </c>
      <c r="B693" s="1" t="s">
        <v>4877</v>
      </c>
      <c r="C693" s="1" t="s">
        <v>4878</v>
      </c>
      <c r="D693" s="1">
        <v>2019.0</v>
      </c>
      <c r="E693" s="1" t="s">
        <v>681</v>
      </c>
      <c r="F693" s="1" t="s">
        <v>3200</v>
      </c>
      <c r="G693" s="1" t="s">
        <v>4879</v>
      </c>
      <c r="H693" s="1">
        <v>3.1626021E7</v>
      </c>
      <c r="I693" s="1" t="s">
        <v>4880</v>
      </c>
      <c r="J693" s="1" t="s">
        <v>4881</v>
      </c>
      <c r="K693" s="132">
        <v>0.0</v>
      </c>
    </row>
    <row r="694" hidden="1">
      <c r="A694" s="1" t="s">
        <v>4882</v>
      </c>
      <c r="B694" s="1" t="s">
        <v>4883</v>
      </c>
      <c r="C694" s="1" t="s">
        <v>4884</v>
      </c>
      <c r="D694" s="1">
        <v>2014.0</v>
      </c>
      <c r="E694" s="12"/>
      <c r="F694" s="1" t="s">
        <v>2597</v>
      </c>
      <c r="G694" s="12"/>
      <c r="H694" s="1">
        <v>2.4755056E7</v>
      </c>
      <c r="I694" s="1" t="s">
        <v>4885</v>
      </c>
      <c r="J694" s="1" t="s">
        <v>4886</v>
      </c>
      <c r="K694" s="132">
        <v>0.0</v>
      </c>
    </row>
    <row r="695" hidden="1">
      <c r="A695" s="1" t="s">
        <v>4887</v>
      </c>
      <c r="B695" s="1" t="s">
        <v>4888</v>
      </c>
      <c r="C695" s="1" t="s">
        <v>4889</v>
      </c>
      <c r="D695" s="1">
        <v>2012.0</v>
      </c>
      <c r="E695" s="1" t="s">
        <v>658</v>
      </c>
      <c r="F695" s="1" t="s">
        <v>4890</v>
      </c>
      <c r="G695" s="1" t="s">
        <v>4891</v>
      </c>
      <c r="H695" s="1">
        <v>2.285071E7</v>
      </c>
      <c r="I695" s="1" t="s">
        <v>4892</v>
      </c>
      <c r="J695" s="1" t="s">
        <v>4893</v>
      </c>
      <c r="K695" s="132">
        <v>0.0</v>
      </c>
    </row>
    <row r="696" hidden="1">
      <c r="A696" s="1" t="s">
        <v>4894</v>
      </c>
      <c r="B696" s="1" t="s">
        <v>4895</v>
      </c>
      <c r="C696" s="1" t="s">
        <v>4896</v>
      </c>
      <c r="D696" s="1">
        <v>2014.0</v>
      </c>
      <c r="E696" s="1" t="s">
        <v>736</v>
      </c>
      <c r="F696" s="1" t="s">
        <v>659</v>
      </c>
      <c r="G696" s="1" t="s">
        <v>4897</v>
      </c>
      <c r="H696" s="1">
        <v>2.3242378E7</v>
      </c>
      <c r="I696" s="1" t="s">
        <v>4898</v>
      </c>
      <c r="J696" s="1" t="s">
        <v>4899</v>
      </c>
      <c r="K696" s="132">
        <v>0.0</v>
      </c>
    </row>
    <row r="697" hidden="1">
      <c r="A697" s="1" t="s">
        <v>4900</v>
      </c>
      <c r="B697" s="1" t="s">
        <v>4901</v>
      </c>
      <c r="C697" s="1" t="s">
        <v>4902</v>
      </c>
      <c r="D697" s="1">
        <v>2018.0</v>
      </c>
      <c r="E697" s="1" t="s">
        <v>761</v>
      </c>
      <c r="F697" s="1" t="s">
        <v>767</v>
      </c>
      <c r="G697" s="1" t="s">
        <v>4904</v>
      </c>
      <c r="H697" s="1">
        <v>2.9730208E7</v>
      </c>
      <c r="I697" s="1" t="s">
        <v>4905</v>
      </c>
      <c r="J697" s="1" t="s">
        <v>4906</v>
      </c>
      <c r="K697" s="132">
        <v>0.0</v>
      </c>
    </row>
    <row r="698" hidden="1">
      <c r="A698" s="1" t="s">
        <v>4907</v>
      </c>
      <c r="B698" s="1" t="s">
        <v>4908</v>
      </c>
      <c r="C698" s="1" t="s">
        <v>4909</v>
      </c>
      <c r="D698" s="1">
        <v>2020.0</v>
      </c>
      <c r="E698" s="1" t="s">
        <v>729</v>
      </c>
      <c r="F698" s="1" t="s">
        <v>737</v>
      </c>
      <c r="G698" s="1" t="s">
        <v>4910</v>
      </c>
      <c r="H698" s="1">
        <v>3.2909826E7</v>
      </c>
      <c r="I698" s="1" t="s">
        <v>4911</v>
      </c>
      <c r="J698" s="1" t="s">
        <v>4912</v>
      </c>
      <c r="K698" s="132">
        <v>0.0</v>
      </c>
    </row>
    <row r="699" hidden="1">
      <c r="A699" s="1" t="s">
        <v>4913</v>
      </c>
      <c r="B699" s="1" t="s">
        <v>4914</v>
      </c>
      <c r="C699" s="1" t="s">
        <v>4915</v>
      </c>
      <c r="D699" s="1">
        <v>2020.0</v>
      </c>
      <c r="E699" s="1" t="s">
        <v>689</v>
      </c>
      <c r="F699" s="1" t="s">
        <v>3713</v>
      </c>
      <c r="G699" s="1" t="s">
        <v>4916</v>
      </c>
      <c r="H699" s="1">
        <v>3.2152642E7</v>
      </c>
      <c r="I699" s="1" t="s">
        <v>4917</v>
      </c>
      <c r="J699" s="1" t="s">
        <v>4912</v>
      </c>
      <c r="K699" s="132">
        <v>0.0</v>
      </c>
    </row>
    <row r="700" hidden="1">
      <c r="A700" s="1" t="s">
        <v>4918</v>
      </c>
      <c r="B700" s="1" t="s">
        <v>4919</v>
      </c>
      <c r="C700" s="12"/>
      <c r="D700" s="1">
        <v>2021.0</v>
      </c>
      <c r="E700" s="1" t="s">
        <v>761</v>
      </c>
      <c r="F700" s="1" t="s">
        <v>767</v>
      </c>
      <c r="G700" s="1" t="s">
        <v>4920</v>
      </c>
      <c r="H700" s="1">
        <v>3.4225991E7</v>
      </c>
      <c r="I700" s="1" t="s">
        <v>4921</v>
      </c>
      <c r="J700" s="1" t="s">
        <v>4922</v>
      </c>
      <c r="K700" s="132">
        <v>0.0</v>
      </c>
    </row>
    <row r="701" hidden="1">
      <c r="A701" s="1" t="s">
        <v>4923</v>
      </c>
      <c r="B701" s="1" t="s">
        <v>4924</v>
      </c>
      <c r="C701" s="1" t="s">
        <v>4925</v>
      </c>
      <c r="D701" s="1">
        <v>2022.0</v>
      </c>
      <c r="E701" s="1" t="s">
        <v>674</v>
      </c>
      <c r="F701" s="1" t="s">
        <v>825</v>
      </c>
      <c r="G701" s="1" t="s">
        <v>4926</v>
      </c>
      <c r="H701" s="1">
        <v>3.6760537E7</v>
      </c>
      <c r="I701" s="1" t="s">
        <v>4927</v>
      </c>
      <c r="J701" s="1" t="s">
        <v>4928</v>
      </c>
      <c r="K701" s="132">
        <v>0.0</v>
      </c>
    </row>
    <row r="702" hidden="1">
      <c r="A702" s="1" t="s">
        <v>4929</v>
      </c>
      <c r="B702" s="1" t="s">
        <v>4930</v>
      </c>
      <c r="C702" s="1" t="s">
        <v>4931</v>
      </c>
      <c r="D702" s="1">
        <v>2022.0</v>
      </c>
      <c r="E702" s="1" t="s">
        <v>729</v>
      </c>
      <c r="F702" s="1" t="s">
        <v>1160</v>
      </c>
      <c r="G702" s="1" t="s">
        <v>4932</v>
      </c>
      <c r="H702" s="1">
        <v>3.6294478E7</v>
      </c>
      <c r="I702" s="1" t="s">
        <v>4933</v>
      </c>
      <c r="J702" s="1" t="s">
        <v>4928</v>
      </c>
      <c r="K702" s="132">
        <v>0.0</v>
      </c>
    </row>
    <row r="703" hidden="1">
      <c r="A703" s="1" t="s">
        <v>4934</v>
      </c>
      <c r="B703" s="1" t="s">
        <v>4935</v>
      </c>
      <c r="C703" s="1" t="s">
        <v>4936</v>
      </c>
      <c r="D703" s="1">
        <v>2025.0</v>
      </c>
      <c r="E703" s="1" t="s">
        <v>689</v>
      </c>
      <c r="F703" s="1" t="s">
        <v>690</v>
      </c>
      <c r="G703" s="1" t="s">
        <v>4937</v>
      </c>
      <c r="H703" s="1">
        <v>4.0133434E7</v>
      </c>
      <c r="I703" s="1" t="s">
        <v>4938</v>
      </c>
      <c r="J703" s="1" t="s">
        <v>4939</v>
      </c>
      <c r="K703" s="132">
        <v>0.0</v>
      </c>
    </row>
    <row r="704" hidden="1">
      <c r="A704" s="1" t="s">
        <v>4940</v>
      </c>
      <c r="B704" s="1" t="s">
        <v>4941</v>
      </c>
      <c r="C704" s="1" t="s">
        <v>4942</v>
      </c>
      <c r="D704" s="1">
        <v>2026.0</v>
      </c>
      <c r="E704" s="1" t="s">
        <v>736</v>
      </c>
      <c r="F704" s="1" t="s">
        <v>1174</v>
      </c>
      <c r="G704" s="1" t="s">
        <v>4943</v>
      </c>
      <c r="H704" s="1">
        <v>4.1507831E7</v>
      </c>
      <c r="I704" s="1" t="s">
        <v>4944</v>
      </c>
      <c r="J704" s="1" t="s">
        <v>4945</v>
      </c>
      <c r="K704" s="132">
        <v>0.0</v>
      </c>
    </row>
    <row r="705" hidden="1">
      <c r="A705" s="1" t="s">
        <v>4946</v>
      </c>
      <c r="B705" s="1" t="s">
        <v>4947</v>
      </c>
      <c r="C705" s="1" t="s">
        <v>4948</v>
      </c>
      <c r="D705" s="1">
        <v>2007.0</v>
      </c>
      <c r="E705" s="1" t="s">
        <v>761</v>
      </c>
      <c r="F705" s="1" t="s">
        <v>767</v>
      </c>
      <c r="G705" s="1" t="s">
        <v>4949</v>
      </c>
      <c r="H705" s="1">
        <v>1.7637413E7</v>
      </c>
      <c r="I705" s="1" t="s">
        <v>4951</v>
      </c>
      <c r="J705" s="1" t="s">
        <v>4952</v>
      </c>
      <c r="K705" s="132">
        <v>0.0</v>
      </c>
    </row>
    <row r="706" hidden="1">
      <c r="A706" s="1" t="s">
        <v>4953</v>
      </c>
      <c r="B706" s="1" t="s">
        <v>4954</v>
      </c>
      <c r="C706" s="1" t="s">
        <v>4955</v>
      </c>
      <c r="D706" s="1">
        <v>2026.0</v>
      </c>
      <c r="E706" s="1" t="s">
        <v>666</v>
      </c>
      <c r="F706" s="1" t="s">
        <v>1174</v>
      </c>
      <c r="G706" s="1" t="s">
        <v>4956</v>
      </c>
      <c r="H706" s="1">
        <v>4.2092903E7</v>
      </c>
      <c r="I706" s="1" t="s">
        <v>4957</v>
      </c>
      <c r="J706" s="1" t="s">
        <v>4958</v>
      </c>
      <c r="K706" s="132">
        <v>0.0</v>
      </c>
    </row>
    <row r="707" hidden="1">
      <c r="A707" s="1" t="s">
        <v>4959</v>
      </c>
      <c r="B707" s="1" t="s">
        <v>4960</v>
      </c>
      <c r="C707" s="1" t="s">
        <v>4961</v>
      </c>
      <c r="D707" s="1">
        <v>2018.0</v>
      </c>
      <c r="E707" s="1" t="s">
        <v>658</v>
      </c>
      <c r="F707" s="1" t="s">
        <v>793</v>
      </c>
      <c r="G707" s="1" t="s">
        <v>4962</v>
      </c>
      <c r="H707" s="1">
        <v>2.9796857E7</v>
      </c>
      <c r="I707" s="1" t="s">
        <v>4963</v>
      </c>
      <c r="J707" s="1" t="s">
        <v>4964</v>
      </c>
      <c r="K707" s="132">
        <v>0.0</v>
      </c>
    </row>
    <row r="708" hidden="1">
      <c r="A708" s="1" t="s">
        <v>4965</v>
      </c>
      <c r="B708" s="1" t="s">
        <v>4960</v>
      </c>
      <c r="C708" s="1" t="s">
        <v>4966</v>
      </c>
      <c r="D708" s="1">
        <v>2019.0</v>
      </c>
      <c r="E708" s="1" t="s">
        <v>723</v>
      </c>
      <c r="F708" s="1" t="s">
        <v>659</v>
      </c>
      <c r="G708" s="1" t="s">
        <v>4967</v>
      </c>
      <c r="H708" s="1">
        <v>3.0182287E7</v>
      </c>
      <c r="I708" s="1" t="s">
        <v>4968</v>
      </c>
      <c r="J708" s="1" t="s">
        <v>4969</v>
      </c>
      <c r="K708" s="132">
        <v>0.0</v>
      </c>
    </row>
    <row r="709">
      <c r="K709" s="121"/>
    </row>
    <row r="710">
      <c r="K710" s="121"/>
    </row>
    <row r="711">
      <c r="K711" s="121"/>
    </row>
    <row r="712">
      <c r="K712" s="121"/>
    </row>
    <row r="713">
      <c r="K713" s="121"/>
    </row>
    <row r="714">
      <c r="K714" s="121"/>
    </row>
    <row r="715">
      <c r="K715" s="121"/>
    </row>
    <row r="716">
      <c r="K716" s="121"/>
    </row>
    <row r="717">
      <c r="K717" s="121"/>
    </row>
    <row r="718">
      <c r="K718" s="121"/>
    </row>
    <row r="719">
      <c r="K719" s="121"/>
    </row>
    <row r="720">
      <c r="K720" s="121"/>
    </row>
    <row r="721">
      <c r="K721" s="121"/>
    </row>
    <row r="722">
      <c r="K722" s="121"/>
    </row>
    <row r="723">
      <c r="K723" s="121"/>
    </row>
    <row r="724">
      <c r="K724" s="121"/>
    </row>
    <row r="725">
      <c r="K725" s="121"/>
    </row>
    <row r="726">
      <c r="K726" s="121"/>
    </row>
    <row r="727">
      <c r="K727" s="121"/>
    </row>
    <row r="728">
      <c r="K728" s="121"/>
    </row>
    <row r="729">
      <c r="K729" s="121"/>
    </row>
    <row r="730">
      <c r="K730" s="121"/>
    </row>
    <row r="731">
      <c r="K731" s="121"/>
    </row>
    <row r="732">
      <c r="K732" s="121"/>
    </row>
    <row r="733">
      <c r="K733" s="121"/>
    </row>
    <row r="734">
      <c r="K734" s="121"/>
    </row>
    <row r="735">
      <c r="K735" s="121"/>
    </row>
    <row r="736">
      <c r="K736" s="121"/>
    </row>
    <row r="737">
      <c r="K737" s="121"/>
    </row>
    <row r="738">
      <c r="K738" s="121"/>
    </row>
    <row r="739">
      <c r="K739" s="121"/>
    </row>
    <row r="740">
      <c r="K740" s="121"/>
    </row>
    <row r="741">
      <c r="K741" s="121"/>
    </row>
    <row r="742">
      <c r="K742" s="121"/>
    </row>
    <row r="743">
      <c r="K743" s="121"/>
    </row>
    <row r="744">
      <c r="K744" s="121"/>
    </row>
    <row r="745">
      <c r="K745" s="121"/>
    </row>
    <row r="746">
      <c r="K746" s="121"/>
    </row>
    <row r="747">
      <c r="K747" s="121"/>
    </row>
    <row r="748">
      <c r="K748" s="121"/>
    </row>
    <row r="749">
      <c r="K749" s="121"/>
    </row>
    <row r="750">
      <c r="K750" s="121"/>
    </row>
    <row r="751">
      <c r="K751" s="121"/>
    </row>
    <row r="752">
      <c r="K752" s="121"/>
    </row>
    <row r="753">
      <c r="K753" s="121"/>
    </row>
    <row r="754">
      <c r="K754" s="121"/>
    </row>
    <row r="755">
      <c r="K755" s="121"/>
    </row>
    <row r="756">
      <c r="K756" s="121"/>
    </row>
    <row r="757">
      <c r="K757" s="121"/>
    </row>
    <row r="758">
      <c r="K758" s="121"/>
    </row>
    <row r="759">
      <c r="K759" s="121"/>
    </row>
    <row r="760">
      <c r="K760" s="121"/>
    </row>
    <row r="761">
      <c r="K761" s="121"/>
    </row>
    <row r="762">
      <c r="K762" s="121"/>
    </row>
    <row r="763">
      <c r="K763" s="121"/>
    </row>
    <row r="764">
      <c r="K764" s="121"/>
    </row>
    <row r="765">
      <c r="K765" s="121"/>
    </row>
    <row r="766">
      <c r="K766" s="121"/>
    </row>
    <row r="767">
      <c r="K767" s="121"/>
    </row>
    <row r="768">
      <c r="K768" s="121"/>
    </row>
    <row r="769">
      <c r="K769" s="121"/>
    </row>
    <row r="770">
      <c r="K770" s="121"/>
    </row>
    <row r="771">
      <c r="K771" s="121"/>
    </row>
    <row r="772">
      <c r="K772" s="121"/>
    </row>
    <row r="773">
      <c r="K773" s="121"/>
    </row>
    <row r="774">
      <c r="K774" s="121"/>
    </row>
    <row r="775">
      <c r="K775" s="121"/>
    </row>
    <row r="776">
      <c r="K776" s="121"/>
    </row>
    <row r="777">
      <c r="K777" s="121"/>
    </row>
    <row r="778">
      <c r="K778" s="121"/>
    </row>
    <row r="779">
      <c r="K779" s="121"/>
    </row>
    <row r="780">
      <c r="K780" s="121"/>
    </row>
    <row r="781">
      <c r="K781" s="121"/>
    </row>
    <row r="782">
      <c r="K782" s="121"/>
    </row>
    <row r="783">
      <c r="K783" s="121"/>
    </row>
    <row r="784">
      <c r="K784" s="121"/>
    </row>
    <row r="785">
      <c r="K785" s="121"/>
    </row>
    <row r="786">
      <c r="K786" s="121"/>
    </row>
    <row r="787">
      <c r="K787" s="121"/>
    </row>
    <row r="788">
      <c r="K788" s="121"/>
    </row>
    <row r="789">
      <c r="K789" s="121"/>
    </row>
    <row r="790">
      <c r="K790" s="121"/>
    </row>
    <row r="791">
      <c r="K791" s="121"/>
    </row>
    <row r="792">
      <c r="K792" s="121"/>
    </row>
    <row r="793">
      <c r="K793" s="121"/>
    </row>
    <row r="794">
      <c r="K794" s="121"/>
    </row>
    <row r="795">
      <c r="K795" s="121"/>
    </row>
    <row r="796">
      <c r="K796" s="121"/>
    </row>
    <row r="797">
      <c r="K797" s="121"/>
    </row>
    <row r="798">
      <c r="K798" s="121"/>
    </row>
    <row r="799">
      <c r="K799" s="121"/>
    </row>
    <row r="800">
      <c r="K800" s="121"/>
    </row>
    <row r="801">
      <c r="K801" s="121"/>
    </row>
    <row r="802">
      <c r="K802" s="121"/>
    </row>
    <row r="803">
      <c r="K803" s="121"/>
    </row>
    <row r="804">
      <c r="K804" s="121"/>
    </row>
    <row r="805">
      <c r="K805" s="121"/>
    </row>
    <row r="806">
      <c r="K806" s="121"/>
    </row>
    <row r="807">
      <c r="K807" s="121"/>
    </row>
    <row r="808">
      <c r="K808" s="121"/>
    </row>
    <row r="809">
      <c r="K809" s="121"/>
    </row>
    <row r="810">
      <c r="K810" s="121"/>
    </row>
    <row r="811">
      <c r="K811" s="121"/>
    </row>
    <row r="812">
      <c r="K812" s="121"/>
    </row>
    <row r="813">
      <c r="K813" s="121"/>
    </row>
    <row r="814">
      <c r="K814" s="121"/>
    </row>
    <row r="815">
      <c r="K815" s="121"/>
    </row>
    <row r="816">
      <c r="K816" s="121"/>
    </row>
    <row r="817">
      <c r="K817" s="121"/>
    </row>
    <row r="818">
      <c r="K818" s="121"/>
    </row>
    <row r="819">
      <c r="K819" s="121"/>
    </row>
    <row r="820">
      <c r="K820" s="121"/>
    </row>
    <row r="821">
      <c r="K821" s="121"/>
    </row>
    <row r="822">
      <c r="K822" s="121"/>
    </row>
    <row r="823">
      <c r="K823" s="121"/>
    </row>
    <row r="824">
      <c r="K824" s="121"/>
    </row>
    <row r="825">
      <c r="K825" s="121"/>
    </row>
    <row r="826">
      <c r="K826" s="121"/>
    </row>
    <row r="827">
      <c r="K827" s="121"/>
    </row>
    <row r="828">
      <c r="K828" s="121"/>
    </row>
    <row r="829">
      <c r="K829" s="121"/>
    </row>
    <row r="830">
      <c r="K830" s="121"/>
    </row>
    <row r="831">
      <c r="K831" s="121"/>
    </row>
    <row r="832">
      <c r="K832" s="121"/>
    </row>
    <row r="833">
      <c r="K833" s="121"/>
    </row>
    <row r="834">
      <c r="K834" s="121"/>
    </row>
    <row r="835">
      <c r="K835" s="121"/>
    </row>
    <row r="836">
      <c r="K836" s="121"/>
    </row>
    <row r="837">
      <c r="K837" s="121"/>
    </row>
    <row r="838">
      <c r="K838" s="121"/>
    </row>
    <row r="839">
      <c r="K839" s="121"/>
    </row>
    <row r="840">
      <c r="K840" s="121"/>
    </row>
    <row r="841">
      <c r="K841" s="121"/>
    </row>
    <row r="842">
      <c r="K842" s="121"/>
    </row>
    <row r="843">
      <c r="K843" s="121"/>
    </row>
    <row r="844">
      <c r="K844" s="121"/>
    </row>
    <row r="845">
      <c r="K845" s="121"/>
    </row>
    <row r="846">
      <c r="K846" s="121"/>
    </row>
    <row r="847">
      <c r="K847" s="121"/>
    </row>
    <row r="848">
      <c r="K848" s="121"/>
    </row>
    <row r="849">
      <c r="K849" s="121"/>
    </row>
    <row r="850">
      <c r="K850" s="121"/>
    </row>
    <row r="851">
      <c r="K851" s="121"/>
    </row>
    <row r="852">
      <c r="K852" s="121"/>
    </row>
    <row r="853">
      <c r="K853" s="121"/>
    </row>
    <row r="854">
      <c r="K854" s="121"/>
    </row>
    <row r="855">
      <c r="K855" s="121"/>
    </row>
    <row r="856">
      <c r="K856" s="121"/>
    </row>
    <row r="857">
      <c r="K857" s="121"/>
    </row>
    <row r="858">
      <c r="K858" s="121"/>
    </row>
    <row r="859">
      <c r="K859" s="121"/>
    </row>
    <row r="860">
      <c r="K860" s="121"/>
    </row>
    <row r="861">
      <c r="K861" s="121"/>
    </row>
    <row r="862">
      <c r="K862" s="121"/>
    </row>
    <row r="863">
      <c r="K863" s="121"/>
    </row>
    <row r="864">
      <c r="K864" s="121"/>
    </row>
    <row r="865">
      <c r="K865" s="121"/>
    </row>
    <row r="866">
      <c r="K866" s="121"/>
    </row>
    <row r="867">
      <c r="K867" s="121"/>
    </row>
    <row r="868">
      <c r="K868" s="121"/>
    </row>
    <row r="869">
      <c r="K869" s="121"/>
    </row>
    <row r="870">
      <c r="K870" s="121"/>
    </row>
    <row r="871">
      <c r="K871" s="121"/>
    </row>
    <row r="872">
      <c r="K872" s="121"/>
    </row>
    <row r="873">
      <c r="K873" s="121"/>
    </row>
    <row r="874">
      <c r="K874" s="121"/>
    </row>
    <row r="875">
      <c r="K875" s="121"/>
    </row>
    <row r="876">
      <c r="K876" s="121"/>
    </row>
    <row r="877">
      <c r="K877" s="121"/>
    </row>
    <row r="878">
      <c r="K878" s="121"/>
    </row>
    <row r="879">
      <c r="K879" s="121"/>
    </row>
    <row r="880">
      <c r="K880" s="121"/>
    </row>
    <row r="881">
      <c r="K881" s="121"/>
    </row>
    <row r="882">
      <c r="K882" s="121"/>
    </row>
    <row r="883">
      <c r="K883" s="121"/>
    </row>
    <row r="884">
      <c r="K884" s="121"/>
    </row>
    <row r="885">
      <c r="K885" s="121"/>
    </row>
    <row r="886">
      <c r="K886" s="121"/>
    </row>
    <row r="887">
      <c r="K887" s="121"/>
    </row>
    <row r="888">
      <c r="K888" s="121"/>
    </row>
    <row r="889">
      <c r="K889" s="121"/>
    </row>
    <row r="890">
      <c r="K890" s="121"/>
    </row>
    <row r="891">
      <c r="K891" s="121"/>
    </row>
    <row r="892">
      <c r="K892" s="121"/>
    </row>
    <row r="893">
      <c r="K893" s="121"/>
    </row>
    <row r="894">
      <c r="K894" s="121"/>
    </row>
    <row r="895">
      <c r="K895" s="121"/>
    </row>
    <row r="896">
      <c r="K896" s="121"/>
    </row>
    <row r="897">
      <c r="K897" s="121"/>
    </row>
    <row r="898">
      <c r="K898" s="121"/>
    </row>
    <row r="899">
      <c r="K899" s="121"/>
    </row>
    <row r="900">
      <c r="K900" s="121"/>
    </row>
    <row r="901">
      <c r="K901" s="121"/>
    </row>
    <row r="902">
      <c r="K902" s="121"/>
    </row>
    <row r="903">
      <c r="K903" s="121"/>
    </row>
    <row r="904">
      <c r="K904" s="121"/>
    </row>
    <row r="905">
      <c r="K905" s="121"/>
    </row>
    <row r="906">
      <c r="K906" s="121"/>
    </row>
    <row r="907">
      <c r="K907" s="121"/>
    </row>
    <row r="908">
      <c r="K908" s="121"/>
    </row>
    <row r="909">
      <c r="K909" s="121"/>
    </row>
    <row r="910">
      <c r="K910" s="121"/>
    </row>
    <row r="911">
      <c r="K911" s="121"/>
    </row>
    <row r="912">
      <c r="K912" s="121"/>
    </row>
    <row r="913">
      <c r="K913" s="121"/>
    </row>
    <row r="914">
      <c r="K914" s="121"/>
    </row>
    <row r="915">
      <c r="K915" s="121"/>
    </row>
    <row r="916">
      <c r="K916" s="121"/>
    </row>
    <row r="917">
      <c r="K917" s="121"/>
    </row>
    <row r="918">
      <c r="K918" s="121"/>
    </row>
    <row r="919">
      <c r="K919" s="121"/>
    </row>
    <row r="920">
      <c r="K920" s="121"/>
    </row>
    <row r="921">
      <c r="K921" s="121"/>
    </row>
    <row r="922">
      <c r="K922" s="121"/>
    </row>
    <row r="923">
      <c r="K923" s="121"/>
    </row>
    <row r="924">
      <c r="K924" s="121"/>
    </row>
    <row r="925">
      <c r="K925" s="121"/>
    </row>
    <row r="926">
      <c r="K926" s="121"/>
    </row>
    <row r="927">
      <c r="K927" s="121"/>
    </row>
    <row r="928">
      <c r="K928" s="121"/>
    </row>
    <row r="929">
      <c r="K929" s="121"/>
    </row>
    <row r="930">
      <c r="K930" s="121"/>
    </row>
    <row r="931">
      <c r="K931" s="121"/>
    </row>
    <row r="932">
      <c r="K932" s="121"/>
    </row>
    <row r="933">
      <c r="K933" s="121"/>
    </row>
    <row r="934">
      <c r="K934" s="121"/>
    </row>
    <row r="935">
      <c r="K935" s="121"/>
    </row>
    <row r="936">
      <c r="K936" s="121"/>
    </row>
    <row r="937">
      <c r="K937" s="121"/>
    </row>
    <row r="938">
      <c r="K938" s="121"/>
    </row>
    <row r="939">
      <c r="K939" s="121"/>
    </row>
    <row r="940">
      <c r="K940" s="121"/>
    </row>
    <row r="941">
      <c r="K941" s="121"/>
    </row>
    <row r="942">
      <c r="K942" s="121"/>
    </row>
    <row r="943">
      <c r="K943" s="121"/>
    </row>
    <row r="944">
      <c r="K944" s="121"/>
    </row>
    <row r="945">
      <c r="K945" s="121"/>
    </row>
    <row r="946">
      <c r="K946" s="121"/>
    </row>
    <row r="947">
      <c r="K947" s="121"/>
    </row>
    <row r="948">
      <c r="K948" s="121"/>
    </row>
    <row r="949">
      <c r="K949" s="121"/>
    </row>
    <row r="950">
      <c r="K950" s="121"/>
    </row>
    <row r="951">
      <c r="K951" s="121"/>
    </row>
    <row r="952">
      <c r="K952" s="121"/>
    </row>
    <row r="953">
      <c r="K953" s="121"/>
    </row>
    <row r="954">
      <c r="K954" s="121"/>
    </row>
    <row r="955">
      <c r="K955" s="121"/>
    </row>
    <row r="956">
      <c r="K956" s="121"/>
    </row>
    <row r="957">
      <c r="K957" s="121"/>
    </row>
    <row r="958">
      <c r="K958" s="121"/>
    </row>
    <row r="959">
      <c r="K959" s="121"/>
    </row>
    <row r="960">
      <c r="K960" s="121"/>
    </row>
    <row r="961">
      <c r="K961" s="121"/>
    </row>
    <row r="962">
      <c r="K962" s="121"/>
    </row>
    <row r="963">
      <c r="K963" s="121"/>
    </row>
    <row r="964">
      <c r="K964" s="121"/>
    </row>
    <row r="965">
      <c r="K965" s="121"/>
    </row>
    <row r="966">
      <c r="K966" s="121"/>
    </row>
    <row r="967">
      <c r="K967" s="121"/>
    </row>
    <row r="968">
      <c r="K968" s="121"/>
    </row>
    <row r="969">
      <c r="K969" s="121"/>
    </row>
    <row r="970">
      <c r="K970" s="121"/>
    </row>
    <row r="971">
      <c r="K971" s="121"/>
    </row>
    <row r="972">
      <c r="K972" s="121"/>
    </row>
    <row r="973">
      <c r="K973" s="121"/>
    </row>
    <row r="974">
      <c r="K974" s="121"/>
    </row>
    <row r="975">
      <c r="K975" s="121"/>
    </row>
    <row r="976">
      <c r="K976" s="121"/>
    </row>
    <row r="977">
      <c r="K977" s="121"/>
    </row>
    <row r="978">
      <c r="K978" s="121"/>
    </row>
    <row r="979">
      <c r="K979" s="121"/>
    </row>
    <row r="980">
      <c r="K980" s="121"/>
    </row>
    <row r="981">
      <c r="K981" s="121"/>
    </row>
    <row r="982">
      <c r="K982" s="121"/>
    </row>
    <row r="983">
      <c r="K983" s="121"/>
    </row>
    <row r="984">
      <c r="K984" s="121"/>
    </row>
    <row r="985">
      <c r="K985" s="121"/>
    </row>
    <row r="986">
      <c r="K986" s="121"/>
    </row>
    <row r="987">
      <c r="K987" s="121"/>
    </row>
    <row r="988">
      <c r="K988" s="121"/>
    </row>
    <row r="989">
      <c r="K989" s="121"/>
    </row>
    <row r="990">
      <c r="K990" s="121"/>
    </row>
    <row r="991">
      <c r="K991" s="121"/>
    </row>
    <row r="992">
      <c r="K992" s="121"/>
    </row>
    <row r="993">
      <c r="K993" s="121"/>
    </row>
    <row r="994">
      <c r="K994" s="121"/>
    </row>
    <row r="995">
      <c r="K995" s="121"/>
    </row>
    <row r="996">
      <c r="K996" s="121"/>
    </row>
    <row r="997">
      <c r="K997" s="121"/>
    </row>
    <row r="998">
      <c r="K998" s="121"/>
    </row>
    <row r="999">
      <c r="K999" s="121"/>
    </row>
    <row r="1000">
      <c r="K1000" s="121"/>
    </row>
  </sheetData>
  <autoFilter ref="$A$1:$K$708">
    <filterColumn colId="10">
      <filters>
        <filter val="3"/>
      </filters>
    </filterColumn>
  </autoFilter>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sheetData>
    <row r="1">
      <c r="A1" s="134" t="s">
        <v>725</v>
      </c>
    </row>
    <row r="2">
      <c r="A2" s="134" t="s">
        <v>732</v>
      </c>
    </row>
    <row r="3">
      <c r="A3" s="134" t="s">
        <v>745</v>
      </c>
    </row>
    <row r="4">
      <c r="A4" s="134" t="s">
        <v>764</v>
      </c>
    </row>
    <row r="5">
      <c r="A5" s="135" t="s">
        <v>815</v>
      </c>
    </row>
    <row r="6">
      <c r="A6" s="134" t="s">
        <v>827</v>
      </c>
    </row>
    <row r="7">
      <c r="A7" s="134" t="s">
        <v>894</v>
      </c>
    </row>
    <row r="8">
      <c r="A8" s="134" t="s">
        <v>972</v>
      </c>
    </row>
    <row r="9">
      <c r="A9" s="135" t="s">
        <v>978</v>
      </c>
    </row>
    <row r="10">
      <c r="A10" s="134" t="s">
        <v>984</v>
      </c>
    </row>
    <row r="11">
      <c r="A11" s="134" t="s">
        <v>1026</v>
      </c>
    </row>
    <row r="12">
      <c r="A12" s="134" t="s">
        <v>1028</v>
      </c>
    </row>
    <row r="13">
      <c r="A13" s="134" t="s">
        <v>1030</v>
      </c>
    </row>
    <row r="14">
      <c r="A14" s="134" t="s">
        <v>1031</v>
      </c>
    </row>
    <row r="15">
      <c r="A15" s="135" t="s">
        <v>1033</v>
      </c>
    </row>
    <row r="16">
      <c r="A16" s="134" t="s">
        <v>1035</v>
      </c>
    </row>
    <row r="17">
      <c r="A17" s="134" t="s">
        <v>1036</v>
      </c>
    </row>
    <row r="18">
      <c r="A18" s="135" t="s">
        <v>1037</v>
      </c>
    </row>
    <row r="19">
      <c r="A19" s="134" t="s">
        <v>1039</v>
      </c>
    </row>
    <row r="20">
      <c r="A20" s="134" t="s">
        <v>1041</v>
      </c>
    </row>
    <row r="21">
      <c r="A21" s="134" t="s">
        <v>1043</v>
      </c>
    </row>
    <row r="22">
      <c r="A22" s="135" t="s">
        <v>1045</v>
      </c>
    </row>
    <row r="23">
      <c r="A23" s="134" t="s">
        <v>1047</v>
      </c>
    </row>
    <row r="24">
      <c r="A24" s="135" t="s">
        <v>1048</v>
      </c>
    </row>
    <row r="25">
      <c r="A25" s="134" t="s">
        <v>1050</v>
      </c>
    </row>
    <row r="26">
      <c r="A26" s="134" t="s">
        <v>1051</v>
      </c>
    </row>
    <row r="27">
      <c r="A27" s="134" t="s">
        <v>1052</v>
      </c>
    </row>
    <row r="28">
      <c r="A28" s="134" t="s">
        <v>1053</v>
      </c>
    </row>
    <row r="29">
      <c r="A29" s="134" t="s">
        <v>1054</v>
      </c>
    </row>
    <row r="30">
      <c r="A30" s="134" t="s">
        <v>1056</v>
      </c>
    </row>
    <row r="31">
      <c r="A31" s="134" t="s">
        <v>1057</v>
      </c>
    </row>
    <row r="32">
      <c r="A32" s="134" t="s">
        <v>1058</v>
      </c>
    </row>
    <row r="33">
      <c r="A33" s="134" t="s">
        <v>1059</v>
      </c>
    </row>
    <row r="34">
      <c r="A34" s="134" t="s">
        <v>1061</v>
      </c>
    </row>
    <row r="35">
      <c r="A35" s="134" t="s">
        <v>1062</v>
      </c>
    </row>
    <row r="36">
      <c r="A36" s="134" t="s">
        <v>1064</v>
      </c>
    </row>
    <row r="37">
      <c r="A37" s="134" t="s">
        <v>1066</v>
      </c>
    </row>
    <row r="38">
      <c r="A38" s="134" t="s">
        <v>1068</v>
      </c>
    </row>
    <row r="39">
      <c r="A39" s="135" t="s">
        <v>1069</v>
      </c>
    </row>
    <row r="40">
      <c r="A40" s="134" t="s">
        <v>1070</v>
      </c>
    </row>
    <row r="41">
      <c r="A41" s="134" t="s">
        <v>1071</v>
      </c>
    </row>
    <row r="42">
      <c r="A42" s="134" t="s">
        <v>1073</v>
      </c>
    </row>
    <row r="43">
      <c r="A43" s="134" t="s">
        <v>1074</v>
      </c>
    </row>
    <row r="44">
      <c r="A44" s="134" t="s">
        <v>1075</v>
      </c>
    </row>
    <row r="45">
      <c r="A45" s="134" t="s">
        <v>1076</v>
      </c>
    </row>
    <row r="46">
      <c r="A46" s="134" t="s">
        <v>1077</v>
      </c>
    </row>
    <row r="47">
      <c r="A47" s="134" t="s">
        <v>1078</v>
      </c>
    </row>
    <row r="48">
      <c r="A48" s="134" t="s">
        <v>1080</v>
      </c>
    </row>
    <row r="49">
      <c r="A49" s="134" t="s">
        <v>1081</v>
      </c>
    </row>
    <row r="50">
      <c r="A50" s="135" t="s">
        <v>1082</v>
      </c>
    </row>
    <row r="51">
      <c r="A51" s="134" t="s">
        <v>1084</v>
      </c>
    </row>
    <row r="52">
      <c r="A52" s="134" t="s">
        <v>1085</v>
      </c>
    </row>
    <row r="53">
      <c r="A53" s="135" t="s">
        <v>1086</v>
      </c>
    </row>
    <row r="54">
      <c r="A54" s="134" t="s">
        <v>1088</v>
      </c>
    </row>
    <row r="55">
      <c r="A55" s="135" t="s">
        <v>1089</v>
      </c>
    </row>
    <row r="56">
      <c r="A56" s="134" t="s">
        <v>1091</v>
      </c>
    </row>
    <row r="57">
      <c r="A57" s="134" t="s">
        <v>1092</v>
      </c>
    </row>
    <row r="58">
      <c r="A58" s="134" t="s">
        <v>1094</v>
      </c>
    </row>
    <row r="59">
      <c r="A59" s="134" t="s">
        <v>1095</v>
      </c>
    </row>
    <row r="60">
      <c r="A60" s="134" t="s">
        <v>1097</v>
      </c>
    </row>
    <row r="61">
      <c r="A61" s="135" t="s">
        <v>1099</v>
      </c>
    </row>
    <row r="62">
      <c r="A62" s="134" t="s">
        <v>1101</v>
      </c>
    </row>
    <row r="63">
      <c r="A63" s="134" t="s">
        <v>1102</v>
      </c>
    </row>
    <row r="64">
      <c r="A64" s="134" t="s">
        <v>1103</v>
      </c>
    </row>
    <row r="65">
      <c r="A65" s="134" t="s">
        <v>1104</v>
      </c>
    </row>
    <row r="66">
      <c r="A66" s="134" t="s">
        <v>1105</v>
      </c>
    </row>
    <row r="67">
      <c r="A67" s="134" t="s">
        <v>1106</v>
      </c>
    </row>
    <row r="68">
      <c r="A68" s="134" t="s">
        <v>1108</v>
      </c>
    </row>
    <row r="69">
      <c r="A69" s="134" t="s">
        <v>1110</v>
      </c>
    </row>
    <row r="70">
      <c r="A70" s="134" t="s">
        <v>1111</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sheetData>
    <row r="1">
      <c r="A1" s="3" t="s">
        <v>1196</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2" max="2" width="21.75"/>
    <col customWidth="1" min="9" max="9" width="6.13"/>
    <col customWidth="1" min="10" max="10" width="5.13"/>
  </cols>
  <sheetData>
    <row r="1">
      <c r="A1" s="4" t="s">
        <v>0</v>
      </c>
      <c r="B1" s="4" t="s">
        <v>3</v>
      </c>
      <c r="C1" s="4" t="s">
        <v>4</v>
      </c>
      <c r="D1" s="4" t="s">
        <v>6</v>
      </c>
      <c r="E1" s="4" t="s">
        <v>5</v>
      </c>
      <c r="F1" s="4" t="s">
        <v>7</v>
      </c>
      <c r="G1" s="137" t="s">
        <v>634</v>
      </c>
      <c r="H1" s="137" t="s">
        <v>12</v>
      </c>
      <c r="I1" s="138" t="s">
        <v>23</v>
      </c>
      <c r="J1" s="139" t="s">
        <v>34</v>
      </c>
    </row>
    <row r="2">
      <c r="A2" s="4">
        <v>1.0</v>
      </c>
      <c r="B2" s="4" t="s">
        <v>1</v>
      </c>
      <c r="C2" s="3" t="s">
        <v>42</v>
      </c>
      <c r="D2" s="4" t="s">
        <v>222</v>
      </c>
      <c r="E2" s="4" t="s">
        <v>319</v>
      </c>
      <c r="F2" s="4">
        <v>16.0</v>
      </c>
      <c r="G2" s="137">
        <v>4.166666666666666</v>
      </c>
      <c r="H2" s="137">
        <v>1.4133675987088086</v>
      </c>
      <c r="I2" s="140">
        <f t="shared" ref="I2:I3" si="1">G2</f>
        <v>4.166666667</v>
      </c>
      <c r="J2" s="140">
        <f t="shared" ref="J2:J265" si="2">H2/SQRT(F2)</f>
        <v>0.3533418997</v>
      </c>
    </row>
    <row r="3">
      <c r="A3" s="4">
        <v>1.0</v>
      </c>
      <c r="B3" s="4" t="s">
        <v>1</v>
      </c>
      <c r="C3" s="3" t="s">
        <v>84</v>
      </c>
      <c r="D3" s="4" t="s">
        <v>222</v>
      </c>
      <c r="E3" s="4" t="s">
        <v>319</v>
      </c>
      <c r="F3" s="4">
        <v>20.0</v>
      </c>
      <c r="G3" s="137">
        <v>3.148616940029182</v>
      </c>
      <c r="H3" s="137">
        <v>1.3381566543843813</v>
      </c>
      <c r="I3" s="140">
        <f t="shared" si="1"/>
        <v>3.14861694</v>
      </c>
      <c r="J3" s="140">
        <f t="shared" si="2"/>
        <v>0.2992209244</v>
      </c>
    </row>
    <row r="4">
      <c r="A4" s="4">
        <v>2.0</v>
      </c>
      <c r="B4" s="4" t="s">
        <v>11</v>
      </c>
      <c r="C4" s="3" t="s">
        <v>42</v>
      </c>
      <c r="D4" s="4" t="s">
        <v>64</v>
      </c>
      <c r="E4" s="4" t="s">
        <v>370</v>
      </c>
      <c r="F4" s="4">
        <v>60.0</v>
      </c>
      <c r="G4" s="141">
        <v>0.0</v>
      </c>
      <c r="H4" s="137">
        <v>0.06454972243679029</v>
      </c>
      <c r="I4" s="140">
        <f t="shared" ref="I4:I5" si="3">(G4+0.5)/(F4+0.5)</f>
        <v>0.00826446281</v>
      </c>
      <c r="J4" s="140">
        <f t="shared" si="2"/>
        <v>0.008333333333</v>
      </c>
    </row>
    <row r="5">
      <c r="A5" s="4">
        <v>2.0</v>
      </c>
      <c r="B5" s="4" t="s">
        <v>11</v>
      </c>
      <c r="C5" s="3" t="s">
        <v>42</v>
      </c>
      <c r="D5" s="4" t="s">
        <v>64</v>
      </c>
      <c r="E5" s="3" t="s">
        <v>385</v>
      </c>
      <c r="F5" s="4">
        <v>60.0</v>
      </c>
      <c r="G5" s="141">
        <v>0.0</v>
      </c>
      <c r="H5" s="137">
        <v>0.06454972243679029</v>
      </c>
      <c r="I5" s="140">
        <f t="shared" si="3"/>
        <v>0.00826446281</v>
      </c>
      <c r="J5" s="140">
        <f t="shared" si="2"/>
        <v>0.008333333333</v>
      </c>
    </row>
    <row r="6">
      <c r="A6" s="4">
        <v>2.0</v>
      </c>
      <c r="B6" s="4" t="s">
        <v>11</v>
      </c>
      <c r="C6" s="3" t="s">
        <v>42</v>
      </c>
      <c r="D6" s="4" t="s">
        <v>222</v>
      </c>
      <c r="E6" s="3" t="s">
        <v>317</v>
      </c>
      <c r="F6" s="4">
        <v>60.0</v>
      </c>
      <c r="G6" s="137">
        <v>2.2</v>
      </c>
      <c r="H6" s="137">
        <v>1.081053414914394</v>
      </c>
      <c r="I6" s="140">
        <f>G6</f>
        <v>2.2</v>
      </c>
      <c r="J6" s="140">
        <f t="shared" si="2"/>
        <v>0.1395633957</v>
      </c>
    </row>
    <row r="7">
      <c r="A7" s="4">
        <v>2.0</v>
      </c>
      <c r="B7" s="4" t="s">
        <v>11</v>
      </c>
      <c r="C7" s="3" t="s">
        <v>84</v>
      </c>
      <c r="D7" s="4" t="s">
        <v>64</v>
      </c>
      <c r="E7" s="4" t="s">
        <v>370</v>
      </c>
      <c r="F7" s="4">
        <v>60.0</v>
      </c>
      <c r="G7" s="141">
        <v>0.0</v>
      </c>
      <c r="H7" s="137">
        <v>0.06454972243679029</v>
      </c>
      <c r="I7" s="140">
        <f t="shared" ref="I7:I8" si="4">(G7+0.5)/(F7+0.5)</f>
        <v>0.00826446281</v>
      </c>
      <c r="J7" s="140">
        <f t="shared" si="2"/>
        <v>0.008333333333</v>
      </c>
    </row>
    <row r="8">
      <c r="A8" s="4">
        <v>2.0</v>
      </c>
      <c r="B8" s="4" t="s">
        <v>11</v>
      </c>
      <c r="C8" s="3" t="s">
        <v>84</v>
      </c>
      <c r="D8" s="4" t="s">
        <v>64</v>
      </c>
      <c r="E8" s="3" t="s">
        <v>385</v>
      </c>
      <c r="F8" s="4">
        <v>60.0</v>
      </c>
      <c r="G8" s="141">
        <v>0.0</v>
      </c>
      <c r="H8" s="137">
        <v>0.06454972243679029</v>
      </c>
      <c r="I8" s="140">
        <f t="shared" si="4"/>
        <v>0.00826446281</v>
      </c>
      <c r="J8" s="140">
        <f t="shared" si="2"/>
        <v>0.008333333333</v>
      </c>
    </row>
    <row r="9">
      <c r="A9" s="4">
        <v>2.0</v>
      </c>
      <c r="B9" s="4" t="s">
        <v>11</v>
      </c>
      <c r="C9" s="3" t="s">
        <v>84</v>
      </c>
      <c r="D9" s="4" t="s">
        <v>222</v>
      </c>
      <c r="E9" s="3" t="s">
        <v>317</v>
      </c>
      <c r="F9" s="4">
        <v>60.0</v>
      </c>
      <c r="G9" s="137">
        <v>1.95</v>
      </c>
      <c r="H9" s="137">
        <v>1.2972640978972727</v>
      </c>
      <c r="I9" s="140">
        <f t="shared" ref="I9:I16" si="5">G9</f>
        <v>1.95</v>
      </c>
      <c r="J9" s="140">
        <f t="shared" si="2"/>
        <v>0.1674760749</v>
      </c>
    </row>
    <row r="10">
      <c r="A10" s="4">
        <v>3.0</v>
      </c>
      <c r="B10" s="4" t="s">
        <v>16</v>
      </c>
      <c r="C10" s="3" t="s">
        <v>42</v>
      </c>
      <c r="D10" s="4" t="s">
        <v>222</v>
      </c>
      <c r="E10" s="4" t="s">
        <v>371</v>
      </c>
      <c r="F10" s="4">
        <v>25.0</v>
      </c>
      <c r="G10" s="137">
        <v>80.69979058876268</v>
      </c>
      <c r="H10" s="137">
        <v>21.637122274405513</v>
      </c>
      <c r="I10" s="140">
        <f t="shared" si="5"/>
        <v>80.69979059</v>
      </c>
      <c r="J10" s="140">
        <f t="shared" si="2"/>
        <v>4.327424455</v>
      </c>
    </row>
    <row r="11">
      <c r="A11" s="4">
        <v>3.0</v>
      </c>
      <c r="B11" s="4" t="s">
        <v>16</v>
      </c>
      <c r="C11" s="3" t="s">
        <v>42</v>
      </c>
      <c r="D11" s="4" t="s">
        <v>222</v>
      </c>
      <c r="E11" s="4" t="s">
        <v>319</v>
      </c>
      <c r="F11" s="4">
        <v>25.0</v>
      </c>
      <c r="G11" s="137">
        <v>4.868250644266075</v>
      </c>
      <c r="H11" s="137">
        <v>2.2909894172899956</v>
      </c>
      <c r="I11" s="140">
        <f t="shared" si="5"/>
        <v>4.868250644</v>
      </c>
      <c r="J11" s="140">
        <f t="shared" si="2"/>
        <v>0.4581978835</v>
      </c>
    </row>
    <row r="12">
      <c r="A12" s="4">
        <v>3.0</v>
      </c>
      <c r="B12" s="4" t="s">
        <v>16</v>
      </c>
      <c r="C12" s="3" t="s">
        <v>42</v>
      </c>
      <c r="D12" s="4" t="s">
        <v>222</v>
      </c>
      <c r="E12" s="3" t="s">
        <v>317</v>
      </c>
      <c r="F12" s="4">
        <v>25.0</v>
      </c>
      <c r="G12" s="137">
        <v>2.6</v>
      </c>
      <c r="H12" s="137">
        <v>3.3</v>
      </c>
      <c r="I12" s="140">
        <f t="shared" si="5"/>
        <v>2.6</v>
      </c>
      <c r="J12" s="140">
        <f t="shared" si="2"/>
        <v>0.66</v>
      </c>
    </row>
    <row r="13">
      <c r="A13" s="4">
        <v>3.0</v>
      </c>
      <c r="B13" s="4" t="s">
        <v>16</v>
      </c>
      <c r="C13" s="3" t="s">
        <v>84</v>
      </c>
      <c r="D13" s="4" t="s">
        <v>222</v>
      </c>
      <c r="E13" s="4" t="s">
        <v>371</v>
      </c>
      <c r="F13" s="4">
        <v>22.0</v>
      </c>
      <c r="G13" s="137">
        <v>79.16360913106135</v>
      </c>
      <c r="H13" s="137">
        <v>13.35331273529321</v>
      </c>
      <c r="I13" s="140">
        <f t="shared" si="5"/>
        <v>79.16360913</v>
      </c>
      <c r="J13" s="140">
        <f t="shared" si="2"/>
        <v>2.846935841</v>
      </c>
    </row>
    <row r="14">
      <c r="A14" s="4">
        <v>3.0</v>
      </c>
      <c r="B14" s="4" t="s">
        <v>16</v>
      </c>
      <c r="C14" s="3" t="s">
        <v>84</v>
      </c>
      <c r="D14" s="4" t="s">
        <v>222</v>
      </c>
      <c r="E14" s="4" t="s">
        <v>319</v>
      </c>
      <c r="F14" s="4">
        <v>22.0</v>
      </c>
      <c r="G14" s="137">
        <v>4.858739163927796</v>
      </c>
      <c r="H14" s="137">
        <v>1.3091483073816872</v>
      </c>
      <c r="I14" s="140">
        <f t="shared" si="5"/>
        <v>4.858739164</v>
      </c>
      <c r="J14" s="140">
        <f t="shared" si="2"/>
        <v>0.2791113569</v>
      </c>
    </row>
    <row r="15">
      <c r="A15" s="4">
        <v>3.0</v>
      </c>
      <c r="B15" s="4" t="s">
        <v>16</v>
      </c>
      <c r="C15" s="3" t="s">
        <v>84</v>
      </c>
      <c r="D15" s="4" t="s">
        <v>222</v>
      </c>
      <c r="E15" s="3" t="s">
        <v>317</v>
      </c>
      <c r="F15" s="4">
        <v>22.0</v>
      </c>
      <c r="G15" s="137">
        <v>1.4</v>
      </c>
      <c r="H15" s="137">
        <v>2.6</v>
      </c>
      <c r="I15" s="140">
        <f t="shared" si="5"/>
        <v>1.4</v>
      </c>
      <c r="J15" s="140">
        <f t="shared" si="2"/>
        <v>0.5543218625</v>
      </c>
    </row>
    <row r="16">
      <c r="A16" s="4">
        <v>5.0</v>
      </c>
      <c r="B16" s="4" t="s">
        <v>22</v>
      </c>
      <c r="C16" s="3" t="s">
        <v>42</v>
      </c>
      <c r="D16" s="4" t="s">
        <v>222</v>
      </c>
      <c r="E16" s="3" t="s">
        <v>317</v>
      </c>
      <c r="F16" s="4">
        <v>35.0</v>
      </c>
      <c r="G16" s="137">
        <v>2.1</v>
      </c>
      <c r="H16" s="137">
        <v>2.0</v>
      </c>
      <c r="I16" s="140">
        <f t="shared" si="5"/>
        <v>2.1</v>
      </c>
      <c r="J16" s="140">
        <f t="shared" si="2"/>
        <v>0.3380617019</v>
      </c>
    </row>
    <row r="17">
      <c r="A17" s="4">
        <v>5.0</v>
      </c>
      <c r="B17" s="4" t="s">
        <v>22</v>
      </c>
      <c r="C17" s="3" t="s">
        <v>42</v>
      </c>
      <c r="D17" s="4" t="s">
        <v>64</v>
      </c>
      <c r="E17" s="3" t="s">
        <v>385</v>
      </c>
      <c r="F17" s="4">
        <v>35.0</v>
      </c>
      <c r="G17" s="141">
        <v>7.0</v>
      </c>
      <c r="H17" s="137">
        <v>1.5846642276159686</v>
      </c>
      <c r="I17" s="140">
        <f>(G17+0.5)/(F17+0.5)</f>
        <v>0.2112676056</v>
      </c>
      <c r="J17" s="140">
        <f t="shared" si="2"/>
        <v>0.2678571429</v>
      </c>
    </row>
    <row r="18">
      <c r="A18" s="4">
        <v>5.0</v>
      </c>
      <c r="B18" s="4" t="s">
        <v>22</v>
      </c>
      <c r="C18" s="3" t="s">
        <v>84</v>
      </c>
      <c r="D18" s="4" t="s">
        <v>222</v>
      </c>
      <c r="E18" s="3" t="s">
        <v>317</v>
      </c>
      <c r="F18" s="4">
        <v>33.0</v>
      </c>
      <c r="G18" s="137">
        <v>3.1</v>
      </c>
      <c r="H18" s="137">
        <v>2.3</v>
      </c>
      <c r="I18" s="140">
        <f>G18</f>
        <v>3.1</v>
      </c>
      <c r="J18" s="140">
        <f t="shared" si="2"/>
        <v>0.4003786087</v>
      </c>
    </row>
    <row r="19">
      <c r="A19" s="4">
        <v>5.0</v>
      </c>
      <c r="B19" s="4" t="s">
        <v>22</v>
      </c>
      <c r="C19" s="3" t="s">
        <v>84</v>
      </c>
      <c r="D19" s="4" t="s">
        <v>64</v>
      </c>
      <c r="E19" s="3" t="s">
        <v>385</v>
      </c>
      <c r="F19" s="4">
        <v>33.0</v>
      </c>
      <c r="G19" s="141">
        <v>8.0</v>
      </c>
      <c r="H19" s="137">
        <v>1.95315129982293</v>
      </c>
      <c r="I19" s="140">
        <f t="shared" ref="I19:I21" si="6">(G19+0.5)/(F19+0.5)</f>
        <v>0.2537313433</v>
      </c>
      <c r="J19" s="140">
        <f t="shared" si="2"/>
        <v>0.34</v>
      </c>
    </row>
    <row r="20">
      <c r="A20" s="4">
        <v>6.0</v>
      </c>
      <c r="B20" s="4" t="s">
        <v>26</v>
      </c>
      <c r="C20" s="3" t="s">
        <v>42</v>
      </c>
      <c r="D20" s="4" t="s">
        <v>64</v>
      </c>
      <c r="E20" s="4" t="s">
        <v>59</v>
      </c>
      <c r="F20" s="4">
        <v>16.0</v>
      </c>
      <c r="G20" s="141">
        <v>0.0</v>
      </c>
      <c r="H20" s="137">
        <v>0.125</v>
      </c>
      <c r="I20" s="140">
        <f t="shared" si="6"/>
        <v>0.0303030303</v>
      </c>
      <c r="J20" s="140">
        <f t="shared" si="2"/>
        <v>0.03125</v>
      </c>
    </row>
    <row r="21">
      <c r="A21" s="4">
        <v>6.0</v>
      </c>
      <c r="B21" s="4" t="s">
        <v>26</v>
      </c>
      <c r="C21" s="3" t="s">
        <v>84</v>
      </c>
      <c r="D21" s="4" t="s">
        <v>64</v>
      </c>
      <c r="E21" s="4" t="s">
        <v>59</v>
      </c>
      <c r="F21" s="4">
        <v>16.0</v>
      </c>
      <c r="G21" s="141">
        <v>0.0</v>
      </c>
      <c r="H21" s="137">
        <v>0.125</v>
      </c>
      <c r="I21" s="140">
        <f t="shared" si="6"/>
        <v>0.0303030303</v>
      </c>
      <c r="J21" s="140">
        <f t="shared" si="2"/>
        <v>0.03125</v>
      </c>
    </row>
    <row r="22">
      <c r="A22" s="4">
        <v>7.0</v>
      </c>
      <c r="B22" s="4" t="s">
        <v>30</v>
      </c>
      <c r="C22" s="3" t="s">
        <v>42</v>
      </c>
      <c r="D22" s="4" t="s">
        <v>222</v>
      </c>
      <c r="E22" s="3" t="s">
        <v>317</v>
      </c>
      <c r="F22" s="4">
        <v>32.0</v>
      </c>
      <c r="G22" s="137">
        <v>3.3</v>
      </c>
      <c r="H22" s="137">
        <v>2.6</v>
      </c>
      <c r="I22" s="140">
        <f t="shared" ref="I22:I35" si="7">G22</f>
        <v>3.3</v>
      </c>
      <c r="J22" s="140">
        <f t="shared" si="2"/>
        <v>0.4596194078</v>
      </c>
    </row>
    <row r="23">
      <c r="A23" s="4">
        <v>7.0</v>
      </c>
      <c r="B23" s="4" t="s">
        <v>30</v>
      </c>
      <c r="C23" s="3" t="s">
        <v>84</v>
      </c>
      <c r="D23" s="4" t="s">
        <v>222</v>
      </c>
      <c r="E23" s="3" t="s">
        <v>317</v>
      </c>
      <c r="F23" s="4">
        <v>29.0</v>
      </c>
      <c r="G23" s="137">
        <v>2.9</v>
      </c>
      <c r="H23" s="137">
        <v>2.4</v>
      </c>
      <c r="I23" s="140">
        <f t="shared" si="7"/>
        <v>2.9</v>
      </c>
      <c r="J23" s="140">
        <f t="shared" si="2"/>
        <v>0.4456688116</v>
      </c>
    </row>
    <row r="24">
      <c r="A24" s="4">
        <v>9.0</v>
      </c>
      <c r="B24" s="4" t="s">
        <v>32</v>
      </c>
      <c r="C24" s="3" t="s">
        <v>42</v>
      </c>
      <c r="D24" s="4" t="s">
        <v>222</v>
      </c>
      <c r="E24" s="4" t="s">
        <v>319</v>
      </c>
      <c r="F24" s="4">
        <v>78.0</v>
      </c>
      <c r="G24" s="137">
        <v>5.801629763905143</v>
      </c>
      <c r="H24" s="137">
        <v>1.8676081798909396</v>
      </c>
      <c r="I24" s="140">
        <f t="shared" si="7"/>
        <v>5.801629764</v>
      </c>
      <c r="J24" s="140">
        <f t="shared" si="2"/>
        <v>0.2114649851</v>
      </c>
    </row>
    <row r="25">
      <c r="A25" s="4">
        <v>9.0</v>
      </c>
      <c r="B25" s="4" t="s">
        <v>32</v>
      </c>
      <c r="C25" s="3" t="s">
        <v>42</v>
      </c>
      <c r="D25" s="4" t="s">
        <v>222</v>
      </c>
      <c r="E25" s="4" t="s">
        <v>371</v>
      </c>
      <c r="F25" s="4">
        <v>78.0</v>
      </c>
      <c r="G25" s="137">
        <v>85.81792740295657</v>
      </c>
      <c r="H25" s="137">
        <v>11.828185139309284</v>
      </c>
      <c r="I25" s="140">
        <f t="shared" si="7"/>
        <v>85.8179274</v>
      </c>
      <c r="J25" s="140">
        <f t="shared" si="2"/>
        <v>1.339278239</v>
      </c>
    </row>
    <row r="26">
      <c r="A26" s="4">
        <v>9.0</v>
      </c>
      <c r="B26" s="4" t="s">
        <v>32</v>
      </c>
      <c r="C26" s="3" t="s">
        <v>84</v>
      </c>
      <c r="D26" s="4" t="s">
        <v>222</v>
      </c>
      <c r="E26" s="4" t="s">
        <v>319</v>
      </c>
      <c r="F26" s="4">
        <v>75.0</v>
      </c>
      <c r="G26" s="137">
        <v>4.0678295737955965</v>
      </c>
      <c r="H26" s="137">
        <v>1.8787574113568213</v>
      </c>
      <c r="I26" s="140">
        <f t="shared" si="7"/>
        <v>4.067829574</v>
      </c>
      <c r="J26" s="140">
        <f t="shared" si="2"/>
        <v>0.2169402194</v>
      </c>
    </row>
    <row r="27">
      <c r="A27" s="4">
        <v>9.0</v>
      </c>
      <c r="B27" s="4" t="s">
        <v>32</v>
      </c>
      <c r="C27" s="3" t="s">
        <v>84</v>
      </c>
      <c r="D27" s="4" t="s">
        <v>222</v>
      </c>
      <c r="E27" s="4" t="s">
        <v>371</v>
      </c>
      <c r="F27" s="4">
        <v>75.0</v>
      </c>
      <c r="G27" s="137">
        <v>86.42247619576735</v>
      </c>
      <c r="H27" s="137">
        <v>12.525049409045476</v>
      </c>
      <c r="I27" s="140">
        <f t="shared" si="7"/>
        <v>86.4224762</v>
      </c>
      <c r="J27" s="140">
        <f t="shared" si="2"/>
        <v>1.44626813</v>
      </c>
    </row>
    <row r="28">
      <c r="A28" s="4">
        <v>10.0</v>
      </c>
      <c r="B28" s="4" t="s">
        <v>35</v>
      </c>
      <c r="C28" s="3" t="s">
        <v>42</v>
      </c>
      <c r="D28" s="4" t="s">
        <v>222</v>
      </c>
      <c r="E28" s="4" t="s">
        <v>471</v>
      </c>
      <c r="F28" s="4">
        <v>43.0</v>
      </c>
      <c r="G28" s="137">
        <v>91.0</v>
      </c>
      <c r="H28" s="137">
        <v>7.3</v>
      </c>
      <c r="I28" s="140">
        <f t="shared" si="7"/>
        <v>91</v>
      </c>
      <c r="J28" s="140">
        <f t="shared" si="2"/>
        <v>1.113239563</v>
      </c>
    </row>
    <row r="29">
      <c r="A29" s="4">
        <v>10.0</v>
      </c>
      <c r="B29" s="4" t="s">
        <v>35</v>
      </c>
      <c r="C29" s="3" t="s">
        <v>42</v>
      </c>
      <c r="D29" s="4" t="s">
        <v>222</v>
      </c>
      <c r="E29" s="4" t="s">
        <v>371</v>
      </c>
      <c r="F29" s="4">
        <v>43.0</v>
      </c>
      <c r="G29" s="137">
        <v>95.2</v>
      </c>
      <c r="H29" s="137">
        <v>6.6</v>
      </c>
      <c r="I29" s="140">
        <f t="shared" si="7"/>
        <v>95.2</v>
      </c>
      <c r="J29" s="140">
        <f t="shared" si="2"/>
        <v>1.006490564</v>
      </c>
    </row>
    <row r="30">
      <c r="A30" s="4">
        <v>10.0</v>
      </c>
      <c r="B30" s="4" t="s">
        <v>35</v>
      </c>
      <c r="C30" s="3" t="s">
        <v>42</v>
      </c>
      <c r="D30" s="4" t="s">
        <v>222</v>
      </c>
      <c r="E30" s="4" t="s">
        <v>319</v>
      </c>
      <c r="F30" s="4">
        <v>43.0</v>
      </c>
      <c r="G30" s="137">
        <v>6.096191036515339</v>
      </c>
      <c r="H30" s="137">
        <v>1.1442567903563552</v>
      </c>
      <c r="I30" s="140">
        <f t="shared" si="7"/>
        <v>6.096191037</v>
      </c>
      <c r="J30" s="140">
        <f t="shared" si="2"/>
        <v>0.1744975246</v>
      </c>
    </row>
    <row r="31">
      <c r="A31" s="4">
        <v>10.0</v>
      </c>
      <c r="B31" s="4" t="s">
        <v>35</v>
      </c>
      <c r="C31" s="3" t="s">
        <v>42</v>
      </c>
      <c r="D31" s="4" t="s">
        <v>222</v>
      </c>
      <c r="E31" s="3" t="s">
        <v>317</v>
      </c>
      <c r="F31" s="4">
        <v>43.0</v>
      </c>
      <c r="G31" s="137">
        <v>1.05</v>
      </c>
      <c r="H31" s="137">
        <v>1.36</v>
      </c>
      <c r="I31" s="140">
        <f t="shared" si="7"/>
        <v>1.05</v>
      </c>
      <c r="J31" s="140">
        <f t="shared" si="2"/>
        <v>0.2073980557</v>
      </c>
    </row>
    <row r="32">
      <c r="A32" s="4">
        <v>10.0</v>
      </c>
      <c r="B32" s="4" t="s">
        <v>35</v>
      </c>
      <c r="C32" s="3" t="s">
        <v>200</v>
      </c>
      <c r="D32" s="4" t="s">
        <v>222</v>
      </c>
      <c r="E32" s="4" t="s">
        <v>471</v>
      </c>
      <c r="F32" s="4">
        <v>43.0</v>
      </c>
      <c r="G32" s="137">
        <v>92.0</v>
      </c>
      <c r="H32" s="137">
        <v>11.5</v>
      </c>
      <c r="I32" s="140">
        <f t="shared" si="7"/>
        <v>92</v>
      </c>
      <c r="J32" s="140">
        <f t="shared" si="2"/>
        <v>1.753733559</v>
      </c>
    </row>
    <row r="33">
      <c r="A33" s="4">
        <v>10.0</v>
      </c>
      <c r="B33" s="4" t="s">
        <v>35</v>
      </c>
      <c r="C33" s="3" t="s">
        <v>200</v>
      </c>
      <c r="D33" s="4" t="s">
        <v>222</v>
      </c>
      <c r="E33" s="4" t="s">
        <v>371</v>
      </c>
      <c r="F33" s="4">
        <v>43.0</v>
      </c>
      <c r="G33" s="137">
        <v>95.6</v>
      </c>
      <c r="H33" s="137">
        <v>7.8</v>
      </c>
      <c r="I33" s="140">
        <f t="shared" si="7"/>
        <v>95.6</v>
      </c>
      <c r="J33" s="140">
        <f t="shared" si="2"/>
        <v>1.189488849</v>
      </c>
    </row>
    <row r="34">
      <c r="A34" s="4">
        <v>10.0</v>
      </c>
      <c r="B34" s="4" t="s">
        <v>35</v>
      </c>
      <c r="C34" s="3" t="s">
        <v>200</v>
      </c>
      <c r="D34" s="4" t="s">
        <v>222</v>
      </c>
      <c r="E34" s="4" t="s">
        <v>319</v>
      </c>
      <c r="F34" s="4">
        <v>43.0</v>
      </c>
      <c r="G34" s="137">
        <v>6.096191036515339</v>
      </c>
      <c r="H34" s="137">
        <v>1.1442567903563552</v>
      </c>
      <c r="I34" s="140">
        <f t="shared" si="7"/>
        <v>6.096191037</v>
      </c>
      <c r="J34" s="140">
        <f t="shared" si="2"/>
        <v>0.1744975246</v>
      </c>
    </row>
    <row r="35">
      <c r="A35" s="4">
        <v>10.0</v>
      </c>
      <c r="B35" s="4" t="s">
        <v>35</v>
      </c>
      <c r="C35" s="3" t="s">
        <v>200</v>
      </c>
      <c r="D35" s="4" t="s">
        <v>222</v>
      </c>
      <c r="E35" s="3" t="s">
        <v>317</v>
      </c>
      <c r="F35" s="4">
        <v>43.0</v>
      </c>
      <c r="G35" s="137">
        <v>1.0</v>
      </c>
      <c r="H35" s="137">
        <v>1.095</v>
      </c>
      <c r="I35" s="140">
        <f t="shared" si="7"/>
        <v>1</v>
      </c>
      <c r="J35" s="140">
        <f t="shared" si="2"/>
        <v>0.1669859345</v>
      </c>
    </row>
    <row r="36">
      <c r="A36" s="4">
        <v>11.0</v>
      </c>
      <c r="B36" s="4" t="s">
        <v>37</v>
      </c>
      <c r="C36" s="3" t="s">
        <v>42</v>
      </c>
      <c r="D36" s="4" t="s">
        <v>64</v>
      </c>
      <c r="E36" s="3" t="s">
        <v>385</v>
      </c>
      <c r="F36" s="4">
        <v>22.0</v>
      </c>
      <c r="G36" s="141">
        <v>0.0</v>
      </c>
      <c r="H36" s="137">
        <v>0.10660035817780522</v>
      </c>
      <c r="I36" s="140">
        <f t="shared" ref="I36:I39" si="8">(G36+0.5)/(F36+0.5)</f>
        <v>0.02222222222</v>
      </c>
      <c r="J36" s="140">
        <f t="shared" si="2"/>
        <v>0.02272727273</v>
      </c>
    </row>
    <row r="37">
      <c r="A37" s="4">
        <v>11.0</v>
      </c>
      <c r="B37" s="4" t="s">
        <v>37</v>
      </c>
      <c r="C37" s="3" t="s">
        <v>42</v>
      </c>
      <c r="D37" s="4" t="s">
        <v>64</v>
      </c>
      <c r="E37" s="4" t="s">
        <v>370</v>
      </c>
      <c r="F37" s="4">
        <v>22.0</v>
      </c>
      <c r="G37" s="141">
        <v>2.0</v>
      </c>
      <c r="H37" s="137">
        <v>0.5863019699779287</v>
      </c>
      <c r="I37" s="140">
        <f t="shared" si="8"/>
        <v>0.1111111111</v>
      </c>
      <c r="J37" s="140">
        <f t="shared" si="2"/>
        <v>0.125</v>
      </c>
    </row>
    <row r="38">
      <c r="A38" s="4">
        <v>11.0</v>
      </c>
      <c r="B38" s="4" t="s">
        <v>37</v>
      </c>
      <c r="C38" s="3" t="s">
        <v>84</v>
      </c>
      <c r="D38" s="4" t="s">
        <v>64</v>
      </c>
      <c r="E38" s="3" t="s">
        <v>385</v>
      </c>
      <c r="F38" s="4">
        <v>22.0</v>
      </c>
      <c r="G38" s="141">
        <v>6.0</v>
      </c>
      <c r="H38" s="137">
        <v>1.905481402428268</v>
      </c>
      <c r="I38" s="140">
        <f t="shared" si="8"/>
        <v>0.2888888889</v>
      </c>
      <c r="J38" s="140">
        <f t="shared" si="2"/>
        <v>0.40625</v>
      </c>
    </row>
    <row r="39">
      <c r="A39" s="4">
        <v>11.0</v>
      </c>
      <c r="B39" s="4" t="s">
        <v>37</v>
      </c>
      <c r="C39" s="3" t="s">
        <v>84</v>
      </c>
      <c r="D39" s="4" t="s">
        <v>64</v>
      </c>
      <c r="E39" s="4" t="s">
        <v>370</v>
      </c>
      <c r="F39" s="4">
        <v>22.0</v>
      </c>
      <c r="G39" s="141">
        <v>13.0</v>
      </c>
      <c r="H39" s="137">
        <v>7.035623639735143</v>
      </c>
      <c r="I39" s="140">
        <f t="shared" si="8"/>
        <v>0.6</v>
      </c>
      <c r="J39" s="140">
        <f t="shared" si="2"/>
        <v>1.5</v>
      </c>
    </row>
    <row r="40">
      <c r="A40" s="4">
        <v>12.0</v>
      </c>
      <c r="B40" s="4" t="s">
        <v>39</v>
      </c>
      <c r="C40" s="3" t="s">
        <v>84</v>
      </c>
      <c r="D40" s="4" t="s">
        <v>222</v>
      </c>
      <c r="E40" s="4" t="s">
        <v>471</v>
      </c>
      <c r="F40" s="4">
        <v>62.0</v>
      </c>
      <c r="G40" s="137">
        <v>90.4</v>
      </c>
      <c r="H40" s="137">
        <v>7.1</v>
      </c>
      <c r="I40" s="140">
        <f t="shared" ref="I40:I41" si="9">G40</f>
        <v>90.4</v>
      </c>
      <c r="J40" s="140">
        <f t="shared" si="2"/>
        <v>0.9017009017</v>
      </c>
    </row>
    <row r="41">
      <c r="A41" s="4">
        <v>12.0</v>
      </c>
      <c r="B41" s="4" t="s">
        <v>39</v>
      </c>
      <c r="C41" s="3" t="s">
        <v>84</v>
      </c>
      <c r="D41" s="4" t="s">
        <v>222</v>
      </c>
      <c r="E41" s="3" t="s">
        <v>317</v>
      </c>
      <c r="F41" s="4">
        <v>62.0</v>
      </c>
      <c r="G41" s="137">
        <v>1.71</v>
      </c>
      <c r="H41" s="137">
        <v>0.57</v>
      </c>
      <c r="I41" s="140">
        <f t="shared" si="9"/>
        <v>1.71</v>
      </c>
      <c r="J41" s="140">
        <f t="shared" si="2"/>
        <v>0.07239007239</v>
      </c>
    </row>
    <row r="42">
      <c r="A42" s="4">
        <v>12.0</v>
      </c>
      <c r="B42" s="4" t="s">
        <v>39</v>
      </c>
      <c r="C42" s="3" t="s">
        <v>84</v>
      </c>
      <c r="D42" s="4" t="s">
        <v>64</v>
      </c>
      <c r="E42" s="3" t="s">
        <v>385</v>
      </c>
      <c r="F42" s="4">
        <v>62.0</v>
      </c>
      <c r="G42" s="141">
        <v>0.0</v>
      </c>
      <c r="H42" s="137">
        <v>0.06350006350009525</v>
      </c>
      <c r="I42" s="140">
        <f>(G42+0.5)/(F42+0.5)</f>
        <v>0.008</v>
      </c>
      <c r="J42" s="140">
        <f t="shared" si="2"/>
        <v>0.008064516129</v>
      </c>
    </row>
    <row r="43">
      <c r="A43" s="4">
        <v>12.0</v>
      </c>
      <c r="B43" s="4" t="s">
        <v>39</v>
      </c>
      <c r="C43" s="3" t="s">
        <v>186</v>
      </c>
      <c r="D43" s="4" t="s">
        <v>222</v>
      </c>
      <c r="E43" s="4" t="s">
        <v>471</v>
      </c>
      <c r="F43" s="4">
        <v>62.0</v>
      </c>
      <c r="G43" s="137">
        <v>89.3</v>
      </c>
      <c r="H43" s="137">
        <v>8.4</v>
      </c>
      <c r="I43" s="140">
        <f t="shared" ref="I43:I44" si="10">G43</f>
        <v>89.3</v>
      </c>
      <c r="J43" s="140">
        <f t="shared" si="2"/>
        <v>1.066801067</v>
      </c>
    </row>
    <row r="44">
      <c r="A44" s="4">
        <v>12.0</v>
      </c>
      <c r="B44" s="4" t="s">
        <v>39</v>
      </c>
      <c r="C44" s="3" t="s">
        <v>186</v>
      </c>
      <c r="D44" s="4" t="s">
        <v>222</v>
      </c>
      <c r="E44" s="3" t="s">
        <v>317</v>
      </c>
      <c r="F44" s="4">
        <v>62.0</v>
      </c>
      <c r="G44" s="137">
        <v>1.85</v>
      </c>
      <c r="H44" s="137">
        <v>0.77</v>
      </c>
      <c r="I44" s="140">
        <f t="shared" si="10"/>
        <v>1.85</v>
      </c>
      <c r="J44" s="140">
        <f t="shared" si="2"/>
        <v>0.09779009779</v>
      </c>
    </row>
    <row r="45">
      <c r="A45" s="4">
        <v>12.0</v>
      </c>
      <c r="B45" s="4" t="s">
        <v>39</v>
      </c>
      <c r="C45" s="3" t="s">
        <v>186</v>
      </c>
      <c r="D45" s="4" t="s">
        <v>64</v>
      </c>
      <c r="E45" s="3" t="s">
        <v>385</v>
      </c>
      <c r="F45" s="4">
        <v>62.0</v>
      </c>
      <c r="G45" s="141">
        <v>0.0</v>
      </c>
      <c r="H45" s="137">
        <v>0.06350006350009525</v>
      </c>
      <c r="I45" s="140">
        <f t="shared" ref="I45:I47" si="11">(G45+0.5)/(F45+0.5)</f>
        <v>0.008</v>
      </c>
      <c r="J45" s="140">
        <f t="shared" si="2"/>
        <v>0.008064516129</v>
      </c>
    </row>
    <row r="46">
      <c r="A46" s="4">
        <v>13.0</v>
      </c>
      <c r="B46" s="4" t="s">
        <v>43</v>
      </c>
      <c r="C46" s="3" t="s">
        <v>42</v>
      </c>
      <c r="D46" s="4" t="s">
        <v>64</v>
      </c>
      <c r="E46" s="4" t="s">
        <v>370</v>
      </c>
      <c r="F46" s="4">
        <v>61.0</v>
      </c>
      <c r="G46" s="141">
        <v>7.0</v>
      </c>
      <c r="H46" s="137">
        <v>1.0847568994314798</v>
      </c>
      <c r="I46" s="140">
        <f t="shared" si="11"/>
        <v>0.1219512195</v>
      </c>
      <c r="J46" s="140">
        <f t="shared" si="2"/>
        <v>0.1388888889</v>
      </c>
    </row>
    <row r="47">
      <c r="A47" s="4">
        <v>13.0</v>
      </c>
      <c r="B47" s="4" t="s">
        <v>43</v>
      </c>
      <c r="C47" s="3" t="s">
        <v>42</v>
      </c>
      <c r="D47" s="4" t="s">
        <v>64</v>
      </c>
      <c r="E47" s="3" t="s">
        <v>385</v>
      </c>
      <c r="F47" s="4">
        <v>61.0</v>
      </c>
      <c r="G47" s="141">
        <v>12.0</v>
      </c>
      <c r="H47" s="137">
        <v>1.9924106316088404</v>
      </c>
      <c r="I47" s="140">
        <f t="shared" si="11"/>
        <v>0.2032520325</v>
      </c>
      <c r="J47" s="140">
        <f t="shared" si="2"/>
        <v>0.2551020408</v>
      </c>
    </row>
    <row r="48">
      <c r="A48" s="4">
        <v>13.0</v>
      </c>
      <c r="B48" s="4" t="s">
        <v>43</v>
      </c>
      <c r="C48" s="3" t="s">
        <v>42</v>
      </c>
      <c r="D48" s="4" t="s">
        <v>222</v>
      </c>
      <c r="E48" s="4" t="s">
        <v>471</v>
      </c>
      <c r="F48" s="4">
        <v>61.0</v>
      </c>
      <c r="G48" s="137">
        <v>67.3</v>
      </c>
      <c r="H48" s="137">
        <v>20.8</v>
      </c>
      <c r="I48" s="140">
        <f t="shared" ref="I48:I50" si="12">G48</f>
        <v>67.3</v>
      </c>
      <c r="J48" s="140">
        <f t="shared" si="2"/>
        <v>2.663167103</v>
      </c>
    </row>
    <row r="49">
      <c r="A49" s="4">
        <v>13.0</v>
      </c>
      <c r="B49" s="4" t="s">
        <v>43</v>
      </c>
      <c r="C49" s="3" t="s">
        <v>42</v>
      </c>
      <c r="D49" s="4" t="s">
        <v>222</v>
      </c>
      <c r="E49" s="4" t="s">
        <v>319</v>
      </c>
      <c r="F49" s="4">
        <v>61.0</v>
      </c>
      <c r="G49" s="137">
        <v>4.1</v>
      </c>
      <c r="H49" s="137">
        <v>1.7</v>
      </c>
      <c r="I49" s="140">
        <f t="shared" si="12"/>
        <v>4.1</v>
      </c>
      <c r="J49" s="140">
        <f t="shared" si="2"/>
        <v>0.2176626959</v>
      </c>
    </row>
    <row r="50">
      <c r="A50" s="4">
        <v>13.0</v>
      </c>
      <c r="B50" s="4" t="s">
        <v>43</v>
      </c>
      <c r="C50" s="3" t="s">
        <v>42</v>
      </c>
      <c r="D50" s="4" t="s">
        <v>222</v>
      </c>
      <c r="E50" s="4" t="s">
        <v>371</v>
      </c>
      <c r="F50" s="4">
        <v>61.0</v>
      </c>
      <c r="G50" s="137">
        <v>79.4</v>
      </c>
      <c r="H50" s="137">
        <v>16.9</v>
      </c>
      <c r="I50" s="140">
        <f t="shared" si="12"/>
        <v>79.4</v>
      </c>
      <c r="J50" s="140">
        <f t="shared" si="2"/>
        <v>2.163823271</v>
      </c>
    </row>
    <row r="51">
      <c r="A51" s="4">
        <v>13.0</v>
      </c>
      <c r="B51" s="4" t="s">
        <v>43</v>
      </c>
      <c r="C51" s="3" t="s">
        <v>84</v>
      </c>
      <c r="D51" s="4" t="s">
        <v>64</v>
      </c>
      <c r="E51" s="4" t="s">
        <v>370</v>
      </c>
      <c r="F51" s="4">
        <v>86.0</v>
      </c>
      <c r="G51" s="141">
        <v>20.0</v>
      </c>
      <c r="H51" s="137">
        <v>2.8804421084494227</v>
      </c>
      <c r="I51" s="140">
        <f t="shared" ref="I51:I52" si="13">(G51+0.5)/(F51+0.5)</f>
        <v>0.2369942197</v>
      </c>
      <c r="J51" s="140">
        <f t="shared" si="2"/>
        <v>0.3106060606</v>
      </c>
    </row>
    <row r="52">
      <c r="A52" s="4">
        <v>13.0</v>
      </c>
      <c r="B52" s="4" t="s">
        <v>43</v>
      </c>
      <c r="C52" s="3" t="s">
        <v>84</v>
      </c>
      <c r="D52" s="4" t="s">
        <v>64</v>
      </c>
      <c r="E52" s="3" t="s">
        <v>385</v>
      </c>
      <c r="F52" s="4">
        <v>86.0</v>
      </c>
      <c r="G52" s="141">
        <v>13.0</v>
      </c>
      <c r="H52" s="137">
        <v>1.7149842423176986</v>
      </c>
      <c r="I52" s="140">
        <f t="shared" si="13"/>
        <v>0.1560693642</v>
      </c>
      <c r="J52" s="140">
        <f t="shared" si="2"/>
        <v>0.1849315068</v>
      </c>
    </row>
    <row r="53">
      <c r="A53" s="4">
        <v>13.0</v>
      </c>
      <c r="B53" s="4" t="s">
        <v>43</v>
      </c>
      <c r="C53" s="3" t="s">
        <v>84</v>
      </c>
      <c r="D53" s="4" t="s">
        <v>222</v>
      </c>
      <c r="E53" s="4" t="s">
        <v>471</v>
      </c>
      <c r="F53" s="4">
        <v>86.0</v>
      </c>
      <c r="G53" s="137">
        <v>74.0</v>
      </c>
      <c r="H53" s="137">
        <v>18.8</v>
      </c>
      <c r="I53" s="140">
        <f t="shared" ref="I53:I70" si="14">G53</f>
        <v>74</v>
      </c>
      <c r="J53" s="140">
        <f t="shared" si="2"/>
        <v>2.027256136</v>
      </c>
    </row>
    <row r="54">
      <c r="A54" s="4">
        <v>13.0</v>
      </c>
      <c r="B54" s="4" t="s">
        <v>43</v>
      </c>
      <c r="C54" s="3" t="s">
        <v>84</v>
      </c>
      <c r="D54" s="4" t="s">
        <v>222</v>
      </c>
      <c r="E54" s="4" t="s">
        <v>319</v>
      </c>
      <c r="F54" s="4">
        <v>86.0</v>
      </c>
      <c r="G54" s="137">
        <v>4.0</v>
      </c>
      <c r="H54" s="137">
        <v>1.7</v>
      </c>
      <c r="I54" s="140">
        <f t="shared" si="14"/>
        <v>4</v>
      </c>
      <c r="J54" s="140">
        <f t="shared" si="2"/>
        <v>0.1833157144</v>
      </c>
    </row>
    <row r="55">
      <c r="A55" s="4">
        <v>13.0</v>
      </c>
      <c r="B55" s="4" t="s">
        <v>43</v>
      </c>
      <c r="C55" s="3" t="s">
        <v>84</v>
      </c>
      <c r="D55" s="4" t="s">
        <v>222</v>
      </c>
      <c r="E55" s="4" t="s">
        <v>371</v>
      </c>
      <c r="F55" s="4">
        <v>86.0</v>
      </c>
      <c r="G55" s="137">
        <v>80.7</v>
      </c>
      <c r="H55" s="137">
        <v>15.3</v>
      </c>
      <c r="I55" s="140">
        <f t="shared" si="14"/>
        <v>80.7</v>
      </c>
      <c r="J55" s="140">
        <f t="shared" si="2"/>
        <v>1.64984143</v>
      </c>
    </row>
    <row r="56">
      <c r="A56" s="4">
        <v>14.0</v>
      </c>
      <c r="B56" s="4" t="s">
        <v>45</v>
      </c>
      <c r="C56" s="3" t="s">
        <v>84</v>
      </c>
      <c r="D56" s="4" t="s">
        <v>222</v>
      </c>
      <c r="E56" s="4" t="s">
        <v>471</v>
      </c>
      <c r="F56" s="4">
        <v>44.0</v>
      </c>
      <c r="G56" s="137">
        <v>79.5</v>
      </c>
      <c r="H56" s="137">
        <v>24.7</v>
      </c>
      <c r="I56" s="140">
        <f t="shared" si="14"/>
        <v>79.5</v>
      </c>
      <c r="J56" s="140">
        <f t="shared" si="2"/>
        <v>3.723665106</v>
      </c>
    </row>
    <row r="57">
      <c r="A57" s="4">
        <v>14.0</v>
      </c>
      <c r="B57" s="4" t="s">
        <v>45</v>
      </c>
      <c r="C57" s="3" t="s">
        <v>84</v>
      </c>
      <c r="D57" s="4" t="s">
        <v>222</v>
      </c>
      <c r="E57" s="4" t="s">
        <v>319</v>
      </c>
      <c r="F57" s="4">
        <v>44.0</v>
      </c>
      <c r="G57" s="137">
        <v>5.1</v>
      </c>
      <c r="H57" s="137">
        <v>2.2</v>
      </c>
      <c r="I57" s="140">
        <f t="shared" si="14"/>
        <v>5.1</v>
      </c>
      <c r="J57" s="140">
        <f t="shared" si="2"/>
        <v>0.331662479</v>
      </c>
    </row>
    <row r="58">
      <c r="A58" s="4">
        <v>14.0</v>
      </c>
      <c r="B58" s="4" t="s">
        <v>45</v>
      </c>
      <c r="C58" s="3" t="s">
        <v>205</v>
      </c>
      <c r="D58" s="4" t="s">
        <v>222</v>
      </c>
      <c r="E58" s="4" t="s">
        <v>471</v>
      </c>
      <c r="F58" s="4">
        <v>36.0</v>
      </c>
      <c r="G58" s="137">
        <v>81.1</v>
      </c>
      <c r="H58" s="137">
        <v>23.1</v>
      </c>
      <c r="I58" s="140">
        <f t="shared" si="14"/>
        <v>81.1</v>
      </c>
      <c r="J58" s="140">
        <f t="shared" si="2"/>
        <v>3.85</v>
      </c>
    </row>
    <row r="59">
      <c r="A59" s="4">
        <v>14.0</v>
      </c>
      <c r="B59" s="4" t="s">
        <v>45</v>
      </c>
      <c r="C59" s="3" t="s">
        <v>205</v>
      </c>
      <c r="D59" s="4" t="s">
        <v>222</v>
      </c>
      <c r="E59" s="4" t="s">
        <v>319</v>
      </c>
      <c r="F59" s="4">
        <v>36.0</v>
      </c>
      <c r="G59" s="137">
        <v>5.1</v>
      </c>
      <c r="H59" s="137">
        <v>2.0</v>
      </c>
      <c r="I59" s="140">
        <f t="shared" si="14"/>
        <v>5.1</v>
      </c>
      <c r="J59" s="140">
        <f t="shared" si="2"/>
        <v>0.3333333333</v>
      </c>
    </row>
    <row r="60">
      <c r="A60" s="4">
        <v>18.0</v>
      </c>
      <c r="B60" s="4" t="s">
        <v>47</v>
      </c>
      <c r="C60" s="3" t="s">
        <v>84</v>
      </c>
      <c r="D60" s="4" t="s">
        <v>222</v>
      </c>
      <c r="E60" s="4" t="s">
        <v>371</v>
      </c>
      <c r="F60" s="4">
        <v>30.0</v>
      </c>
      <c r="G60" s="137">
        <v>95.1</v>
      </c>
      <c r="H60" s="137">
        <v>5.2</v>
      </c>
      <c r="I60" s="140">
        <f t="shared" si="14"/>
        <v>95.1</v>
      </c>
      <c r="J60" s="140">
        <f t="shared" si="2"/>
        <v>0.9493857663</v>
      </c>
    </row>
    <row r="61">
      <c r="A61" s="4">
        <v>18.0</v>
      </c>
      <c r="B61" s="4" t="s">
        <v>47</v>
      </c>
      <c r="C61" s="3" t="s">
        <v>84</v>
      </c>
      <c r="D61" s="4" t="s">
        <v>222</v>
      </c>
      <c r="E61" s="4" t="s">
        <v>471</v>
      </c>
      <c r="F61" s="4">
        <v>30.0</v>
      </c>
      <c r="G61" s="137">
        <v>89.7</v>
      </c>
      <c r="H61" s="137">
        <v>5.7</v>
      </c>
      <c r="I61" s="140">
        <f t="shared" si="14"/>
        <v>89.7</v>
      </c>
      <c r="J61" s="140">
        <f t="shared" si="2"/>
        <v>1.040672859</v>
      </c>
    </row>
    <row r="62">
      <c r="A62" s="4">
        <v>18.0</v>
      </c>
      <c r="B62" s="4" t="s">
        <v>47</v>
      </c>
      <c r="C62" s="3" t="s">
        <v>186</v>
      </c>
      <c r="D62" s="4" t="s">
        <v>222</v>
      </c>
      <c r="E62" s="4" t="s">
        <v>371</v>
      </c>
      <c r="F62" s="4">
        <v>30.0</v>
      </c>
      <c r="G62" s="137">
        <v>94.5</v>
      </c>
      <c r="H62" s="137">
        <v>6.4</v>
      </c>
      <c r="I62" s="140">
        <f t="shared" si="14"/>
        <v>94.5</v>
      </c>
      <c r="J62" s="140">
        <f t="shared" si="2"/>
        <v>1.168474789</v>
      </c>
    </row>
    <row r="63">
      <c r="A63" s="4">
        <v>18.0</v>
      </c>
      <c r="B63" s="4" t="s">
        <v>47</v>
      </c>
      <c r="C63" s="3" t="s">
        <v>186</v>
      </c>
      <c r="D63" s="4" t="s">
        <v>222</v>
      </c>
      <c r="E63" s="4" t="s">
        <v>471</v>
      </c>
      <c r="F63" s="4">
        <v>30.0</v>
      </c>
      <c r="G63" s="137">
        <v>89.9</v>
      </c>
      <c r="H63" s="137">
        <v>9.8</v>
      </c>
      <c r="I63" s="140">
        <f t="shared" si="14"/>
        <v>89.9</v>
      </c>
      <c r="J63" s="140">
        <f t="shared" si="2"/>
        <v>1.789227021</v>
      </c>
    </row>
    <row r="64">
      <c r="A64" s="4">
        <v>19.0</v>
      </c>
      <c r="B64" s="4" t="s">
        <v>52</v>
      </c>
      <c r="C64" s="3" t="s">
        <v>84</v>
      </c>
      <c r="D64" s="4" t="s">
        <v>222</v>
      </c>
      <c r="E64" s="4" t="s">
        <v>471</v>
      </c>
      <c r="F64" s="4">
        <v>92.0</v>
      </c>
      <c r="G64" s="137">
        <v>92.0</v>
      </c>
      <c r="H64" s="137">
        <v>8.0</v>
      </c>
      <c r="I64" s="140">
        <f t="shared" si="14"/>
        <v>92</v>
      </c>
      <c r="J64" s="140">
        <f t="shared" si="2"/>
        <v>0.8340576562</v>
      </c>
    </row>
    <row r="65">
      <c r="A65" s="4">
        <v>19.0</v>
      </c>
      <c r="B65" s="4" t="s">
        <v>52</v>
      </c>
      <c r="C65" s="3" t="s">
        <v>84</v>
      </c>
      <c r="D65" s="4" t="s">
        <v>222</v>
      </c>
      <c r="E65" s="4" t="s">
        <v>371</v>
      </c>
      <c r="F65" s="4">
        <v>92.0</v>
      </c>
      <c r="G65" s="137">
        <v>94.0</v>
      </c>
      <c r="H65" s="4">
        <v>7.0</v>
      </c>
      <c r="I65" s="140">
        <f t="shared" si="14"/>
        <v>94</v>
      </c>
      <c r="J65" s="140">
        <f t="shared" si="2"/>
        <v>0.7298004492</v>
      </c>
    </row>
    <row r="66">
      <c r="A66" s="4">
        <v>19.0</v>
      </c>
      <c r="B66" s="4" t="s">
        <v>52</v>
      </c>
      <c r="C66" s="3" t="s">
        <v>200</v>
      </c>
      <c r="D66" s="4" t="s">
        <v>222</v>
      </c>
      <c r="E66" s="4" t="s">
        <v>471</v>
      </c>
      <c r="F66" s="4">
        <v>89.0</v>
      </c>
      <c r="G66" s="137">
        <v>89.0</v>
      </c>
      <c r="H66" s="137">
        <v>10.0</v>
      </c>
      <c r="I66" s="140">
        <f t="shared" si="14"/>
        <v>89</v>
      </c>
      <c r="J66" s="140">
        <f t="shared" si="2"/>
        <v>1.05999788</v>
      </c>
    </row>
    <row r="67">
      <c r="A67" s="4">
        <v>19.0</v>
      </c>
      <c r="B67" s="4" t="s">
        <v>52</v>
      </c>
      <c r="C67" s="3" t="s">
        <v>200</v>
      </c>
      <c r="D67" s="4" t="s">
        <v>222</v>
      </c>
      <c r="E67" s="4" t="s">
        <v>371</v>
      </c>
      <c r="F67" s="4">
        <v>89.0</v>
      </c>
      <c r="G67" s="137">
        <v>93.0</v>
      </c>
      <c r="H67" s="137">
        <v>8.0</v>
      </c>
      <c r="I67" s="140">
        <f t="shared" si="14"/>
        <v>93</v>
      </c>
      <c r="J67" s="140">
        <f t="shared" si="2"/>
        <v>0.847998304</v>
      </c>
    </row>
    <row r="68">
      <c r="A68" s="4">
        <v>23.0</v>
      </c>
      <c r="B68" s="4" t="s">
        <v>56</v>
      </c>
      <c r="C68" s="3" t="s">
        <v>42</v>
      </c>
      <c r="D68" s="4" t="s">
        <v>222</v>
      </c>
      <c r="E68" s="4" t="s">
        <v>319</v>
      </c>
      <c r="F68" s="4">
        <v>32.0</v>
      </c>
      <c r="G68" s="137">
        <v>5.77083067053451</v>
      </c>
      <c r="H68" s="137">
        <v>1.9354254280127</v>
      </c>
      <c r="I68" s="140">
        <f t="shared" si="14"/>
        <v>5.770830671</v>
      </c>
      <c r="J68" s="140">
        <f t="shared" si="2"/>
        <v>0.3421381112</v>
      </c>
    </row>
    <row r="69">
      <c r="A69" s="4">
        <v>23.0</v>
      </c>
      <c r="B69" s="4" t="s">
        <v>56</v>
      </c>
      <c r="C69" s="3" t="s">
        <v>42</v>
      </c>
      <c r="D69" s="4" t="s">
        <v>222</v>
      </c>
      <c r="E69" s="4" t="s">
        <v>371</v>
      </c>
      <c r="F69" s="4">
        <v>32.0</v>
      </c>
      <c r="G69" s="137">
        <v>89.95827475175923</v>
      </c>
      <c r="H69" s="137">
        <v>13.064121639085725</v>
      </c>
      <c r="I69" s="140">
        <f t="shared" si="14"/>
        <v>89.95827475</v>
      </c>
      <c r="J69" s="140">
        <f t="shared" si="2"/>
        <v>2.30943225</v>
      </c>
    </row>
    <row r="70">
      <c r="A70" s="4">
        <v>23.0</v>
      </c>
      <c r="B70" s="4" t="s">
        <v>56</v>
      </c>
      <c r="C70" s="3" t="s">
        <v>42</v>
      </c>
      <c r="D70" s="4" t="s">
        <v>222</v>
      </c>
      <c r="E70" s="3" t="s">
        <v>317</v>
      </c>
      <c r="F70" s="4">
        <v>32.0</v>
      </c>
      <c r="G70" s="137">
        <v>2.2864616618318623</v>
      </c>
      <c r="H70" s="137">
        <v>3.9918149452761935</v>
      </c>
      <c r="I70" s="140">
        <f t="shared" si="14"/>
        <v>2.286461662</v>
      </c>
      <c r="J70" s="140">
        <f t="shared" si="2"/>
        <v>0.7056598543</v>
      </c>
    </row>
    <row r="71">
      <c r="A71" s="4">
        <v>23.0</v>
      </c>
      <c r="B71" s="4" t="s">
        <v>56</v>
      </c>
      <c r="C71" s="3" t="s">
        <v>42</v>
      </c>
      <c r="D71" s="4" t="s">
        <v>64</v>
      </c>
      <c r="E71" s="4" t="s">
        <v>370</v>
      </c>
      <c r="F71" s="4">
        <v>32.0</v>
      </c>
      <c r="G71" s="141">
        <v>15.0</v>
      </c>
      <c r="H71" s="137">
        <v>5.15772005100776</v>
      </c>
      <c r="I71" s="140">
        <f>(G71+0.5)/(F71+0.5)</f>
        <v>0.4769230769</v>
      </c>
      <c r="J71" s="140">
        <f t="shared" si="2"/>
        <v>0.9117647059</v>
      </c>
    </row>
    <row r="72">
      <c r="A72" s="4">
        <v>23.0</v>
      </c>
      <c r="B72" s="4" t="s">
        <v>56</v>
      </c>
      <c r="C72" s="3" t="s">
        <v>84</v>
      </c>
      <c r="D72" s="4" t="s">
        <v>222</v>
      </c>
      <c r="E72" s="4" t="s">
        <v>319</v>
      </c>
      <c r="F72" s="4">
        <v>34.0</v>
      </c>
      <c r="G72" s="137">
        <v>6.3893818268412605</v>
      </c>
      <c r="H72" s="137">
        <v>1.434477438841692</v>
      </c>
      <c r="I72" s="140">
        <f t="shared" ref="I72:I74" si="15">G72</f>
        <v>6.389381827</v>
      </c>
      <c r="J72" s="140">
        <f t="shared" si="2"/>
        <v>0.2460108512</v>
      </c>
    </row>
    <row r="73">
      <c r="A73" s="4">
        <v>23.0</v>
      </c>
      <c r="B73" s="4" t="s">
        <v>56</v>
      </c>
      <c r="C73" s="3" t="s">
        <v>84</v>
      </c>
      <c r="D73" s="4" t="s">
        <v>222</v>
      </c>
      <c r="E73" s="4" t="s">
        <v>371</v>
      </c>
      <c r="F73" s="4">
        <v>34.0</v>
      </c>
      <c r="G73" s="137">
        <v>86.79207297839656</v>
      </c>
      <c r="H73" s="137">
        <v>11.714899083873819</v>
      </c>
      <c r="I73" s="140">
        <f t="shared" si="15"/>
        <v>86.79207298</v>
      </c>
      <c r="J73" s="140">
        <f t="shared" si="2"/>
        <v>2.009088618</v>
      </c>
    </row>
    <row r="74">
      <c r="A74" s="4">
        <v>23.0</v>
      </c>
      <c r="B74" s="4" t="s">
        <v>56</v>
      </c>
      <c r="C74" s="3" t="s">
        <v>84</v>
      </c>
      <c r="D74" s="4" t="s">
        <v>222</v>
      </c>
      <c r="E74" s="3" t="s">
        <v>317</v>
      </c>
      <c r="F74" s="4">
        <v>34.0</v>
      </c>
      <c r="G74" s="137">
        <v>2.471236346317478</v>
      </c>
      <c r="H74" s="137">
        <v>3.4666538105340896</v>
      </c>
      <c r="I74" s="140">
        <f t="shared" si="15"/>
        <v>2.471236346</v>
      </c>
      <c r="J74" s="140">
        <f t="shared" si="2"/>
        <v>0.5945262237</v>
      </c>
    </row>
    <row r="75">
      <c r="A75" s="4">
        <v>23.0</v>
      </c>
      <c r="B75" s="4" t="s">
        <v>56</v>
      </c>
      <c r="C75" s="3" t="s">
        <v>84</v>
      </c>
      <c r="D75" s="4" t="s">
        <v>64</v>
      </c>
      <c r="E75" s="4" t="s">
        <v>370</v>
      </c>
      <c r="F75" s="4">
        <v>34.0</v>
      </c>
      <c r="G75" s="141">
        <v>14.0</v>
      </c>
      <c r="H75" s="137">
        <v>4.227440123762843</v>
      </c>
      <c r="I75" s="140">
        <f>(G75+0.5)/(F75+0.5)</f>
        <v>0.4202898551</v>
      </c>
      <c r="J75" s="140">
        <f t="shared" si="2"/>
        <v>0.725</v>
      </c>
    </row>
    <row r="76">
      <c r="A76" s="4">
        <v>25.0</v>
      </c>
      <c r="B76" s="4" t="s">
        <v>1786</v>
      </c>
      <c r="C76" s="3" t="s">
        <v>42</v>
      </c>
      <c r="D76" s="4" t="s">
        <v>222</v>
      </c>
      <c r="E76" s="3" t="s">
        <v>317</v>
      </c>
      <c r="F76" s="4">
        <v>42.0</v>
      </c>
      <c r="G76" s="137">
        <v>0.95</v>
      </c>
      <c r="H76" s="137">
        <v>0.91</v>
      </c>
      <c r="I76" s="140">
        <f>G76</f>
        <v>0.95</v>
      </c>
      <c r="J76" s="140">
        <f t="shared" si="2"/>
        <v>0.1404160485</v>
      </c>
    </row>
    <row r="77">
      <c r="A77" s="4">
        <v>25.0</v>
      </c>
      <c r="B77" s="4" t="s">
        <v>1786</v>
      </c>
      <c r="C77" s="3" t="s">
        <v>42</v>
      </c>
      <c r="D77" s="4" t="s">
        <v>64</v>
      </c>
      <c r="E77" s="3" t="s">
        <v>385</v>
      </c>
      <c r="F77" s="4">
        <v>42.0</v>
      </c>
      <c r="G77" s="141">
        <v>2.0</v>
      </c>
      <c r="H77" s="137">
        <v>0.4050462936504913</v>
      </c>
      <c r="I77" s="140">
        <f>(G77+0.5)/(F77+0.5)</f>
        <v>0.05882352941</v>
      </c>
      <c r="J77" s="140">
        <f t="shared" si="2"/>
        <v>0.0625</v>
      </c>
    </row>
    <row r="78">
      <c r="A78" s="4">
        <v>25.0</v>
      </c>
      <c r="B78" s="4" t="s">
        <v>1786</v>
      </c>
      <c r="C78" s="3" t="s">
        <v>84</v>
      </c>
      <c r="D78" s="4" t="s">
        <v>222</v>
      </c>
      <c r="E78" s="3" t="s">
        <v>317</v>
      </c>
      <c r="F78" s="4">
        <v>47.0</v>
      </c>
      <c r="G78" s="137">
        <v>1.1</v>
      </c>
      <c r="H78" s="137">
        <v>0.95</v>
      </c>
      <c r="I78" s="140">
        <f>G78</f>
        <v>1.1</v>
      </c>
      <c r="J78" s="140">
        <f t="shared" si="2"/>
        <v>0.1385717419</v>
      </c>
    </row>
    <row r="79">
      <c r="A79" s="4">
        <v>25.0</v>
      </c>
      <c r="B79" s="4" t="s">
        <v>1786</v>
      </c>
      <c r="C79" s="3" t="s">
        <v>84</v>
      </c>
      <c r="D79" s="4" t="s">
        <v>64</v>
      </c>
      <c r="E79" s="3" t="s">
        <v>385</v>
      </c>
      <c r="F79" s="4">
        <v>47.0</v>
      </c>
      <c r="G79" s="141">
        <v>9.0</v>
      </c>
      <c r="H79" s="137">
        <v>1.713913650100261</v>
      </c>
      <c r="I79" s="140">
        <f>(G79+0.5)/(F79+0.5)</f>
        <v>0.2</v>
      </c>
      <c r="J79" s="140">
        <f t="shared" si="2"/>
        <v>0.25</v>
      </c>
    </row>
    <row r="80">
      <c r="A80" s="4">
        <v>26.0</v>
      </c>
      <c r="B80" s="4" t="s">
        <v>60</v>
      </c>
      <c r="C80" s="3" t="s">
        <v>42</v>
      </c>
      <c r="D80" s="4" t="s">
        <v>222</v>
      </c>
      <c r="E80" s="3" t="s">
        <v>317</v>
      </c>
      <c r="F80" s="4">
        <v>27.0</v>
      </c>
      <c r="G80" s="137">
        <v>0.5</v>
      </c>
      <c r="H80" s="137">
        <v>1.0</v>
      </c>
      <c r="I80" s="140">
        <f>G80</f>
        <v>0.5</v>
      </c>
      <c r="J80" s="140">
        <f t="shared" si="2"/>
        <v>0.1924500897</v>
      </c>
    </row>
    <row r="81">
      <c r="A81" s="4">
        <v>26.0</v>
      </c>
      <c r="B81" s="4" t="s">
        <v>60</v>
      </c>
      <c r="C81" s="3" t="s">
        <v>42</v>
      </c>
      <c r="D81" s="4" t="s">
        <v>64</v>
      </c>
      <c r="E81" s="3" t="s">
        <v>385</v>
      </c>
      <c r="F81" s="4">
        <v>27.0</v>
      </c>
      <c r="G81" s="141">
        <v>0.0</v>
      </c>
      <c r="H81" s="137">
        <v>0.09622504486493763</v>
      </c>
      <c r="I81" s="140">
        <f t="shared" ref="I81:I82" si="16">(G81+0.5)/(F81+0.5)</f>
        <v>0.01818181818</v>
      </c>
      <c r="J81" s="140">
        <f t="shared" si="2"/>
        <v>0.01851851852</v>
      </c>
    </row>
    <row r="82">
      <c r="A82" s="4">
        <v>26.0</v>
      </c>
      <c r="B82" s="4" t="s">
        <v>60</v>
      </c>
      <c r="C82" s="3" t="s">
        <v>42</v>
      </c>
      <c r="D82" s="4" t="s">
        <v>64</v>
      </c>
      <c r="E82" s="4" t="s">
        <v>370</v>
      </c>
      <c r="F82" s="4">
        <v>27.0</v>
      </c>
      <c r="G82" s="141">
        <v>1.0</v>
      </c>
      <c r="H82" s="137">
        <v>0.2997780243869211</v>
      </c>
      <c r="I82" s="140">
        <f t="shared" si="16"/>
        <v>0.05454545455</v>
      </c>
      <c r="J82" s="140">
        <f t="shared" si="2"/>
        <v>0.05769230769</v>
      </c>
    </row>
    <row r="83">
      <c r="A83" s="4">
        <v>26.0</v>
      </c>
      <c r="B83" s="4" t="s">
        <v>60</v>
      </c>
      <c r="C83" s="3" t="s">
        <v>84</v>
      </c>
      <c r="D83" s="4" t="s">
        <v>222</v>
      </c>
      <c r="E83" s="3" t="s">
        <v>317</v>
      </c>
      <c r="F83" s="4">
        <v>21.0</v>
      </c>
      <c r="G83" s="137">
        <v>1.1</v>
      </c>
      <c r="H83" s="137">
        <v>1.2</v>
      </c>
      <c r="I83" s="140">
        <f>G83</f>
        <v>1.1</v>
      </c>
      <c r="J83" s="140">
        <f t="shared" si="2"/>
        <v>0.2618614683</v>
      </c>
    </row>
    <row r="84">
      <c r="A84" s="4">
        <v>26.0</v>
      </c>
      <c r="B84" s="4" t="s">
        <v>60</v>
      </c>
      <c r="C84" s="3" t="s">
        <v>84</v>
      </c>
      <c r="D84" s="4" t="s">
        <v>64</v>
      </c>
      <c r="E84" s="3" t="s">
        <v>385</v>
      </c>
      <c r="F84" s="4">
        <v>21.0</v>
      </c>
      <c r="G84" s="141">
        <v>5.0</v>
      </c>
      <c r="H84" s="137">
        <v>1.57526039514107</v>
      </c>
      <c r="I84" s="140">
        <f t="shared" ref="I84:I85" si="17">(G84+0.5)/(F84+0.5)</f>
        <v>0.2558139535</v>
      </c>
      <c r="J84" s="140">
        <f t="shared" si="2"/>
        <v>0.34375</v>
      </c>
    </row>
    <row r="85">
      <c r="A85" s="4">
        <v>26.0</v>
      </c>
      <c r="B85" s="4" t="s">
        <v>60</v>
      </c>
      <c r="C85" s="3" t="s">
        <v>84</v>
      </c>
      <c r="D85" s="4" t="s">
        <v>64</v>
      </c>
      <c r="E85" s="4" t="s">
        <v>370</v>
      </c>
      <c r="F85" s="4">
        <v>21.0</v>
      </c>
      <c r="G85" s="141">
        <v>0.0</v>
      </c>
      <c r="H85" s="137">
        <v>0.1091089451179962</v>
      </c>
      <c r="I85" s="140">
        <f t="shared" si="17"/>
        <v>0.02325581395</v>
      </c>
      <c r="J85" s="140">
        <f t="shared" si="2"/>
        <v>0.02380952381</v>
      </c>
    </row>
    <row r="86">
      <c r="A86" s="4">
        <v>30.0</v>
      </c>
      <c r="B86" s="4" t="s">
        <v>62</v>
      </c>
      <c r="C86" s="3" t="s">
        <v>42</v>
      </c>
      <c r="D86" s="4" t="s">
        <v>222</v>
      </c>
      <c r="E86" s="3" t="s">
        <v>317</v>
      </c>
      <c r="F86" s="4">
        <v>41.0</v>
      </c>
      <c r="G86" s="137">
        <v>1.4</v>
      </c>
      <c r="H86" s="137">
        <v>1.8</v>
      </c>
      <c r="I86" s="140">
        <f>G86</f>
        <v>1.4</v>
      </c>
      <c r="J86" s="140">
        <f t="shared" si="2"/>
        <v>0.2811127714</v>
      </c>
    </row>
    <row r="87">
      <c r="A87" s="4">
        <v>30.0</v>
      </c>
      <c r="B87" s="4" t="s">
        <v>62</v>
      </c>
      <c r="C87" s="3" t="s">
        <v>42</v>
      </c>
      <c r="D87" s="4" t="s">
        <v>64</v>
      </c>
      <c r="E87" s="4" t="s">
        <v>370</v>
      </c>
      <c r="F87" s="4">
        <v>41.0</v>
      </c>
      <c r="G87" s="141">
        <v>1.0</v>
      </c>
      <c r="H87" s="137">
        <v>0.2401171589037318</v>
      </c>
      <c r="I87" s="140">
        <f>(G87+0.5)/(F87+0.5)</f>
        <v>0.03614457831</v>
      </c>
      <c r="J87" s="140">
        <f t="shared" si="2"/>
        <v>0.0375</v>
      </c>
    </row>
    <row r="88">
      <c r="A88" s="4">
        <v>30.0</v>
      </c>
      <c r="B88" s="4" t="s">
        <v>62</v>
      </c>
      <c r="C88" s="3" t="s">
        <v>84</v>
      </c>
      <c r="D88" s="4" t="s">
        <v>222</v>
      </c>
      <c r="E88" s="3" t="s">
        <v>317</v>
      </c>
      <c r="F88" s="4">
        <v>36.0</v>
      </c>
      <c r="G88" s="137">
        <v>1.4</v>
      </c>
      <c r="H88" s="137">
        <v>1.4</v>
      </c>
      <c r="I88" s="140">
        <f>G88</f>
        <v>1.4</v>
      </c>
      <c r="J88" s="140">
        <f t="shared" si="2"/>
        <v>0.2333333333</v>
      </c>
    </row>
    <row r="89">
      <c r="A89" s="4">
        <v>30.0</v>
      </c>
      <c r="B89" s="4" t="s">
        <v>62</v>
      </c>
      <c r="C89" s="3" t="s">
        <v>84</v>
      </c>
      <c r="D89" s="4" t="s">
        <v>64</v>
      </c>
      <c r="E89" s="4" t="s">
        <v>370</v>
      </c>
      <c r="F89" s="4">
        <v>36.0</v>
      </c>
      <c r="G89" s="141">
        <v>1.0</v>
      </c>
      <c r="H89" s="137">
        <v>0.2571428571428571</v>
      </c>
      <c r="I89" s="140">
        <f>(G89+0.5)/(F89+0.5)</f>
        <v>0.04109589041</v>
      </c>
      <c r="J89" s="140">
        <f t="shared" si="2"/>
        <v>0.04285714286</v>
      </c>
    </row>
    <row r="90">
      <c r="A90" s="4">
        <v>32.0</v>
      </c>
      <c r="B90" s="4" t="s">
        <v>65</v>
      </c>
      <c r="C90" s="3" t="s">
        <v>42</v>
      </c>
      <c r="D90" s="4" t="s">
        <v>222</v>
      </c>
      <c r="E90" s="4" t="s">
        <v>471</v>
      </c>
      <c r="F90" s="4">
        <v>31.0</v>
      </c>
      <c r="G90" s="137">
        <v>88.75</v>
      </c>
      <c r="H90" s="137">
        <v>9.27</v>
      </c>
      <c r="I90" s="140">
        <f t="shared" ref="I90:I91" si="18">G90</f>
        <v>88.75</v>
      </c>
      <c r="J90" s="140">
        <f t="shared" si="2"/>
        <v>1.66494115</v>
      </c>
    </row>
    <row r="91">
      <c r="A91" s="4">
        <v>32.0</v>
      </c>
      <c r="B91" s="4" t="s">
        <v>65</v>
      </c>
      <c r="C91" s="3" t="s">
        <v>42</v>
      </c>
      <c r="D91" s="4" t="s">
        <v>222</v>
      </c>
      <c r="E91" s="4" t="s">
        <v>371</v>
      </c>
      <c r="F91" s="4">
        <v>31.0</v>
      </c>
      <c r="G91" s="137">
        <v>89.87</v>
      </c>
      <c r="H91" s="4">
        <v>9.17</v>
      </c>
      <c r="I91" s="140">
        <f t="shared" si="18"/>
        <v>89.87</v>
      </c>
      <c r="J91" s="140">
        <f t="shared" si="2"/>
        <v>1.64698062</v>
      </c>
    </row>
    <row r="92">
      <c r="A92" s="4">
        <v>32.0</v>
      </c>
      <c r="B92" s="4" t="s">
        <v>65</v>
      </c>
      <c r="C92" s="3" t="s">
        <v>42</v>
      </c>
      <c r="D92" s="4" t="s">
        <v>64</v>
      </c>
      <c r="E92" s="3" t="s">
        <v>385</v>
      </c>
      <c r="F92" s="4">
        <v>31.0</v>
      </c>
      <c r="G92" s="141">
        <v>2.0</v>
      </c>
      <c r="H92" s="137">
        <v>0.47997968645086386</v>
      </c>
      <c r="I92" s="140">
        <f t="shared" ref="I92:I93" si="19">(G92+0.5)/(F92+0.5)</f>
        <v>0.07936507937</v>
      </c>
      <c r="J92" s="140">
        <f t="shared" si="2"/>
        <v>0.08620689655</v>
      </c>
    </row>
    <row r="93">
      <c r="A93" s="4">
        <v>32.0</v>
      </c>
      <c r="B93" s="4" t="s">
        <v>65</v>
      </c>
      <c r="C93" s="3" t="s">
        <v>42</v>
      </c>
      <c r="D93" s="4" t="s">
        <v>64</v>
      </c>
      <c r="E93" s="4" t="s">
        <v>370</v>
      </c>
      <c r="F93" s="4">
        <v>31.0</v>
      </c>
      <c r="G93" s="141">
        <v>2.0</v>
      </c>
      <c r="H93" s="137">
        <v>0.47997968645086386</v>
      </c>
      <c r="I93" s="140">
        <f t="shared" si="19"/>
        <v>0.07936507937</v>
      </c>
      <c r="J93" s="140">
        <f t="shared" si="2"/>
        <v>0.08620689655</v>
      </c>
    </row>
    <row r="94">
      <c r="A94" s="4">
        <v>32.0</v>
      </c>
      <c r="B94" s="4" t="s">
        <v>65</v>
      </c>
      <c r="C94" s="3" t="s">
        <v>84</v>
      </c>
      <c r="D94" s="4" t="s">
        <v>222</v>
      </c>
      <c r="E94" s="4" t="s">
        <v>471</v>
      </c>
      <c r="F94" s="4">
        <v>31.0</v>
      </c>
      <c r="G94" s="137">
        <v>91.0</v>
      </c>
      <c r="H94" s="137">
        <v>9.07</v>
      </c>
      <c r="I94" s="140">
        <f t="shared" ref="I94:I95" si="20">G94</f>
        <v>91</v>
      </c>
      <c r="J94" s="140">
        <f t="shared" si="2"/>
        <v>1.629020089</v>
      </c>
    </row>
    <row r="95">
      <c r="A95" s="4">
        <v>32.0</v>
      </c>
      <c r="B95" s="4" t="s">
        <v>65</v>
      </c>
      <c r="C95" s="3" t="s">
        <v>84</v>
      </c>
      <c r="D95" s="4" t="s">
        <v>222</v>
      </c>
      <c r="E95" s="4" t="s">
        <v>371</v>
      </c>
      <c r="F95" s="4">
        <v>31.0</v>
      </c>
      <c r="G95" s="137">
        <v>91.26</v>
      </c>
      <c r="H95" s="137">
        <v>9.36</v>
      </c>
      <c r="I95" s="140">
        <f t="shared" si="20"/>
        <v>91.26</v>
      </c>
      <c r="J95" s="140">
        <f t="shared" si="2"/>
        <v>1.681105627</v>
      </c>
    </row>
    <row r="96">
      <c r="A96" s="4">
        <v>32.0</v>
      </c>
      <c r="B96" s="4" t="s">
        <v>65</v>
      </c>
      <c r="C96" s="3" t="s">
        <v>84</v>
      </c>
      <c r="D96" s="4" t="s">
        <v>64</v>
      </c>
      <c r="E96" s="3" t="s">
        <v>385</v>
      </c>
      <c r="F96" s="4">
        <v>31.0</v>
      </c>
      <c r="G96" s="141">
        <v>3.0</v>
      </c>
      <c r="H96" s="137">
        <v>0.6959705453537527</v>
      </c>
      <c r="I96" s="140">
        <f t="shared" ref="I96:I97" si="21">(G96+0.5)/(F96+0.5)</f>
        <v>0.1111111111</v>
      </c>
      <c r="J96" s="140">
        <f t="shared" si="2"/>
        <v>0.125</v>
      </c>
    </row>
    <row r="97">
      <c r="A97" s="4">
        <v>32.0</v>
      </c>
      <c r="B97" s="4" t="s">
        <v>65</v>
      </c>
      <c r="C97" s="3" t="s">
        <v>84</v>
      </c>
      <c r="D97" s="4" t="s">
        <v>64</v>
      </c>
      <c r="E97" s="4" t="s">
        <v>370</v>
      </c>
      <c r="F97" s="4">
        <v>31.0</v>
      </c>
      <c r="G97" s="141">
        <v>3.0</v>
      </c>
      <c r="H97" s="137">
        <v>0.6959705453537527</v>
      </c>
      <c r="I97" s="140">
        <f t="shared" si="21"/>
        <v>0.1111111111</v>
      </c>
      <c r="J97" s="140">
        <f t="shared" si="2"/>
        <v>0.125</v>
      </c>
    </row>
    <row r="98">
      <c r="A98" s="4">
        <v>33.0</v>
      </c>
      <c r="B98" s="4" t="s">
        <v>67</v>
      </c>
      <c r="C98" s="3" t="s">
        <v>42</v>
      </c>
      <c r="D98" s="4" t="s">
        <v>222</v>
      </c>
      <c r="E98" s="4" t="s">
        <v>319</v>
      </c>
      <c r="F98" s="4">
        <v>37.0</v>
      </c>
      <c r="G98" s="137">
        <v>5.894748329184174</v>
      </c>
      <c r="H98" s="137">
        <v>2.117293884068981</v>
      </c>
      <c r="I98" s="140">
        <f t="shared" ref="I98:I100" si="22">G98</f>
        <v>5.894748329</v>
      </c>
      <c r="J98" s="140">
        <f t="shared" si="2"/>
        <v>0.3480809704</v>
      </c>
    </row>
    <row r="99">
      <c r="A99" s="3">
        <v>33.0</v>
      </c>
      <c r="B99" s="4" t="s">
        <v>67</v>
      </c>
      <c r="C99" s="3" t="s">
        <v>42</v>
      </c>
      <c r="D99" s="4" t="s">
        <v>222</v>
      </c>
      <c r="E99" s="4" t="s">
        <v>371</v>
      </c>
      <c r="F99" s="4">
        <v>37.0</v>
      </c>
      <c r="G99" s="137">
        <v>89.10590643431374</v>
      </c>
      <c r="H99" s="137">
        <v>15.52682181650586</v>
      </c>
      <c r="I99" s="140">
        <f t="shared" si="22"/>
        <v>89.10590643</v>
      </c>
      <c r="J99" s="140">
        <f t="shared" si="2"/>
        <v>2.552593783</v>
      </c>
    </row>
    <row r="100">
      <c r="A100" s="4">
        <v>33.0</v>
      </c>
      <c r="B100" s="4" t="s">
        <v>67</v>
      </c>
      <c r="C100" s="3" t="s">
        <v>42</v>
      </c>
      <c r="D100" s="4" t="s">
        <v>222</v>
      </c>
      <c r="E100" s="3" t="s">
        <v>317</v>
      </c>
      <c r="F100" s="4">
        <v>37.0</v>
      </c>
      <c r="G100" s="137">
        <v>1.5</v>
      </c>
      <c r="H100" s="137">
        <v>3.0</v>
      </c>
      <c r="I100" s="140">
        <f t="shared" si="22"/>
        <v>1.5</v>
      </c>
      <c r="J100" s="140">
        <f t="shared" si="2"/>
        <v>0.4931969619</v>
      </c>
    </row>
    <row r="101">
      <c r="A101" s="4">
        <v>33.0</v>
      </c>
      <c r="B101" s="4" t="s">
        <v>67</v>
      </c>
      <c r="C101" s="3" t="s">
        <v>42</v>
      </c>
      <c r="D101" s="4" t="s">
        <v>64</v>
      </c>
      <c r="E101" s="3" t="s">
        <v>385</v>
      </c>
      <c r="F101" s="4">
        <v>37.0</v>
      </c>
      <c r="G101" s="141">
        <v>0.0</v>
      </c>
      <c r="H101" s="137">
        <v>0.08219949365267865</v>
      </c>
      <c r="I101" s="140">
        <f t="shared" ref="I101:I102" si="23">(G101+0.5)/(F101+0.5)</f>
        <v>0.01333333333</v>
      </c>
      <c r="J101" s="140">
        <f t="shared" si="2"/>
        <v>0.01351351351</v>
      </c>
    </row>
    <row r="102">
      <c r="A102" s="4">
        <v>33.0</v>
      </c>
      <c r="B102" s="4" t="s">
        <v>67</v>
      </c>
      <c r="C102" s="3" t="s">
        <v>42</v>
      </c>
      <c r="D102" s="4" t="s">
        <v>64</v>
      </c>
      <c r="E102" s="4" t="s">
        <v>370</v>
      </c>
      <c r="F102" s="4">
        <v>37.0</v>
      </c>
      <c r="G102" s="141">
        <v>0.0</v>
      </c>
      <c r="H102" s="137">
        <v>0.08219949365267865</v>
      </c>
      <c r="I102" s="140">
        <f t="shared" si="23"/>
        <v>0.01333333333</v>
      </c>
      <c r="J102" s="140">
        <f t="shared" si="2"/>
        <v>0.01351351351</v>
      </c>
    </row>
    <row r="103">
      <c r="A103" s="3">
        <v>33.0</v>
      </c>
      <c r="B103" s="4" t="s">
        <v>67</v>
      </c>
      <c r="C103" s="3" t="s">
        <v>84</v>
      </c>
      <c r="D103" s="4" t="s">
        <v>222</v>
      </c>
      <c r="E103" s="4" t="s">
        <v>371</v>
      </c>
      <c r="F103" s="4">
        <v>37.0</v>
      </c>
      <c r="G103" s="137">
        <v>95.0</v>
      </c>
      <c r="H103" s="137">
        <v>15.52682181650586</v>
      </c>
      <c r="I103" s="140">
        <f t="shared" ref="I103:I105" si="24">G103</f>
        <v>95</v>
      </c>
      <c r="J103" s="140">
        <f t="shared" si="2"/>
        <v>2.552593783</v>
      </c>
    </row>
    <row r="104">
      <c r="A104" s="4">
        <v>33.0</v>
      </c>
      <c r="B104" s="4" t="s">
        <v>67</v>
      </c>
      <c r="C104" s="3" t="s">
        <v>84</v>
      </c>
      <c r="D104" s="4" t="s">
        <v>222</v>
      </c>
      <c r="E104" s="4" t="s">
        <v>319</v>
      </c>
      <c r="F104" s="4">
        <v>37.0</v>
      </c>
      <c r="G104" s="137">
        <v>6.0</v>
      </c>
      <c r="H104" s="137">
        <v>1.4115292560459871</v>
      </c>
      <c r="I104" s="140">
        <f t="shared" si="24"/>
        <v>6</v>
      </c>
      <c r="J104" s="140">
        <f t="shared" si="2"/>
        <v>0.2320539802</v>
      </c>
    </row>
    <row r="105">
      <c r="A105" s="4">
        <v>33.0</v>
      </c>
      <c r="B105" s="4" t="s">
        <v>67</v>
      </c>
      <c r="C105" s="3" t="s">
        <v>84</v>
      </c>
      <c r="D105" s="4" t="s">
        <v>222</v>
      </c>
      <c r="E105" s="3" t="s">
        <v>317</v>
      </c>
      <c r="F105" s="4">
        <v>37.0</v>
      </c>
      <c r="G105" s="137">
        <v>1.2</v>
      </c>
      <c r="H105" s="137">
        <v>3.9</v>
      </c>
      <c r="I105" s="140">
        <f t="shared" si="24"/>
        <v>1.2</v>
      </c>
      <c r="J105" s="140">
        <f t="shared" si="2"/>
        <v>0.6411560505</v>
      </c>
    </row>
    <row r="106">
      <c r="A106" s="4">
        <v>33.0</v>
      </c>
      <c r="B106" s="4" t="s">
        <v>67</v>
      </c>
      <c r="C106" s="3" t="s">
        <v>84</v>
      </c>
      <c r="D106" s="4" t="s">
        <v>64</v>
      </c>
      <c r="E106" s="3" t="s">
        <v>385</v>
      </c>
      <c r="F106" s="4">
        <v>37.0</v>
      </c>
      <c r="G106" s="141">
        <v>1.0</v>
      </c>
      <c r="H106" s="137">
        <v>0.25344843876242584</v>
      </c>
      <c r="I106" s="140">
        <f t="shared" ref="I106:I107" si="25">(G106+0.5)/(F106+0.5)</f>
        <v>0.04</v>
      </c>
      <c r="J106" s="140">
        <f t="shared" si="2"/>
        <v>0.04166666667</v>
      </c>
    </row>
    <row r="107">
      <c r="A107" s="4">
        <v>33.0</v>
      </c>
      <c r="B107" s="4" t="s">
        <v>67</v>
      </c>
      <c r="C107" s="3" t="s">
        <v>84</v>
      </c>
      <c r="D107" s="4" t="s">
        <v>64</v>
      </c>
      <c r="E107" s="4" t="s">
        <v>370</v>
      </c>
      <c r="F107" s="4">
        <v>37.0</v>
      </c>
      <c r="G107" s="141">
        <v>1.0</v>
      </c>
      <c r="H107" s="137">
        <v>0.25344843876242584</v>
      </c>
      <c r="I107" s="140">
        <f t="shared" si="25"/>
        <v>0.04</v>
      </c>
      <c r="J107" s="140">
        <f t="shared" si="2"/>
        <v>0.04166666667</v>
      </c>
    </row>
    <row r="108">
      <c r="A108" s="4">
        <v>34.0</v>
      </c>
      <c r="B108" s="4" t="s">
        <v>69</v>
      </c>
      <c r="C108" s="3" t="s">
        <v>42</v>
      </c>
      <c r="D108" s="4" t="s">
        <v>222</v>
      </c>
      <c r="E108" s="4" t="s">
        <v>319</v>
      </c>
      <c r="F108" s="4">
        <v>30.0</v>
      </c>
      <c r="G108" s="137">
        <v>6.643252329916399</v>
      </c>
      <c r="H108" s="137">
        <v>2.205578198567419</v>
      </c>
      <c r="I108" s="140">
        <f>G108</f>
        <v>6.64325233</v>
      </c>
      <c r="J108" s="140">
        <f t="shared" si="2"/>
        <v>0.4026816439</v>
      </c>
    </row>
    <row r="109">
      <c r="A109" s="4">
        <v>34.0</v>
      </c>
      <c r="B109" s="4" t="s">
        <v>69</v>
      </c>
      <c r="C109" s="3" t="s">
        <v>42</v>
      </c>
      <c r="D109" s="4" t="s">
        <v>64</v>
      </c>
      <c r="E109" s="3" t="s">
        <v>385</v>
      </c>
      <c r="F109" s="4">
        <v>30.0</v>
      </c>
      <c r="G109" s="141">
        <v>3.0</v>
      </c>
      <c r="H109" s="137">
        <v>0.7100107226918819</v>
      </c>
      <c r="I109" s="140">
        <f>(G109+0.5)/(F109+0.5)</f>
        <v>0.1147540984</v>
      </c>
      <c r="J109" s="140">
        <f t="shared" si="2"/>
        <v>0.1296296296</v>
      </c>
    </row>
    <row r="110">
      <c r="A110" s="4">
        <v>34.0</v>
      </c>
      <c r="B110" s="4" t="s">
        <v>69</v>
      </c>
      <c r="C110" s="3" t="s">
        <v>84</v>
      </c>
      <c r="D110" s="4" t="s">
        <v>222</v>
      </c>
      <c r="E110" s="4" t="s">
        <v>319</v>
      </c>
      <c r="F110" s="4">
        <v>29.0</v>
      </c>
      <c r="G110" s="137">
        <v>5.0</v>
      </c>
      <c r="H110" s="137">
        <v>1.4805380911616506</v>
      </c>
      <c r="I110" s="140">
        <f>G110</f>
        <v>5</v>
      </c>
      <c r="J110" s="140">
        <f t="shared" si="2"/>
        <v>0.2749290215</v>
      </c>
    </row>
    <row r="111">
      <c r="A111" s="4">
        <v>34.0</v>
      </c>
      <c r="B111" s="4" t="s">
        <v>69</v>
      </c>
      <c r="C111" s="3" t="s">
        <v>84</v>
      </c>
      <c r="D111" s="4" t="s">
        <v>64</v>
      </c>
      <c r="E111" s="3" t="s">
        <v>385</v>
      </c>
      <c r="F111" s="4">
        <v>29.0</v>
      </c>
      <c r="G111" s="141">
        <v>8.0</v>
      </c>
      <c r="H111" s="137">
        <v>2.179709564792537</v>
      </c>
      <c r="I111" s="140">
        <f>(G111+0.5)/(F111+0.5)</f>
        <v>0.2881355932</v>
      </c>
      <c r="J111" s="140">
        <f t="shared" si="2"/>
        <v>0.4047619048</v>
      </c>
    </row>
    <row r="112">
      <c r="A112" s="4">
        <v>35.0</v>
      </c>
      <c r="B112" s="4" t="s">
        <v>71</v>
      </c>
      <c r="C112" s="3" t="s">
        <v>42</v>
      </c>
      <c r="D112" s="4" t="s">
        <v>222</v>
      </c>
      <c r="E112" s="3" t="s">
        <v>317</v>
      </c>
      <c r="F112" s="4">
        <v>28.0</v>
      </c>
      <c r="G112" s="137">
        <v>3.0</v>
      </c>
      <c r="H112" s="137">
        <v>3.2</v>
      </c>
      <c r="I112" s="140">
        <f t="shared" ref="I112:I118" si="26">G112</f>
        <v>3</v>
      </c>
      <c r="J112" s="140">
        <f t="shared" si="2"/>
        <v>0.6047431568</v>
      </c>
    </row>
    <row r="113">
      <c r="A113" s="4">
        <v>35.0</v>
      </c>
      <c r="B113" s="4" t="s">
        <v>71</v>
      </c>
      <c r="C113" s="3" t="s">
        <v>42</v>
      </c>
      <c r="D113" s="4" t="s">
        <v>222</v>
      </c>
      <c r="E113" s="4" t="s">
        <v>371</v>
      </c>
      <c r="F113" s="4">
        <v>28.0</v>
      </c>
      <c r="G113" s="137">
        <v>84.2</v>
      </c>
      <c r="H113" s="137">
        <v>15.4</v>
      </c>
      <c r="I113" s="140">
        <f t="shared" si="26"/>
        <v>84.2</v>
      </c>
      <c r="J113" s="140">
        <f t="shared" si="2"/>
        <v>2.910326442</v>
      </c>
    </row>
    <row r="114">
      <c r="A114" s="4">
        <v>35.0</v>
      </c>
      <c r="B114" s="4" t="s">
        <v>71</v>
      </c>
      <c r="C114" s="3" t="s">
        <v>84</v>
      </c>
      <c r="D114" s="4" t="s">
        <v>222</v>
      </c>
      <c r="E114" s="3" t="s">
        <v>317</v>
      </c>
      <c r="F114" s="4">
        <v>29.0</v>
      </c>
      <c r="G114" s="137">
        <v>2.0</v>
      </c>
      <c r="H114" s="137">
        <v>3.5</v>
      </c>
      <c r="I114" s="140">
        <f t="shared" si="26"/>
        <v>2</v>
      </c>
      <c r="J114" s="140">
        <f t="shared" si="2"/>
        <v>0.6499336836</v>
      </c>
    </row>
    <row r="115">
      <c r="A115" s="4">
        <v>35.0</v>
      </c>
      <c r="B115" s="4" t="s">
        <v>71</v>
      </c>
      <c r="C115" s="3" t="s">
        <v>84</v>
      </c>
      <c r="D115" s="4" t="s">
        <v>222</v>
      </c>
      <c r="E115" s="4" t="s">
        <v>371</v>
      </c>
      <c r="F115" s="4">
        <v>29.0</v>
      </c>
      <c r="G115" s="137">
        <v>86.1</v>
      </c>
      <c r="H115" s="137">
        <v>15.1</v>
      </c>
      <c r="I115" s="140">
        <f t="shared" si="26"/>
        <v>86.1</v>
      </c>
      <c r="J115" s="140">
        <f t="shared" si="2"/>
        <v>2.803999606</v>
      </c>
    </row>
    <row r="116">
      <c r="A116" s="4">
        <v>36.0</v>
      </c>
      <c r="B116" s="4" t="s">
        <v>73</v>
      </c>
      <c r="C116" s="3" t="s">
        <v>84</v>
      </c>
      <c r="D116" s="4" t="s">
        <v>222</v>
      </c>
      <c r="E116" s="4" t="s">
        <v>471</v>
      </c>
      <c r="F116" s="4">
        <v>26.0</v>
      </c>
      <c r="G116" s="137">
        <v>83.7</v>
      </c>
      <c r="H116" s="137">
        <v>12.7</v>
      </c>
      <c r="I116" s="140">
        <f t="shared" si="26"/>
        <v>83.7</v>
      </c>
      <c r="J116" s="140">
        <f t="shared" si="2"/>
        <v>2.490674916</v>
      </c>
    </row>
    <row r="117">
      <c r="A117" s="4">
        <v>36.0</v>
      </c>
      <c r="B117" s="4" t="s">
        <v>73</v>
      </c>
      <c r="C117" s="3" t="s">
        <v>84</v>
      </c>
      <c r="D117" s="4" t="s">
        <v>222</v>
      </c>
      <c r="E117" s="4" t="s">
        <v>371</v>
      </c>
      <c r="F117" s="4">
        <v>26.0</v>
      </c>
      <c r="G117" s="137">
        <v>83.5</v>
      </c>
      <c r="H117" s="137">
        <v>17.4</v>
      </c>
      <c r="I117" s="140">
        <f t="shared" si="26"/>
        <v>83.5</v>
      </c>
      <c r="J117" s="140">
        <f t="shared" si="2"/>
        <v>3.412420751</v>
      </c>
    </row>
    <row r="118">
      <c r="A118" s="4">
        <v>36.0</v>
      </c>
      <c r="B118" s="4" t="s">
        <v>73</v>
      </c>
      <c r="C118" s="3" t="s">
        <v>84</v>
      </c>
      <c r="D118" s="4" t="s">
        <v>222</v>
      </c>
      <c r="E118" s="3" t="s">
        <v>317</v>
      </c>
      <c r="F118" s="4">
        <v>26.0</v>
      </c>
      <c r="G118" s="137">
        <v>0.2</v>
      </c>
      <c r="H118" s="137">
        <v>2.2</v>
      </c>
      <c r="I118" s="140">
        <f t="shared" si="26"/>
        <v>0.2</v>
      </c>
      <c r="J118" s="140">
        <f t="shared" si="2"/>
        <v>0.4314554973</v>
      </c>
    </row>
    <row r="119">
      <c r="A119" s="4">
        <v>36.0</v>
      </c>
      <c r="B119" s="4" t="s">
        <v>73</v>
      </c>
      <c r="C119" s="3" t="s">
        <v>84</v>
      </c>
      <c r="D119" s="4" t="s">
        <v>64</v>
      </c>
      <c r="E119" s="3" t="s">
        <v>385</v>
      </c>
      <c r="F119" s="4">
        <v>26.0</v>
      </c>
      <c r="G119" s="141">
        <v>0.0</v>
      </c>
      <c r="H119" s="137">
        <v>0.098058067569092</v>
      </c>
      <c r="I119" s="140">
        <f>(G119+0.5)/(F119+0.5)</f>
        <v>0.01886792453</v>
      </c>
      <c r="J119" s="140">
        <f t="shared" si="2"/>
        <v>0.01923076923</v>
      </c>
    </row>
    <row r="120">
      <c r="A120" s="4">
        <v>36.0</v>
      </c>
      <c r="B120" s="4" t="s">
        <v>73</v>
      </c>
      <c r="C120" s="3" t="s">
        <v>200</v>
      </c>
      <c r="D120" s="4" t="s">
        <v>222</v>
      </c>
      <c r="E120" s="4" t="s">
        <v>471</v>
      </c>
      <c r="F120" s="4">
        <v>23.0</v>
      </c>
      <c r="G120" s="137">
        <v>89.3</v>
      </c>
      <c r="H120" s="137">
        <v>12.2</v>
      </c>
      <c r="I120" s="140">
        <f t="shared" ref="I120:I122" si="27">G120</f>
        <v>89.3</v>
      </c>
      <c r="J120" s="140">
        <f t="shared" si="2"/>
        <v>2.543875851</v>
      </c>
    </row>
    <row r="121">
      <c r="A121" s="4">
        <v>36.0</v>
      </c>
      <c r="B121" s="4" t="s">
        <v>73</v>
      </c>
      <c r="C121" s="3" t="s">
        <v>200</v>
      </c>
      <c r="D121" s="4" t="s">
        <v>222</v>
      </c>
      <c r="E121" s="4" t="s">
        <v>371</v>
      </c>
      <c r="F121" s="4">
        <v>23.0</v>
      </c>
      <c r="G121" s="137">
        <v>90.4</v>
      </c>
      <c r="H121" s="137">
        <v>11.9</v>
      </c>
      <c r="I121" s="140">
        <f t="shared" si="27"/>
        <v>90.4</v>
      </c>
      <c r="J121" s="140">
        <f t="shared" si="2"/>
        <v>2.481321527</v>
      </c>
    </row>
    <row r="122">
      <c r="A122" s="4">
        <v>36.0</v>
      </c>
      <c r="B122" s="4" t="s">
        <v>73</v>
      </c>
      <c r="C122" s="3" t="s">
        <v>200</v>
      </c>
      <c r="D122" s="4" t="s">
        <v>222</v>
      </c>
      <c r="E122" s="3" t="s">
        <v>317</v>
      </c>
      <c r="F122" s="4">
        <v>23.0</v>
      </c>
      <c r="G122" s="137">
        <v>0.7</v>
      </c>
      <c r="H122" s="137">
        <v>1.1</v>
      </c>
      <c r="I122" s="140">
        <f t="shared" si="27"/>
        <v>0.7</v>
      </c>
      <c r="J122" s="140">
        <f t="shared" si="2"/>
        <v>0.2293658555</v>
      </c>
    </row>
    <row r="123">
      <c r="A123" s="4">
        <v>36.0</v>
      </c>
      <c r="B123" s="4" t="s">
        <v>73</v>
      </c>
      <c r="C123" s="3" t="s">
        <v>200</v>
      </c>
      <c r="D123" s="4" t="s">
        <v>64</v>
      </c>
      <c r="E123" s="3" t="s">
        <v>385</v>
      </c>
      <c r="F123" s="4">
        <v>23.0</v>
      </c>
      <c r="G123" s="141">
        <v>0.0</v>
      </c>
      <c r="H123" s="137">
        <v>0.10425720702853737</v>
      </c>
      <c r="I123" s="140">
        <f t="shared" ref="I123:I124" si="28">(G123+0.5)/(F123+0.5)</f>
        <v>0.02127659574</v>
      </c>
      <c r="J123" s="140">
        <f t="shared" si="2"/>
        <v>0.02173913043</v>
      </c>
    </row>
    <row r="124">
      <c r="A124" s="4">
        <v>37.0</v>
      </c>
      <c r="B124" s="4" t="s">
        <v>75</v>
      </c>
      <c r="C124" s="3" t="s">
        <v>42</v>
      </c>
      <c r="D124" s="4" t="s">
        <v>64</v>
      </c>
      <c r="E124" s="4" t="s">
        <v>370</v>
      </c>
      <c r="F124" s="4">
        <v>40.0</v>
      </c>
      <c r="G124" s="141">
        <v>5.0</v>
      </c>
      <c r="H124" s="137">
        <v>0.9938586931957762</v>
      </c>
      <c r="I124" s="140">
        <f t="shared" si="28"/>
        <v>0.1358024691</v>
      </c>
      <c r="J124" s="140">
        <f t="shared" si="2"/>
        <v>0.1571428571</v>
      </c>
    </row>
    <row r="125">
      <c r="A125" s="4">
        <v>37.0</v>
      </c>
      <c r="B125" s="4" t="s">
        <v>75</v>
      </c>
      <c r="C125" s="3" t="s">
        <v>42</v>
      </c>
      <c r="D125" s="4" t="s">
        <v>222</v>
      </c>
      <c r="E125" s="4" t="s">
        <v>371</v>
      </c>
      <c r="F125" s="4">
        <v>40.0</v>
      </c>
      <c r="G125" s="137">
        <v>91.6</v>
      </c>
      <c r="H125" s="137">
        <v>3.941835750197825</v>
      </c>
      <c r="I125" s="140">
        <f>G125</f>
        <v>91.6</v>
      </c>
      <c r="J125" s="140">
        <f t="shared" si="2"/>
        <v>0.6232589566</v>
      </c>
    </row>
    <row r="126">
      <c r="A126" s="4">
        <v>37.0</v>
      </c>
      <c r="B126" s="4" t="s">
        <v>75</v>
      </c>
      <c r="C126" s="3" t="s">
        <v>42</v>
      </c>
      <c r="D126" s="4" t="s">
        <v>64</v>
      </c>
      <c r="E126" s="3" t="s">
        <v>385</v>
      </c>
      <c r="F126" s="4">
        <v>40.0</v>
      </c>
      <c r="G126" s="141">
        <v>5.0</v>
      </c>
      <c r="H126" s="137">
        <v>0.9938586931957762</v>
      </c>
      <c r="I126" s="140">
        <f t="shared" ref="I126:I127" si="29">(G126+0.5)/(F126+0.5)</f>
        <v>0.1358024691</v>
      </c>
      <c r="J126" s="140">
        <f t="shared" si="2"/>
        <v>0.1571428571</v>
      </c>
    </row>
    <row r="127">
      <c r="A127" s="4">
        <v>37.0</v>
      </c>
      <c r="B127" s="4" t="s">
        <v>75</v>
      </c>
      <c r="C127" s="3" t="s">
        <v>84</v>
      </c>
      <c r="D127" s="4" t="s">
        <v>64</v>
      </c>
      <c r="E127" s="4" t="s">
        <v>370</v>
      </c>
      <c r="F127" s="4">
        <v>46.0</v>
      </c>
      <c r="G127" s="141">
        <v>7.0</v>
      </c>
      <c r="H127" s="137">
        <v>1.3042942275240899</v>
      </c>
      <c r="I127" s="140">
        <f t="shared" si="29"/>
        <v>0.1612903226</v>
      </c>
      <c r="J127" s="140">
        <f t="shared" si="2"/>
        <v>0.1923076923</v>
      </c>
    </row>
    <row r="128">
      <c r="A128" s="4">
        <v>37.0</v>
      </c>
      <c r="B128" s="4" t="s">
        <v>75</v>
      </c>
      <c r="C128" s="3" t="s">
        <v>84</v>
      </c>
      <c r="D128" s="4" t="s">
        <v>222</v>
      </c>
      <c r="E128" s="4" t="s">
        <v>371</v>
      </c>
      <c r="F128" s="4">
        <v>46.0</v>
      </c>
      <c r="G128" s="137">
        <v>92.7</v>
      </c>
      <c r="H128" s="137">
        <v>3.618064061265424</v>
      </c>
      <c r="I128" s="140">
        <f>G128</f>
        <v>92.7</v>
      </c>
      <c r="J128" s="140">
        <f t="shared" si="2"/>
        <v>0.5334544427</v>
      </c>
    </row>
    <row r="129">
      <c r="A129" s="4">
        <v>37.0</v>
      </c>
      <c r="B129" s="4" t="s">
        <v>75</v>
      </c>
      <c r="C129" s="3" t="s">
        <v>84</v>
      </c>
      <c r="D129" s="4" t="s">
        <v>64</v>
      </c>
      <c r="E129" s="3" t="s">
        <v>385</v>
      </c>
      <c r="F129" s="4">
        <v>45.0</v>
      </c>
      <c r="G129" s="141">
        <v>8.0</v>
      </c>
      <c r="H129" s="137">
        <v>1.5410738763849903</v>
      </c>
      <c r="I129" s="140">
        <f>(G129+0.5)/(F129+0.5)</f>
        <v>0.1868131868</v>
      </c>
      <c r="J129" s="140">
        <f t="shared" si="2"/>
        <v>0.2297297297</v>
      </c>
    </row>
    <row r="130">
      <c r="A130" s="4">
        <v>38.0</v>
      </c>
      <c r="B130" s="4" t="s">
        <v>77</v>
      </c>
      <c r="C130" s="3" t="s">
        <v>42</v>
      </c>
      <c r="D130" s="4" t="s">
        <v>222</v>
      </c>
      <c r="E130" s="4" t="s">
        <v>471</v>
      </c>
      <c r="F130" s="4">
        <v>45.0</v>
      </c>
      <c r="G130" s="137">
        <v>83.2</v>
      </c>
      <c r="H130" s="137">
        <v>2.8</v>
      </c>
      <c r="I130" s="140">
        <f t="shared" ref="I130:I133" si="30">G130</f>
        <v>83.2</v>
      </c>
      <c r="J130" s="140">
        <f t="shared" si="2"/>
        <v>0.4173993558</v>
      </c>
    </row>
    <row r="131">
      <c r="A131" s="4">
        <v>38.0</v>
      </c>
      <c r="B131" s="4" t="s">
        <v>77</v>
      </c>
      <c r="C131" s="3" t="s">
        <v>42</v>
      </c>
      <c r="D131" s="4" t="s">
        <v>222</v>
      </c>
      <c r="E131" s="4" t="s">
        <v>371</v>
      </c>
      <c r="F131" s="4">
        <v>45.0</v>
      </c>
      <c r="G131" s="137">
        <v>95.8</v>
      </c>
      <c r="H131" s="137">
        <v>2.4</v>
      </c>
      <c r="I131" s="140">
        <f t="shared" si="30"/>
        <v>95.8</v>
      </c>
      <c r="J131" s="140">
        <f t="shared" si="2"/>
        <v>0.3577708764</v>
      </c>
    </row>
    <row r="132">
      <c r="A132" s="4">
        <v>38.0</v>
      </c>
      <c r="B132" s="4" t="s">
        <v>77</v>
      </c>
      <c r="C132" s="3" t="s">
        <v>84</v>
      </c>
      <c r="D132" s="4" t="s">
        <v>222</v>
      </c>
      <c r="E132" s="4" t="s">
        <v>471</v>
      </c>
      <c r="F132" s="4">
        <v>45.0</v>
      </c>
      <c r="G132" s="137">
        <v>82.78</v>
      </c>
      <c r="H132" s="137">
        <v>2.8</v>
      </c>
      <c r="I132" s="140">
        <f t="shared" si="30"/>
        <v>82.78</v>
      </c>
      <c r="J132" s="140">
        <f t="shared" si="2"/>
        <v>0.4173993558</v>
      </c>
    </row>
    <row r="133">
      <c r="A133" s="4">
        <v>38.0</v>
      </c>
      <c r="B133" s="4" t="s">
        <v>77</v>
      </c>
      <c r="C133" s="3" t="s">
        <v>84</v>
      </c>
      <c r="D133" s="4" t="s">
        <v>222</v>
      </c>
      <c r="E133" s="4" t="s">
        <v>371</v>
      </c>
      <c r="F133" s="4">
        <v>45.0</v>
      </c>
      <c r="G133" s="137">
        <v>94.0</v>
      </c>
      <c r="H133" s="137">
        <v>3.6</v>
      </c>
      <c r="I133" s="140">
        <f t="shared" si="30"/>
        <v>94</v>
      </c>
      <c r="J133" s="140">
        <f t="shared" si="2"/>
        <v>0.5366563146</v>
      </c>
    </row>
    <row r="134">
      <c r="A134" s="4">
        <v>41.0</v>
      </c>
      <c r="B134" s="4" t="s">
        <v>79</v>
      </c>
      <c r="C134" s="3" t="s">
        <v>42</v>
      </c>
      <c r="D134" s="4" t="s">
        <v>64</v>
      </c>
      <c r="E134" s="4" t="s">
        <v>370</v>
      </c>
      <c r="F134" s="4">
        <v>43.0</v>
      </c>
      <c r="G134" s="141">
        <v>8.0</v>
      </c>
      <c r="H134" s="137">
        <v>1.5925207844733429</v>
      </c>
      <c r="I134" s="140">
        <f t="shared" ref="I134:I135" si="31">(G134+0.5)/(F134+0.5)</f>
        <v>0.1954022989</v>
      </c>
      <c r="J134" s="140">
        <f t="shared" si="2"/>
        <v>0.2428571429</v>
      </c>
    </row>
    <row r="135">
      <c r="A135" s="4">
        <v>41.0</v>
      </c>
      <c r="B135" s="4" t="s">
        <v>79</v>
      </c>
      <c r="C135" s="3" t="s">
        <v>42</v>
      </c>
      <c r="D135" s="4" t="s">
        <v>64</v>
      </c>
      <c r="E135" s="3" t="s">
        <v>385</v>
      </c>
      <c r="F135" s="4">
        <v>43.0</v>
      </c>
      <c r="G135" s="141">
        <v>3.0</v>
      </c>
      <c r="H135" s="137">
        <v>0.573775870876425</v>
      </c>
      <c r="I135" s="140">
        <f t="shared" si="31"/>
        <v>0.08045977011</v>
      </c>
      <c r="J135" s="140">
        <f t="shared" si="2"/>
        <v>0.0875</v>
      </c>
    </row>
    <row r="136">
      <c r="A136" s="4">
        <v>41.0</v>
      </c>
      <c r="B136" s="4" t="s">
        <v>79</v>
      </c>
      <c r="C136" s="3" t="s">
        <v>42</v>
      </c>
      <c r="D136" s="4" t="s">
        <v>222</v>
      </c>
      <c r="E136" s="3" t="s">
        <v>317</v>
      </c>
      <c r="F136" s="4">
        <v>43.0</v>
      </c>
      <c r="G136" s="137">
        <v>1.7</v>
      </c>
      <c r="H136" s="137">
        <v>2.631790617819617</v>
      </c>
      <c r="I136" s="140">
        <f t="shared" ref="I136:I137" si="32">G136</f>
        <v>1.7</v>
      </c>
      <c r="J136" s="140">
        <f t="shared" si="2"/>
        <v>0.4013443066</v>
      </c>
    </row>
    <row r="137">
      <c r="A137" s="4">
        <v>41.0</v>
      </c>
      <c r="B137" s="4" t="s">
        <v>79</v>
      </c>
      <c r="C137" s="3" t="s">
        <v>42</v>
      </c>
      <c r="D137" s="4" t="s">
        <v>222</v>
      </c>
      <c r="E137" s="4" t="s">
        <v>319</v>
      </c>
      <c r="F137" s="4">
        <v>43.0</v>
      </c>
      <c r="G137" s="137">
        <v>5.984570756181592</v>
      </c>
      <c r="H137" s="137">
        <v>1.6019595064988972</v>
      </c>
      <c r="I137" s="140">
        <f t="shared" si="32"/>
        <v>5.984570756</v>
      </c>
      <c r="J137" s="140">
        <f t="shared" si="2"/>
        <v>0.2442965345</v>
      </c>
    </row>
    <row r="138">
      <c r="A138" s="4">
        <v>41.0</v>
      </c>
      <c r="B138" s="4" t="s">
        <v>79</v>
      </c>
      <c r="C138" s="3" t="s">
        <v>84</v>
      </c>
      <c r="D138" s="4" t="s">
        <v>64</v>
      </c>
      <c r="E138" s="4" t="s">
        <v>370</v>
      </c>
      <c r="F138" s="4">
        <v>46.0</v>
      </c>
      <c r="G138" s="141">
        <v>8.0</v>
      </c>
      <c r="H138" s="137">
        <v>1.5171001278043366</v>
      </c>
      <c r="I138" s="140">
        <f t="shared" ref="I138:I139" si="33">(G138+0.5)/(F138+0.5)</f>
        <v>0.1827956989</v>
      </c>
      <c r="J138" s="140">
        <f t="shared" si="2"/>
        <v>0.2236842105</v>
      </c>
    </row>
    <row r="139">
      <c r="A139" s="4">
        <v>41.0</v>
      </c>
      <c r="B139" s="4" t="s">
        <v>79</v>
      </c>
      <c r="C139" s="3" t="s">
        <v>84</v>
      </c>
      <c r="D139" s="4" t="s">
        <v>64</v>
      </c>
      <c r="E139" s="3" t="s">
        <v>385</v>
      </c>
      <c r="F139" s="4">
        <v>46.0</v>
      </c>
      <c r="G139" s="141">
        <v>3.0</v>
      </c>
      <c r="H139" s="137">
        <v>0.5520501149055451</v>
      </c>
      <c r="I139" s="140">
        <f t="shared" si="33"/>
        <v>0.0752688172</v>
      </c>
      <c r="J139" s="140">
        <f t="shared" si="2"/>
        <v>0.08139534884</v>
      </c>
    </row>
    <row r="140">
      <c r="A140" s="4">
        <v>41.0</v>
      </c>
      <c r="B140" s="4" t="s">
        <v>79</v>
      </c>
      <c r="C140" s="3" t="s">
        <v>84</v>
      </c>
      <c r="D140" s="4" t="s">
        <v>222</v>
      </c>
      <c r="E140" s="3" t="s">
        <v>317</v>
      </c>
      <c r="F140" s="4">
        <v>46.0</v>
      </c>
      <c r="G140" s="137">
        <v>1.2</v>
      </c>
      <c r="H140" s="137">
        <v>2.645709344800341</v>
      </c>
      <c r="I140" s="140">
        <f t="shared" ref="I140:I143" si="34">G140</f>
        <v>1.2</v>
      </c>
      <c r="J140" s="140">
        <f t="shared" si="2"/>
        <v>0.3900885612</v>
      </c>
    </row>
    <row r="141">
      <c r="A141" s="4">
        <v>41.0</v>
      </c>
      <c r="B141" s="4" t="s">
        <v>79</v>
      </c>
      <c r="C141" s="3" t="s">
        <v>84</v>
      </c>
      <c r="D141" s="4" t="s">
        <v>222</v>
      </c>
      <c r="E141" s="4" t="s">
        <v>319</v>
      </c>
      <c r="F141" s="4">
        <v>46.0</v>
      </c>
      <c r="G141" s="137">
        <v>5.815354721133568</v>
      </c>
      <c r="H141" s="137">
        <v>2.26129003829089</v>
      </c>
      <c r="I141" s="140">
        <f t="shared" si="34"/>
        <v>5.815354721</v>
      </c>
      <c r="J141" s="140">
        <f t="shared" si="2"/>
        <v>0.3334090267</v>
      </c>
    </row>
    <row r="142">
      <c r="A142" s="4">
        <v>43.0</v>
      </c>
      <c r="B142" s="4" t="s">
        <v>82</v>
      </c>
      <c r="C142" s="3" t="s">
        <v>42</v>
      </c>
      <c r="D142" s="4" t="s">
        <v>222</v>
      </c>
      <c r="E142" s="4" t="s">
        <v>371</v>
      </c>
      <c r="F142" s="4">
        <v>74.0</v>
      </c>
      <c r="G142" s="137">
        <v>88.0</v>
      </c>
      <c r="H142" s="137">
        <v>7.5</v>
      </c>
      <c r="I142" s="140">
        <f t="shared" si="34"/>
        <v>88</v>
      </c>
      <c r="J142" s="140">
        <f t="shared" si="2"/>
        <v>0.8718572906</v>
      </c>
    </row>
    <row r="143">
      <c r="A143" s="4">
        <v>43.0</v>
      </c>
      <c r="B143" s="4" t="s">
        <v>82</v>
      </c>
      <c r="C143" s="3" t="s">
        <v>42</v>
      </c>
      <c r="D143" s="4" t="s">
        <v>222</v>
      </c>
      <c r="E143" s="3" t="s">
        <v>317</v>
      </c>
      <c r="F143" s="4">
        <v>74.0</v>
      </c>
      <c r="G143" s="137">
        <v>0.6</v>
      </c>
      <c r="H143" s="137">
        <v>0.2091795305354883</v>
      </c>
      <c r="I143" s="140">
        <f t="shared" si="34"/>
        <v>0.6</v>
      </c>
      <c r="J143" s="140">
        <f t="shared" si="2"/>
        <v>0.0243166265</v>
      </c>
    </row>
    <row r="144">
      <c r="A144" s="3">
        <v>43.0</v>
      </c>
      <c r="B144" s="4" t="s">
        <v>82</v>
      </c>
      <c r="C144" s="3" t="s">
        <v>42</v>
      </c>
      <c r="D144" s="4" t="s">
        <v>64</v>
      </c>
      <c r="E144" s="4" t="s">
        <v>59</v>
      </c>
      <c r="F144" s="4">
        <v>74.0</v>
      </c>
      <c r="G144" s="141">
        <v>0.0</v>
      </c>
      <c r="H144" s="137">
        <v>0.058123819371909635</v>
      </c>
      <c r="I144" s="140">
        <f>(G144+0.5)/(F144+0.5)</f>
        <v>0.006711409396</v>
      </c>
      <c r="J144" s="140">
        <f t="shared" si="2"/>
        <v>0.006756756757</v>
      </c>
    </row>
    <row r="145">
      <c r="A145" s="4">
        <v>43.0</v>
      </c>
      <c r="B145" s="4" t="s">
        <v>82</v>
      </c>
      <c r="C145" s="3" t="s">
        <v>84</v>
      </c>
      <c r="D145" s="4" t="s">
        <v>222</v>
      </c>
      <c r="E145" s="4" t="s">
        <v>371</v>
      </c>
      <c r="F145" s="4">
        <v>73.0</v>
      </c>
      <c r="G145" s="137">
        <v>90.0</v>
      </c>
      <c r="H145" s="137">
        <v>7.6</v>
      </c>
      <c r="I145" s="140">
        <f t="shared" ref="I145:I146" si="35">G145</f>
        <v>90</v>
      </c>
      <c r="J145" s="140">
        <f t="shared" si="2"/>
        <v>0.8895127187</v>
      </c>
    </row>
    <row r="146">
      <c r="A146" s="4">
        <v>43.0</v>
      </c>
      <c r="B146" s="4" t="s">
        <v>82</v>
      </c>
      <c r="C146" s="3" t="s">
        <v>84</v>
      </c>
      <c r="D146" s="4" t="s">
        <v>222</v>
      </c>
      <c r="E146" s="3" t="s">
        <v>317</v>
      </c>
      <c r="F146" s="4">
        <v>73.0</v>
      </c>
      <c r="G146" s="137">
        <v>0.5</v>
      </c>
      <c r="H146" s="137">
        <v>0.4192331431731492</v>
      </c>
      <c r="I146" s="140">
        <f t="shared" si="35"/>
        <v>0.5</v>
      </c>
      <c r="J146" s="140">
        <f t="shared" si="2"/>
        <v>0.04906752802</v>
      </c>
    </row>
    <row r="147">
      <c r="A147" s="3">
        <v>43.0</v>
      </c>
      <c r="B147" s="4" t="s">
        <v>82</v>
      </c>
      <c r="C147" s="3" t="s">
        <v>84</v>
      </c>
      <c r="D147" s="4" t="s">
        <v>64</v>
      </c>
      <c r="E147" s="4" t="s">
        <v>59</v>
      </c>
      <c r="F147" s="4">
        <v>73.0</v>
      </c>
      <c r="G147" s="141">
        <v>2.0</v>
      </c>
      <c r="H147" s="137">
        <v>0.3008452022999131</v>
      </c>
      <c r="I147" s="140">
        <f>(G147+0.5)/(F147+0.5)</f>
        <v>0.03401360544</v>
      </c>
      <c r="J147" s="140">
        <f t="shared" si="2"/>
        <v>0.03521126761</v>
      </c>
    </row>
    <row r="148">
      <c r="A148" s="4">
        <v>44.0</v>
      </c>
      <c r="B148" s="4" t="s">
        <v>85</v>
      </c>
      <c r="C148" s="3" t="s">
        <v>42</v>
      </c>
      <c r="D148" s="4" t="s">
        <v>222</v>
      </c>
      <c r="E148" s="4" t="s">
        <v>471</v>
      </c>
      <c r="F148" s="4">
        <v>36.0</v>
      </c>
      <c r="G148" s="137">
        <v>74.2</v>
      </c>
      <c r="H148" s="137">
        <v>10.2</v>
      </c>
      <c r="I148" s="140">
        <f t="shared" ref="I148:I152" si="36">G148</f>
        <v>74.2</v>
      </c>
      <c r="J148" s="140">
        <f t="shared" si="2"/>
        <v>1.7</v>
      </c>
    </row>
    <row r="149">
      <c r="A149" s="4">
        <v>44.0</v>
      </c>
      <c r="B149" s="4" t="s">
        <v>85</v>
      </c>
      <c r="C149" s="3" t="s">
        <v>42</v>
      </c>
      <c r="D149" s="4" t="s">
        <v>222</v>
      </c>
      <c r="E149" s="4" t="s">
        <v>371</v>
      </c>
      <c r="F149" s="4">
        <v>36.0</v>
      </c>
      <c r="G149" s="137">
        <v>93.4</v>
      </c>
      <c r="H149" s="137">
        <v>9.6</v>
      </c>
      <c r="I149" s="140">
        <f t="shared" si="36"/>
        <v>93.4</v>
      </c>
      <c r="J149" s="140">
        <f t="shared" si="2"/>
        <v>1.6</v>
      </c>
    </row>
    <row r="150">
      <c r="A150" s="4">
        <v>44.0</v>
      </c>
      <c r="B150" s="4" t="s">
        <v>85</v>
      </c>
      <c r="C150" s="3" t="s">
        <v>200</v>
      </c>
      <c r="D150" s="4" t="s">
        <v>222</v>
      </c>
      <c r="E150" s="4" t="s">
        <v>471</v>
      </c>
      <c r="F150" s="4">
        <v>36.0</v>
      </c>
      <c r="G150" s="137">
        <v>78.3</v>
      </c>
      <c r="H150" s="137">
        <v>10.5</v>
      </c>
      <c r="I150" s="140">
        <f t="shared" si="36"/>
        <v>78.3</v>
      </c>
      <c r="J150" s="140">
        <f t="shared" si="2"/>
        <v>1.75</v>
      </c>
    </row>
    <row r="151">
      <c r="A151" s="4">
        <v>44.0</v>
      </c>
      <c r="B151" s="4" t="s">
        <v>85</v>
      </c>
      <c r="C151" s="3" t="s">
        <v>200</v>
      </c>
      <c r="D151" s="4" t="s">
        <v>222</v>
      </c>
      <c r="E151" s="4" t="s">
        <v>371</v>
      </c>
      <c r="F151" s="4">
        <v>36.0</v>
      </c>
      <c r="G151" s="137">
        <v>90.1</v>
      </c>
      <c r="H151" s="137">
        <v>6.7</v>
      </c>
      <c r="I151" s="140">
        <f t="shared" si="36"/>
        <v>90.1</v>
      </c>
      <c r="J151" s="140">
        <f t="shared" si="2"/>
        <v>1.116666667</v>
      </c>
    </row>
    <row r="152">
      <c r="A152" s="4">
        <v>45.0</v>
      </c>
      <c r="B152" s="4" t="s">
        <v>88</v>
      </c>
      <c r="C152" s="3" t="s">
        <v>42</v>
      </c>
      <c r="D152" s="4" t="s">
        <v>222</v>
      </c>
      <c r="E152" s="3" t="s">
        <v>317</v>
      </c>
      <c r="F152" s="4">
        <v>24.0</v>
      </c>
      <c r="G152" s="137">
        <v>1.8</v>
      </c>
      <c r="H152" s="137">
        <v>0.5136363310484902</v>
      </c>
      <c r="I152" s="140">
        <f t="shared" si="36"/>
        <v>1.8</v>
      </c>
      <c r="J152" s="140">
        <f t="shared" si="2"/>
        <v>0.104845577</v>
      </c>
    </row>
    <row r="153">
      <c r="A153" s="4">
        <v>45.0</v>
      </c>
      <c r="B153" s="4" t="s">
        <v>88</v>
      </c>
      <c r="C153" s="3" t="s">
        <v>42</v>
      </c>
      <c r="D153" s="4" t="s">
        <v>64</v>
      </c>
      <c r="E153" s="4" t="s">
        <v>370</v>
      </c>
      <c r="F153" s="4">
        <v>24.0</v>
      </c>
      <c r="G153" s="141">
        <v>8.0</v>
      </c>
      <c r="H153" s="137">
        <v>2.6025828517071266</v>
      </c>
      <c r="I153" s="140">
        <f>(G153+0.5)/(F153+0.5)</f>
        <v>0.3469387755</v>
      </c>
      <c r="J153" s="140">
        <f t="shared" si="2"/>
        <v>0.53125</v>
      </c>
    </row>
    <row r="154">
      <c r="A154" s="4">
        <v>45.0</v>
      </c>
      <c r="B154" s="4" t="s">
        <v>88</v>
      </c>
      <c r="C154" s="3" t="s">
        <v>42</v>
      </c>
      <c r="D154" s="4" t="s">
        <v>222</v>
      </c>
      <c r="E154" s="4" t="s">
        <v>319</v>
      </c>
      <c r="F154" s="4">
        <v>24.0</v>
      </c>
      <c r="G154" s="137">
        <v>5.9</v>
      </c>
      <c r="H154" s="137">
        <v>1.2840908276212255</v>
      </c>
      <c r="I154" s="140">
        <f t="shared" ref="I154:I156" si="37">G154</f>
        <v>5.9</v>
      </c>
      <c r="J154" s="140">
        <f t="shared" si="2"/>
        <v>0.2621139426</v>
      </c>
    </row>
    <row r="155">
      <c r="A155" s="4">
        <v>45.0</v>
      </c>
      <c r="B155" s="4" t="s">
        <v>88</v>
      </c>
      <c r="C155" s="3" t="s">
        <v>42</v>
      </c>
      <c r="D155" s="4" t="s">
        <v>222</v>
      </c>
      <c r="E155" s="4" t="s">
        <v>371</v>
      </c>
      <c r="F155" s="4">
        <v>24.0</v>
      </c>
      <c r="G155" s="137">
        <v>92.0</v>
      </c>
      <c r="H155" s="137">
        <v>8.988635793348578</v>
      </c>
      <c r="I155" s="140">
        <f t="shared" si="37"/>
        <v>92</v>
      </c>
      <c r="J155" s="140">
        <f t="shared" si="2"/>
        <v>1.834797598</v>
      </c>
    </row>
    <row r="156">
      <c r="A156" s="4">
        <v>45.0</v>
      </c>
      <c r="B156" s="4" t="s">
        <v>88</v>
      </c>
      <c r="C156" s="3" t="s">
        <v>84</v>
      </c>
      <c r="D156" s="4" t="s">
        <v>222</v>
      </c>
      <c r="E156" s="3" t="s">
        <v>317</v>
      </c>
      <c r="F156" s="4">
        <v>23.0</v>
      </c>
      <c r="G156" s="137">
        <v>2.2</v>
      </c>
      <c r="H156" s="137">
        <v>0.7777107512714587</v>
      </c>
      <c r="I156" s="140">
        <f t="shared" si="37"/>
        <v>2.2</v>
      </c>
      <c r="J156" s="140">
        <f t="shared" si="2"/>
        <v>0.1621639016</v>
      </c>
    </row>
    <row r="157">
      <c r="A157" s="4">
        <v>45.0</v>
      </c>
      <c r="B157" s="4" t="s">
        <v>88</v>
      </c>
      <c r="C157" s="3" t="s">
        <v>84</v>
      </c>
      <c r="D157" s="4" t="s">
        <v>64</v>
      </c>
      <c r="E157" s="4" t="s">
        <v>370</v>
      </c>
      <c r="F157" s="4">
        <v>23.0</v>
      </c>
      <c r="G157" s="141">
        <v>11.0</v>
      </c>
      <c r="H157" s="137">
        <v>4.596005209841355</v>
      </c>
      <c r="I157" s="140">
        <f>(G157+0.5)/(F157+0.5)</f>
        <v>0.4893617021</v>
      </c>
      <c r="J157" s="140">
        <f t="shared" si="2"/>
        <v>0.9583333333</v>
      </c>
    </row>
    <row r="158">
      <c r="A158" s="4">
        <v>45.0</v>
      </c>
      <c r="B158" s="4" t="s">
        <v>88</v>
      </c>
      <c r="C158" s="3" t="s">
        <v>84</v>
      </c>
      <c r="D158" s="4" t="s">
        <v>222</v>
      </c>
      <c r="E158" s="4" t="s">
        <v>319</v>
      </c>
      <c r="F158" s="4">
        <v>23.0</v>
      </c>
      <c r="G158" s="137">
        <v>5.1</v>
      </c>
      <c r="H158" s="137">
        <v>1.036947668361945</v>
      </c>
      <c r="I158" s="140">
        <f t="shared" ref="I158:I160" si="38">G158</f>
        <v>5.1</v>
      </c>
      <c r="J158" s="140">
        <f t="shared" si="2"/>
        <v>0.2162185355</v>
      </c>
    </row>
    <row r="159">
      <c r="A159" s="4">
        <v>45.0</v>
      </c>
      <c r="B159" s="4" t="s">
        <v>88</v>
      </c>
      <c r="C159" s="3" t="s">
        <v>84</v>
      </c>
      <c r="D159" s="4" t="s">
        <v>222</v>
      </c>
      <c r="E159" s="4" t="s">
        <v>371</v>
      </c>
      <c r="F159" s="4">
        <v>23.0</v>
      </c>
      <c r="G159" s="137">
        <v>91.8</v>
      </c>
      <c r="H159" s="137">
        <v>9.332529015257505</v>
      </c>
      <c r="I159" s="140">
        <f t="shared" si="38"/>
        <v>91.8</v>
      </c>
      <c r="J159" s="140">
        <f t="shared" si="2"/>
        <v>1.945966819</v>
      </c>
    </row>
    <row r="160">
      <c r="A160" s="4">
        <v>46.0</v>
      </c>
      <c r="B160" s="4" t="s">
        <v>90</v>
      </c>
      <c r="C160" s="3" t="s">
        <v>42</v>
      </c>
      <c r="D160" s="4" t="s">
        <v>222</v>
      </c>
      <c r="E160" s="3" t="s">
        <v>317</v>
      </c>
      <c r="F160" s="4">
        <v>15.0</v>
      </c>
      <c r="G160" s="137">
        <v>1.22</v>
      </c>
      <c r="H160" s="137">
        <v>0.6898993499373536</v>
      </c>
      <c r="I160" s="140">
        <f t="shared" si="38"/>
        <v>1.22</v>
      </c>
      <c r="J160" s="140">
        <f t="shared" si="2"/>
        <v>0.1781312462</v>
      </c>
    </row>
    <row r="161">
      <c r="A161" s="4">
        <v>46.0</v>
      </c>
      <c r="B161" s="4" t="s">
        <v>90</v>
      </c>
      <c r="C161" s="3" t="s">
        <v>42</v>
      </c>
      <c r="D161" s="4" t="s">
        <v>64</v>
      </c>
      <c r="E161" s="3" t="s">
        <v>385</v>
      </c>
      <c r="F161" s="4">
        <v>15.0</v>
      </c>
      <c r="G161" s="141">
        <v>2.0</v>
      </c>
      <c r="H161" s="137">
        <v>0.7448044896552725</v>
      </c>
      <c r="I161" s="140">
        <f>(G161+0.5)/(F161+0.5)</f>
        <v>0.1612903226</v>
      </c>
      <c r="J161" s="140">
        <f t="shared" si="2"/>
        <v>0.1923076923</v>
      </c>
    </row>
    <row r="162">
      <c r="A162" s="4">
        <v>46.0</v>
      </c>
      <c r="B162" s="4" t="s">
        <v>90</v>
      </c>
      <c r="C162" s="3" t="s">
        <v>84</v>
      </c>
      <c r="D162" s="4" t="s">
        <v>222</v>
      </c>
      <c r="E162" s="3" t="s">
        <v>317</v>
      </c>
      <c r="F162" s="4">
        <v>13.0</v>
      </c>
      <c r="G162" s="137">
        <v>0.96</v>
      </c>
      <c r="H162" s="137">
        <v>0.4184257018502247</v>
      </c>
      <c r="I162" s="140">
        <f>G162</f>
        <v>0.96</v>
      </c>
      <c r="J162" s="140">
        <f t="shared" si="2"/>
        <v>0.1160504095</v>
      </c>
    </row>
    <row r="163">
      <c r="A163" s="4">
        <v>46.0</v>
      </c>
      <c r="B163" s="4" t="s">
        <v>90</v>
      </c>
      <c r="C163" s="3" t="s">
        <v>84</v>
      </c>
      <c r="D163" s="4" t="s">
        <v>64</v>
      </c>
      <c r="E163" s="3" t="s">
        <v>385</v>
      </c>
      <c r="F163" s="4">
        <v>13.0</v>
      </c>
      <c r="G163" s="141">
        <v>2.0</v>
      </c>
      <c r="H163" s="137">
        <v>0.819443471696361</v>
      </c>
      <c r="I163" s="140">
        <f t="shared" ref="I163:I165" si="39">(G163+0.5)/(F163+0.5)</f>
        <v>0.1851851852</v>
      </c>
      <c r="J163" s="140">
        <f t="shared" si="2"/>
        <v>0.2272727273</v>
      </c>
    </row>
    <row r="164">
      <c r="A164" s="4">
        <v>47.0</v>
      </c>
      <c r="B164" s="4" t="s">
        <v>91</v>
      </c>
      <c r="C164" s="3" t="s">
        <v>84</v>
      </c>
      <c r="D164" s="4" t="s">
        <v>64</v>
      </c>
      <c r="E164" s="3" t="s">
        <v>385</v>
      </c>
      <c r="F164" s="4">
        <v>48.0</v>
      </c>
      <c r="G164" s="141">
        <v>6.0</v>
      </c>
      <c r="H164" s="137">
        <v>1.072221928495019</v>
      </c>
      <c r="I164" s="140">
        <f t="shared" si="39"/>
        <v>0.1340206186</v>
      </c>
      <c r="J164" s="140">
        <f t="shared" si="2"/>
        <v>0.1547619048</v>
      </c>
    </row>
    <row r="165">
      <c r="A165" s="4">
        <v>47.0</v>
      </c>
      <c r="B165" s="4" t="s">
        <v>91</v>
      </c>
      <c r="C165" s="3" t="s">
        <v>205</v>
      </c>
      <c r="D165" s="4" t="s">
        <v>64</v>
      </c>
      <c r="E165" s="3" t="s">
        <v>385</v>
      </c>
      <c r="F165" s="4">
        <v>44.0</v>
      </c>
      <c r="G165" s="141">
        <v>4.0</v>
      </c>
      <c r="H165" s="137">
        <v>0.746240577829965</v>
      </c>
      <c r="I165" s="140">
        <f t="shared" si="39"/>
        <v>0.1011235955</v>
      </c>
      <c r="J165" s="140">
        <f t="shared" si="2"/>
        <v>0.1125</v>
      </c>
    </row>
    <row r="166">
      <c r="A166" s="4">
        <v>49.0</v>
      </c>
      <c r="B166" s="4" t="s">
        <v>93</v>
      </c>
      <c r="C166" s="3" t="s">
        <v>42</v>
      </c>
      <c r="D166" s="4" t="s">
        <v>222</v>
      </c>
      <c r="E166" s="4" t="s">
        <v>319</v>
      </c>
      <c r="F166" s="4">
        <v>40.0</v>
      </c>
      <c r="G166" s="137">
        <v>6.0</v>
      </c>
      <c r="H166" s="137">
        <v>1.8549815295048588</v>
      </c>
      <c r="I166" s="140">
        <f t="shared" ref="I166:I168" si="40">G166</f>
        <v>6</v>
      </c>
      <c r="J166" s="140">
        <f t="shared" si="2"/>
        <v>0.2932983325</v>
      </c>
    </row>
    <row r="167">
      <c r="A167" s="4">
        <v>49.0</v>
      </c>
      <c r="B167" s="4" t="s">
        <v>93</v>
      </c>
      <c r="C167" s="3" t="s">
        <v>42</v>
      </c>
      <c r="D167" s="4" t="s">
        <v>222</v>
      </c>
      <c r="E167" s="4" t="s">
        <v>371</v>
      </c>
      <c r="F167" s="4">
        <v>40.0</v>
      </c>
      <c r="G167" s="137">
        <v>94.0</v>
      </c>
      <c r="H167" s="137">
        <v>18.08606991267237</v>
      </c>
      <c r="I167" s="140">
        <f t="shared" si="40"/>
        <v>94</v>
      </c>
      <c r="J167" s="140">
        <f t="shared" si="2"/>
        <v>2.859658742</v>
      </c>
    </row>
    <row r="168">
      <c r="A168" s="4">
        <v>49.0</v>
      </c>
      <c r="B168" s="4" t="s">
        <v>93</v>
      </c>
      <c r="C168" s="3" t="s">
        <v>42</v>
      </c>
      <c r="D168" s="4" t="s">
        <v>222</v>
      </c>
      <c r="E168" s="3" t="s">
        <v>317</v>
      </c>
      <c r="F168" s="4">
        <v>40.0</v>
      </c>
      <c r="G168" s="137">
        <v>1.0</v>
      </c>
      <c r="H168" s="137">
        <v>3.0143449854453954</v>
      </c>
      <c r="I168" s="140">
        <f t="shared" si="40"/>
        <v>1</v>
      </c>
      <c r="J168" s="140">
        <f t="shared" si="2"/>
        <v>0.4766097904</v>
      </c>
    </row>
    <row r="169">
      <c r="A169" s="4">
        <v>49.0</v>
      </c>
      <c r="B169" s="4" t="s">
        <v>93</v>
      </c>
      <c r="C169" s="3" t="s">
        <v>42</v>
      </c>
      <c r="D169" s="4" t="s">
        <v>64</v>
      </c>
      <c r="E169" s="4" t="s">
        <v>59</v>
      </c>
      <c r="F169" s="4">
        <v>40.0</v>
      </c>
      <c r="G169" s="141">
        <v>1.0</v>
      </c>
      <c r="H169" s="137">
        <v>0.24325212770525995</v>
      </c>
      <c r="I169" s="140">
        <f>(G169+0.5)/(F169+0.5)</f>
        <v>0.03703703704</v>
      </c>
      <c r="J169" s="140">
        <f t="shared" si="2"/>
        <v>0.03846153846</v>
      </c>
    </row>
    <row r="170">
      <c r="A170" s="4">
        <v>49.0</v>
      </c>
      <c r="B170" s="4" t="s">
        <v>93</v>
      </c>
      <c r="C170" s="3" t="s">
        <v>84</v>
      </c>
      <c r="D170" s="4" t="s">
        <v>222</v>
      </c>
      <c r="E170" s="4" t="s">
        <v>319</v>
      </c>
      <c r="F170" s="4">
        <v>39.0</v>
      </c>
      <c r="G170" s="137">
        <v>4.0</v>
      </c>
      <c r="H170" s="137">
        <v>1.8636514816432228</v>
      </c>
      <c r="I170" s="140">
        <f t="shared" ref="I170:I172" si="41">G170</f>
        <v>4</v>
      </c>
      <c r="J170" s="140">
        <f t="shared" si="2"/>
        <v>0.2984230711</v>
      </c>
    </row>
    <row r="171">
      <c r="A171" s="4">
        <v>49.0</v>
      </c>
      <c r="B171" s="4" t="s">
        <v>93</v>
      </c>
      <c r="C171" s="3" t="s">
        <v>84</v>
      </c>
      <c r="D171" s="4" t="s">
        <v>222</v>
      </c>
      <c r="E171" s="4" t="s">
        <v>371</v>
      </c>
      <c r="F171" s="4">
        <v>39.0</v>
      </c>
      <c r="G171" s="137">
        <v>89.0</v>
      </c>
      <c r="H171" s="137">
        <v>11.880778195475544</v>
      </c>
      <c r="I171" s="140">
        <f t="shared" si="41"/>
        <v>89</v>
      </c>
      <c r="J171" s="140">
        <f t="shared" si="2"/>
        <v>1.902447078</v>
      </c>
    </row>
    <row r="172">
      <c r="A172" s="4">
        <v>49.0</v>
      </c>
      <c r="B172" s="4" t="s">
        <v>93</v>
      </c>
      <c r="C172" s="3" t="s">
        <v>84</v>
      </c>
      <c r="D172" s="4" t="s">
        <v>222</v>
      </c>
      <c r="E172" s="3" t="s">
        <v>317</v>
      </c>
      <c r="F172" s="4">
        <v>39.0</v>
      </c>
      <c r="G172" s="137">
        <v>2.0</v>
      </c>
      <c r="H172" s="137">
        <v>3.028433657670237</v>
      </c>
      <c r="I172" s="140">
        <f t="shared" si="41"/>
        <v>2</v>
      </c>
      <c r="J172" s="140">
        <f t="shared" si="2"/>
        <v>0.4849374905</v>
      </c>
    </row>
    <row r="173">
      <c r="A173" s="4">
        <v>49.0</v>
      </c>
      <c r="B173" s="4" t="s">
        <v>93</v>
      </c>
      <c r="C173" s="3" t="s">
        <v>84</v>
      </c>
      <c r="D173" s="4" t="s">
        <v>64</v>
      </c>
      <c r="E173" s="4" t="s">
        <v>59</v>
      </c>
      <c r="F173" s="4">
        <v>39.0</v>
      </c>
      <c r="G173" s="141">
        <v>2.0</v>
      </c>
      <c r="H173" s="137">
        <v>0.42195932421610804</v>
      </c>
      <c r="I173" s="140">
        <f>(G173+0.5)/(F173+0.5)</f>
        <v>0.06329113924</v>
      </c>
      <c r="J173" s="140">
        <f t="shared" si="2"/>
        <v>0.06756756757</v>
      </c>
    </row>
    <row r="174">
      <c r="A174" s="3">
        <v>49.0</v>
      </c>
      <c r="B174" s="4" t="s">
        <v>93</v>
      </c>
      <c r="C174" s="3" t="s">
        <v>84</v>
      </c>
      <c r="D174" s="4" t="s">
        <v>222</v>
      </c>
      <c r="E174" s="4" t="s">
        <v>319</v>
      </c>
      <c r="F174" s="4">
        <v>39.0</v>
      </c>
      <c r="G174" s="137">
        <v>4.0</v>
      </c>
      <c r="H174" s="137">
        <v>1.397738611232417</v>
      </c>
      <c r="I174" s="140">
        <f t="shared" ref="I174:I176" si="42">G174</f>
        <v>4</v>
      </c>
      <c r="J174" s="140">
        <f t="shared" si="2"/>
        <v>0.2238173033</v>
      </c>
    </row>
    <row r="175">
      <c r="A175" s="3">
        <v>49.0</v>
      </c>
      <c r="B175" s="4" t="s">
        <v>93</v>
      </c>
      <c r="C175" s="3" t="s">
        <v>84</v>
      </c>
      <c r="D175" s="4" t="s">
        <v>222</v>
      </c>
      <c r="E175" s="4" t="s">
        <v>371</v>
      </c>
      <c r="F175" s="4">
        <v>39.0</v>
      </c>
      <c r="G175" s="137">
        <v>95.0</v>
      </c>
      <c r="H175" s="137">
        <v>14.210342547529573</v>
      </c>
      <c r="I175" s="140">
        <f t="shared" si="42"/>
        <v>95</v>
      </c>
      <c r="J175" s="140">
        <f t="shared" si="2"/>
        <v>2.275475917</v>
      </c>
    </row>
    <row r="176">
      <c r="A176" s="3">
        <v>49.0</v>
      </c>
      <c r="B176" s="4" t="s">
        <v>93</v>
      </c>
      <c r="C176" s="3" t="s">
        <v>84</v>
      </c>
      <c r="D176" s="4" t="s">
        <v>222</v>
      </c>
      <c r="E176" s="3" t="s">
        <v>317</v>
      </c>
      <c r="F176" s="4">
        <v>39.0</v>
      </c>
      <c r="G176" s="137">
        <v>1.0</v>
      </c>
      <c r="H176" s="137">
        <v>3.144911875272938</v>
      </c>
      <c r="I176" s="140">
        <f t="shared" si="42"/>
        <v>1</v>
      </c>
      <c r="J176" s="140">
        <f t="shared" si="2"/>
        <v>0.5035889325</v>
      </c>
    </row>
    <row r="177">
      <c r="A177" s="3">
        <v>49.0</v>
      </c>
      <c r="B177" s="4" t="s">
        <v>93</v>
      </c>
      <c r="C177" s="3" t="s">
        <v>84</v>
      </c>
      <c r="D177" s="4" t="s">
        <v>64</v>
      </c>
      <c r="E177" s="4" t="s">
        <v>59</v>
      </c>
      <c r="F177" s="4">
        <v>39.0</v>
      </c>
      <c r="G177" s="141">
        <v>2.0</v>
      </c>
      <c r="H177" s="137">
        <v>0.42195932421610804</v>
      </c>
      <c r="I177" s="140">
        <f>(G177+0.5)/(F177+0.5)</f>
        <v>0.06329113924</v>
      </c>
      <c r="J177" s="140">
        <f t="shared" si="2"/>
        <v>0.06756756757</v>
      </c>
    </row>
    <row r="178">
      <c r="A178" s="4">
        <v>51.0</v>
      </c>
      <c r="B178" s="4" t="s">
        <v>96</v>
      </c>
      <c r="C178" s="3" t="s">
        <v>84</v>
      </c>
      <c r="D178" s="4" t="s">
        <v>222</v>
      </c>
      <c r="E178" s="3" t="s">
        <v>317</v>
      </c>
      <c r="F178" s="4">
        <v>32.0</v>
      </c>
      <c r="G178" s="137">
        <v>2.1</v>
      </c>
      <c r="H178" s="137">
        <v>1.6</v>
      </c>
      <c r="I178" s="140">
        <f>G178</f>
        <v>2.1</v>
      </c>
      <c r="J178" s="140">
        <f t="shared" si="2"/>
        <v>0.2828427125</v>
      </c>
    </row>
    <row r="179">
      <c r="A179" s="4">
        <v>51.0</v>
      </c>
      <c r="B179" s="4" t="s">
        <v>96</v>
      </c>
      <c r="C179" s="3" t="s">
        <v>84</v>
      </c>
      <c r="D179" s="4" t="s">
        <v>64</v>
      </c>
      <c r="E179" s="3" t="s">
        <v>385</v>
      </c>
      <c r="F179" s="4">
        <v>32.0</v>
      </c>
      <c r="G179" s="141">
        <v>4.0</v>
      </c>
      <c r="H179" s="137">
        <v>0.9091372900969898</v>
      </c>
      <c r="I179" s="140">
        <f t="shared" ref="I179:I180" si="43">(G179+0.5)/(F179+0.5)</f>
        <v>0.1384615385</v>
      </c>
      <c r="J179" s="140">
        <f t="shared" si="2"/>
        <v>0.1607142857</v>
      </c>
    </row>
    <row r="180">
      <c r="A180" s="4">
        <v>51.0</v>
      </c>
      <c r="B180" s="4" t="s">
        <v>96</v>
      </c>
      <c r="C180" s="3" t="s">
        <v>84</v>
      </c>
      <c r="D180" s="4" t="s">
        <v>64</v>
      </c>
      <c r="E180" s="4" t="s">
        <v>370</v>
      </c>
      <c r="F180" s="4">
        <v>32.0</v>
      </c>
      <c r="G180" s="141">
        <v>6.0</v>
      </c>
      <c r="H180" s="137">
        <v>1.4142135623730951</v>
      </c>
      <c r="I180" s="140">
        <f t="shared" si="43"/>
        <v>0.2</v>
      </c>
      <c r="J180" s="140">
        <f t="shared" si="2"/>
        <v>0.25</v>
      </c>
    </row>
    <row r="181">
      <c r="A181" s="4">
        <v>51.0</v>
      </c>
      <c r="B181" s="4" t="s">
        <v>96</v>
      </c>
      <c r="C181" s="3" t="s">
        <v>84</v>
      </c>
      <c r="D181" s="4" t="s">
        <v>222</v>
      </c>
      <c r="E181" s="4" t="s">
        <v>471</v>
      </c>
      <c r="F181" s="4">
        <v>32.0</v>
      </c>
      <c r="G181" s="137">
        <v>87.5</v>
      </c>
      <c r="H181" s="137">
        <v>3.2</v>
      </c>
      <c r="I181" s="140">
        <f t="shared" ref="I181:I184" si="44">G181</f>
        <v>87.5</v>
      </c>
      <c r="J181" s="140">
        <f t="shared" si="2"/>
        <v>0.5656854249</v>
      </c>
    </row>
    <row r="182">
      <c r="A182" s="4">
        <v>51.0</v>
      </c>
      <c r="B182" s="4" t="s">
        <v>96</v>
      </c>
      <c r="C182" s="3" t="s">
        <v>84</v>
      </c>
      <c r="D182" s="4" t="s">
        <v>222</v>
      </c>
      <c r="E182" s="4" t="s">
        <v>319</v>
      </c>
      <c r="F182" s="4">
        <v>32.0</v>
      </c>
      <c r="G182" s="137">
        <v>7.3</v>
      </c>
      <c r="H182" s="137">
        <v>1.3</v>
      </c>
      <c r="I182" s="140">
        <f t="shared" si="44"/>
        <v>7.3</v>
      </c>
      <c r="J182" s="140">
        <f t="shared" si="2"/>
        <v>0.2298097039</v>
      </c>
    </row>
    <row r="183">
      <c r="A183" s="4">
        <v>51.0</v>
      </c>
      <c r="B183" s="4" t="s">
        <v>96</v>
      </c>
      <c r="C183" s="3" t="s">
        <v>84</v>
      </c>
      <c r="D183" s="4" t="s">
        <v>222</v>
      </c>
      <c r="E183" s="4" t="s">
        <v>371</v>
      </c>
      <c r="F183" s="4">
        <v>32.0</v>
      </c>
      <c r="G183" s="137">
        <v>91.3</v>
      </c>
      <c r="H183" s="137">
        <v>11.5</v>
      </c>
      <c r="I183" s="140">
        <f t="shared" si="44"/>
        <v>91.3</v>
      </c>
      <c r="J183" s="140">
        <f t="shared" si="2"/>
        <v>2.032931996</v>
      </c>
    </row>
    <row r="184">
      <c r="A184" s="4">
        <v>51.0</v>
      </c>
      <c r="B184" s="4" t="s">
        <v>96</v>
      </c>
      <c r="C184" s="3" t="s">
        <v>205</v>
      </c>
      <c r="D184" s="4" t="s">
        <v>222</v>
      </c>
      <c r="E184" s="3" t="s">
        <v>317</v>
      </c>
      <c r="F184" s="4">
        <v>32.0</v>
      </c>
      <c r="G184" s="137">
        <v>3.5</v>
      </c>
      <c r="H184" s="137">
        <v>1.2</v>
      </c>
      <c r="I184" s="140">
        <f t="shared" si="44"/>
        <v>3.5</v>
      </c>
      <c r="J184" s="140">
        <f t="shared" si="2"/>
        <v>0.2121320344</v>
      </c>
    </row>
    <row r="185">
      <c r="A185" s="4">
        <v>51.0</v>
      </c>
      <c r="B185" s="4" t="s">
        <v>96</v>
      </c>
      <c r="C185" s="3" t="s">
        <v>205</v>
      </c>
      <c r="D185" s="4" t="s">
        <v>64</v>
      </c>
      <c r="E185" s="3" t="s">
        <v>385</v>
      </c>
      <c r="F185" s="4">
        <v>32.0</v>
      </c>
      <c r="G185" s="141">
        <v>9.0</v>
      </c>
      <c r="H185" s="137">
        <v>2.336526755225114</v>
      </c>
      <c r="I185" s="140">
        <f t="shared" ref="I185:I186" si="45">(G185+0.5)/(F185+0.5)</f>
        <v>0.2923076923</v>
      </c>
      <c r="J185" s="140">
        <f t="shared" si="2"/>
        <v>0.4130434783</v>
      </c>
    </row>
    <row r="186">
      <c r="A186" s="4">
        <v>51.0</v>
      </c>
      <c r="B186" s="4" t="s">
        <v>96</v>
      </c>
      <c r="C186" s="3" t="s">
        <v>205</v>
      </c>
      <c r="D186" s="4" t="s">
        <v>64</v>
      </c>
      <c r="E186" s="4" t="s">
        <v>370</v>
      </c>
      <c r="F186" s="4">
        <v>32.0</v>
      </c>
      <c r="G186" s="141">
        <v>13.0</v>
      </c>
      <c r="H186" s="137">
        <v>4.01934380884985</v>
      </c>
      <c r="I186" s="140">
        <f t="shared" si="45"/>
        <v>0.4153846154</v>
      </c>
      <c r="J186" s="140">
        <f t="shared" si="2"/>
        <v>0.7105263158</v>
      </c>
    </row>
    <row r="187">
      <c r="A187" s="4">
        <v>51.0</v>
      </c>
      <c r="B187" s="4" t="s">
        <v>96</v>
      </c>
      <c r="C187" s="3" t="s">
        <v>205</v>
      </c>
      <c r="D187" s="4" t="s">
        <v>222</v>
      </c>
      <c r="E187" s="4" t="s">
        <v>471</v>
      </c>
      <c r="F187" s="4">
        <v>32.0</v>
      </c>
      <c r="G187" s="137">
        <v>83.8</v>
      </c>
      <c r="H187" s="137">
        <v>6.9</v>
      </c>
      <c r="I187" s="140">
        <f t="shared" ref="I187:I192" si="46">G187</f>
        <v>83.8</v>
      </c>
      <c r="J187" s="140">
        <f t="shared" si="2"/>
        <v>1.219759198</v>
      </c>
    </row>
    <row r="188">
      <c r="A188" s="4">
        <v>51.0</v>
      </c>
      <c r="B188" s="4" t="s">
        <v>96</v>
      </c>
      <c r="C188" s="3" t="s">
        <v>205</v>
      </c>
      <c r="D188" s="4" t="s">
        <v>222</v>
      </c>
      <c r="E188" s="4" t="s">
        <v>319</v>
      </c>
      <c r="F188" s="4">
        <v>32.0</v>
      </c>
      <c r="G188" s="137">
        <v>7.0</v>
      </c>
      <c r="H188" s="137">
        <v>2.1</v>
      </c>
      <c r="I188" s="140">
        <f t="shared" si="46"/>
        <v>7</v>
      </c>
      <c r="J188" s="140">
        <f t="shared" si="2"/>
        <v>0.3712310601</v>
      </c>
    </row>
    <row r="189">
      <c r="A189" s="4">
        <v>51.0</v>
      </c>
      <c r="B189" s="4" t="s">
        <v>96</v>
      </c>
      <c r="C189" s="3" t="s">
        <v>205</v>
      </c>
      <c r="D189" s="4" t="s">
        <v>222</v>
      </c>
      <c r="E189" s="4" t="s">
        <v>371</v>
      </c>
      <c r="F189" s="4">
        <v>32.0</v>
      </c>
      <c r="G189" s="137">
        <v>88.7</v>
      </c>
      <c r="H189" s="137">
        <v>8.6</v>
      </c>
      <c r="I189" s="140">
        <f t="shared" si="46"/>
        <v>88.7</v>
      </c>
      <c r="J189" s="140">
        <f t="shared" si="2"/>
        <v>1.52027958</v>
      </c>
    </row>
    <row r="190">
      <c r="A190" s="4">
        <v>52.0</v>
      </c>
      <c r="B190" s="4" t="s">
        <v>98</v>
      </c>
      <c r="C190" s="3" t="s">
        <v>42</v>
      </c>
      <c r="D190" s="4" t="s">
        <v>222</v>
      </c>
      <c r="E190" s="4" t="s">
        <v>319</v>
      </c>
      <c r="F190" s="4">
        <v>30.0</v>
      </c>
      <c r="G190" s="137">
        <v>5.0</v>
      </c>
      <c r="H190" s="137">
        <v>1.7154497099968813</v>
      </c>
      <c r="I190" s="140">
        <f t="shared" si="46"/>
        <v>5</v>
      </c>
      <c r="J190" s="140">
        <f t="shared" si="2"/>
        <v>0.3131968341</v>
      </c>
    </row>
    <row r="191">
      <c r="A191" s="4">
        <v>52.0</v>
      </c>
      <c r="B191" s="4" t="s">
        <v>98</v>
      </c>
      <c r="C191" s="3" t="s">
        <v>42</v>
      </c>
      <c r="D191" s="4" t="s">
        <v>222</v>
      </c>
      <c r="E191" s="4" t="s">
        <v>371</v>
      </c>
      <c r="F191" s="4">
        <v>30.0</v>
      </c>
      <c r="G191" s="137">
        <v>81.0</v>
      </c>
      <c r="H191" s="137">
        <v>18.379818321395156</v>
      </c>
      <c r="I191" s="140">
        <f t="shared" si="46"/>
        <v>81</v>
      </c>
      <c r="J191" s="140">
        <f t="shared" si="2"/>
        <v>3.355680366</v>
      </c>
    </row>
    <row r="192">
      <c r="A192" s="4">
        <v>52.0</v>
      </c>
      <c r="B192" s="4" t="s">
        <v>98</v>
      </c>
      <c r="C192" s="3" t="s">
        <v>42</v>
      </c>
      <c r="D192" s="4" t="s">
        <v>222</v>
      </c>
      <c r="E192" s="3" t="s">
        <v>317</v>
      </c>
      <c r="F192" s="4">
        <v>30.0</v>
      </c>
      <c r="G192" s="137">
        <v>2.3</v>
      </c>
      <c r="H192" s="137">
        <v>3.0633030535658596</v>
      </c>
      <c r="I192" s="140">
        <f t="shared" si="46"/>
        <v>2.3</v>
      </c>
      <c r="J192" s="140">
        <f t="shared" si="2"/>
        <v>0.559280061</v>
      </c>
    </row>
    <row r="193">
      <c r="A193" s="4">
        <v>52.0</v>
      </c>
      <c r="B193" s="4" t="s">
        <v>98</v>
      </c>
      <c r="C193" s="3" t="s">
        <v>42</v>
      </c>
      <c r="D193" s="4" t="s">
        <v>64</v>
      </c>
      <c r="E193" s="4" t="s">
        <v>370</v>
      </c>
      <c r="F193" s="4">
        <v>30.0</v>
      </c>
      <c r="G193" s="141">
        <v>22.0</v>
      </c>
      <c r="H193" s="137">
        <v>15.404696929832799</v>
      </c>
      <c r="I193" s="140">
        <f>(G193+0.5)/(F193+0.5)</f>
        <v>0.737704918</v>
      </c>
      <c r="J193" s="140">
        <f t="shared" si="2"/>
        <v>2.8125</v>
      </c>
    </row>
    <row r="194">
      <c r="A194" s="4">
        <v>52.0</v>
      </c>
      <c r="B194" s="4" t="s">
        <v>98</v>
      </c>
      <c r="C194" s="3" t="s">
        <v>84</v>
      </c>
      <c r="D194" s="4" t="s">
        <v>222</v>
      </c>
      <c r="E194" s="4" t="s">
        <v>319</v>
      </c>
      <c r="F194" s="4">
        <v>32.0</v>
      </c>
      <c r="G194" s="137">
        <v>6.0</v>
      </c>
      <c r="H194" s="137">
        <v>1.6934972495111125</v>
      </c>
      <c r="I194" s="140">
        <f t="shared" ref="I194:I196" si="47">G194</f>
        <v>6</v>
      </c>
      <c r="J194" s="140">
        <f t="shared" si="2"/>
        <v>0.2993708473</v>
      </c>
    </row>
    <row r="195">
      <c r="A195" s="4">
        <v>52.0</v>
      </c>
      <c r="B195" s="4" t="s">
        <v>98</v>
      </c>
      <c r="C195" s="3" t="s">
        <v>84</v>
      </c>
      <c r="D195" s="4" t="s">
        <v>222</v>
      </c>
      <c r="E195" s="4" t="s">
        <v>371</v>
      </c>
      <c r="F195" s="4">
        <v>32.0</v>
      </c>
      <c r="G195" s="137">
        <v>90.0</v>
      </c>
      <c r="H195" s="137">
        <v>12.096408925079375</v>
      </c>
      <c r="I195" s="140">
        <f t="shared" si="47"/>
        <v>90</v>
      </c>
      <c r="J195" s="140">
        <f t="shared" si="2"/>
        <v>2.138363195</v>
      </c>
    </row>
    <row r="196">
      <c r="A196" s="4">
        <v>52.0</v>
      </c>
      <c r="B196" s="4" t="s">
        <v>98</v>
      </c>
      <c r="C196" s="3" t="s">
        <v>84</v>
      </c>
      <c r="D196" s="4" t="s">
        <v>222</v>
      </c>
      <c r="E196" s="3" t="s">
        <v>317</v>
      </c>
      <c r="F196" s="4">
        <v>32.0</v>
      </c>
      <c r="G196" s="137">
        <v>2.7</v>
      </c>
      <c r="H196" s="137">
        <v>3.386994499022225</v>
      </c>
      <c r="I196" s="140">
        <f t="shared" si="47"/>
        <v>2.7</v>
      </c>
      <c r="J196" s="140">
        <f t="shared" si="2"/>
        <v>0.5987416945</v>
      </c>
    </row>
    <row r="197">
      <c r="A197" s="4">
        <v>52.0</v>
      </c>
      <c r="B197" s="4" t="s">
        <v>98</v>
      </c>
      <c r="C197" s="3" t="s">
        <v>84</v>
      </c>
      <c r="D197" s="4" t="s">
        <v>64</v>
      </c>
      <c r="E197" s="4" t="s">
        <v>370</v>
      </c>
      <c r="F197" s="4">
        <v>32.0</v>
      </c>
      <c r="G197" s="141">
        <v>25.0</v>
      </c>
      <c r="H197" s="137">
        <v>20.6071119088651</v>
      </c>
      <c r="I197" s="140">
        <f>(G197+0.5)/(F197+0.5)</f>
        <v>0.7846153846</v>
      </c>
      <c r="J197" s="140">
        <f t="shared" si="2"/>
        <v>3.642857143</v>
      </c>
    </row>
    <row r="198">
      <c r="A198" s="4">
        <v>53.0</v>
      </c>
      <c r="B198" s="4" t="s">
        <v>102</v>
      </c>
      <c r="C198" s="3" t="s">
        <v>84</v>
      </c>
      <c r="D198" s="4" t="s">
        <v>222</v>
      </c>
      <c r="E198" s="4" t="s">
        <v>471</v>
      </c>
      <c r="F198" s="4">
        <v>49.0</v>
      </c>
      <c r="G198" s="137">
        <v>78.0</v>
      </c>
      <c r="H198" s="137">
        <v>18.0</v>
      </c>
      <c r="I198" s="140">
        <f t="shared" ref="I198:I200" si="48">G198</f>
        <v>78</v>
      </c>
      <c r="J198" s="140">
        <f t="shared" si="2"/>
        <v>2.571428571</v>
      </c>
    </row>
    <row r="199">
      <c r="A199" s="4">
        <v>53.0</v>
      </c>
      <c r="B199" s="4" t="s">
        <v>102</v>
      </c>
      <c r="C199" s="3" t="s">
        <v>84</v>
      </c>
      <c r="D199" s="4" t="s">
        <v>222</v>
      </c>
      <c r="E199" s="4" t="s">
        <v>319</v>
      </c>
      <c r="F199" s="4">
        <v>49.0</v>
      </c>
      <c r="G199" s="137">
        <v>5.9</v>
      </c>
      <c r="H199" s="137">
        <v>1.3</v>
      </c>
      <c r="I199" s="140">
        <f t="shared" si="48"/>
        <v>5.9</v>
      </c>
      <c r="J199" s="140">
        <f t="shared" si="2"/>
        <v>0.1857142857</v>
      </c>
    </row>
    <row r="200">
      <c r="A200" s="4">
        <v>53.0</v>
      </c>
      <c r="B200" s="4" t="s">
        <v>102</v>
      </c>
      <c r="C200" s="3" t="s">
        <v>84</v>
      </c>
      <c r="D200" s="4" t="s">
        <v>222</v>
      </c>
      <c r="E200" s="3" t="s">
        <v>317</v>
      </c>
      <c r="F200" s="4">
        <v>49.0</v>
      </c>
      <c r="G200" s="137">
        <v>1.9</v>
      </c>
      <c r="H200" s="137">
        <v>1.7</v>
      </c>
      <c r="I200" s="140">
        <f t="shared" si="48"/>
        <v>1.9</v>
      </c>
      <c r="J200" s="140">
        <f t="shared" si="2"/>
        <v>0.2428571429</v>
      </c>
    </row>
    <row r="201">
      <c r="A201" s="4">
        <v>53.0</v>
      </c>
      <c r="B201" s="4" t="s">
        <v>102</v>
      </c>
      <c r="C201" s="3" t="s">
        <v>84</v>
      </c>
      <c r="D201" s="4" t="s">
        <v>64</v>
      </c>
      <c r="E201" s="3" t="s">
        <v>385</v>
      </c>
      <c r="F201" s="4">
        <v>49.0</v>
      </c>
      <c r="G201" s="141">
        <v>11.0</v>
      </c>
      <c r="H201" s="137">
        <v>2.1184210526315788</v>
      </c>
      <c r="I201" s="140">
        <f>(G201+0.5)/(F201+0.5)</f>
        <v>0.2323232323</v>
      </c>
      <c r="J201" s="140">
        <f t="shared" si="2"/>
        <v>0.3026315789</v>
      </c>
    </row>
    <row r="202">
      <c r="A202" s="4">
        <v>53.0</v>
      </c>
      <c r="B202" s="4" t="s">
        <v>102</v>
      </c>
      <c r="C202" s="3" t="s">
        <v>200</v>
      </c>
      <c r="D202" s="4" t="s">
        <v>222</v>
      </c>
      <c r="E202" s="4" t="s">
        <v>471</v>
      </c>
      <c r="F202" s="4">
        <v>47.0</v>
      </c>
      <c r="G202" s="137">
        <v>82.0</v>
      </c>
      <c r="H202" s="137">
        <v>14.0</v>
      </c>
      <c r="I202" s="140">
        <f t="shared" ref="I202:I204" si="49">G202</f>
        <v>82</v>
      </c>
      <c r="J202" s="140">
        <f t="shared" si="2"/>
        <v>2.042109881</v>
      </c>
    </row>
    <row r="203">
      <c r="A203" s="4">
        <v>53.0</v>
      </c>
      <c r="B203" s="4" t="s">
        <v>102</v>
      </c>
      <c r="C203" s="3" t="s">
        <v>200</v>
      </c>
      <c r="D203" s="4" t="s">
        <v>222</v>
      </c>
      <c r="E203" s="4" t="s">
        <v>319</v>
      </c>
      <c r="F203" s="4">
        <v>47.0</v>
      </c>
      <c r="G203" s="137">
        <v>6.0</v>
      </c>
      <c r="H203" s="137">
        <v>1.5</v>
      </c>
      <c r="I203" s="140">
        <f t="shared" si="49"/>
        <v>6</v>
      </c>
      <c r="J203" s="140">
        <f t="shared" si="2"/>
        <v>0.2187974872</v>
      </c>
    </row>
    <row r="204">
      <c r="A204" s="4">
        <v>53.0</v>
      </c>
      <c r="B204" s="4" t="s">
        <v>102</v>
      </c>
      <c r="C204" s="3" t="s">
        <v>200</v>
      </c>
      <c r="D204" s="4" t="s">
        <v>222</v>
      </c>
      <c r="E204" s="3" t="s">
        <v>317</v>
      </c>
      <c r="F204" s="4">
        <v>47.0</v>
      </c>
      <c r="G204" s="137">
        <v>1.8</v>
      </c>
      <c r="H204" s="137">
        <v>1.0</v>
      </c>
      <c r="I204" s="140">
        <f t="shared" si="49"/>
        <v>1.8</v>
      </c>
      <c r="J204" s="140">
        <f t="shared" si="2"/>
        <v>0.1458649915</v>
      </c>
    </row>
    <row r="205">
      <c r="A205" s="4">
        <v>53.0</v>
      </c>
      <c r="B205" s="4" t="s">
        <v>102</v>
      </c>
      <c r="C205" s="3" t="s">
        <v>200</v>
      </c>
      <c r="D205" s="4" t="s">
        <v>64</v>
      </c>
      <c r="E205" s="3" t="s">
        <v>385</v>
      </c>
      <c r="F205" s="4">
        <v>47.0</v>
      </c>
      <c r="G205" s="141">
        <v>8.0</v>
      </c>
      <c r="H205" s="137">
        <v>1.4941811308566377</v>
      </c>
      <c r="I205" s="140">
        <f>(G205+0.5)/(F205+0.5)</f>
        <v>0.1789473684</v>
      </c>
      <c r="J205" s="140">
        <f t="shared" si="2"/>
        <v>0.2179487179</v>
      </c>
    </row>
    <row r="206">
      <c r="A206" s="4">
        <v>54.0</v>
      </c>
      <c r="B206" s="4" t="s">
        <v>104</v>
      </c>
      <c r="C206" s="3" t="s">
        <v>42</v>
      </c>
      <c r="D206" s="4" t="s">
        <v>222</v>
      </c>
      <c r="E206" s="4" t="s">
        <v>471</v>
      </c>
      <c r="F206" s="4">
        <v>19.0</v>
      </c>
      <c r="G206" s="137">
        <v>78.4</v>
      </c>
      <c r="H206" s="137">
        <v>13.7</v>
      </c>
      <c r="I206" s="140">
        <f t="shared" ref="I206:I209" si="50">G206</f>
        <v>78.4</v>
      </c>
      <c r="J206" s="140">
        <f t="shared" si="2"/>
        <v>3.142995554</v>
      </c>
    </row>
    <row r="207">
      <c r="A207" s="4">
        <v>54.0</v>
      </c>
      <c r="B207" s="4" t="s">
        <v>104</v>
      </c>
      <c r="C207" s="3" t="s">
        <v>42</v>
      </c>
      <c r="D207" s="4" t="s">
        <v>222</v>
      </c>
      <c r="E207" s="4" t="s">
        <v>319</v>
      </c>
      <c r="F207" s="4">
        <v>19.0</v>
      </c>
      <c r="G207" s="137">
        <v>3.0</v>
      </c>
      <c r="H207" s="137">
        <v>1.0835968401997138</v>
      </c>
      <c r="I207" s="140">
        <f t="shared" si="50"/>
        <v>3</v>
      </c>
      <c r="J207" s="140">
        <f t="shared" si="2"/>
        <v>0.2485941643</v>
      </c>
    </row>
    <row r="208">
      <c r="A208" s="4">
        <v>54.0</v>
      </c>
      <c r="B208" s="4" t="s">
        <v>104</v>
      </c>
      <c r="C208" s="3" t="s">
        <v>42</v>
      </c>
      <c r="D208" s="4" t="s">
        <v>222</v>
      </c>
      <c r="E208" s="4" t="s">
        <v>371</v>
      </c>
      <c r="F208" s="4">
        <v>19.0</v>
      </c>
      <c r="G208" s="137">
        <v>84.8</v>
      </c>
      <c r="H208" s="137">
        <v>10.3</v>
      </c>
      <c r="I208" s="140">
        <f t="shared" si="50"/>
        <v>84.8</v>
      </c>
      <c r="J208" s="140">
        <f t="shared" si="2"/>
        <v>2.362982059</v>
      </c>
    </row>
    <row r="209">
      <c r="A209" s="4">
        <v>54.0</v>
      </c>
      <c r="B209" s="4" t="s">
        <v>104</v>
      </c>
      <c r="C209" s="3" t="s">
        <v>42</v>
      </c>
      <c r="D209" s="4" t="s">
        <v>222</v>
      </c>
      <c r="E209" s="3" t="s">
        <v>317</v>
      </c>
      <c r="F209" s="4">
        <v>19.0</v>
      </c>
      <c r="G209" s="137">
        <v>-0.1</v>
      </c>
      <c r="H209" s="137">
        <v>1.6</v>
      </c>
      <c r="I209" s="140">
        <f t="shared" si="50"/>
        <v>-0.1</v>
      </c>
      <c r="J209" s="140">
        <f t="shared" si="2"/>
        <v>0.3670651742</v>
      </c>
    </row>
    <row r="210">
      <c r="A210" s="4">
        <v>54.0</v>
      </c>
      <c r="B210" s="4" t="s">
        <v>104</v>
      </c>
      <c r="C210" s="3" t="s">
        <v>42</v>
      </c>
      <c r="D210" s="4" t="s">
        <v>64</v>
      </c>
      <c r="E210" s="3" t="s">
        <v>385</v>
      </c>
      <c r="F210" s="4">
        <v>19.0</v>
      </c>
      <c r="G210" s="141">
        <v>7.0</v>
      </c>
      <c r="H210" s="137">
        <v>2.724311839712921</v>
      </c>
      <c r="I210" s="140">
        <f t="shared" ref="I210:I211" si="51">(G210+0.5)/(F210+0.5)</f>
        <v>0.3846153846</v>
      </c>
      <c r="J210" s="140">
        <f t="shared" si="2"/>
        <v>0.625</v>
      </c>
    </row>
    <row r="211">
      <c r="A211" s="4">
        <v>54.0</v>
      </c>
      <c r="B211" s="4" t="s">
        <v>104</v>
      </c>
      <c r="C211" s="3" t="s">
        <v>42</v>
      </c>
      <c r="D211" s="4" t="s">
        <v>64</v>
      </c>
      <c r="E211" s="4" t="s">
        <v>59</v>
      </c>
      <c r="F211" s="4">
        <v>19.0</v>
      </c>
      <c r="G211" s="141">
        <v>7.0</v>
      </c>
      <c r="H211" s="137">
        <v>2.724311839712921</v>
      </c>
      <c r="I211" s="140">
        <f t="shared" si="51"/>
        <v>0.3846153846</v>
      </c>
      <c r="J211" s="140">
        <f t="shared" si="2"/>
        <v>0.625</v>
      </c>
    </row>
    <row r="212">
      <c r="A212" s="4">
        <v>54.0</v>
      </c>
      <c r="B212" s="4" t="s">
        <v>104</v>
      </c>
      <c r="C212" s="3" t="s">
        <v>84</v>
      </c>
      <c r="D212" s="4" t="s">
        <v>222</v>
      </c>
      <c r="E212" s="4" t="s">
        <v>471</v>
      </c>
      <c r="F212" s="4">
        <v>20.0</v>
      </c>
      <c r="G212" s="137">
        <v>81.6</v>
      </c>
      <c r="H212" s="137">
        <v>11.9</v>
      </c>
      <c r="I212" s="140">
        <f t="shared" ref="I212:I215" si="52">G212</f>
        <v>81.6</v>
      </c>
      <c r="J212" s="140">
        <f t="shared" si="2"/>
        <v>2.660920893</v>
      </c>
    </row>
    <row r="213">
      <c r="A213" s="4">
        <v>54.0</v>
      </c>
      <c r="B213" s="4" t="s">
        <v>104</v>
      </c>
      <c r="C213" s="3" t="s">
        <v>84</v>
      </c>
      <c r="D213" s="4" t="s">
        <v>222</v>
      </c>
      <c r="E213" s="4" t="s">
        <v>319</v>
      </c>
      <c r="F213" s="4">
        <v>20.0</v>
      </c>
      <c r="G213" s="137">
        <v>4.0</v>
      </c>
      <c r="H213" s="137">
        <v>0.8028939926306288</v>
      </c>
      <c r="I213" s="140">
        <f t="shared" si="52"/>
        <v>4</v>
      </c>
      <c r="J213" s="140">
        <f t="shared" si="2"/>
        <v>0.1795325546</v>
      </c>
    </row>
    <row r="214">
      <c r="A214" s="4">
        <v>54.0</v>
      </c>
      <c r="B214" s="4" t="s">
        <v>104</v>
      </c>
      <c r="C214" s="3" t="s">
        <v>84</v>
      </c>
      <c r="D214" s="4" t="s">
        <v>222</v>
      </c>
      <c r="E214" s="4" t="s">
        <v>371</v>
      </c>
      <c r="F214" s="4">
        <v>20.0</v>
      </c>
      <c r="G214" s="137">
        <v>88.6</v>
      </c>
      <c r="H214" s="137">
        <v>8.3</v>
      </c>
      <c r="I214" s="140">
        <f t="shared" si="52"/>
        <v>88.6</v>
      </c>
      <c r="J214" s="140">
        <f t="shared" si="2"/>
        <v>1.855936421</v>
      </c>
    </row>
    <row r="215">
      <c r="A215" s="4">
        <v>54.0</v>
      </c>
      <c r="B215" s="4" t="s">
        <v>104</v>
      </c>
      <c r="C215" s="3" t="s">
        <v>84</v>
      </c>
      <c r="D215" s="4" t="s">
        <v>222</v>
      </c>
      <c r="E215" s="3" t="s">
        <v>317</v>
      </c>
      <c r="F215" s="4">
        <v>20.0</v>
      </c>
      <c r="G215" s="137">
        <v>1.5</v>
      </c>
      <c r="H215" s="137">
        <v>1.2</v>
      </c>
      <c r="I215" s="140">
        <f t="shared" si="52"/>
        <v>1.5</v>
      </c>
      <c r="J215" s="140">
        <f t="shared" si="2"/>
        <v>0.2683281573</v>
      </c>
    </row>
    <row r="216">
      <c r="A216" s="4">
        <v>54.0</v>
      </c>
      <c r="B216" s="4" t="s">
        <v>104</v>
      </c>
      <c r="C216" s="3" t="s">
        <v>84</v>
      </c>
      <c r="D216" s="4" t="s">
        <v>64</v>
      </c>
      <c r="E216" s="3" t="s">
        <v>385</v>
      </c>
      <c r="F216" s="4">
        <v>20.0</v>
      </c>
      <c r="G216" s="141">
        <v>5.0</v>
      </c>
      <c r="H216" s="137">
        <v>1.639783183499846</v>
      </c>
      <c r="I216" s="140">
        <f t="shared" ref="I216:I217" si="53">(G216+0.5)/(F216+0.5)</f>
        <v>0.2682926829</v>
      </c>
      <c r="J216" s="140">
        <f t="shared" si="2"/>
        <v>0.3666666667</v>
      </c>
    </row>
    <row r="217">
      <c r="A217" s="4">
        <v>54.0</v>
      </c>
      <c r="B217" s="4" t="s">
        <v>104</v>
      </c>
      <c r="C217" s="3" t="s">
        <v>84</v>
      </c>
      <c r="D217" s="4" t="s">
        <v>64</v>
      </c>
      <c r="E217" s="4" t="s">
        <v>59</v>
      </c>
      <c r="F217" s="4">
        <v>20.0</v>
      </c>
      <c r="G217" s="141">
        <v>3.0</v>
      </c>
      <c r="H217" s="137">
        <v>0.9207338730881488</v>
      </c>
      <c r="I217" s="140">
        <f t="shared" si="53"/>
        <v>0.1707317073</v>
      </c>
      <c r="J217" s="140">
        <f t="shared" si="2"/>
        <v>0.2058823529</v>
      </c>
    </row>
    <row r="218">
      <c r="A218" s="4">
        <v>55.0</v>
      </c>
      <c r="B218" s="4" t="s">
        <v>106</v>
      </c>
      <c r="C218" s="3" t="s">
        <v>42</v>
      </c>
      <c r="D218" s="4" t="s">
        <v>222</v>
      </c>
      <c r="E218" s="4" t="s">
        <v>471</v>
      </c>
      <c r="F218" s="4">
        <v>14.0</v>
      </c>
      <c r="G218" s="137">
        <v>71.9</v>
      </c>
      <c r="H218" s="137">
        <v>15.2</v>
      </c>
      <c r="I218" s="140">
        <f t="shared" ref="I218:I220" si="54">G218</f>
        <v>71.9</v>
      </c>
      <c r="J218" s="140">
        <f t="shared" si="2"/>
        <v>4.062370877</v>
      </c>
    </row>
    <row r="219">
      <c r="A219" s="4">
        <v>55.0</v>
      </c>
      <c r="B219" s="4" t="s">
        <v>106</v>
      </c>
      <c r="C219" s="3" t="s">
        <v>42</v>
      </c>
      <c r="D219" s="4" t="s">
        <v>222</v>
      </c>
      <c r="E219" s="4" t="s">
        <v>371</v>
      </c>
      <c r="F219" s="4">
        <v>14.0</v>
      </c>
      <c r="G219" s="137">
        <v>84.0</v>
      </c>
      <c r="H219" s="137">
        <v>13.469566532293724</v>
      </c>
      <c r="I219" s="140">
        <f t="shared" si="54"/>
        <v>84</v>
      </c>
      <c r="J219" s="140">
        <f t="shared" si="2"/>
        <v>3.599893079</v>
      </c>
    </row>
    <row r="220">
      <c r="A220" s="4">
        <v>55.0</v>
      </c>
      <c r="B220" s="4" t="s">
        <v>106</v>
      </c>
      <c r="C220" s="3" t="s">
        <v>42</v>
      </c>
      <c r="D220" s="4" t="s">
        <v>222</v>
      </c>
      <c r="E220" s="3" t="s">
        <v>317</v>
      </c>
      <c r="F220" s="4">
        <v>14.0</v>
      </c>
      <c r="G220" s="137">
        <v>3.7</v>
      </c>
      <c r="H220" s="137">
        <v>1.4</v>
      </c>
      <c r="I220" s="140">
        <f t="shared" si="54"/>
        <v>3.7</v>
      </c>
      <c r="J220" s="140">
        <f t="shared" si="2"/>
        <v>0.3741657387</v>
      </c>
    </row>
    <row r="221">
      <c r="A221" s="4">
        <v>55.0</v>
      </c>
      <c r="B221" s="4" t="s">
        <v>106</v>
      </c>
      <c r="C221" s="3" t="s">
        <v>42</v>
      </c>
      <c r="D221" s="4" t="s">
        <v>64</v>
      </c>
      <c r="E221" s="4" t="s">
        <v>370</v>
      </c>
      <c r="F221" s="4">
        <v>14.0</v>
      </c>
      <c r="G221" s="141">
        <v>4.0</v>
      </c>
      <c r="H221" s="137">
        <v>1.6837458240482737</v>
      </c>
      <c r="I221" s="140">
        <f>(G221+0.5)/(F221+0.5)</f>
        <v>0.3103448276</v>
      </c>
      <c r="J221" s="140">
        <f t="shared" si="2"/>
        <v>0.45</v>
      </c>
    </row>
    <row r="222">
      <c r="A222" s="4">
        <v>55.0</v>
      </c>
      <c r="B222" s="4" t="s">
        <v>106</v>
      </c>
      <c r="C222" s="3" t="s">
        <v>84</v>
      </c>
      <c r="D222" s="4" t="s">
        <v>222</v>
      </c>
      <c r="E222" s="4" t="s">
        <v>471</v>
      </c>
      <c r="F222" s="4">
        <v>17.0</v>
      </c>
      <c r="G222" s="137">
        <v>73.1</v>
      </c>
      <c r="H222" s="137">
        <v>12.3</v>
      </c>
      <c r="I222" s="140">
        <f t="shared" ref="I222:I224" si="55">G222</f>
        <v>73.1</v>
      </c>
      <c r="J222" s="140">
        <f t="shared" si="2"/>
        <v>2.983188188</v>
      </c>
    </row>
    <row r="223">
      <c r="A223" s="4">
        <v>55.0</v>
      </c>
      <c r="B223" s="4" t="s">
        <v>106</v>
      </c>
      <c r="C223" s="3" t="s">
        <v>84</v>
      </c>
      <c r="D223" s="4" t="s">
        <v>222</v>
      </c>
      <c r="E223" s="4" t="s">
        <v>371</v>
      </c>
      <c r="F223" s="4">
        <v>17.0</v>
      </c>
      <c r="G223" s="137">
        <v>80.0</v>
      </c>
      <c r="H223" s="137">
        <v>15.588522022762433</v>
      </c>
      <c r="I223" s="140">
        <f t="shared" si="55"/>
        <v>80</v>
      </c>
      <c r="J223" s="140">
        <f t="shared" si="2"/>
        <v>3.780771932</v>
      </c>
    </row>
    <row r="224">
      <c r="A224" s="4">
        <v>55.0</v>
      </c>
      <c r="B224" s="4" t="s">
        <v>106</v>
      </c>
      <c r="C224" s="3" t="s">
        <v>84</v>
      </c>
      <c r="D224" s="4" t="s">
        <v>222</v>
      </c>
      <c r="E224" s="3" t="s">
        <v>317</v>
      </c>
      <c r="F224" s="4">
        <v>17.0</v>
      </c>
      <c r="G224" s="137">
        <v>3.1</v>
      </c>
      <c r="H224" s="137">
        <v>1.6</v>
      </c>
      <c r="I224" s="140">
        <f t="shared" si="55"/>
        <v>3.1</v>
      </c>
      <c r="J224" s="140">
        <f t="shared" si="2"/>
        <v>0.3880570001</v>
      </c>
    </row>
    <row r="225">
      <c r="A225" s="4">
        <v>55.0</v>
      </c>
      <c r="B225" s="4" t="s">
        <v>106</v>
      </c>
      <c r="C225" s="3" t="s">
        <v>84</v>
      </c>
      <c r="D225" s="4" t="s">
        <v>64</v>
      </c>
      <c r="E225" s="4" t="s">
        <v>370</v>
      </c>
      <c r="F225" s="4">
        <v>17.0</v>
      </c>
      <c r="G225" s="141">
        <v>3.0</v>
      </c>
      <c r="H225" s="137">
        <v>1.0307764064044151</v>
      </c>
      <c r="I225" s="140">
        <f>(G225+0.5)/(F225+0.5)</f>
        <v>0.2</v>
      </c>
      <c r="J225" s="140">
        <f t="shared" si="2"/>
        <v>0.25</v>
      </c>
    </row>
    <row r="226">
      <c r="A226" s="4">
        <v>56.0</v>
      </c>
      <c r="B226" s="4" t="s">
        <v>110</v>
      </c>
      <c r="C226" s="3" t="s">
        <v>42</v>
      </c>
      <c r="D226" s="4" t="s">
        <v>222</v>
      </c>
      <c r="E226" s="3" t="s">
        <v>317</v>
      </c>
      <c r="F226" s="4">
        <v>18.0</v>
      </c>
      <c r="G226" s="137">
        <v>1.1</v>
      </c>
      <c r="H226" s="137">
        <v>1.4</v>
      </c>
      <c r="I226" s="140">
        <f>G226</f>
        <v>1.1</v>
      </c>
      <c r="J226" s="140">
        <f t="shared" si="2"/>
        <v>0.3299831646</v>
      </c>
    </row>
    <row r="227">
      <c r="A227" s="4">
        <v>56.0</v>
      </c>
      <c r="B227" s="4" t="s">
        <v>110</v>
      </c>
      <c r="C227" s="3" t="s">
        <v>42</v>
      </c>
      <c r="D227" s="4" t="s">
        <v>64</v>
      </c>
      <c r="E227" s="3" t="s">
        <v>385</v>
      </c>
      <c r="F227" s="4">
        <v>18.0</v>
      </c>
      <c r="G227" s="141">
        <v>3.0</v>
      </c>
      <c r="H227" s="137">
        <v>0.9899494936611666</v>
      </c>
      <c r="I227" s="140">
        <f>(G227+0.5)/(F227+0.5)</f>
        <v>0.1891891892</v>
      </c>
      <c r="J227" s="140">
        <f t="shared" si="2"/>
        <v>0.2333333333</v>
      </c>
    </row>
    <row r="228">
      <c r="A228" s="4">
        <v>56.0</v>
      </c>
      <c r="B228" s="4" t="s">
        <v>110</v>
      </c>
      <c r="C228" s="3" t="s">
        <v>42</v>
      </c>
      <c r="D228" s="4" t="s">
        <v>222</v>
      </c>
      <c r="E228" s="4" t="s">
        <v>471</v>
      </c>
      <c r="F228" s="4">
        <v>18.0</v>
      </c>
      <c r="G228" s="137">
        <v>75.0</v>
      </c>
      <c r="H228" s="137">
        <v>13.0</v>
      </c>
      <c r="I228" s="140">
        <f t="shared" ref="I228:I229" si="56">G228</f>
        <v>75</v>
      </c>
      <c r="J228" s="140">
        <f t="shared" si="2"/>
        <v>3.064129385</v>
      </c>
    </row>
    <row r="229">
      <c r="A229" s="4">
        <v>56.0</v>
      </c>
      <c r="B229" s="4" t="s">
        <v>110</v>
      </c>
      <c r="C229" s="3" t="s">
        <v>200</v>
      </c>
      <c r="D229" s="4" t="s">
        <v>222</v>
      </c>
      <c r="E229" s="3" t="s">
        <v>317</v>
      </c>
      <c r="F229" s="4">
        <v>21.0</v>
      </c>
      <c r="G229" s="137">
        <v>0.8</v>
      </c>
      <c r="H229" s="137">
        <v>1.7</v>
      </c>
      <c r="I229" s="140">
        <f t="shared" si="56"/>
        <v>0.8</v>
      </c>
      <c r="J229" s="140">
        <f t="shared" si="2"/>
        <v>0.3709704134</v>
      </c>
    </row>
    <row r="230">
      <c r="A230" s="4">
        <v>56.0</v>
      </c>
      <c r="B230" s="4" t="s">
        <v>110</v>
      </c>
      <c r="C230" s="3" t="s">
        <v>200</v>
      </c>
      <c r="D230" s="4" t="s">
        <v>64</v>
      </c>
      <c r="E230" s="3" t="s">
        <v>385</v>
      </c>
      <c r="F230" s="4">
        <v>21.0</v>
      </c>
      <c r="G230" s="141">
        <v>8.0</v>
      </c>
      <c r="H230" s="137">
        <v>2.9962994928557416</v>
      </c>
      <c r="I230" s="140">
        <f>(G230+0.5)/(F230+0.5)</f>
        <v>0.3953488372</v>
      </c>
      <c r="J230" s="140">
        <f t="shared" si="2"/>
        <v>0.6538461538</v>
      </c>
    </row>
    <row r="231">
      <c r="A231" s="4">
        <v>56.0</v>
      </c>
      <c r="B231" s="4" t="s">
        <v>110</v>
      </c>
      <c r="C231" s="3" t="s">
        <v>200</v>
      </c>
      <c r="D231" s="4" t="s">
        <v>222</v>
      </c>
      <c r="E231" s="4" t="s">
        <v>471</v>
      </c>
      <c r="F231" s="4">
        <v>21.0</v>
      </c>
      <c r="G231" s="137">
        <v>76.0</v>
      </c>
      <c r="H231" s="137">
        <v>16.0</v>
      </c>
      <c r="I231" s="140">
        <f t="shared" ref="I231:I234" si="57">G231</f>
        <v>76</v>
      </c>
      <c r="J231" s="140">
        <f t="shared" si="2"/>
        <v>3.491486244</v>
      </c>
    </row>
    <row r="232">
      <c r="A232" s="4">
        <v>58.0</v>
      </c>
      <c r="B232" s="4" t="s">
        <v>112</v>
      </c>
      <c r="C232" s="3" t="s">
        <v>84</v>
      </c>
      <c r="D232" s="4" t="s">
        <v>222</v>
      </c>
      <c r="E232" s="4" t="s">
        <v>471</v>
      </c>
      <c r="F232" s="4">
        <v>25.0</v>
      </c>
      <c r="G232" s="137">
        <v>78.9</v>
      </c>
      <c r="H232" s="137">
        <v>7.4</v>
      </c>
      <c r="I232" s="140">
        <f t="shared" si="57"/>
        <v>78.9</v>
      </c>
      <c r="J232" s="140">
        <f t="shared" si="2"/>
        <v>1.48</v>
      </c>
    </row>
    <row r="233">
      <c r="A233" s="4">
        <v>58.0</v>
      </c>
      <c r="B233" s="4" t="s">
        <v>112</v>
      </c>
      <c r="C233" s="3" t="s">
        <v>84</v>
      </c>
      <c r="D233" s="4" t="s">
        <v>222</v>
      </c>
      <c r="E233" s="4" t="s">
        <v>371</v>
      </c>
      <c r="F233" s="4">
        <v>25.0</v>
      </c>
      <c r="G233" s="137">
        <v>85.1</v>
      </c>
      <c r="H233" s="137">
        <v>6.4</v>
      </c>
      <c r="I233" s="140">
        <f t="shared" si="57"/>
        <v>85.1</v>
      </c>
      <c r="J233" s="140">
        <f t="shared" si="2"/>
        <v>1.28</v>
      </c>
    </row>
    <row r="234">
      <c r="A234" s="4">
        <v>58.0</v>
      </c>
      <c r="B234" s="4" t="s">
        <v>112</v>
      </c>
      <c r="C234" s="3" t="s">
        <v>84</v>
      </c>
      <c r="D234" s="4" t="s">
        <v>222</v>
      </c>
      <c r="E234" s="4" t="s">
        <v>319</v>
      </c>
      <c r="F234" s="4">
        <v>25.0</v>
      </c>
      <c r="G234" s="137">
        <v>5.1</v>
      </c>
      <c r="H234" s="137">
        <v>1.0</v>
      </c>
      <c r="I234" s="140">
        <f t="shared" si="57"/>
        <v>5.1</v>
      </c>
      <c r="J234" s="140">
        <f t="shared" si="2"/>
        <v>0.2</v>
      </c>
    </row>
    <row r="235">
      <c r="A235" s="4">
        <v>58.0</v>
      </c>
      <c r="B235" s="4" t="s">
        <v>112</v>
      </c>
      <c r="C235" s="3" t="s">
        <v>84</v>
      </c>
      <c r="D235" s="4" t="s">
        <v>64</v>
      </c>
      <c r="E235" s="3" t="s">
        <v>385</v>
      </c>
      <c r="F235" s="4">
        <v>25.0</v>
      </c>
      <c r="G235" s="141">
        <v>4.0</v>
      </c>
      <c r="H235" s="137">
        <v>1.0714285714285716</v>
      </c>
      <c r="I235" s="140">
        <f t="shared" ref="I235:I236" si="58">(G235+0.5)/(F235+0.5)</f>
        <v>0.1764705882</v>
      </c>
      <c r="J235" s="140">
        <f t="shared" si="2"/>
        <v>0.2142857143</v>
      </c>
    </row>
    <row r="236">
      <c r="A236" s="4">
        <v>58.0</v>
      </c>
      <c r="B236" s="4" t="s">
        <v>112</v>
      </c>
      <c r="C236" s="3" t="s">
        <v>84</v>
      </c>
      <c r="D236" s="4" t="s">
        <v>64</v>
      </c>
      <c r="E236" s="4" t="s">
        <v>370</v>
      </c>
      <c r="F236" s="4">
        <v>25.0</v>
      </c>
      <c r="G236" s="141">
        <v>3.0</v>
      </c>
      <c r="H236" s="137">
        <v>0.7954545454545454</v>
      </c>
      <c r="I236" s="140">
        <f t="shared" si="58"/>
        <v>0.137254902</v>
      </c>
      <c r="J236" s="140">
        <f t="shared" si="2"/>
        <v>0.1590909091</v>
      </c>
    </row>
    <row r="237">
      <c r="A237" s="4">
        <v>58.0</v>
      </c>
      <c r="B237" s="4" t="s">
        <v>112</v>
      </c>
      <c r="C237" s="3" t="s">
        <v>84</v>
      </c>
      <c r="D237" s="4" t="s">
        <v>222</v>
      </c>
      <c r="E237" s="3" t="s">
        <v>317</v>
      </c>
      <c r="F237" s="4">
        <v>25.0</v>
      </c>
      <c r="G237" s="137">
        <v>2.1</v>
      </c>
      <c r="H237" s="137">
        <v>1.0</v>
      </c>
      <c r="I237" s="140">
        <f t="shared" ref="I237:I240" si="59">G237</f>
        <v>2.1</v>
      </c>
      <c r="J237" s="140">
        <f t="shared" si="2"/>
        <v>0.2</v>
      </c>
    </row>
    <row r="238">
      <c r="A238" s="4">
        <v>58.0</v>
      </c>
      <c r="B238" s="4" t="s">
        <v>112</v>
      </c>
      <c r="C238" s="3" t="s">
        <v>186</v>
      </c>
      <c r="D238" s="4" t="s">
        <v>222</v>
      </c>
      <c r="E238" s="4" t="s">
        <v>471</v>
      </c>
      <c r="F238" s="4">
        <v>25.0</v>
      </c>
      <c r="G238" s="137">
        <v>82.6</v>
      </c>
      <c r="H238" s="137">
        <v>6.3</v>
      </c>
      <c r="I238" s="140">
        <f t="shared" si="59"/>
        <v>82.6</v>
      </c>
      <c r="J238" s="140">
        <f t="shared" si="2"/>
        <v>1.26</v>
      </c>
    </row>
    <row r="239">
      <c r="A239" s="4">
        <v>58.0</v>
      </c>
      <c r="B239" s="4" t="s">
        <v>112</v>
      </c>
      <c r="C239" s="3" t="s">
        <v>186</v>
      </c>
      <c r="D239" s="4" t="s">
        <v>222</v>
      </c>
      <c r="E239" s="4" t="s">
        <v>371</v>
      </c>
      <c r="F239" s="4">
        <v>25.0</v>
      </c>
      <c r="G239" s="137">
        <v>89.4</v>
      </c>
      <c r="H239" s="137">
        <v>5.8</v>
      </c>
      <c r="I239" s="140">
        <f t="shared" si="59"/>
        <v>89.4</v>
      </c>
      <c r="J239" s="140">
        <f t="shared" si="2"/>
        <v>1.16</v>
      </c>
    </row>
    <row r="240">
      <c r="A240" s="4">
        <v>58.0</v>
      </c>
      <c r="B240" s="4" t="s">
        <v>112</v>
      </c>
      <c r="C240" s="3" t="s">
        <v>186</v>
      </c>
      <c r="D240" s="4" t="s">
        <v>222</v>
      </c>
      <c r="E240" s="4" t="s">
        <v>319</v>
      </c>
      <c r="F240" s="4">
        <v>25.0</v>
      </c>
      <c r="G240" s="137">
        <v>5.6</v>
      </c>
      <c r="H240" s="137">
        <v>0.9</v>
      </c>
      <c r="I240" s="140">
        <f t="shared" si="59"/>
        <v>5.6</v>
      </c>
      <c r="J240" s="140">
        <f t="shared" si="2"/>
        <v>0.18</v>
      </c>
    </row>
    <row r="241">
      <c r="A241" s="4">
        <v>58.0</v>
      </c>
      <c r="B241" s="4" t="s">
        <v>112</v>
      </c>
      <c r="C241" s="3" t="s">
        <v>186</v>
      </c>
      <c r="D241" s="4" t="s">
        <v>64</v>
      </c>
      <c r="E241" s="3" t="s">
        <v>385</v>
      </c>
      <c r="F241" s="4">
        <v>25.0</v>
      </c>
      <c r="G241" s="141">
        <v>3.0</v>
      </c>
      <c r="H241" s="137">
        <v>0.7954545454545454</v>
      </c>
      <c r="I241" s="140">
        <f t="shared" ref="I241:I242" si="60">(G241+0.5)/(F241+0.5)</f>
        <v>0.137254902</v>
      </c>
      <c r="J241" s="140">
        <f t="shared" si="2"/>
        <v>0.1590909091</v>
      </c>
    </row>
    <row r="242">
      <c r="A242" s="4">
        <v>58.0</v>
      </c>
      <c r="B242" s="4" t="s">
        <v>112</v>
      </c>
      <c r="C242" s="3" t="s">
        <v>186</v>
      </c>
      <c r="D242" s="4" t="s">
        <v>64</v>
      </c>
      <c r="E242" s="4" t="s">
        <v>370</v>
      </c>
      <c r="F242" s="4">
        <v>25.0</v>
      </c>
      <c r="G242" s="141">
        <v>2.0</v>
      </c>
      <c r="H242" s="137">
        <v>0.5434782608695652</v>
      </c>
      <c r="I242" s="140">
        <f t="shared" si="60"/>
        <v>0.09803921569</v>
      </c>
      <c r="J242" s="140">
        <f t="shared" si="2"/>
        <v>0.1086956522</v>
      </c>
    </row>
    <row r="243">
      <c r="A243" s="4">
        <v>58.0</v>
      </c>
      <c r="B243" s="4" t="s">
        <v>112</v>
      </c>
      <c r="C243" s="3" t="s">
        <v>186</v>
      </c>
      <c r="D243" s="4" t="s">
        <v>222</v>
      </c>
      <c r="E243" s="3" t="s">
        <v>317</v>
      </c>
      <c r="F243" s="4">
        <v>25.0</v>
      </c>
      <c r="G243" s="137">
        <v>1.8</v>
      </c>
      <c r="H243" s="137">
        <v>0.9</v>
      </c>
      <c r="I243" s="140">
        <f t="shared" ref="I243:I247" si="61">G243</f>
        <v>1.8</v>
      </c>
      <c r="J243" s="140">
        <f t="shared" si="2"/>
        <v>0.18</v>
      </c>
    </row>
    <row r="244">
      <c r="A244" s="4">
        <v>62.0</v>
      </c>
      <c r="B244" s="4" t="s">
        <v>114</v>
      </c>
      <c r="C244" s="3" t="s">
        <v>42</v>
      </c>
      <c r="D244" s="4" t="s">
        <v>222</v>
      </c>
      <c r="E244" s="4" t="s">
        <v>471</v>
      </c>
      <c r="F244" s="4">
        <v>37.0</v>
      </c>
      <c r="G244" s="137">
        <v>84.3</v>
      </c>
      <c r="H244" s="137">
        <v>11.0</v>
      </c>
      <c r="I244" s="140">
        <f t="shared" si="61"/>
        <v>84.3</v>
      </c>
      <c r="J244" s="140">
        <f t="shared" si="2"/>
        <v>1.80838886</v>
      </c>
    </row>
    <row r="245">
      <c r="A245" s="4">
        <v>62.0</v>
      </c>
      <c r="B245" s="4" t="s">
        <v>114</v>
      </c>
      <c r="C245" s="3" t="s">
        <v>42</v>
      </c>
      <c r="D245" s="4" t="s">
        <v>222</v>
      </c>
      <c r="E245" s="3" t="s">
        <v>317</v>
      </c>
      <c r="F245" s="4">
        <v>37.0</v>
      </c>
      <c r="G245" s="137">
        <v>1.2</v>
      </c>
      <c r="H245" s="137">
        <v>2.1</v>
      </c>
      <c r="I245" s="140">
        <f t="shared" si="61"/>
        <v>1.2</v>
      </c>
      <c r="J245" s="140">
        <f t="shared" si="2"/>
        <v>0.3452378733</v>
      </c>
    </row>
    <row r="246">
      <c r="A246" s="4">
        <v>62.0</v>
      </c>
      <c r="B246" s="4" t="s">
        <v>114</v>
      </c>
      <c r="C246" s="3" t="s">
        <v>84</v>
      </c>
      <c r="D246" s="4" t="s">
        <v>222</v>
      </c>
      <c r="E246" s="4" t="s">
        <v>471</v>
      </c>
      <c r="F246" s="4">
        <v>35.0</v>
      </c>
      <c r="G246" s="137">
        <v>86.8</v>
      </c>
      <c r="H246" s="137">
        <v>8.3</v>
      </c>
      <c r="I246" s="140">
        <f t="shared" si="61"/>
        <v>86.8</v>
      </c>
      <c r="J246" s="140">
        <f t="shared" si="2"/>
        <v>1.402956063</v>
      </c>
    </row>
    <row r="247">
      <c r="A247" s="4">
        <v>62.0</v>
      </c>
      <c r="B247" s="4" t="s">
        <v>114</v>
      </c>
      <c r="C247" s="3" t="s">
        <v>84</v>
      </c>
      <c r="D247" s="4" t="s">
        <v>222</v>
      </c>
      <c r="E247" s="3" t="s">
        <v>317</v>
      </c>
      <c r="F247" s="4">
        <v>35.0</v>
      </c>
      <c r="G247" s="137">
        <v>1.7</v>
      </c>
      <c r="H247" s="137">
        <v>1.4</v>
      </c>
      <c r="I247" s="140">
        <f t="shared" si="61"/>
        <v>1.7</v>
      </c>
      <c r="J247" s="140">
        <f t="shared" si="2"/>
        <v>0.2366431913</v>
      </c>
    </row>
    <row r="248">
      <c r="A248" s="4">
        <v>66.0</v>
      </c>
      <c r="B248" s="4" t="s">
        <v>116</v>
      </c>
      <c r="C248" s="3" t="s">
        <v>42</v>
      </c>
      <c r="D248" s="4" t="s">
        <v>64</v>
      </c>
      <c r="E248" s="4" t="s">
        <v>59</v>
      </c>
      <c r="F248" s="4">
        <v>110.0</v>
      </c>
      <c r="G248" s="141">
        <v>19.0</v>
      </c>
      <c r="H248" s="137">
        <v>2.247447531793182</v>
      </c>
      <c r="I248" s="140">
        <f t="shared" ref="I248:I249" si="62">(G248+0.5)/(F248+0.5)</f>
        <v>0.1764705882</v>
      </c>
      <c r="J248" s="140">
        <f t="shared" si="2"/>
        <v>0.2142857143</v>
      </c>
    </row>
    <row r="249">
      <c r="A249" s="4">
        <v>66.0</v>
      </c>
      <c r="B249" s="4" t="s">
        <v>116</v>
      </c>
      <c r="C249" s="3" t="s">
        <v>84</v>
      </c>
      <c r="D249" s="4" t="s">
        <v>64</v>
      </c>
      <c r="E249" s="4" t="s">
        <v>59</v>
      </c>
      <c r="F249" s="4">
        <v>110.0</v>
      </c>
      <c r="G249" s="141">
        <v>24.0</v>
      </c>
      <c r="H249" s="137">
        <v>2.987885672112641</v>
      </c>
      <c r="I249" s="140">
        <f t="shared" si="62"/>
        <v>0.221719457</v>
      </c>
      <c r="J249" s="140">
        <f t="shared" si="2"/>
        <v>0.2848837209</v>
      </c>
    </row>
    <row r="250">
      <c r="A250" s="4">
        <v>68.0</v>
      </c>
      <c r="B250" s="4" t="s">
        <v>119</v>
      </c>
      <c r="C250" s="3" t="s">
        <v>42</v>
      </c>
      <c r="D250" s="4" t="s">
        <v>222</v>
      </c>
      <c r="E250" s="4" t="s">
        <v>471</v>
      </c>
      <c r="F250" s="4">
        <v>6.0</v>
      </c>
      <c r="G250" s="137">
        <v>92.0</v>
      </c>
      <c r="H250" s="137">
        <v>7.0</v>
      </c>
      <c r="I250" s="140">
        <f t="shared" ref="I250:I253" si="63">G250</f>
        <v>92</v>
      </c>
      <c r="J250" s="140">
        <f t="shared" si="2"/>
        <v>2.857738033</v>
      </c>
    </row>
    <row r="251">
      <c r="A251" s="4">
        <v>68.0</v>
      </c>
      <c r="B251" s="4" t="s">
        <v>119</v>
      </c>
      <c r="C251" s="3" t="s">
        <v>42</v>
      </c>
      <c r="D251" s="4" t="s">
        <v>222</v>
      </c>
      <c r="E251" s="4" t="s">
        <v>371</v>
      </c>
      <c r="F251" s="4">
        <v>6.0</v>
      </c>
      <c r="G251" s="137">
        <v>96.0</v>
      </c>
      <c r="H251" s="137">
        <v>3.0</v>
      </c>
      <c r="I251" s="140">
        <f t="shared" si="63"/>
        <v>96</v>
      </c>
      <c r="J251" s="140">
        <f t="shared" si="2"/>
        <v>1.224744871</v>
      </c>
    </row>
    <row r="252">
      <c r="A252" s="4">
        <v>68.0</v>
      </c>
      <c r="B252" s="4" t="s">
        <v>119</v>
      </c>
      <c r="C252" s="3" t="s">
        <v>84</v>
      </c>
      <c r="D252" s="4" t="s">
        <v>222</v>
      </c>
      <c r="E252" s="4" t="s">
        <v>471</v>
      </c>
      <c r="F252" s="4">
        <v>6.0</v>
      </c>
      <c r="G252" s="137">
        <v>90.0</v>
      </c>
      <c r="H252" s="137">
        <v>10.0</v>
      </c>
      <c r="I252" s="140">
        <f t="shared" si="63"/>
        <v>90</v>
      </c>
      <c r="J252" s="140">
        <f t="shared" si="2"/>
        <v>4.082482905</v>
      </c>
    </row>
    <row r="253">
      <c r="A253" s="4">
        <v>68.0</v>
      </c>
      <c r="B253" s="4" t="s">
        <v>119</v>
      </c>
      <c r="C253" s="3" t="s">
        <v>84</v>
      </c>
      <c r="D253" s="4" t="s">
        <v>222</v>
      </c>
      <c r="E253" s="4" t="s">
        <v>371</v>
      </c>
      <c r="F253" s="4">
        <v>6.0</v>
      </c>
      <c r="G253" s="137">
        <v>95.0</v>
      </c>
      <c r="H253" s="137">
        <v>5.0</v>
      </c>
      <c r="I253" s="140">
        <f t="shared" si="63"/>
        <v>95</v>
      </c>
      <c r="J253" s="140">
        <f t="shared" si="2"/>
        <v>2.041241452</v>
      </c>
    </row>
    <row r="254">
      <c r="A254" s="4">
        <v>70.0</v>
      </c>
      <c r="B254" s="4" t="s">
        <v>121</v>
      </c>
      <c r="C254" s="3" t="s">
        <v>84</v>
      </c>
      <c r="D254" s="4" t="s">
        <v>64</v>
      </c>
      <c r="E254" s="4" t="s">
        <v>370</v>
      </c>
      <c r="F254" s="4">
        <v>33.0</v>
      </c>
      <c r="G254" s="141">
        <v>6.0</v>
      </c>
      <c r="H254" s="137">
        <v>1.3829502667591551</v>
      </c>
      <c r="I254" s="140">
        <f>(G254+0.5)/(F254+0.5)</f>
        <v>0.1940298507</v>
      </c>
      <c r="J254" s="140">
        <f t="shared" si="2"/>
        <v>0.2407407407</v>
      </c>
    </row>
    <row r="255">
      <c r="A255" s="4">
        <v>70.0</v>
      </c>
      <c r="B255" s="4" t="s">
        <v>121</v>
      </c>
      <c r="C255" s="3" t="s">
        <v>84</v>
      </c>
      <c r="D255" s="4" t="s">
        <v>222</v>
      </c>
      <c r="E255" s="4" t="s">
        <v>319</v>
      </c>
      <c r="F255" s="4">
        <v>33.0</v>
      </c>
      <c r="G255" s="137">
        <v>6.0</v>
      </c>
      <c r="H255" s="137">
        <v>0.9618833160852196</v>
      </c>
      <c r="I255" s="140">
        <f t="shared" ref="I255:I256" si="64">G255</f>
        <v>6</v>
      </c>
      <c r="J255" s="140">
        <f t="shared" si="2"/>
        <v>0.167442393</v>
      </c>
    </row>
    <row r="256">
      <c r="A256" s="4">
        <v>70.0</v>
      </c>
      <c r="B256" s="4" t="s">
        <v>121</v>
      </c>
      <c r="C256" s="3" t="s">
        <v>84</v>
      </c>
      <c r="D256" s="4" t="s">
        <v>222</v>
      </c>
      <c r="E256" s="4" t="s">
        <v>371</v>
      </c>
      <c r="F256" s="4">
        <v>33.0</v>
      </c>
      <c r="G256" s="137">
        <v>98.0</v>
      </c>
      <c r="H256" s="137">
        <v>3.6070624353195737</v>
      </c>
      <c r="I256" s="140">
        <f t="shared" si="64"/>
        <v>98</v>
      </c>
      <c r="J256" s="140">
        <f t="shared" si="2"/>
        <v>0.6279089736</v>
      </c>
    </row>
    <row r="257">
      <c r="A257" s="4">
        <v>70.0</v>
      </c>
      <c r="B257" s="4" t="s">
        <v>121</v>
      </c>
      <c r="C257" s="3" t="s">
        <v>84</v>
      </c>
      <c r="D257" s="4" t="s">
        <v>64</v>
      </c>
      <c r="E257" s="3" t="s">
        <v>385</v>
      </c>
      <c r="F257" s="4">
        <v>33.0</v>
      </c>
      <c r="G257" s="141">
        <v>6.0</v>
      </c>
      <c r="H257" s="137">
        <v>1.3829502667591551</v>
      </c>
      <c r="I257" s="140">
        <f t="shared" ref="I257:I258" si="65">(G257+0.5)/(F257+0.5)</f>
        <v>0.1940298507</v>
      </c>
      <c r="J257" s="140">
        <f t="shared" si="2"/>
        <v>0.2407407407</v>
      </c>
    </row>
    <row r="258">
      <c r="A258" s="4">
        <v>70.0</v>
      </c>
      <c r="B258" s="4" t="s">
        <v>121</v>
      </c>
      <c r="C258" s="3" t="s">
        <v>246</v>
      </c>
      <c r="D258" s="4" t="s">
        <v>64</v>
      </c>
      <c r="E258" s="4" t="s">
        <v>370</v>
      </c>
      <c r="F258" s="4">
        <v>32.0</v>
      </c>
      <c r="G258" s="141">
        <v>11.0</v>
      </c>
      <c r="H258" s="137">
        <v>3.09780113662678</v>
      </c>
      <c r="I258" s="140">
        <f t="shared" si="65"/>
        <v>0.3538461538</v>
      </c>
      <c r="J258" s="140">
        <f t="shared" si="2"/>
        <v>0.5476190476</v>
      </c>
    </row>
    <row r="259">
      <c r="A259" s="4">
        <v>70.0</v>
      </c>
      <c r="B259" s="4" t="s">
        <v>121</v>
      </c>
      <c r="C259" s="3" t="s">
        <v>246</v>
      </c>
      <c r="D259" s="4" t="s">
        <v>222</v>
      </c>
      <c r="E259" s="4" t="s">
        <v>319</v>
      </c>
      <c r="F259" s="4">
        <v>32.0</v>
      </c>
      <c r="G259" s="137">
        <v>6.0</v>
      </c>
      <c r="H259" s="137">
        <v>1.2096408925079374</v>
      </c>
      <c r="I259" s="140">
        <f t="shared" ref="I259:I260" si="66">G259</f>
        <v>6</v>
      </c>
      <c r="J259" s="140">
        <f t="shared" si="2"/>
        <v>0.2138363195</v>
      </c>
    </row>
    <row r="260">
      <c r="A260" s="4">
        <v>70.0</v>
      </c>
      <c r="B260" s="4" t="s">
        <v>121</v>
      </c>
      <c r="C260" s="3" t="s">
        <v>246</v>
      </c>
      <c r="D260" s="4" t="s">
        <v>222</v>
      </c>
      <c r="E260" s="4" t="s">
        <v>371</v>
      </c>
      <c r="F260" s="4">
        <v>32.0</v>
      </c>
      <c r="G260" s="137">
        <v>99.0</v>
      </c>
      <c r="H260" s="137">
        <v>3.6289226775238124</v>
      </c>
      <c r="I260" s="140">
        <f t="shared" si="66"/>
        <v>99</v>
      </c>
      <c r="J260" s="140">
        <f t="shared" si="2"/>
        <v>0.6415089584</v>
      </c>
    </row>
    <row r="261">
      <c r="A261" s="4">
        <v>70.0</v>
      </c>
      <c r="B261" s="4" t="s">
        <v>121</v>
      </c>
      <c r="C261" s="3" t="s">
        <v>246</v>
      </c>
      <c r="D261" s="4" t="s">
        <v>64</v>
      </c>
      <c r="E261" s="3" t="s">
        <v>385</v>
      </c>
      <c r="F261" s="4">
        <v>32.0</v>
      </c>
      <c r="G261" s="141">
        <v>6.0</v>
      </c>
      <c r="H261" s="137">
        <v>1.4142135623730951</v>
      </c>
      <c r="I261" s="140">
        <f>(G261+0.5)/(F261+0.5)</f>
        <v>0.2</v>
      </c>
      <c r="J261" s="140">
        <f t="shared" si="2"/>
        <v>0.25</v>
      </c>
    </row>
    <row r="262">
      <c r="A262" s="4">
        <v>73.0</v>
      </c>
      <c r="B262" s="4" t="s">
        <v>123</v>
      </c>
      <c r="C262" s="3" t="s">
        <v>42</v>
      </c>
      <c r="D262" s="4" t="s">
        <v>222</v>
      </c>
      <c r="E262" s="4" t="s">
        <v>471</v>
      </c>
      <c r="F262" s="4">
        <v>20.0</v>
      </c>
      <c r="G262" s="137">
        <v>86.9</v>
      </c>
      <c r="H262" s="137">
        <v>11.7</v>
      </c>
      <c r="I262" s="140">
        <f t="shared" ref="I262:I267" si="67">G262</f>
        <v>86.9</v>
      </c>
      <c r="J262" s="140">
        <f t="shared" si="2"/>
        <v>2.616199534</v>
      </c>
    </row>
    <row r="263">
      <c r="A263" s="4">
        <v>73.0</v>
      </c>
      <c r="B263" s="4" t="s">
        <v>123</v>
      </c>
      <c r="C263" s="3" t="s">
        <v>42</v>
      </c>
      <c r="D263" s="4" t="s">
        <v>222</v>
      </c>
      <c r="E263" s="4" t="s">
        <v>371</v>
      </c>
      <c r="F263" s="4">
        <v>20.0</v>
      </c>
      <c r="G263" s="137">
        <v>87.4</v>
      </c>
      <c r="H263" s="137">
        <v>13.8</v>
      </c>
      <c r="I263" s="140">
        <f t="shared" si="67"/>
        <v>87.4</v>
      </c>
      <c r="J263" s="140">
        <f t="shared" si="2"/>
        <v>3.085773809</v>
      </c>
    </row>
    <row r="264">
      <c r="A264" s="4">
        <v>73.0</v>
      </c>
      <c r="B264" s="4" t="s">
        <v>123</v>
      </c>
      <c r="C264" s="3" t="s">
        <v>84</v>
      </c>
      <c r="D264" s="4" t="s">
        <v>222</v>
      </c>
      <c r="E264" s="4" t="s">
        <v>471</v>
      </c>
      <c r="F264" s="4">
        <v>20.0</v>
      </c>
      <c r="G264" s="137">
        <v>90.97</v>
      </c>
      <c r="H264" s="137">
        <v>5.1</v>
      </c>
      <c r="I264" s="140">
        <f t="shared" si="67"/>
        <v>90.97</v>
      </c>
      <c r="J264" s="140">
        <f t="shared" si="2"/>
        <v>1.140394669</v>
      </c>
    </row>
    <row r="265">
      <c r="A265" s="4">
        <v>73.0</v>
      </c>
      <c r="B265" s="4" t="s">
        <v>123</v>
      </c>
      <c r="C265" s="3" t="s">
        <v>84</v>
      </c>
      <c r="D265" s="4" t="s">
        <v>222</v>
      </c>
      <c r="E265" s="4" t="s">
        <v>371</v>
      </c>
      <c r="F265" s="4">
        <v>20.0</v>
      </c>
      <c r="G265" s="137">
        <v>93.17</v>
      </c>
      <c r="H265" s="137">
        <v>10.3</v>
      </c>
      <c r="I265" s="140">
        <f t="shared" si="67"/>
        <v>93.17</v>
      </c>
      <c r="J265" s="140">
        <f t="shared" si="2"/>
        <v>2.303150017</v>
      </c>
    </row>
    <row r="266">
      <c r="A266" s="4">
        <v>76.0</v>
      </c>
      <c r="B266" s="4" t="s">
        <v>125</v>
      </c>
      <c r="C266" s="3" t="s">
        <v>42</v>
      </c>
      <c r="D266" s="4" t="s">
        <v>222</v>
      </c>
      <c r="E266" s="4" t="s">
        <v>471</v>
      </c>
      <c r="G266" s="137"/>
      <c r="H266" s="137"/>
      <c r="I266" s="140" t="str">
        <f t="shared" si="67"/>
        <v/>
      </c>
      <c r="J266" s="121"/>
    </row>
    <row r="267">
      <c r="A267" s="4">
        <v>76.0</v>
      </c>
      <c r="B267" s="4" t="s">
        <v>125</v>
      </c>
      <c r="C267" s="3" t="s">
        <v>42</v>
      </c>
      <c r="D267" s="4" t="s">
        <v>222</v>
      </c>
      <c r="E267" s="4" t="s">
        <v>371</v>
      </c>
      <c r="G267" s="137"/>
      <c r="H267" s="137"/>
      <c r="I267" s="140" t="str">
        <f t="shared" si="67"/>
        <v/>
      </c>
      <c r="J267" s="121"/>
    </row>
    <row r="268">
      <c r="A268" s="4">
        <v>76.0</v>
      </c>
      <c r="B268" s="4" t="s">
        <v>125</v>
      </c>
      <c r="C268" s="3" t="s">
        <v>42</v>
      </c>
      <c r="D268" s="4" t="s">
        <v>64</v>
      </c>
      <c r="E268" s="4" t="s">
        <v>370</v>
      </c>
      <c r="G268" s="141"/>
      <c r="H268" s="137" t="s">
        <v>101</v>
      </c>
      <c r="I268" s="140">
        <f t="shared" ref="I268:I269" si="68">(G268+0.5)/(F268+0.5)</f>
        <v>1</v>
      </c>
      <c r="J268" s="121"/>
    </row>
    <row r="269">
      <c r="A269" s="4">
        <v>76.0</v>
      </c>
      <c r="B269" s="4" t="s">
        <v>125</v>
      </c>
      <c r="C269" s="3" t="s">
        <v>42</v>
      </c>
      <c r="D269" s="4" t="s">
        <v>64</v>
      </c>
      <c r="E269" s="3" t="s">
        <v>385</v>
      </c>
      <c r="G269" s="141"/>
      <c r="H269" s="137" t="s">
        <v>101</v>
      </c>
      <c r="I269" s="140">
        <f t="shared" si="68"/>
        <v>1</v>
      </c>
      <c r="J269" s="121"/>
    </row>
    <row r="270">
      <c r="A270" s="4">
        <v>76.0</v>
      </c>
      <c r="B270" s="4" t="s">
        <v>125</v>
      </c>
      <c r="C270" s="3" t="s">
        <v>42</v>
      </c>
      <c r="D270" s="4" t="s">
        <v>222</v>
      </c>
      <c r="E270" s="3" t="s">
        <v>317</v>
      </c>
      <c r="G270" s="137"/>
      <c r="H270" s="137"/>
      <c r="I270" s="140" t="str">
        <f t="shared" ref="I270:I272" si="69">G270</f>
        <v/>
      </c>
      <c r="J270" s="121"/>
    </row>
    <row r="271">
      <c r="A271" s="4">
        <v>76.0</v>
      </c>
      <c r="B271" s="4" t="s">
        <v>125</v>
      </c>
      <c r="C271" s="3" t="s">
        <v>84</v>
      </c>
      <c r="D271" s="4" t="s">
        <v>222</v>
      </c>
      <c r="E271" s="4" t="s">
        <v>471</v>
      </c>
      <c r="G271" s="137"/>
      <c r="H271" s="137"/>
      <c r="I271" s="140" t="str">
        <f t="shared" si="69"/>
        <v/>
      </c>
      <c r="J271" s="121"/>
    </row>
    <row r="272">
      <c r="A272" s="4">
        <v>76.0</v>
      </c>
      <c r="B272" s="4" t="s">
        <v>125</v>
      </c>
      <c r="C272" s="3" t="s">
        <v>84</v>
      </c>
      <c r="D272" s="4" t="s">
        <v>222</v>
      </c>
      <c r="E272" s="4" t="s">
        <v>371</v>
      </c>
      <c r="G272" s="137"/>
      <c r="H272" s="137"/>
      <c r="I272" s="140" t="str">
        <f t="shared" si="69"/>
        <v/>
      </c>
      <c r="J272" s="121"/>
    </row>
    <row r="273">
      <c r="A273" s="4">
        <v>76.0</v>
      </c>
      <c r="B273" s="4" t="s">
        <v>125</v>
      </c>
      <c r="C273" s="3" t="s">
        <v>84</v>
      </c>
      <c r="D273" s="4" t="s">
        <v>64</v>
      </c>
      <c r="E273" s="4" t="s">
        <v>370</v>
      </c>
      <c r="G273" s="141"/>
      <c r="H273" s="137" t="s">
        <v>101</v>
      </c>
      <c r="I273" s="140">
        <f t="shared" ref="I273:I274" si="70">(G273+0.5)/(F273+0.5)</f>
        <v>1</v>
      </c>
      <c r="J273" s="121"/>
    </row>
    <row r="274">
      <c r="A274" s="4">
        <v>76.0</v>
      </c>
      <c r="B274" s="4" t="s">
        <v>125</v>
      </c>
      <c r="C274" s="3" t="s">
        <v>84</v>
      </c>
      <c r="D274" s="4" t="s">
        <v>64</v>
      </c>
      <c r="E274" s="3" t="s">
        <v>385</v>
      </c>
      <c r="G274" s="141"/>
      <c r="H274" s="137" t="s">
        <v>101</v>
      </c>
      <c r="I274" s="140">
        <f t="shared" si="70"/>
        <v>1</v>
      </c>
      <c r="J274" s="121"/>
    </row>
    <row r="275">
      <c r="A275" s="4">
        <v>76.0</v>
      </c>
      <c r="B275" s="4" t="s">
        <v>125</v>
      </c>
      <c r="C275" s="3" t="s">
        <v>84</v>
      </c>
      <c r="D275" s="4" t="s">
        <v>222</v>
      </c>
      <c r="E275" s="3" t="s">
        <v>317</v>
      </c>
      <c r="G275" s="137"/>
      <c r="H275" s="137"/>
      <c r="I275" s="140" t="str">
        <f t="shared" ref="I275:I278" si="71">G275</f>
        <v/>
      </c>
      <c r="J275" s="121"/>
    </row>
    <row r="276">
      <c r="A276" s="4">
        <v>77.0</v>
      </c>
      <c r="B276" s="4" t="s">
        <v>128</v>
      </c>
      <c r="C276" s="3" t="s">
        <v>42</v>
      </c>
      <c r="D276" s="4" t="s">
        <v>222</v>
      </c>
      <c r="E276" s="4" t="s">
        <v>371</v>
      </c>
      <c r="F276" s="4">
        <v>38.0</v>
      </c>
      <c r="G276" s="137">
        <v>82.0</v>
      </c>
      <c r="H276" s="137">
        <v>15.449467035989889</v>
      </c>
      <c r="I276" s="140">
        <f t="shared" si="71"/>
        <v>82</v>
      </c>
      <c r="J276" s="121"/>
    </row>
    <row r="277">
      <c r="A277" s="4">
        <v>77.0</v>
      </c>
      <c r="B277" s="4" t="s">
        <v>128</v>
      </c>
      <c r="C277" s="3" t="s">
        <v>42</v>
      </c>
      <c r="D277" s="4" t="s">
        <v>222</v>
      </c>
      <c r="E277" s="4" t="s">
        <v>319</v>
      </c>
      <c r="F277" s="4">
        <v>38.0</v>
      </c>
      <c r="G277" s="137">
        <v>4.0</v>
      </c>
      <c r="H277" s="137">
        <v>1.6385798371504428</v>
      </c>
      <c r="I277" s="140">
        <f t="shared" si="71"/>
        <v>4</v>
      </c>
      <c r="J277" s="121"/>
    </row>
    <row r="278">
      <c r="A278" s="4">
        <v>77.0</v>
      </c>
      <c r="B278" s="4" t="s">
        <v>128</v>
      </c>
      <c r="C278" s="3" t="s">
        <v>42</v>
      </c>
      <c r="D278" s="4" t="s">
        <v>222</v>
      </c>
      <c r="E278" s="3" t="s">
        <v>317</v>
      </c>
      <c r="F278" s="4">
        <v>38.0</v>
      </c>
      <c r="G278" s="137">
        <v>1.3</v>
      </c>
      <c r="H278" s="137">
        <v>2.2</v>
      </c>
      <c r="I278" s="140">
        <f t="shared" si="71"/>
        <v>1.3</v>
      </c>
      <c r="J278" s="121"/>
    </row>
    <row r="279">
      <c r="A279" s="4">
        <v>77.0</v>
      </c>
      <c r="B279" s="4" t="s">
        <v>128</v>
      </c>
      <c r="C279" s="3" t="s">
        <v>42</v>
      </c>
      <c r="D279" s="4" t="s">
        <v>64</v>
      </c>
      <c r="E279" s="3" t="s">
        <v>385</v>
      </c>
      <c r="F279" s="4">
        <v>38.0</v>
      </c>
      <c r="G279" s="141">
        <v>3.0</v>
      </c>
      <c r="H279" s="137">
        <v>0.6164414002968976</v>
      </c>
      <c r="I279" s="140">
        <f t="shared" ref="I279:I281" si="72">(G279+0.5)/(F279+0.5)</f>
        <v>0.09090909091</v>
      </c>
      <c r="J279" s="121"/>
    </row>
    <row r="280">
      <c r="A280" s="4">
        <v>77.0</v>
      </c>
      <c r="B280" s="4" t="s">
        <v>128</v>
      </c>
      <c r="C280" s="3" t="s">
        <v>42</v>
      </c>
      <c r="D280" s="4" t="s">
        <v>64</v>
      </c>
      <c r="E280" s="4" t="s">
        <v>370</v>
      </c>
      <c r="F280" s="4">
        <v>38.0</v>
      </c>
      <c r="G280" s="141"/>
      <c r="H280" s="137">
        <v>0.08111071056538127</v>
      </c>
      <c r="I280" s="140">
        <f t="shared" si="72"/>
        <v>0.01298701299</v>
      </c>
      <c r="J280" s="121"/>
    </row>
    <row r="281">
      <c r="A281" s="4">
        <v>77.0</v>
      </c>
      <c r="B281" s="4" t="s">
        <v>128</v>
      </c>
      <c r="C281" s="3" t="s">
        <v>42</v>
      </c>
      <c r="D281" s="4" t="s">
        <v>64</v>
      </c>
      <c r="E281" s="4" t="s">
        <v>59</v>
      </c>
      <c r="F281" s="4">
        <v>38.0</v>
      </c>
      <c r="G281" s="141"/>
      <c r="H281" s="137">
        <v>0.08111071056538127</v>
      </c>
      <c r="I281" s="140">
        <f t="shared" si="72"/>
        <v>0.01298701299</v>
      </c>
      <c r="J281" s="121"/>
    </row>
    <row r="282">
      <c r="A282" s="4">
        <v>77.0</v>
      </c>
      <c r="B282" s="4" t="s">
        <v>128</v>
      </c>
      <c r="C282" s="3" t="s">
        <v>84</v>
      </c>
      <c r="D282" s="4" t="s">
        <v>222</v>
      </c>
      <c r="E282" s="4" t="s">
        <v>371</v>
      </c>
      <c r="F282" s="4">
        <v>33.0</v>
      </c>
      <c r="G282" s="137">
        <v>85.0</v>
      </c>
      <c r="H282" s="137">
        <v>14.6687205702996</v>
      </c>
      <c r="I282" s="140">
        <f t="shared" ref="I282:I284" si="73">G282</f>
        <v>85</v>
      </c>
      <c r="J282" s="121"/>
    </row>
    <row r="283">
      <c r="A283" s="4">
        <v>77.0</v>
      </c>
      <c r="B283" s="4" t="s">
        <v>128</v>
      </c>
      <c r="C283" s="3" t="s">
        <v>84</v>
      </c>
      <c r="D283" s="4" t="s">
        <v>222</v>
      </c>
      <c r="E283" s="4" t="s">
        <v>319</v>
      </c>
      <c r="F283" s="4">
        <v>33.0</v>
      </c>
      <c r="G283" s="137">
        <v>5.0</v>
      </c>
      <c r="H283" s="137">
        <v>2.1642374611917443</v>
      </c>
      <c r="I283" s="140">
        <f t="shared" si="73"/>
        <v>5</v>
      </c>
      <c r="J283" s="121"/>
    </row>
    <row r="284">
      <c r="A284" s="4">
        <v>77.0</v>
      </c>
      <c r="B284" s="4" t="s">
        <v>128</v>
      </c>
      <c r="C284" s="3" t="s">
        <v>84</v>
      </c>
      <c r="D284" s="4" t="s">
        <v>222</v>
      </c>
      <c r="E284" s="3" t="s">
        <v>317</v>
      </c>
      <c r="F284" s="4">
        <v>33.0</v>
      </c>
      <c r="G284" s="137">
        <v>1.5</v>
      </c>
      <c r="H284" s="137">
        <v>3.3</v>
      </c>
      <c r="I284" s="140">
        <f t="shared" si="73"/>
        <v>1.5</v>
      </c>
      <c r="J284" s="121"/>
    </row>
    <row r="285">
      <c r="A285" s="4">
        <v>77.0</v>
      </c>
      <c r="B285" s="4" t="s">
        <v>128</v>
      </c>
      <c r="C285" s="3" t="s">
        <v>84</v>
      </c>
      <c r="D285" s="4" t="s">
        <v>64</v>
      </c>
      <c r="E285" s="3" t="s">
        <v>385</v>
      </c>
      <c r="F285" s="4">
        <v>33.0</v>
      </c>
      <c r="G285" s="141"/>
      <c r="H285" s="137">
        <v>0.08703882797784893</v>
      </c>
      <c r="I285" s="140">
        <f t="shared" ref="I285:I291" si="74">(G285+0.5)/(F285+0.5)</f>
        <v>0.01492537313</v>
      </c>
      <c r="J285" s="121"/>
    </row>
    <row r="286">
      <c r="A286" s="4">
        <v>77.0</v>
      </c>
      <c r="B286" s="4" t="s">
        <v>128</v>
      </c>
      <c r="C286" s="3" t="s">
        <v>84</v>
      </c>
      <c r="D286" s="4" t="s">
        <v>64</v>
      </c>
      <c r="E286" s="4" t="s">
        <v>370</v>
      </c>
      <c r="F286" s="4">
        <v>33.0</v>
      </c>
      <c r="G286" s="141"/>
      <c r="H286" s="137">
        <v>0.08703882797784893</v>
      </c>
      <c r="I286" s="140">
        <f t="shared" si="74"/>
        <v>0.01492537313</v>
      </c>
      <c r="J286" s="121"/>
    </row>
    <row r="287">
      <c r="A287" s="4">
        <v>77.0</v>
      </c>
      <c r="B287" s="4" t="s">
        <v>128</v>
      </c>
      <c r="C287" s="3" t="s">
        <v>84</v>
      </c>
      <c r="D287" s="4" t="s">
        <v>64</v>
      </c>
      <c r="E287" s="4" t="s">
        <v>59</v>
      </c>
      <c r="F287" s="4">
        <v>33.0</v>
      </c>
      <c r="G287" s="141"/>
      <c r="H287" s="137">
        <v>0.08703882797784893</v>
      </c>
      <c r="I287" s="140">
        <f t="shared" si="74"/>
        <v>0.01492537313</v>
      </c>
      <c r="J287" s="121"/>
    </row>
    <row r="288">
      <c r="A288" s="4">
        <v>82.0</v>
      </c>
      <c r="B288" s="4" t="s">
        <v>130</v>
      </c>
      <c r="C288" s="3" t="s">
        <v>42</v>
      </c>
      <c r="D288" s="4" t="s">
        <v>64</v>
      </c>
      <c r="E288" s="4" t="s">
        <v>370</v>
      </c>
      <c r="F288" s="4">
        <v>24.0</v>
      </c>
      <c r="G288" s="141">
        <v>5.0</v>
      </c>
      <c r="H288" s="137">
        <v>1.418125640558682</v>
      </c>
      <c r="I288" s="140">
        <f t="shared" si="74"/>
        <v>0.2244897959</v>
      </c>
      <c r="J288" s="121"/>
    </row>
    <row r="289">
      <c r="A289" s="4">
        <v>82.0</v>
      </c>
      <c r="B289" s="4" t="s">
        <v>130</v>
      </c>
      <c r="C289" s="3" t="s">
        <v>42</v>
      </c>
      <c r="D289" s="4" t="s">
        <v>64</v>
      </c>
      <c r="E289" s="3" t="s">
        <v>385</v>
      </c>
      <c r="F289" s="4">
        <v>24.0</v>
      </c>
      <c r="G289" s="141">
        <v>6.0</v>
      </c>
      <c r="H289" s="137">
        <v>1.7690759253434065</v>
      </c>
      <c r="I289" s="140">
        <f t="shared" si="74"/>
        <v>0.2653061224</v>
      </c>
      <c r="J289" s="121"/>
    </row>
    <row r="290">
      <c r="A290" s="4">
        <v>82.0</v>
      </c>
      <c r="B290" s="4" t="s">
        <v>130</v>
      </c>
      <c r="C290" s="3" t="s">
        <v>84</v>
      </c>
      <c r="D290" s="4" t="s">
        <v>64</v>
      </c>
      <c r="E290" s="4" t="s">
        <v>370</v>
      </c>
      <c r="F290" s="4">
        <v>24.0</v>
      </c>
      <c r="G290" s="141">
        <v>5.0</v>
      </c>
      <c r="H290" s="137">
        <v>1.418125640558682</v>
      </c>
      <c r="I290" s="140">
        <f t="shared" si="74"/>
        <v>0.2244897959</v>
      </c>
      <c r="J290" s="121"/>
    </row>
    <row r="291">
      <c r="A291" s="4">
        <v>82.0</v>
      </c>
      <c r="B291" s="4" t="s">
        <v>130</v>
      </c>
      <c r="C291" s="3" t="s">
        <v>84</v>
      </c>
      <c r="D291" s="4" t="s">
        <v>64</v>
      </c>
      <c r="E291" s="3" t="s">
        <v>385</v>
      </c>
      <c r="F291" s="4">
        <v>24.0</v>
      </c>
      <c r="G291" s="141">
        <v>5.0</v>
      </c>
      <c r="H291" s="137">
        <v>1.418125640558682</v>
      </c>
      <c r="I291" s="140">
        <f t="shared" si="74"/>
        <v>0.2244897959</v>
      </c>
      <c r="J291" s="121"/>
    </row>
    <row r="292">
      <c r="A292" s="4">
        <v>84.0</v>
      </c>
      <c r="B292" s="4" t="s">
        <v>132</v>
      </c>
      <c r="C292" s="3" t="s">
        <v>84</v>
      </c>
      <c r="D292" s="4" t="s">
        <v>222</v>
      </c>
      <c r="E292" s="4" t="s">
        <v>471</v>
      </c>
      <c r="F292" s="4">
        <v>43.0</v>
      </c>
      <c r="G292" s="137">
        <v>76.0</v>
      </c>
      <c r="H292" s="137">
        <v>15.0</v>
      </c>
      <c r="I292" s="140">
        <f t="shared" ref="I292:I295" si="75">G292</f>
        <v>76</v>
      </c>
      <c r="J292" s="121"/>
    </row>
    <row r="293">
      <c r="A293" s="4">
        <v>84.0</v>
      </c>
      <c r="B293" s="4" t="s">
        <v>132</v>
      </c>
      <c r="C293" s="3" t="s">
        <v>200</v>
      </c>
      <c r="D293" s="4" t="s">
        <v>222</v>
      </c>
      <c r="E293" s="4" t="s">
        <v>471</v>
      </c>
      <c r="F293" s="4">
        <v>42.0</v>
      </c>
      <c r="G293" s="137">
        <v>76.0</v>
      </c>
      <c r="H293" s="137">
        <v>17.0</v>
      </c>
      <c r="I293" s="140">
        <f t="shared" si="75"/>
        <v>76</v>
      </c>
      <c r="J293" s="121"/>
    </row>
    <row r="294">
      <c r="A294" s="4">
        <v>85.0</v>
      </c>
      <c r="B294" s="4" t="s">
        <v>134</v>
      </c>
      <c r="C294" s="3" t="s">
        <v>42</v>
      </c>
      <c r="D294" s="4" t="s">
        <v>222</v>
      </c>
      <c r="E294" s="4" t="s">
        <v>471</v>
      </c>
      <c r="F294" s="4">
        <v>32.0</v>
      </c>
      <c r="G294" s="137">
        <v>89.4</v>
      </c>
      <c r="H294" s="137">
        <v>9.2</v>
      </c>
      <c r="I294" s="140">
        <f t="shared" si="75"/>
        <v>89.4</v>
      </c>
      <c r="J294" s="121"/>
    </row>
    <row r="295">
      <c r="A295" s="4">
        <v>85.0</v>
      </c>
      <c r="B295" s="4" t="s">
        <v>134</v>
      </c>
      <c r="C295" s="3" t="s">
        <v>42</v>
      </c>
      <c r="D295" s="4" t="s">
        <v>222</v>
      </c>
      <c r="E295" s="3" t="s">
        <v>317</v>
      </c>
      <c r="F295" s="4">
        <v>32.0</v>
      </c>
      <c r="G295" s="137">
        <v>0.0</v>
      </c>
      <c r="H295" s="137">
        <v>0.8</v>
      </c>
      <c r="I295" s="140">
        <f t="shared" si="75"/>
        <v>0</v>
      </c>
      <c r="J295" s="121"/>
    </row>
    <row r="296">
      <c r="A296" s="4">
        <v>85.0</v>
      </c>
      <c r="B296" s="4" t="s">
        <v>134</v>
      </c>
      <c r="C296" s="3" t="s">
        <v>42</v>
      </c>
      <c r="D296" s="4" t="s">
        <v>64</v>
      </c>
      <c r="E296" s="4" t="s">
        <v>59</v>
      </c>
      <c r="F296" s="4">
        <v>32.0</v>
      </c>
      <c r="G296" s="141">
        <v>0.0</v>
      </c>
      <c r="H296" s="137">
        <v>0.08838834764831845</v>
      </c>
      <c r="I296" s="140">
        <f>(G296+0.5)/(F296+0.5)</f>
        <v>0.01538461538</v>
      </c>
      <c r="J296" s="121"/>
    </row>
    <row r="297">
      <c r="A297" s="4">
        <v>85.0</v>
      </c>
      <c r="B297" s="4" t="s">
        <v>134</v>
      </c>
      <c r="C297" s="3" t="s">
        <v>84</v>
      </c>
      <c r="D297" s="4" t="s">
        <v>222</v>
      </c>
      <c r="E297" s="4" t="s">
        <v>471</v>
      </c>
      <c r="F297" s="4">
        <v>32.0</v>
      </c>
      <c r="G297" s="137">
        <v>94.8</v>
      </c>
      <c r="H297" s="137">
        <v>6.4</v>
      </c>
      <c r="I297" s="140">
        <f t="shared" ref="I297:I298" si="76">G297</f>
        <v>94.8</v>
      </c>
      <c r="J297" s="121"/>
    </row>
    <row r="298">
      <c r="A298" s="4">
        <v>85.0</v>
      </c>
      <c r="B298" s="4" t="s">
        <v>134</v>
      </c>
      <c r="C298" s="3" t="s">
        <v>84</v>
      </c>
      <c r="D298" s="4" t="s">
        <v>222</v>
      </c>
      <c r="E298" s="3" t="s">
        <v>317</v>
      </c>
      <c r="F298" s="4">
        <v>32.0</v>
      </c>
      <c r="G298" s="137">
        <v>0.3</v>
      </c>
      <c r="H298" s="137">
        <v>0.7</v>
      </c>
      <c r="I298" s="140">
        <f t="shared" si="76"/>
        <v>0.3</v>
      </c>
      <c r="J298" s="121"/>
    </row>
    <row r="299">
      <c r="A299" s="4">
        <v>85.0</v>
      </c>
      <c r="B299" s="4" t="s">
        <v>134</v>
      </c>
      <c r="C299" s="3" t="s">
        <v>84</v>
      </c>
      <c r="D299" s="4" t="s">
        <v>64</v>
      </c>
      <c r="E299" s="4" t="s">
        <v>59</v>
      </c>
      <c r="F299" s="4">
        <v>32.0</v>
      </c>
      <c r="G299" s="141">
        <v>2.0</v>
      </c>
      <c r="H299" s="137">
        <v>0.4714045207910317</v>
      </c>
      <c r="I299" s="140">
        <f>(G299+0.5)/(F299+0.5)</f>
        <v>0.07692307692</v>
      </c>
      <c r="J299" s="121"/>
    </row>
    <row r="300">
      <c r="A300" s="4">
        <v>87.0</v>
      </c>
      <c r="B300" s="4" t="s">
        <v>136</v>
      </c>
      <c r="C300" s="3" t="s">
        <v>42</v>
      </c>
      <c r="D300" s="4" t="s">
        <v>222</v>
      </c>
      <c r="E300" s="4" t="s">
        <v>471</v>
      </c>
      <c r="F300" s="4">
        <v>296.0</v>
      </c>
      <c r="G300" s="137">
        <v>89.4</v>
      </c>
      <c r="H300" s="137">
        <v>10.9</v>
      </c>
      <c r="I300" s="140">
        <f t="shared" ref="I300:I303" si="77">G300</f>
        <v>89.4</v>
      </c>
      <c r="J300" s="121"/>
    </row>
    <row r="301">
      <c r="A301" s="4">
        <v>87.0</v>
      </c>
      <c r="B301" s="4" t="s">
        <v>136</v>
      </c>
      <c r="C301" s="3" t="s">
        <v>42</v>
      </c>
      <c r="D301" s="4" t="s">
        <v>222</v>
      </c>
      <c r="E301" s="4" t="s">
        <v>371</v>
      </c>
      <c r="F301" s="4">
        <v>296.0</v>
      </c>
      <c r="G301" s="137">
        <v>89.0</v>
      </c>
      <c r="H301" s="137">
        <v>12.4</v>
      </c>
      <c r="I301" s="140">
        <f t="shared" si="77"/>
        <v>89</v>
      </c>
      <c r="J301" s="121"/>
    </row>
    <row r="302">
      <c r="A302" s="4">
        <v>87.0</v>
      </c>
      <c r="B302" s="4" t="s">
        <v>136</v>
      </c>
      <c r="C302" s="3" t="s">
        <v>42</v>
      </c>
      <c r="D302" s="4" t="s">
        <v>222</v>
      </c>
      <c r="E302" s="4" t="s">
        <v>319</v>
      </c>
      <c r="F302" s="4">
        <v>296.0</v>
      </c>
      <c r="G302" s="137">
        <v>6.6</v>
      </c>
      <c r="H302" s="137">
        <v>1.6</v>
      </c>
      <c r="I302" s="140">
        <f t="shared" si="77"/>
        <v>6.6</v>
      </c>
      <c r="J302" s="121"/>
    </row>
    <row r="303">
      <c r="A303" s="4">
        <v>87.0</v>
      </c>
      <c r="B303" s="4" t="s">
        <v>136</v>
      </c>
      <c r="C303" s="3" t="s">
        <v>42</v>
      </c>
      <c r="D303" s="4" t="s">
        <v>222</v>
      </c>
      <c r="E303" s="3" t="s">
        <v>317</v>
      </c>
      <c r="F303" s="4">
        <v>296.0</v>
      </c>
      <c r="G303" s="137">
        <v>1.2</v>
      </c>
      <c r="H303" s="137">
        <v>1.4</v>
      </c>
      <c r="I303" s="140">
        <f t="shared" si="77"/>
        <v>1.2</v>
      </c>
      <c r="J303" s="121"/>
    </row>
    <row r="304">
      <c r="A304" s="4">
        <v>87.0</v>
      </c>
      <c r="B304" s="4" t="s">
        <v>136</v>
      </c>
      <c r="C304" s="3" t="s">
        <v>42</v>
      </c>
      <c r="D304" s="4" t="s">
        <v>64</v>
      </c>
      <c r="E304" s="4" t="s">
        <v>59</v>
      </c>
      <c r="F304" s="4">
        <v>273.0</v>
      </c>
      <c r="G304" s="141">
        <v>12.0</v>
      </c>
      <c r="H304" s="137">
        <v>0.7913176073686927</v>
      </c>
      <c r="I304" s="140">
        <f>(G304+0.5)/(F304+0.5)</f>
        <v>0.04570383912</v>
      </c>
      <c r="J304" s="121"/>
    </row>
    <row r="305">
      <c r="A305" s="4">
        <v>87.0</v>
      </c>
      <c r="B305" s="4" t="s">
        <v>136</v>
      </c>
      <c r="C305" s="3" t="s">
        <v>84</v>
      </c>
      <c r="D305" s="4" t="s">
        <v>222</v>
      </c>
      <c r="E305" s="4" t="s">
        <v>471</v>
      </c>
      <c r="F305" s="4">
        <v>297.0</v>
      </c>
      <c r="G305" s="137">
        <v>91.0</v>
      </c>
      <c r="H305" s="137">
        <v>10.3</v>
      </c>
      <c r="I305" s="140">
        <f t="shared" ref="I305:I308" si="78">G305</f>
        <v>91</v>
      </c>
      <c r="J305" s="121"/>
    </row>
    <row r="306">
      <c r="A306" s="4">
        <v>87.0</v>
      </c>
      <c r="B306" s="4" t="s">
        <v>136</v>
      </c>
      <c r="C306" s="3" t="s">
        <v>84</v>
      </c>
      <c r="D306" s="4" t="s">
        <v>222</v>
      </c>
      <c r="E306" s="4" t="s">
        <v>371</v>
      </c>
      <c r="F306" s="4">
        <v>297.0</v>
      </c>
      <c r="G306" s="137">
        <v>91.1</v>
      </c>
      <c r="H306" s="137">
        <v>11.9</v>
      </c>
      <c r="I306" s="140">
        <f t="shared" si="78"/>
        <v>91.1</v>
      </c>
      <c r="J306" s="121"/>
    </row>
    <row r="307">
      <c r="A307" s="4">
        <v>87.0</v>
      </c>
      <c r="B307" s="4" t="s">
        <v>136</v>
      </c>
      <c r="C307" s="3" t="s">
        <v>84</v>
      </c>
      <c r="D307" s="4" t="s">
        <v>222</v>
      </c>
      <c r="E307" s="4" t="s">
        <v>319</v>
      </c>
      <c r="F307" s="4">
        <v>297.0</v>
      </c>
      <c r="G307" s="137">
        <v>6.7</v>
      </c>
      <c r="H307" s="137">
        <v>1.7</v>
      </c>
      <c r="I307" s="140">
        <f t="shared" si="78"/>
        <v>6.7</v>
      </c>
      <c r="J307" s="121"/>
    </row>
    <row r="308">
      <c r="A308" s="4">
        <v>87.0</v>
      </c>
      <c r="B308" s="4" t="s">
        <v>136</v>
      </c>
      <c r="C308" s="3" t="s">
        <v>84</v>
      </c>
      <c r="D308" s="4" t="s">
        <v>222</v>
      </c>
      <c r="E308" s="3" t="s">
        <v>317</v>
      </c>
      <c r="F308" s="4">
        <v>297.0</v>
      </c>
      <c r="G308" s="137">
        <v>0.9</v>
      </c>
      <c r="H308" s="137">
        <v>1.0</v>
      </c>
      <c r="I308" s="140">
        <f t="shared" si="78"/>
        <v>0.9</v>
      </c>
      <c r="J308" s="121"/>
    </row>
    <row r="309">
      <c r="A309" s="4">
        <v>87.0</v>
      </c>
      <c r="B309" s="4" t="s">
        <v>136</v>
      </c>
      <c r="C309" s="3" t="s">
        <v>84</v>
      </c>
      <c r="D309" s="4" t="s">
        <v>64</v>
      </c>
      <c r="E309" s="4" t="s">
        <v>59</v>
      </c>
      <c r="F309" s="4">
        <v>283.0</v>
      </c>
      <c r="G309" s="141">
        <v>12.0</v>
      </c>
      <c r="H309" s="137">
        <v>0.7759503616817676</v>
      </c>
      <c r="I309" s="140">
        <f>(G309+0.5)/(F309+0.5)</f>
        <v>0.04409171076</v>
      </c>
      <c r="J309" s="121"/>
    </row>
    <row r="310">
      <c r="A310" s="4">
        <v>89.0</v>
      </c>
      <c r="B310" s="4" t="s">
        <v>139</v>
      </c>
      <c r="C310" s="3" t="s">
        <v>84</v>
      </c>
      <c r="D310" s="4" t="s">
        <v>222</v>
      </c>
      <c r="E310" s="4" t="s">
        <v>471</v>
      </c>
      <c r="F310" s="4">
        <v>16.0</v>
      </c>
      <c r="G310" s="137">
        <v>90.13</v>
      </c>
      <c r="H310" s="137">
        <v>6.99</v>
      </c>
      <c r="I310" s="140">
        <f t="shared" ref="I310:I315" si="79">G310</f>
        <v>90.13</v>
      </c>
      <c r="J310" s="121"/>
    </row>
    <row r="311">
      <c r="A311" s="4">
        <v>89.0</v>
      </c>
      <c r="B311" s="4" t="s">
        <v>139</v>
      </c>
      <c r="C311" s="3" t="s">
        <v>84</v>
      </c>
      <c r="D311" s="4" t="s">
        <v>222</v>
      </c>
      <c r="E311" s="4" t="s">
        <v>371</v>
      </c>
      <c r="F311" s="4">
        <v>16.0</v>
      </c>
      <c r="G311" s="137">
        <v>90.06</v>
      </c>
      <c r="H311" s="137">
        <v>7.33</v>
      </c>
      <c r="I311" s="140">
        <f t="shared" si="79"/>
        <v>90.06</v>
      </c>
      <c r="J311" s="121"/>
    </row>
    <row r="312">
      <c r="A312" s="4">
        <v>89.0</v>
      </c>
      <c r="B312" s="4" t="s">
        <v>139</v>
      </c>
      <c r="C312" s="3" t="s">
        <v>200</v>
      </c>
      <c r="D312" s="4" t="s">
        <v>222</v>
      </c>
      <c r="E312" s="4" t="s">
        <v>471</v>
      </c>
      <c r="F312" s="4">
        <v>17.0</v>
      </c>
      <c r="G312" s="137">
        <v>87.12</v>
      </c>
      <c r="H312" s="137">
        <v>6.61</v>
      </c>
      <c r="I312" s="140">
        <f t="shared" si="79"/>
        <v>87.12</v>
      </c>
      <c r="J312" s="121"/>
    </row>
    <row r="313">
      <c r="A313" s="4">
        <v>89.0</v>
      </c>
      <c r="B313" s="4" t="s">
        <v>139</v>
      </c>
      <c r="C313" s="3" t="s">
        <v>200</v>
      </c>
      <c r="D313" s="4" t="s">
        <v>222</v>
      </c>
      <c r="E313" s="4" t="s">
        <v>371</v>
      </c>
      <c r="F313" s="4">
        <v>17.0</v>
      </c>
      <c r="G313" s="137">
        <v>90.0</v>
      </c>
      <c r="H313" s="137">
        <v>4.26</v>
      </c>
      <c r="I313" s="140">
        <f t="shared" si="79"/>
        <v>90</v>
      </c>
      <c r="J313" s="121"/>
    </row>
    <row r="314">
      <c r="A314" s="4">
        <v>90.0</v>
      </c>
      <c r="B314" s="4" t="s">
        <v>141</v>
      </c>
      <c r="C314" s="3" t="s">
        <v>42</v>
      </c>
      <c r="D314" s="4" t="s">
        <v>222</v>
      </c>
      <c r="E314" s="4" t="s">
        <v>319</v>
      </c>
      <c r="F314" s="4">
        <v>20.0</v>
      </c>
      <c r="G314" s="137">
        <v>6.8</v>
      </c>
      <c r="H314" s="137">
        <v>3.27</v>
      </c>
      <c r="I314" s="140">
        <f t="shared" si="79"/>
        <v>6.8</v>
      </c>
      <c r="J314" s="121"/>
    </row>
    <row r="315">
      <c r="A315" s="4">
        <v>90.0</v>
      </c>
      <c r="B315" s="4" t="s">
        <v>141</v>
      </c>
      <c r="C315" s="3" t="s">
        <v>42</v>
      </c>
      <c r="D315" s="4" t="s">
        <v>222</v>
      </c>
      <c r="E315" s="4" t="s">
        <v>371</v>
      </c>
      <c r="F315" s="4">
        <v>21.0</v>
      </c>
      <c r="G315" s="137">
        <v>90.3</v>
      </c>
      <c r="H315" s="137">
        <v>12.19</v>
      </c>
      <c r="I315" s="140">
        <f t="shared" si="79"/>
        <v>90.3</v>
      </c>
      <c r="J315" s="121"/>
    </row>
    <row r="316">
      <c r="A316" s="4">
        <v>90.0</v>
      </c>
      <c r="B316" s="4" t="s">
        <v>141</v>
      </c>
      <c r="C316" s="3" t="s">
        <v>42</v>
      </c>
      <c r="D316" s="4" t="s">
        <v>64</v>
      </c>
      <c r="E316" s="4" t="s">
        <v>59</v>
      </c>
      <c r="F316" s="4">
        <v>32.0</v>
      </c>
      <c r="G316" s="141">
        <v>3.0</v>
      </c>
      <c r="H316" s="137">
        <v>0.6827237887318391</v>
      </c>
      <c r="I316" s="140">
        <f>(G316+0.5)/(F316+0.5)</f>
        <v>0.1076923077</v>
      </c>
      <c r="J316" s="121"/>
    </row>
    <row r="317">
      <c r="A317" s="4">
        <v>90.0</v>
      </c>
      <c r="B317" s="4" t="s">
        <v>141</v>
      </c>
      <c r="C317" s="3" t="s">
        <v>84</v>
      </c>
      <c r="D317" s="4" t="s">
        <v>222</v>
      </c>
      <c r="E317" s="4" t="s">
        <v>319</v>
      </c>
      <c r="F317" s="4">
        <v>24.0</v>
      </c>
      <c r="G317" s="137">
        <v>5.3</v>
      </c>
      <c r="H317" s="137">
        <v>3.58</v>
      </c>
      <c r="I317" s="140">
        <f t="shared" ref="I317:I318" si="80">G317</f>
        <v>5.3</v>
      </c>
      <c r="J317" s="121"/>
    </row>
    <row r="318">
      <c r="A318" s="4">
        <v>90.0</v>
      </c>
      <c r="B318" s="4" t="s">
        <v>141</v>
      </c>
      <c r="C318" s="3" t="s">
        <v>84</v>
      </c>
      <c r="D318" s="4" t="s">
        <v>222</v>
      </c>
      <c r="E318" s="4" t="s">
        <v>371</v>
      </c>
      <c r="F318" s="4">
        <v>23.0</v>
      </c>
      <c r="G318" s="137">
        <v>90.4</v>
      </c>
      <c r="H318" s="137">
        <v>12.75</v>
      </c>
      <c r="I318" s="140">
        <f t="shared" si="80"/>
        <v>90.4</v>
      </c>
      <c r="J318" s="121"/>
    </row>
    <row r="319">
      <c r="A319" s="4">
        <v>90.0</v>
      </c>
      <c r="B319" s="4" t="s">
        <v>141</v>
      </c>
      <c r="C319" s="3" t="s">
        <v>84</v>
      </c>
      <c r="D319" s="4" t="s">
        <v>64</v>
      </c>
      <c r="E319" s="4" t="s">
        <v>59</v>
      </c>
      <c r="F319" s="4">
        <v>32.0</v>
      </c>
      <c r="G319" s="141">
        <v>4.0</v>
      </c>
      <c r="H319" s="137">
        <v>0.9091372900969898</v>
      </c>
      <c r="I319" s="140">
        <f>(G319+0.5)/(F319+0.5)</f>
        <v>0.1384615385</v>
      </c>
      <c r="J319" s="121"/>
    </row>
    <row r="320">
      <c r="A320" s="4">
        <v>93.0</v>
      </c>
      <c r="B320" s="4" t="s">
        <v>143</v>
      </c>
      <c r="C320" s="3" t="s">
        <v>42</v>
      </c>
      <c r="D320" s="4" t="s">
        <v>222</v>
      </c>
      <c r="E320" s="4" t="s">
        <v>471</v>
      </c>
      <c r="F320" s="4">
        <v>14.0</v>
      </c>
      <c r="G320" s="4">
        <v>90.0</v>
      </c>
      <c r="H320" s="137">
        <v>1.7568999824730944</v>
      </c>
      <c r="I320" s="140">
        <f t="shared" ref="I320:I329" si="81">G320</f>
        <v>90</v>
      </c>
      <c r="J320" s="121"/>
    </row>
    <row r="321">
      <c r="A321" s="4">
        <v>93.0</v>
      </c>
      <c r="B321" s="4" t="s">
        <v>143</v>
      </c>
      <c r="C321" s="3" t="s">
        <v>42</v>
      </c>
      <c r="D321" s="4" t="s">
        <v>222</v>
      </c>
      <c r="E321" s="4" t="s">
        <v>371</v>
      </c>
      <c r="F321" s="4">
        <v>14.0</v>
      </c>
      <c r="G321" s="4">
        <v>96.0</v>
      </c>
      <c r="H321" s="137">
        <v>2.928166637455157</v>
      </c>
      <c r="I321" s="140">
        <f t="shared" si="81"/>
        <v>96</v>
      </c>
      <c r="J321" s="121"/>
    </row>
    <row r="322">
      <c r="A322" s="4">
        <v>93.0</v>
      </c>
      <c r="B322" s="4" t="s">
        <v>143</v>
      </c>
      <c r="C322" s="3" t="s">
        <v>200</v>
      </c>
      <c r="D322" s="4" t="s">
        <v>222</v>
      </c>
      <c r="E322" s="4" t="s">
        <v>471</v>
      </c>
      <c r="F322" s="4">
        <v>14.0</v>
      </c>
      <c r="G322" s="4">
        <v>88.17</v>
      </c>
      <c r="H322" s="137">
        <v>2.4889416418368837</v>
      </c>
      <c r="I322" s="140">
        <f t="shared" si="81"/>
        <v>88.17</v>
      </c>
      <c r="J322" s="121"/>
    </row>
    <row r="323">
      <c r="A323" s="4">
        <v>93.0</v>
      </c>
      <c r="B323" s="4" t="s">
        <v>143</v>
      </c>
      <c r="C323" s="3" t="s">
        <v>200</v>
      </c>
      <c r="D323" s="4" t="s">
        <v>222</v>
      </c>
      <c r="E323" s="4" t="s">
        <v>371</v>
      </c>
      <c r="F323" s="4">
        <v>14.0</v>
      </c>
      <c r="G323" s="4">
        <v>95.33</v>
      </c>
      <c r="H323" s="137">
        <v>2.6353499737096415</v>
      </c>
      <c r="I323" s="140">
        <f t="shared" si="81"/>
        <v>95.33</v>
      </c>
      <c r="J323" s="121"/>
    </row>
    <row r="324">
      <c r="A324" s="4">
        <v>95.0</v>
      </c>
      <c r="B324" s="4" t="s">
        <v>145</v>
      </c>
      <c r="C324" s="3" t="s">
        <v>42</v>
      </c>
      <c r="D324" s="4" t="s">
        <v>222</v>
      </c>
      <c r="E324" s="3" t="s">
        <v>317</v>
      </c>
      <c r="F324" s="4">
        <v>23.0</v>
      </c>
      <c r="G324" s="137">
        <v>1.1</v>
      </c>
      <c r="H324" s="137">
        <v>0.6480922927262156</v>
      </c>
      <c r="I324" s="140">
        <f t="shared" si="81"/>
        <v>1.1</v>
      </c>
      <c r="J324" s="121"/>
    </row>
    <row r="325">
      <c r="A325" s="4">
        <v>95.0</v>
      </c>
      <c r="B325" s="4" t="s">
        <v>145</v>
      </c>
      <c r="C325" s="3" t="s">
        <v>84</v>
      </c>
      <c r="D325" s="4" t="s">
        <v>222</v>
      </c>
      <c r="E325" s="3" t="s">
        <v>317</v>
      </c>
      <c r="F325" s="4">
        <v>31.0</v>
      </c>
      <c r="G325" s="137">
        <v>1.7</v>
      </c>
      <c r="H325" s="137">
        <v>0.9738288800702879</v>
      </c>
      <c r="I325" s="140">
        <f t="shared" si="81"/>
        <v>1.7</v>
      </c>
      <c r="J325" s="121"/>
    </row>
    <row r="326">
      <c r="A326" s="4">
        <v>96.0</v>
      </c>
      <c r="B326" s="4" t="s">
        <v>147</v>
      </c>
      <c r="C326" s="3" t="s">
        <v>42</v>
      </c>
      <c r="D326" s="4" t="s">
        <v>222</v>
      </c>
      <c r="E326" s="4" t="s">
        <v>471</v>
      </c>
      <c r="F326" s="4">
        <v>29.0</v>
      </c>
      <c r="G326" s="137">
        <v>86.72</v>
      </c>
      <c r="H326" s="137">
        <v>2.271</v>
      </c>
      <c r="I326" s="140">
        <f t="shared" si="81"/>
        <v>86.72</v>
      </c>
      <c r="J326" s="121"/>
    </row>
    <row r="327">
      <c r="A327" s="4">
        <v>96.0</v>
      </c>
      <c r="B327" s="4" t="s">
        <v>147</v>
      </c>
      <c r="C327" s="3" t="s">
        <v>42</v>
      </c>
      <c r="D327" s="4" t="s">
        <v>222</v>
      </c>
      <c r="E327" s="4" t="s">
        <v>371</v>
      </c>
      <c r="F327" s="4">
        <v>29.0</v>
      </c>
      <c r="G327" s="137">
        <v>87.28</v>
      </c>
      <c r="H327" s="137">
        <v>1.761</v>
      </c>
      <c r="I327" s="140">
        <f t="shared" si="81"/>
        <v>87.28</v>
      </c>
      <c r="J327" s="121"/>
    </row>
    <row r="328">
      <c r="A328" s="4">
        <v>96.0</v>
      </c>
      <c r="B328" s="4" t="s">
        <v>147</v>
      </c>
      <c r="C328" s="3" t="s">
        <v>42</v>
      </c>
      <c r="D328" s="4" t="s">
        <v>222</v>
      </c>
      <c r="E328" s="4" t="s">
        <v>319</v>
      </c>
      <c r="F328" s="4">
        <v>29.0</v>
      </c>
      <c r="G328" s="137">
        <v>6.2</v>
      </c>
      <c r="H328" s="137">
        <v>0.346</v>
      </c>
      <c r="I328" s="140">
        <f t="shared" si="81"/>
        <v>6.2</v>
      </c>
      <c r="J328" s="121"/>
    </row>
    <row r="329">
      <c r="A329" s="4">
        <v>96.0</v>
      </c>
      <c r="B329" s="4" t="s">
        <v>147</v>
      </c>
      <c r="C329" s="3" t="s">
        <v>42</v>
      </c>
      <c r="D329" s="4" t="s">
        <v>222</v>
      </c>
      <c r="E329" s="3" t="s">
        <v>317</v>
      </c>
      <c r="F329" s="4">
        <v>29.0</v>
      </c>
      <c r="G329" s="137">
        <v>0.9</v>
      </c>
      <c r="H329" s="137">
        <v>0.271</v>
      </c>
      <c r="I329" s="140">
        <f t="shared" si="81"/>
        <v>0.9</v>
      </c>
      <c r="J329" s="121"/>
    </row>
    <row r="330">
      <c r="A330" s="4">
        <v>96.0</v>
      </c>
      <c r="B330" s="4" t="s">
        <v>147</v>
      </c>
      <c r="C330" s="3" t="s">
        <v>42</v>
      </c>
      <c r="D330" s="4" t="s">
        <v>64</v>
      </c>
      <c r="E330" s="4" t="s">
        <v>59</v>
      </c>
      <c r="F330" s="4">
        <v>29.0</v>
      </c>
      <c r="G330" s="141">
        <v>3.0</v>
      </c>
      <c r="H330" s="137">
        <v>0.7249260317296446</v>
      </c>
      <c r="I330" s="140">
        <f>(G330+0.5)/(F330+0.5)</f>
        <v>0.1186440678</v>
      </c>
      <c r="J330" s="121"/>
    </row>
    <row r="331">
      <c r="A331" s="4">
        <v>96.0</v>
      </c>
      <c r="B331" s="4" t="s">
        <v>147</v>
      </c>
      <c r="C331" s="3" t="s">
        <v>84</v>
      </c>
      <c r="D331" s="4" t="s">
        <v>222</v>
      </c>
      <c r="E331" s="4" t="s">
        <v>471</v>
      </c>
      <c r="F331" s="4">
        <v>25.0</v>
      </c>
      <c r="G331" s="137">
        <v>92.95</v>
      </c>
      <c r="H331" s="137">
        <v>1.992</v>
      </c>
      <c r="I331" s="140">
        <f t="shared" ref="I331:I334" si="82">G331</f>
        <v>92.95</v>
      </c>
      <c r="J331" s="121"/>
    </row>
    <row r="332">
      <c r="A332" s="4">
        <v>96.0</v>
      </c>
      <c r="B332" s="4" t="s">
        <v>147</v>
      </c>
      <c r="C332" s="3" t="s">
        <v>84</v>
      </c>
      <c r="D332" s="4" t="s">
        <v>222</v>
      </c>
      <c r="E332" s="4" t="s">
        <v>371</v>
      </c>
      <c r="F332" s="4">
        <v>25.0</v>
      </c>
      <c r="G332" s="137">
        <v>91.82</v>
      </c>
      <c r="H332" s="137">
        <v>1.713</v>
      </c>
      <c r="I332" s="140">
        <f t="shared" si="82"/>
        <v>91.82</v>
      </c>
      <c r="J332" s="121"/>
    </row>
    <row r="333">
      <c r="A333" s="4">
        <v>96.0</v>
      </c>
      <c r="B333" s="4" t="s">
        <v>147</v>
      </c>
      <c r="C333" s="3" t="s">
        <v>84</v>
      </c>
      <c r="D333" s="4" t="s">
        <v>222</v>
      </c>
      <c r="E333" s="4" t="s">
        <v>319</v>
      </c>
      <c r="F333" s="4">
        <v>25.0</v>
      </c>
      <c r="G333" s="137">
        <v>6.14</v>
      </c>
      <c r="H333" s="137">
        <v>0.368</v>
      </c>
      <c r="I333" s="140">
        <f t="shared" si="82"/>
        <v>6.14</v>
      </c>
      <c r="J333" s="121"/>
    </row>
    <row r="334">
      <c r="A334" s="4">
        <v>96.0</v>
      </c>
      <c r="B334" s="4" t="s">
        <v>147</v>
      </c>
      <c r="C334" s="3" t="s">
        <v>84</v>
      </c>
      <c r="D334" s="4" t="s">
        <v>222</v>
      </c>
      <c r="E334" s="3" t="s">
        <v>317</v>
      </c>
      <c r="F334" s="4">
        <v>25.0</v>
      </c>
      <c r="G334" s="137">
        <v>0.64</v>
      </c>
      <c r="H334" s="137">
        <v>0.356</v>
      </c>
      <c r="I334" s="140">
        <f t="shared" si="82"/>
        <v>0.64</v>
      </c>
      <c r="J334" s="121"/>
    </row>
    <row r="335">
      <c r="A335" s="4">
        <v>96.0</v>
      </c>
      <c r="B335" s="4" t="s">
        <v>147</v>
      </c>
      <c r="C335" s="3" t="s">
        <v>84</v>
      </c>
      <c r="D335" s="4" t="s">
        <v>64</v>
      </c>
      <c r="E335" s="4" t="s">
        <v>59</v>
      </c>
      <c r="F335" s="4">
        <v>25.0</v>
      </c>
      <c r="G335" s="141">
        <v>3.0</v>
      </c>
      <c r="H335" s="137">
        <v>0.7954545454545454</v>
      </c>
      <c r="I335" s="140">
        <f>(G335+0.5)/(F335+0.5)</f>
        <v>0.137254902</v>
      </c>
      <c r="J335" s="121"/>
    </row>
    <row r="336">
      <c r="A336" s="4">
        <v>97.0</v>
      </c>
      <c r="B336" s="4" t="s">
        <v>149</v>
      </c>
      <c r="C336" s="3" t="s">
        <v>84</v>
      </c>
      <c r="D336" s="4" t="s">
        <v>222</v>
      </c>
      <c r="E336" s="4" t="s">
        <v>371</v>
      </c>
      <c r="F336" s="4">
        <v>36.0</v>
      </c>
      <c r="G336" s="137">
        <v>92.4</v>
      </c>
      <c r="H336" s="137">
        <v>0.0</v>
      </c>
      <c r="I336" s="140">
        <f t="shared" ref="I336:I337" si="83">G336</f>
        <v>92.4</v>
      </c>
      <c r="J336" s="121"/>
    </row>
    <row r="337">
      <c r="A337" s="4">
        <v>97.0</v>
      </c>
      <c r="B337" s="4" t="s">
        <v>149</v>
      </c>
      <c r="C337" s="3" t="s">
        <v>84</v>
      </c>
      <c r="D337" s="4" t="s">
        <v>222</v>
      </c>
      <c r="E337" s="3" t="s">
        <v>317</v>
      </c>
      <c r="F337" s="4">
        <v>36.0</v>
      </c>
      <c r="G337" s="137">
        <v>3.77</v>
      </c>
      <c r="H337" s="137">
        <v>2.01</v>
      </c>
      <c r="I337" s="140">
        <f t="shared" si="83"/>
        <v>3.77</v>
      </c>
      <c r="J337" s="121"/>
    </row>
    <row r="338">
      <c r="A338" s="4">
        <v>97.0</v>
      </c>
      <c r="B338" s="4" t="s">
        <v>149</v>
      </c>
      <c r="C338" s="3" t="s">
        <v>84</v>
      </c>
      <c r="D338" s="4" t="s">
        <v>64</v>
      </c>
      <c r="E338" s="3" t="s">
        <v>385</v>
      </c>
      <c r="F338" s="4">
        <v>36.0</v>
      </c>
      <c r="G338" s="141">
        <v>5.0</v>
      </c>
      <c r="H338" s="137">
        <v>1.064516129032258</v>
      </c>
      <c r="I338" s="140">
        <f t="shared" ref="I338:I339" si="84">(G338+0.5)/(F338+0.5)</f>
        <v>0.1506849315</v>
      </c>
      <c r="J338" s="121"/>
    </row>
    <row r="339">
      <c r="A339" s="4">
        <v>97.0</v>
      </c>
      <c r="B339" s="4" t="s">
        <v>149</v>
      </c>
      <c r="C339" s="3" t="s">
        <v>84</v>
      </c>
      <c r="D339" s="4" t="s">
        <v>64</v>
      </c>
      <c r="E339" s="4" t="s">
        <v>59</v>
      </c>
      <c r="F339" s="4">
        <v>36.0</v>
      </c>
      <c r="G339" s="141">
        <v>1.0</v>
      </c>
      <c r="H339" s="137">
        <v>0.2571428571428571</v>
      </c>
      <c r="I339" s="140">
        <f t="shared" si="84"/>
        <v>0.04109589041</v>
      </c>
      <c r="J339" s="121"/>
    </row>
    <row r="340">
      <c r="A340" s="4">
        <v>97.0</v>
      </c>
      <c r="B340" s="4" t="s">
        <v>149</v>
      </c>
      <c r="C340" s="3" t="s">
        <v>200</v>
      </c>
      <c r="D340" s="4" t="s">
        <v>222</v>
      </c>
      <c r="E340" s="4" t="s">
        <v>371</v>
      </c>
      <c r="F340" s="4">
        <v>33.0</v>
      </c>
      <c r="G340" s="137">
        <v>88.2</v>
      </c>
      <c r="H340" s="137">
        <v>0.0</v>
      </c>
      <c r="I340" s="140">
        <f t="shared" ref="I340:I341" si="85">G340</f>
        <v>88.2</v>
      </c>
      <c r="J340" s="121"/>
    </row>
    <row r="341">
      <c r="A341" s="4">
        <v>97.0</v>
      </c>
      <c r="B341" s="4" t="s">
        <v>149</v>
      </c>
      <c r="C341" s="3" t="s">
        <v>200</v>
      </c>
      <c r="D341" s="4" t="s">
        <v>222</v>
      </c>
      <c r="E341" s="3" t="s">
        <v>317</v>
      </c>
      <c r="F341" s="4">
        <v>33.0</v>
      </c>
      <c r="G341" s="137">
        <v>2.73</v>
      </c>
      <c r="H341" s="137">
        <v>1.64</v>
      </c>
      <c r="I341" s="140">
        <f t="shared" si="85"/>
        <v>2.73</v>
      </c>
      <c r="J341" s="121"/>
    </row>
    <row r="342">
      <c r="A342" s="4">
        <v>97.0</v>
      </c>
      <c r="B342" s="4" t="s">
        <v>149</v>
      </c>
      <c r="C342" s="3" t="s">
        <v>200</v>
      </c>
      <c r="D342" s="4" t="s">
        <v>64</v>
      </c>
      <c r="E342" s="3" t="s">
        <v>385</v>
      </c>
      <c r="F342" s="4">
        <v>33.0</v>
      </c>
      <c r="G342" s="141">
        <v>0.0</v>
      </c>
      <c r="H342" s="137">
        <v>0.08703882797784893</v>
      </c>
      <c r="I342" s="140">
        <f t="shared" ref="I342:I343" si="86">(G342+0.5)/(F342+0.5)</f>
        <v>0.01492537313</v>
      </c>
      <c r="J342" s="121"/>
    </row>
    <row r="343">
      <c r="A343" s="4">
        <v>97.0</v>
      </c>
      <c r="B343" s="4" t="s">
        <v>149</v>
      </c>
      <c r="C343" s="3" t="s">
        <v>200</v>
      </c>
      <c r="D343" s="4" t="s">
        <v>64</v>
      </c>
      <c r="E343" s="4" t="s">
        <v>59</v>
      </c>
      <c r="F343" s="4">
        <v>33.0</v>
      </c>
      <c r="G343" s="141">
        <v>0.0</v>
      </c>
      <c r="H343" s="137">
        <v>0.08703882797784893</v>
      </c>
      <c r="I343" s="140">
        <f t="shared" si="86"/>
        <v>0.01492537313</v>
      </c>
      <c r="J343" s="121"/>
    </row>
    <row r="344">
      <c r="A344" s="4">
        <v>98.0</v>
      </c>
      <c r="B344" s="4" t="s">
        <v>152</v>
      </c>
      <c r="C344" s="3" t="s">
        <v>84</v>
      </c>
      <c r="D344" s="4" t="s">
        <v>222</v>
      </c>
      <c r="E344" s="4" t="s">
        <v>319</v>
      </c>
      <c r="F344" s="4">
        <v>68.0</v>
      </c>
      <c r="G344" s="137">
        <v>5.0</v>
      </c>
      <c r="H344" s="137">
        <v>1.4835618496464515</v>
      </c>
      <c r="I344" s="140">
        <f t="shared" ref="I344:I346" si="87">G344</f>
        <v>5</v>
      </c>
      <c r="J344" s="121"/>
    </row>
    <row r="345">
      <c r="A345" s="4">
        <v>98.0</v>
      </c>
      <c r="B345" s="4" t="s">
        <v>152</v>
      </c>
      <c r="C345" s="3" t="s">
        <v>84</v>
      </c>
      <c r="D345" s="4" t="s">
        <v>222</v>
      </c>
      <c r="E345" s="4" t="s">
        <v>371</v>
      </c>
      <c r="F345" s="4">
        <v>68.0</v>
      </c>
      <c r="G345" s="137">
        <v>96.0</v>
      </c>
      <c r="H345" s="137">
        <v>6.993934434047557</v>
      </c>
      <c r="I345" s="140">
        <f t="shared" si="87"/>
        <v>96</v>
      </c>
      <c r="J345" s="121"/>
    </row>
    <row r="346">
      <c r="A346" s="4">
        <v>98.0</v>
      </c>
      <c r="B346" s="4" t="s">
        <v>152</v>
      </c>
      <c r="C346" s="3" t="s">
        <v>84</v>
      </c>
      <c r="D346" s="4" t="s">
        <v>222</v>
      </c>
      <c r="E346" s="3" t="s">
        <v>317</v>
      </c>
      <c r="F346" s="4">
        <v>68.0</v>
      </c>
      <c r="G346" s="137">
        <v>2.2</v>
      </c>
      <c r="H346" s="137">
        <v>0.0</v>
      </c>
      <c r="I346" s="140">
        <f t="shared" si="87"/>
        <v>2.2</v>
      </c>
      <c r="J346" s="121"/>
    </row>
    <row r="347">
      <c r="A347" s="4">
        <v>98.0</v>
      </c>
      <c r="B347" s="4" t="s">
        <v>152</v>
      </c>
      <c r="C347" s="3" t="s">
        <v>84</v>
      </c>
      <c r="D347" s="4" t="s">
        <v>64</v>
      </c>
      <c r="E347" s="3" t="s">
        <v>385</v>
      </c>
      <c r="F347" s="4">
        <v>68.0</v>
      </c>
      <c r="G347" s="141">
        <v>2.0</v>
      </c>
      <c r="H347" s="137">
        <v>0.3123564867892167</v>
      </c>
      <c r="I347" s="140">
        <f t="shared" ref="I347:I348" si="88">(G347+0.5)/(F347+0.5)</f>
        <v>0.03649635036</v>
      </c>
      <c r="J347" s="121"/>
    </row>
    <row r="348">
      <c r="A348" s="4">
        <v>98.0</v>
      </c>
      <c r="B348" s="4" t="s">
        <v>152</v>
      </c>
      <c r="C348" s="3" t="s">
        <v>84</v>
      </c>
      <c r="D348" s="4" t="s">
        <v>64</v>
      </c>
      <c r="E348" s="4" t="s">
        <v>370</v>
      </c>
      <c r="F348" s="4">
        <v>68.0</v>
      </c>
      <c r="G348" s="141">
        <v>4.0</v>
      </c>
      <c r="H348" s="137">
        <v>0.5798117286024835</v>
      </c>
      <c r="I348" s="140">
        <f t="shared" si="88"/>
        <v>0.06569343066</v>
      </c>
      <c r="J348" s="121"/>
    </row>
    <row r="349">
      <c r="A349" s="4">
        <v>98.0</v>
      </c>
      <c r="B349" s="4" t="s">
        <v>152</v>
      </c>
      <c r="C349" s="3" t="s">
        <v>205</v>
      </c>
      <c r="D349" s="4" t="s">
        <v>222</v>
      </c>
      <c r="E349" s="4" t="s">
        <v>319</v>
      </c>
      <c r="F349" s="4">
        <v>64.0</v>
      </c>
      <c r="G349" s="137">
        <v>5.0</v>
      </c>
      <c r="H349" s="137">
        <v>1.0698889663117357</v>
      </c>
      <c r="I349" s="140">
        <f t="shared" ref="I349:I351" si="89">G349</f>
        <v>5</v>
      </c>
      <c r="J349" s="121"/>
    </row>
    <row r="350">
      <c r="A350" s="4">
        <v>98.0</v>
      </c>
      <c r="B350" s="4" t="s">
        <v>152</v>
      </c>
      <c r="C350" s="3" t="s">
        <v>205</v>
      </c>
      <c r="D350" s="4" t="s">
        <v>222</v>
      </c>
      <c r="E350" s="4" t="s">
        <v>371</v>
      </c>
      <c r="F350" s="4">
        <v>64.0</v>
      </c>
      <c r="G350" s="137">
        <v>93.0</v>
      </c>
      <c r="H350" s="137">
        <v>5.7774004180833725</v>
      </c>
      <c r="I350" s="140">
        <f t="shared" si="89"/>
        <v>93</v>
      </c>
      <c r="J350" s="121"/>
    </row>
    <row r="351">
      <c r="A351" s="4">
        <v>98.0</v>
      </c>
      <c r="B351" s="4" t="s">
        <v>152</v>
      </c>
      <c r="C351" s="3" t="s">
        <v>205</v>
      </c>
      <c r="D351" s="4" t="s">
        <v>222</v>
      </c>
      <c r="E351" s="3" t="s">
        <v>317</v>
      </c>
      <c r="F351" s="4">
        <v>64.0</v>
      </c>
      <c r="G351" s="137">
        <v>2.5</v>
      </c>
      <c r="H351" s="137">
        <v>0.0</v>
      </c>
      <c r="I351" s="140">
        <f t="shared" si="89"/>
        <v>2.5</v>
      </c>
      <c r="J351" s="121"/>
    </row>
    <row r="352">
      <c r="A352" s="4">
        <v>98.0</v>
      </c>
      <c r="B352" s="4" t="s">
        <v>152</v>
      </c>
      <c r="C352" s="3" t="s">
        <v>205</v>
      </c>
      <c r="D352" s="4" t="s">
        <v>64</v>
      </c>
      <c r="E352" s="3" t="s">
        <v>385</v>
      </c>
      <c r="F352" s="4">
        <v>64.0</v>
      </c>
      <c r="G352" s="141">
        <v>3.0</v>
      </c>
      <c r="H352" s="137">
        <v>0.45901639344262296</v>
      </c>
      <c r="I352" s="140">
        <f t="shared" ref="I352:I353" si="90">(G352+0.5)/(F352+0.5)</f>
        <v>0.05426356589</v>
      </c>
      <c r="J352" s="121"/>
    </row>
    <row r="353">
      <c r="A353" s="4">
        <v>98.0</v>
      </c>
      <c r="B353" s="4" t="s">
        <v>152</v>
      </c>
      <c r="C353" s="3" t="s">
        <v>205</v>
      </c>
      <c r="D353" s="4" t="s">
        <v>64</v>
      </c>
      <c r="E353" s="4" t="s">
        <v>370</v>
      </c>
      <c r="F353" s="4">
        <v>64.0</v>
      </c>
      <c r="G353" s="141">
        <v>6.0</v>
      </c>
      <c r="H353" s="137">
        <v>0.8965517241379309</v>
      </c>
      <c r="I353" s="140">
        <f t="shared" si="90"/>
        <v>0.1007751938</v>
      </c>
      <c r="J353" s="121"/>
    </row>
    <row r="354">
      <c r="A354" s="4">
        <v>100.0</v>
      </c>
      <c r="B354" s="4" t="s">
        <v>154</v>
      </c>
      <c r="C354" s="3" t="s">
        <v>42</v>
      </c>
      <c r="D354" s="4" t="s">
        <v>222</v>
      </c>
      <c r="E354" s="4" t="s">
        <v>471</v>
      </c>
      <c r="F354" s="4">
        <v>40.0</v>
      </c>
      <c r="G354" s="137">
        <v>82.0</v>
      </c>
      <c r="H354" s="137">
        <v>20.0</v>
      </c>
      <c r="I354" s="140">
        <f t="shared" ref="I354:I357" si="91">G354</f>
        <v>82</v>
      </c>
      <c r="J354" s="121"/>
    </row>
    <row r="355">
      <c r="A355" s="4">
        <v>100.0</v>
      </c>
      <c r="B355" s="4" t="s">
        <v>154</v>
      </c>
      <c r="C355" s="3" t="s">
        <v>42</v>
      </c>
      <c r="D355" s="4" t="s">
        <v>222</v>
      </c>
      <c r="E355" s="3" t="s">
        <v>317</v>
      </c>
      <c r="F355" s="4">
        <v>40.0</v>
      </c>
      <c r="G355" s="137">
        <v>0.4</v>
      </c>
      <c r="H355" s="137">
        <v>0.6</v>
      </c>
      <c r="I355" s="140">
        <f t="shared" si="91"/>
        <v>0.4</v>
      </c>
      <c r="J355" s="121"/>
    </row>
    <row r="356">
      <c r="A356" s="4">
        <v>100.0</v>
      </c>
      <c r="B356" s="4" t="s">
        <v>154</v>
      </c>
      <c r="C356" s="3" t="s">
        <v>84</v>
      </c>
      <c r="D356" s="4" t="s">
        <v>222</v>
      </c>
      <c r="E356" s="4" t="s">
        <v>471</v>
      </c>
      <c r="F356" s="4">
        <v>39.0</v>
      </c>
      <c r="G356" s="137">
        <v>88.0</v>
      </c>
      <c r="H356" s="137">
        <v>9.0</v>
      </c>
      <c r="I356" s="140">
        <f t="shared" si="91"/>
        <v>88</v>
      </c>
      <c r="J356" s="121"/>
    </row>
    <row r="357">
      <c r="A357" s="4">
        <v>100.0</v>
      </c>
      <c r="B357" s="4" t="s">
        <v>154</v>
      </c>
      <c r="C357" s="3" t="s">
        <v>84</v>
      </c>
      <c r="D357" s="4" t="s">
        <v>222</v>
      </c>
      <c r="E357" s="3" t="s">
        <v>317</v>
      </c>
      <c r="F357" s="4">
        <v>39.0</v>
      </c>
      <c r="G357" s="137">
        <v>1.1</v>
      </c>
      <c r="H357" s="137">
        <v>1.9</v>
      </c>
      <c r="I357" s="140">
        <f t="shared" si="91"/>
        <v>1.1</v>
      </c>
      <c r="J357" s="121"/>
    </row>
    <row r="358">
      <c r="I358" s="140"/>
      <c r="J358" s="121"/>
    </row>
    <row r="359">
      <c r="I359" s="140"/>
      <c r="J359" s="121"/>
    </row>
    <row r="360">
      <c r="I360" s="140"/>
      <c r="J360" s="121"/>
    </row>
    <row r="361">
      <c r="I361" s="140"/>
      <c r="J361" s="121"/>
    </row>
    <row r="362">
      <c r="I362" s="140"/>
      <c r="J362" s="121"/>
    </row>
    <row r="363">
      <c r="I363" s="140"/>
      <c r="J363" s="121"/>
    </row>
    <row r="364">
      <c r="I364" s="140"/>
      <c r="J364" s="121"/>
    </row>
    <row r="365">
      <c r="I365" s="140"/>
      <c r="J365" s="121"/>
    </row>
    <row r="366">
      <c r="I366" s="140"/>
      <c r="J366" s="121"/>
    </row>
    <row r="367">
      <c r="I367" s="140"/>
      <c r="J367" s="121"/>
    </row>
    <row r="368">
      <c r="I368" s="140"/>
      <c r="J368" s="121"/>
    </row>
    <row r="369">
      <c r="I369" s="140"/>
      <c r="J369" s="121"/>
    </row>
    <row r="370">
      <c r="I370" s="140"/>
      <c r="J370" s="121"/>
    </row>
    <row r="371">
      <c r="I371" s="140"/>
      <c r="J371" s="121"/>
    </row>
    <row r="372">
      <c r="I372" s="140"/>
      <c r="J372" s="121"/>
    </row>
    <row r="373">
      <c r="I373" s="140"/>
      <c r="J373" s="121"/>
    </row>
    <row r="374">
      <c r="I374" s="140"/>
      <c r="J374" s="121"/>
    </row>
    <row r="375">
      <c r="I375" s="140"/>
      <c r="J375" s="121"/>
    </row>
    <row r="376">
      <c r="I376" s="140"/>
      <c r="J376" s="121"/>
    </row>
    <row r="377">
      <c r="I377" s="140"/>
      <c r="J377" s="121"/>
    </row>
    <row r="378">
      <c r="I378" s="140"/>
      <c r="J378" s="121"/>
    </row>
    <row r="379">
      <c r="I379" s="140"/>
      <c r="J379" s="121"/>
    </row>
    <row r="380">
      <c r="I380" s="140"/>
      <c r="J380" s="121"/>
    </row>
    <row r="381">
      <c r="I381" s="140"/>
      <c r="J381" s="121"/>
    </row>
    <row r="382">
      <c r="I382" s="140"/>
      <c r="J382" s="121"/>
    </row>
    <row r="383">
      <c r="I383" s="140"/>
      <c r="J383" s="121"/>
    </row>
    <row r="384">
      <c r="I384" s="140"/>
      <c r="J384" s="121"/>
    </row>
    <row r="385">
      <c r="I385" s="140"/>
      <c r="J385" s="121"/>
    </row>
    <row r="386">
      <c r="I386" s="140"/>
      <c r="J386" s="121"/>
    </row>
    <row r="387">
      <c r="I387" s="140"/>
      <c r="J387" s="121"/>
    </row>
    <row r="388">
      <c r="I388" s="140"/>
      <c r="J388" s="121"/>
    </row>
    <row r="389">
      <c r="I389" s="140"/>
      <c r="J389" s="121"/>
    </row>
    <row r="390">
      <c r="I390" s="140"/>
      <c r="J390" s="121"/>
    </row>
    <row r="391">
      <c r="I391" s="140"/>
      <c r="J391" s="121"/>
    </row>
    <row r="392">
      <c r="I392" s="140"/>
      <c r="J392" s="121"/>
    </row>
    <row r="393">
      <c r="I393" s="140"/>
      <c r="J393" s="121"/>
    </row>
    <row r="394">
      <c r="I394" s="140"/>
      <c r="J394" s="121"/>
    </row>
    <row r="395">
      <c r="I395" s="140"/>
      <c r="J395" s="121"/>
    </row>
    <row r="396">
      <c r="I396" s="140"/>
      <c r="J396" s="121"/>
    </row>
    <row r="397">
      <c r="I397" s="140"/>
      <c r="J397" s="121"/>
    </row>
    <row r="398">
      <c r="I398" s="140"/>
      <c r="J398" s="121"/>
    </row>
    <row r="399">
      <c r="I399" s="140"/>
      <c r="J399" s="121"/>
    </row>
    <row r="400">
      <c r="I400" s="140"/>
      <c r="J400" s="121"/>
    </row>
    <row r="401">
      <c r="I401" s="140"/>
      <c r="J401" s="121"/>
    </row>
    <row r="402">
      <c r="I402" s="140"/>
      <c r="J402" s="121"/>
    </row>
    <row r="403">
      <c r="I403" s="140"/>
      <c r="J403" s="121"/>
    </row>
    <row r="404">
      <c r="I404" s="140"/>
      <c r="J404" s="121"/>
    </row>
    <row r="405">
      <c r="I405" s="140"/>
      <c r="J405" s="121"/>
    </row>
    <row r="406">
      <c r="I406" s="140"/>
      <c r="J406" s="121"/>
    </row>
    <row r="407">
      <c r="I407" s="140"/>
      <c r="J407" s="121"/>
    </row>
    <row r="408">
      <c r="I408" s="140"/>
      <c r="J408" s="121"/>
    </row>
    <row r="409">
      <c r="I409" s="140"/>
      <c r="J409" s="121"/>
    </row>
    <row r="410">
      <c r="I410" s="140"/>
      <c r="J410" s="121"/>
    </row>
    <row r="411">
      <c r="I411" s="140"/>
      <c r="J411" s="121"/>
    </row>
    <row r="412">
      <c r="I412" s="140"/>
      <c r="J412" s="121"/>
    </row>
    <row r="413">
      <c r="I413" s="140"/>
      <c r="J413" s="121"/>
    </row>
    <row r="414">
      <c r="I414" s="140"/>
      <c r="J414" s="121"/>
    </row>
    <row r="415">
      <c r="I415" s="140"/>
      <c r="J415" s="121"/>
    </row>
    <row r="416">
      <c r="I416" s="140"/>
      <c r="J416" s="121"/>
    </row>
    <row r="417">
      <c r="I417" s="140"/>
      <c r="J417" s="121"/>
    </row>
    <row r="418">
      <c r="I418" s="140"/>
      <c r="J418" s="121"/>
    </row>
    <row r="419">
      <c r="I419" s="140"/>
      <c r="J419" s="121"/>
    </row>
    <row r="420">
      <c r="I420" s="140"/>
      <c r="J420" s="121"/>
    </row>
    <row r="421">
      <c r="I421" s="140"/>
      <c r="J421" s="121"/>
    </row>
    <row r="422">
      <c r="I422" s="140"/>
      <c r="J422" s="121"/>
    </row>
    <row r="423">
      <c r="I423" s="140"/>
      <c r="J423" s="121"/>
    </row>
    <row r="424">
      <c r="I424" s="140"/>
      <c r="J424" s="121"/>
    </row>
    <row r="425">
      <c r="I425" s="140"/>
      <c r="J425" s="121"/>
    </row>
    <row r="426">
      <c r="I426" s="140"/>
      <c r="J426" s="121"/>
    </row>
    <row r="427">
      <c r="I427" s="140"/>
      <c r="J427" s="121"/>
    </row>
    <row r="428">
      <c r="I428" s="140"/>
      <c r="J428" s="121"/>
    </row>
    <row r="429">
      <c r="I429" s="140"/>
      <c r="J429" s="121"/>
    </row>
    <row r="430">
      <c r="I430" s="140"/>
      <c r="J430" s="121"/>
    </row>
    <row r="431">
      <c r="I431" s="140"/>
      <c r="J431" s="121"/>
    </row>
    <row r="432">
      <c r="I432" s="140"/>
      <c r="J432" s="121"/>
    </row>
    <row r="433">
      <c r="I433" s="140"/>
      <c r="J433" s="121"/>
    </row>
    <row r="434">
      <c r="I434" s="140"/>
      <c r="J434" s="121"/>
    </row>
    <row r="435">
      <c r="I435" s="140"/>
      <c r="J435" s="121"/>
    </row>
    <row r="436">
      <c r="I436" s="140"/>
      <c r="J436" s="121"/>
    </row>
    <row r="437">
      <c r="I437" s="140"/>
      <c r="J437" s="121"/>
    </row>
    <row r="438">
      <c r="I438" s="140"/>
      <c r="J438" s="121"/>
    </row>
    <row r="439">
      <c r="I439" s="140"/>
      <c r="J439" s="121"/>
    </row>
    <row r="440">
      <c r="I440" s="140"/>
      <c r="J440" s="121"/>
    </row>
    <row r="441">
      <c r="I441" s="140"/>
      <c r="J441" s="121"/>
    </row>
    <row r="442">
      <c r="I442" s="140"/>
      <c r="J442" s="121"/>
    </row>
    <row r="443">
      <c r="I443" s="140"/>
      <c r="J443" s="121"/>
    </row>
    <row r="444">
      <c r="I444" s="140"/>
      <c r="J444" s="121"/>
    </row>
    <row r="445">
      <c r="I445" s="140"/>
      <c r="J445" s="121"/>
    </row>
    <row r="446">
      <c r="I446" s="140"/>
      <c r="J446" s="121"/>
    </row>
    <row r="447">
      <c r="I447" s="140"/>
      <c r="J447" s="121"/>
    </row>
    <row r="448">
      <c r="I448" s="140"/>
      <c r="J448" s="121"/>
    </row>
    <row r="449">
      <c r="I449" s="140"/>
      <c r="J449" s="121"/>
    </row>
    <row r="450">
      <c r="I450" s="140"/>
      <c r="J450" s="121"/>
    </row>
    <row r="451">
      <c r="I451" s="140"/>
      <c r="J451" s="121"/>
    </row>
    <row r="452">
      <c r="I452" s="140"/>
      <c r="J452" s="121"/>
    </row>
    <row r="453">
      <c r="I453" s="140"/>
      <c r="J453" s="121"/>
    </row>
    <row r="454">
      <c r="I454" s="140"/>
      <c r="J454" s="121"/>
    </row>
    <row r="455">
      <c r="I455" s="140"/>
      <c r="J455" s="121"/>
    </row>
    <row r="456">
      <c r="I456" s="140"/>
      <c r="J456" s="121"/>
    </row>
    <row r="457">
      <c r="I457" s="140"/>
      <c r="J457" s="121"/>
    </row>
    <row r="458">
      <c r="I458" s="140"/>
      <c r="J458" s="121"/>
    </row>
    <row r="459">
      <c r="I459" s="140"/>
      <c r="J459" s="121"/>
    </row>
    <row r="460">
      <c r="I460" s="140"/>
      <c r="J460" s="121"/>
    </row>
    <row r="461">
      <c r="I461" s="140"/>
      <c r="J461" s="121"/>
    </row>
    <row r="462">
      <c r="I462" s="140"/>
      <c r="J462" s="121"/>
    </row>
    <row r="463">
      <c r="I463" s="140"/>
      <c r="J463" s="121"/>
    </row>
    <row r="464">
      <c r="I464" s="140"/>
      <c r="J464" s="121"/>
    </row>
    <row r="465">
      <c r="I465" s="140"/>
      <c r="J465" s="121"/>
    </row>
    <row r="466">
      <c r="I466" s="140"/>
      <c r="J466" s="121"/>
    </row>
    <row r="467">
      <c r="I467" s="140"/>
      <c r="J467" s="121"/>
    </row>
    <row r="468">
      <c r="I468" s="140"/>
      <c r="J468" s="121"/>
    </row>
    <row r="469">
      <c r="I469" s="140"/>
      <c r="J469" s="121"/>
    </row>
    <row r="470">
      <c r="I470" s="140"/>
      <c r="J470" s="121"/>
    </row>
    <row r="471">
      <c r="I471" s="140"/>
      <c r="J471" s="121"/>
    </row>
    <row r="472">
      <c r="I472" s="140"/>
      <c r="J472" s="121"/>
    </row>
    <row r="473">
      <c r="I473" s="140"/>
      <c r="J473" s="121"/>
    </row>
    <row r="474">
      <c r="I474" s="140"/>
      <c r="J474" s="121"/>
    </row>
    <row r="475">
      <c r="I475" s="140"/>
      <c r="J475" s="121"/>
    </row>
    <row r="476">
      <c r="I476" s="140"/>
      <c r="J476" s="121"/>
    </row>
    <row r="477">
      <c r="I477" s="140"/>
      <c r="J477" s="121"/>
    </row>
    <row r="478">
      <c r="I478" s="140"/>
      <c r="J478" s="121"/>
    </row>
    <row r="479">
      <c r="I479" s="140"/>
      <c r="J479" s="121"/>
    </row>
    <row r="480">
      <c r="I480" s="140"/>
      <c r="J480" s="121"/>
    </row>
    <row r="481">
      <c r="I481" s="140"/>
      <c r="J481" s="121"/>
    </row>
    <row r="482">
      <c r="I482" s="140"/>
      <c r="J482" s="121"/>
    </row>
    <row r="483">
      <c r="I483" s="140"/>
      <c r="J483" s="121"/>
    </row>
    <row r="484">
      <c r="I484" s="140"/>
      <c r="J484" s="121"/>
    </row>
    <row r="485">
      <c r="I485" s="140"/>
      <c r="J485" s="121"/>
    </row>
    <row r="486">
      <c r="I486" s="140"/>
      <c r="J486" s="121"/>
    </row>
    <row r="487">
      <c r="I487" s="140"/>
      <c r="J487" s="121"/>
    </row>
    <row r="488">
      <c r="I488" s="140"/>
      <c r="J488" s="121"/>
    </row>
    <row r="489">
      <c r="I489" s="140"/>
      <c r="J489" s="121"/>
    </row>
    <row r="490">
      <c r="I490" s="140"/>
      <c r="J490" s="121"/>
    </row>
    <row r="491">
      <c r="I491" s="140"/>
      <c r="J491" s="121"/>
    </row>
    <row r="492">
      <c r="I492" s="140"/>
      <c r="J492" s="121"/>
    </row>
    <row r="493">
      <c r="I493" s="140"/>
      <c r="J493" s="121"/>
    </row>
    <row r="494">
      <c r="I494" s="140"/>
      <c r="J494" s="121"/>
    </row>
    <row r="495">
      <c r="I495" s="140"/>
      <c r="J495" s="121"/>
    </row>
    <row r="496">
      <c r="I496" s="140"/>
      <c r="J496" s="121"/>
    </row>
    <row r="497">
      <c r="I497" s="140"/>
      <c r="J497" s="121"/>
    </row>
    <row r="498">
      <c r="I498" s="140"/>
      <c r="J498" s="121"/>
    </row>
    <row r="499">
      <c r="I499" s="140"/>
      <c r="J499" s="121"/>
    </row>
    <row r="500">
      <c r="I500" s="140"/>
      <c r="J500" s="121"/>
    </row>
    <row r="501">
      <c r="I501" s="140"/>
      <c r="J501" s="121"/>
    </row>
    <row r="502">
      <c r="I502" s="140"/>
      <c r="J502" s="121"/>
    </row>
    <row r="503">
      <c r="I503" s="140"/>
      <c r="J503" s="121"/>
    </row>
    <row r="504">
      <c r="I504" s="140"/>
      <c r="J504" s="121"/>
    </row>
    <row r="505">
      <c r="I505" s="140"/>
      <c r="J505" s="121"/>
    </row>
    <row r="506">
      <c r="I506" s="140"/>
      <c r="J506" s="121"/>
    </row>
    <row r="507">
      <c r="I507" s="140"/>
      <c r="J507" s="121"/>
    </row>
    <row r="508">
      <c r="I508" s="140"/>
      <c r="J508" s="121"/>
    </row>
    <row r="509">
      <c r="I509" s="140"/>
      <c r="J509" s="121"/>
    </row>
    <row r="510">
      <c r="I510" s="140"/>
      <c r="J510" s="121"/>
    </row>
    <row r="511">
      <c r="I511" s="140"/>
      <c r="J511" s="121"/>
    </row>
    <row r="512">
      <c r="I512" s="140"/>
      <c r="J512" s="121"/>
    </row>
    <row r="513">
      <c r="I513" s="140"/>
      <c r="J513" s="121"/>
    </row>
    <row r="514">
      <c r="I514" s="140"/>
      <c r="J514" s="121"/>
    </row>
    <row r="515">
      <c r="I515" s="140"/>
      <c r="J515" s="121"/>
    </row>
    <row r="516">
      <c r="I516" s="140"/>
      <c r="J516" s="121"/>
    </row>
    <row r="517">
      <c r="I517" s="140"/>
      <c r="J517" s="121"/>
    </row>
    <row r="518">
      <c r="I518" s="140"/>
      <c r="J518" s="121"/>
    </row>
    <row r="519">
      <c r="I519" s="140"/>
      <c r="J519" s="121"/>
    </row>
    <row r="520">
      <c r="I520" s="140"/>
      <c r="J520" s="121"/>
    </row>
    <row r="521">
      <c r="I521" s="140"/>
      <c r="J521" s="121"/>
    </row>
    <row r="522">
      <c r="I522" s="140"/>
      <c r="J522" s="121"/>
    </row>
    <row r="523">
      <c r="I523" s="140"/>
      <c r="J523" s="121"/>
    </row>
    <row r="524">
      <c r="I524" s="140"/>
      <c r="J524" s="121"/>
    </row>
    <row r="525">
      <c r="I525" s="140"/>
      <c r="J525" s="121"/>
    </row>
    <row r="526">
      <c r="I526" s="140"/>
      <c r="J526" s="121"/>
    </row>
    <row r="527">
      <c r="I527" s="140"/>
      <c r="J527" s="121"/>
    </row>
    <row r="528">
      <c r="I528" s="140"/>
      <c r="J528" s="121"/>
    </row>
    <row r="529">
      <c r="I529" s="140"/>
      <c r="J529" s="121"/>
    </row>
    <row r="530">
      <c r="I530" s="140"/>
      <c r="J530" s="121"/>
    </row>
    <row r="531">
      <c r="I531" s="140"/>
      <c r="J531" s="121"/>
    </row>
    <row r="532">
      <c r="I532" s="140"/>
      <c r="J532" s="121"/>
    </row>
    <row r="533">
      <c r="I533" s="140"/>
      <c r="J533" s="121"/>
    </row>
    <row r="534">
      <c r="I534" s="140"/>
      <c r="J534" s="121"/>
    </row>
    <row r="535">
      <c r="I535" s="140"/>
      <c r="J535" s="121"/>
    </row>
    <row r="536">
      <c r="I536" s="140"/>
      <c r="J536" s="121"/>
    </row>
    <row r="537">
      <c r="I537" s="140"/>
      <c r="J537" s="121"/>
    </row>
    <row r="538">
      <c r="I538" s="140"/>
      <c r="J538" s="121"/>
    </row>
    <row r="539">
      <c r="I539" s="140"/>
      <c r="J539" s="121"/>
    </row>
    <row r="540">
      <c r="I540" s="140"/>
      <c r="J540" s="121"/>
    </row>
    <row r="541">
      <c r="I541" s="140"/>
      <c r="J541" s="121"/>
    </row>
    <row r="542">
      <c r="I542" s="140"/>
      <c r="J542" s="121"/>
    </row>
    <row r="543">
      <c r="I543" s="140"/>
      <c r="J543" s="121"/>
    </row>
    <row r="544">
      <c r="I544" s="140"/>
      <c r="J544" s="121"/>
    </row>
    <row r="545">
      <c r="I545" s="140"/>
      <c r="J545" s="121"/>
    </row>
    <row r="546">
      <c r="I546" s="140"/>
      <c r="J546" s="121"/>
    </row>
    <row r="547">
      <c r="I547" s="140"/>
      <c r="J547" s="121"/>
    </row>
    <row r="548">
      <c r="I548" s="140"/>
      <c r="J548" s="121"/>
    </row>
    <row r="549">
      <c r="I549" s="140"/>
      <c r="J549" s="121"/>
    </row>
    <row r="550">
      <c r="I550" s="140"/>
      <c r="J550" s="121"/>
    </row>
    <row r="551">
      <c r="I551" s="140"/>
      <c r="J551" s="121"/>
    </row>
    <row r="552">
      <c r="I552" s="140"/>
      <c r="J552" s="121"/>
    </row>
    <row r="553">
      <c r="I553" s="140"/>
      <c r="J553" s="121"/>
    </row>
    <row r="554">
      <c r="I554" s="140"/>
      <c r="J554" s="121"/>
    </row>
    <row r="555">
      <c r="I555" s="140"/>
      <c r="J555" s="121"/>
    </row>
    <row r="556">
      <c r="I556" s="140"/>
      <c r="J556" s="121"/>
    </row>
    <row r="557">
      <c r="I557" s="140"/>
      <c r="J557" s="121"/>
    </row>
    <row r="558">
      <c r="I558" s="140"/>
      <c r="J558" s="121"/>
    </row>
    <row r="559">
      <c r="I559" s="140"/>
      <c r="J559" s="121"/>
    </row>
    <row r="560">
      <c r="I560" s="140"/>
      <c r="J560" s="121"/>
    </row>
    <row r="561">
      <c r="I561" s="140"/>
      <c r="J561" s="121"/>
    </row>
    <row r="562">
      <c r="I562" s="140"/>
      <c r="J562" s="121"/>
    </row>
    <row r="563">
      <c r="I563" s="140"/>
      <c r="J563" s="121"/>
    </row>
    <row r="564">
      <c r="I564" s="140"/>
      <c r="J564" s="121"/>
    </row>
    <row r="565">
      <c r="I565" s="140"/>
      <c r="J565" s="121"/>
    </row>
    <row r="566">
      <c r="I566" s="140"/>
      <c r="J566" s="121"/>
    </row>
    <row r="567">
      <c r="I567" s="140"/>
      <c r="J567" s="121"/>
    </row>
    <row r="568">
      <c r="I568" s="140"/>
      <c r="J568" s="121"/>
    </row>
    <row r="569">
      <c r="I569" s="140"/>
      <c r="J569" s="121"/>
    </row>
    <row r="570">
      <c r="I570" s="140"/>
      <c r="J570" s="121"/>
    </row>
    <row r="571">
      <c r="I571" s="140"/>
      <c r="J571" s="121"/>
    </row>
    <row r="572">
      <c r="I572" s="140"/>
      <c r="J572" s="121"/>
    </row>
    <row r="573">
      <c r="I573" s="140"/>
      <c r="J573" s="121"/>
    </row>
    <row r="574">
      <c r="I574" s="140"/>
      <c r="J574" s="121"/>
    </row>
    <row r="575">
      <c r="I575" s="140"/>
      <c r="J575" s="121"/>
    </row>
    <row r="576">
      <c r="I576" s="140"/>
      <c r="J576" s="121"/>
    </row>
    <row r="577">
      <c r="I577" s="140"/>
      <c r="J577" s="121"/>
    </row>
    <row r="578">
      <c r="I578" s="140"/>
      <c r="J578" s="121"/>
    </row>
    <row r="579">
      <c r="I579" s="140"/>
      <c r="J579" s="121"/>
    </row>
    <row r="580">
      <c r="I580" s="140"/>
      <c r="J580" s="121"/>
    </row>
    <row r="581">
      <c r="I581" s="140"/>
      <c r="J581" s="121"/>
    </row>
    <row r="582">
      <c r="I582" s="140"/>
      <c r="J582" s="121"/>
    </row>
    <row r="583">
      <c r="I583" s="140"/>
      <c r="J583" s="121"/>
    </row>
    <row r="584">
      <c r="I584" s="140"/>
      <c r="J584" s="121"/>
    </row>
    <row r="585">
      <c r="I585" s="140"/>
      <c r="J585" s="121"/>
    </row>
    <row r="586">
      <c r="I586" s="140"/>
      <c r="J586" s="121"/>
    </row>
    <row r="587">
      <c r="I587" s="140"/>
      <c r="J587" s="121"/>
    </row>
    <row r="588">
      <c r="I588" s="140"/>
      <c r="J588" s="121"/>
    </row>
    <row r="589">
      <c r="I589" s="140"/>
      <c r="J589" s="121"/>
    </row>
    <row r="590">
      <c r="I590" s="140"/>
      <c r="J590" s="121"/>
    </row>
    <row r="591">
      <c r="I591" s="140"/>
      <c r="J591" s="121"/>
    </row>
    <row r="592">
      <c r="I592" s="140"/>
      <c r="J592" s="121"/>
    </row>
    <row r="593">
      <c r="I593" s="140"/>
      <c r="J593" s="121"/>
    </row>
    <row r="594">
      <c r="I594" s="140"/>
      <c r="J594" s="121"/>
    </row>
    <row r="595">
      <c r="I595" s="140"/>
      <c r="J595" s="121"/>
    </row>
    <row r="596">
      <c r="I596" s="140"/>
      <c r="J596" s="121"/>
    </row>
    <row r="597">
      <c r="I597" s="140"/>
      <c r="J597" s="121"/>
    </row>
    <row r="598">
      <c r="I598" s="140"/>
      <c r="J598" s="121"/>
    </row>
    <row r="599">
      <c r="I599" s="140"/>
      <c r="J599" s="121"/>
    </row>
    <row r="600">
      <c r="I600" s="140"/>
      <c r="J600" s="121"/>
    </row>
    <row r="601">
      <c r="I601" s="140"/>
      <c r="J601" s="121"/>
    </row>
    <row r="602">
      <c r="I602" s="140"/>
      <c r="J602" s="121"/>
    </row>
    <row r="603">
      <c r="I603" s="140"/>
      <c r="J603" s="121"/>
    </row>
    <row r="604">
      <c r="I604" s="140"/>
      <c r="J604" s="121"/>
    </row>
    <row r="605">
      <c r="I605" s="140"/>
      <c r="J605" s="121"/>
    </row>
    <row r="606">
      <c r="I606" s="140"/>
      <c r="J606" s="121"/>
    </row>
    <row r="607">
      <c r="I607" s="140"/>
      <c r="J607" s="121"/>
    </row>
    <row r="608">
      <c r="I608" s="140"/>
      <c r="J608" s="121"/>
    </row>
    <row r="609">
      <c r="I609" s="140"/>
      <c r="J609" s="121"/>
    </row>
    <row r="610">
      <c r="I610" s="140"/>
      <c r="J610" s="121"/>
    </row>
    <row r="611">
      <c r="I611" s="140"/>
      <c r="J611" s="121"/>
    </row>
    <row r="612">
      <c r="I612" s="140"/>
      <c r="J612" s="121"/>
    </row>
    <row r="613">
      <c r="I613" s="140"/>
      <c r="J613" s="121"/>
    </row>
    <row r="614">
      <c r="I614" s="140"/>
      <c r="J614" s="121"/>
    </row>
    <row r="615">
      <c r="I615" s="140"/>
      <c r="J615" s="121"/>
    </row>
    <row r="616">
      <c r="I616" s="140"/>
      <c r="J616" s="121"/>
    </row>
    <row r="617">
      <c r="I617" s="140"/>
      <c r="J617" s="121"/>
    </row>
    <row r="618">
      <c r="I618" s="140"/>
      <c r="J618" s="121"/>
    </row>
    <row r="619">
      <c r="I619" s="140"/>
      <c r="J619" s="121"/>
    </row>
    <row r="620">
      <c r="I620" s="140"/>
      <c r="J620" s="121"/>
    </row>
    <row r="621">
      <c r="I621" s="140"/>
      <c r="J621" s="121"/>
    </row>
    <row r="622">
      <c r="I622" s="140"/>
      <c r="J622" s="121"/>
    </row>
    <row r="623">
      <c r="I623" s="140"/>
      <c r="J623" s="121"/>
    </row>
    <row r="624">
      <c r="I624" s="140"/>
      <c r="J624" s="121"/>
    </row>
    <row r="625">
      <c r="I625" s="140"/>
      <c r="J625" s="121"/>
    </row>
    <row r="626">
      <c r="I626" s="140"/>
      <c r="J626" s="121"/>
    </row>
    <row r="627">
      <c r="I627" s="140"/>
      <c r="J627" s="121"/>
    </row>
    <row r="628">
      <c r="I628" s="140"/>
      <c r="J628" s="121"/>
    </row>
    <row r="629">
      <c r="I629" s="140"/>
      <c r="J629" s="121"/>
    </row>
    <row r="630">
      <c r="I630" s="140"/>
      <c r="J630" s="121"/>
    </row>
    <row r="631">
      <c r="I631" s="140"/>
      <c r="J631" s="121"/>
    </row>
    <row r="632">
      <c r="I632" s="140"/>
      <c r="J632" s="121"/>
    </row>
    <row r="633">
      <c r="I633" s="140"/>
      <c r="J633" s="121"/>
    </row>
    <row r="634">
      <c r="I634" s="140"/>
      <c r="J634" s="121"/>
    </row>
    <row r="635">
      <c r="I635" s="140"/>
      <c r="J635" s="121"/>
    </row>
    <row r="636">
      <c r="I636" s="140"/>
      <c r="J636" s="121"/>
    </row>
    <row r="637">
      <c r="I637" s="140"/>
      <c r="J637" s="121"/>
    </row>
    <row r="638">
      <c r="I638" s="140"/>
      <c r="J638" s="121"/>
    </row>
    <row r="639">
      <c r="I639" s="140"/>
      <c r="J639" s="121"/>
    </row>
    <row r="640">
      <c r="I640" s="140"/>
      <c r="J640" s="121"/>
    </row>
    <row r="641">
      <c r="I641" s="140"/>
      <c r="J641" s="121"/>
    </row>
    <row r="642">
      <c r="I642" s="140"/>
      <c r="J642" s="121"/>
    </row>
    <row r="643">
      <c r="I643" s="140"/>
      <c r="J643" s="121"/>
    </row>
    <row r="644">
      <c r="I644" s="140"/>
      <c r="J644" s="121"/>
    </row>
    <row r="645">
      <c r="I645" s="140"/>
      <c r="J645" s="121"/>
    </row>
    <row r="646">
      <c r="I646" s="140"/>
      <c r="J646" s="121"/>
    </row>
    <row r="647">
      <c r="I647" s="140"/>
      <c r="J647" s="121"/>
    </row>
    <row r="648">
      <c r="I648" s="140"/>
      <c r="J648" s="121"/>
    </row>
    <row r="649">
      <c r="I649" s="140"/>
      <c r="J649" s="121"/>
    </row>
    <row r="650">
      <c r="I650" s="140"/>
      <c r="J650" s="121"/>
    </row>
    <row r="651">
      <c r="I651" s="140"/>
      <c r="J651" s="121"/>
    </row>
    <row r="652">
      <c r="I652" s="140"/>
      <c r="J652" s="121"/>
    </row>
    <row r="653">
      <c r="I653" s="140"/>
      <c r="J653" s="121"/>
    </row>
    <row r="654">
      <c r="I654" s="140"/>
      <c r="J654" s="121"/>
    </row>
    <row r="655">
      <c r="I655" s="140"/>
      <c r="J655" s="121"/>
    </row>
    <row r="656">
      <c r="I656" s="140"/>
      <c r="J656" s="121"/>
    </row>
    <row r="657">
      <c r="I657" s="140"/>
      <c r="J657" s="121"/>
    </row>
    <row r="658">
      <c r="I658" s="140"/>
      <c r="J658" s="121"/>
    </row>
    <row r="659">
      <c r="I659" s="140"/>
      <c r="J659" s="121"/>
    </row>
    <row r="660">
      <c r="I660" s="140"/>
      <c r="J660" s="121"/>
    </row>
    <row r="661">
      <c r="I661" s="140"/>
      <c r="J661" s="121"/>
    </row>
    <row r="662">
      <c r="I662" s="140"/>
      <c r="J662" s="121"/>
    </row>
    <row r="663">
      <c r="I663" s="140"/>
      <c r="J663" s="121"/>
    </row>
    <row r="664">
      <c r="I664" s="140"/>
      <c r="J664" s="121"/>
    </row>
    <row r="665">
      <c r="I665" s="140"/>
      <c r="J665" s="121"/>
    </row>
    <row r="666">
      <c r="I666" s="140"/>
      <c r="J666" s="121"/>
    </row>
    <row r="667">
      <c r="I667" s="140"/>
      <c r="J667" s="121"/>
    </row>
    <row r="668">
      <c r="I668" s="140"/>
      <c r="J668" s="121"/>
    </row>
    <row r="669">
      <c r="I669" s="140"/>
      <c r="J669" s="121"/>
    </row>
    <row r="670">
      <c r="I670" s="140"/>
      <c r="J670" s="121"/>
    </row>
    <row r="671">
      <c r="I671" s="140"/>
      <c r="J671" s="121"/>
    </row>
    <row r="672">
      <c r="I672" s="140"/>
      <c r="J672" s="121"/>
    </row>
    <row r="673">
      <c r="I673" s="140"/>
      <c r="J673" s="121"/>
    </row>
    <row r="674">
      <c r="I674" s="140"/>
      <c r="J674" s="121"/>
    </row>
    <row r="675">
      <c r="I675" s="140"/>
      <c r="J675" s="121"/>
    </row>
    <row r="676">
      <c r="I676" s="140"/>
      <c r="J676" s="121"/>
    </row>
    <row r="677">
      <c r="I677" s="140"/>
      <c r="J677" s="121"/>
    </row>
    <row r="678">
      <c r="I678" s="140"/>
      <c r="J678" s="121"/>
    </row>
    <row r="679">
      <c r="I679" s="140"/>
      <c r="J679" s="121"/>
    </row>
    <row r="680">
      <c r="I680" s="140"/>
      <c r="J680" s="121"/>
    </row>
    <row r="681">
      <c r="I681" s="140"/>
      <c r="J681" s="121"/>
    </row>
    <row r="682">
      <c r="I682" s="140"/>
      <c r="J682" s="121"/>
    </row>
    <row r="683">
      <c r="I683" s="140"/>
      <c r="J683" s="121"/>
    </row>
    <row r="684">
      <c r="I684" s="140"/>
      <c r="J684" s="121"/>
    </row>
    <row r="685">
      <c r="I685" s="140"/>
      <c r="J685" s="121"/>
    </row>
    <row r="686">
      <c r="I686" s="140"/>
      <c r="J686" s="121"/>
    </row>
    <row r="687">
      <c r="I687" s="140"/>
      <c r="J687" s="121"/>
    </row>
    <row r="688">
      <c r="I688" s="140"/>
      <c r="J688" s="121"/>
    </row>
    <row r="689">
      <c r="I689" s="140"/>
      <c r="J689" s="121"/>
    </row>
    <row r="690">
      <c r="I690" s="140"/>
      <c r="J690" s="121"/>
    </row>
    <row r="691">
      <c r="I691" s="140"/>
      <c r="J691" s="121"/>
    </row>
    <row r="692">
      <c r="I692" s="140"/>
      <c r="J692" s="121"/>
    </row>
    <row r="693">
      <c r="I693" s="140"/>
      <c r="J693" s="121"/>
    </row>
    <row r="694">
      <c r="I694" s="140"/>
      <c r="J694" s="121"/>
    </row>
    <row r="695">
      <c r="I695" s="140"/>
      <c r="J695" s="121"/>
    </row>
    <row r="696">
      <c r="I696" s="140"/>
      <c r="J696" s="121"/>
    </row>
    <row r="697">
      <c r="I697" s="140"/>
      <c r="J697" s="121"/>
    </row>
    <row r="698">
      <c r="I698" s="140"/>
      <c r="J698" s="121"/>
    </row>
    <row r="699">
      <c r="I699" s="140"/>
      <c r="J699" s="121"/>
    </row>
    <row r="700">
      <c r="I700" s="140"/>
      <c r="J700" s="121"/>
    </row>
    <row r="701">
      <c r="I701" s="140"/>
      <c r="J701" s="121"/>
    </row>
    <row r="702">
      <c r="I702" s="140"/>
      <c r="J702" s="121"/>
    </row>
    <row r="703">
      <c r="I703" s="140"/>
      <c r="J703" s="121"/>
    </row>
    <row r="704">
      <c r="I704" s="140"/>
      <c r="J704" s="121"/>
    </row>
    <row r="705">
      <c r="I705" s="140"/>
      <c r="J705" s="121"/>
    </row>
    <row r="706">
      <c r="I706" s="140"/>
      <c r="J706" s="121"/>
    </row>
    <row r="707">
      <c r="I707" s="140"/>
      <c r="J707" s="121"/>
    </row>
    <row r="708">
      <c r="I708" s="140"/>
      <c r="J708" s="121"/>
    </row>
    <row r="709">
      <c r="I709" s="140"/>
      <c r="J709" s="121"/>
    </row>
    <row r="710">
      <c r="I710" s="140"/>
      <c r="J710" s="121"/>
    </row>
    <row r="711">
      <c r="I711" s="140"/>
      <c r="J711" s="121"/>
    </row>
    <row r="712">
      <c r="I712" s="140"/>
      <c r="J712" s="121"/>
    </row>
    <row r="713">
      <c r="I713" s="140"/>
      <c r="J713" s="121"/>
    </row>
    <row r="714">
      <c r="I714" s="140"/>
      <c r="J714" s="121"/>
    </row>
    <row r="715">
      <c r="I715" s="140"/>
      <c r="J715" s="121"/>
    </row>
    <row r="716">
      <c r="I716" s="140"/>
      <c r="J716" s="121"/>
    </row>
    <row r="717">
      <c r="I717" s="140"/>
      <c r="J717" s="121"/>
    </row>
    <row r="718">
      <c r="I718" s="140"/>
      <c r="J718" s="121"/>
    </row>
    <row r="719">
      <c r="I719" s="140"/>
      <c r="J719" s="121"/>
    </row>
    <row r="720">
      <c r="I720" s="140"/>
      <c r="J720" s="121"/>
    </row>
    <row r="721">
      <c r="I721" s="140"/>
      <c r="J721" s="121"/>
    </row>
    <row r="722">
      <c r="I722" s="140"/>
      <c r="J722" s="121"/>
    </row>
    <row r="723">
      <c r="I723" s="140"/>
      <c r="J723" s="121"/>
    </row>
    <row r="724">
      <c r="I724" s="140"/>
      <c r="J724" s="121"/>
    </row>
    <row r="725">
      <c r="I725" s="140"/>
      <c r="J725" s="121"/>
    </row>
    <row r="726">
      <c r="I726" s="140"/>
      <c r="J726" s="121"/>
    </row>
    <row r="727">
      <c r="I727" s="140"/>
      <c r="J727" s="121"/>
    </row>
    <row r="728">
      <c r="I728" s="140"/>
      <c r="J728" s="121"/>
    </row>
    <row r="729">
      <c r="I729" s="140"/>
      <c r="J729" s="121"/>
    </row>
    <row r="730">
      <c r="I730" s="140"/>
      <c r="J730" s="121"/>
    </row>
    <row r="731">
      <c r="I731" s="140"/>
      <c r="J731" s="121"/>
    </row>
    <row r="732">
      <c r="I732" s="140"/>
      <c r="J732" s="121"/>
    </row>
    <row r="733">
      <c r="I733" s="140"/>
      <c r="J733" s="121"/>
    </row>
    <row r="734">
      <c r="I734" s="140"/>
      <c r="J734" s="121"/>
    </row>
    <row r="735">
      <c r="I735" s="140"/>
      <c r="J735" s="121"/>
    </row>
    <row r="736">
      <c r="I736" s="140"/>
      <c r="J736" s="121"/>
    </row>
    <row r="737">
      <c r="I737" s="140"/>
      <c r="J737" s="121"/>
    </row>
    <row r="738">
      <c r="I738" s="140"/>
      <c r="J738" s="121"/>
    </row>
    <row r="739">
      <c r="I739" s="140"/>
      <c r="J739" s="121"/>
    </row>
    <row r="740">
      <c r="I740" s="140"/>
      <c r="J740" s="121"/>
    </row>
    <row r="741">
      <c r="I741" s="140"/>
      <c r="J741" s="121"/>
    </row>
    <row r="742">
      <c r="I742" s="140"/>
      <c r="J742" s="121"/>
    </row>
    <row r="743">
      <c r="I743" s="140"/>
      <c r="J743" s="121"/>
    </row>
    <row r="744">
      <c r="I744" s="140"/>
      <c r="J744" s="121"/>
    </row>
    <row r="745">
      <c r="I745" s="140"/>
      <c r="J745" s="121"/>
    </row>
    <row r="746">
      <c r="I746" s="140"/>
      <c r="J746" s="121"/>
    </row>
    <row r="747">
      <c r="I747" s="140"/>
      <c r="J747" s="121"/>
    </row>
    <row r="748">
      <c r="I748" s="140"/>
      <c r="J748" s="121"/>
    </row>
    <row r="749">
      <c r="I749" s="140"/>
      <c r="J749" s="121"/>
    </row>
    <row r="750">
      <c r="I750" s="140"/>
      <c r="J750" s="121"/>
    </row>
    <row r="751">
      <c r="I751" s="140"/>
      <c r="J751" s="121"/>
    </row>
    <row r="752">
      <c r="I752" s="140"/>
      <c r="J752" s="121"/>
    </row>
    <row r="753">
      <c r="I753" s="140"/>
      <c r="J753" s="121"/>
    </row>
    <row r="754">
      <c r="I754" s="140"/>
      <c r="J754" s="121"/>
    </row>
    <row r="755">
      <c r="I755" s="140"/>
      <c r="J755" s="121"/>
    </row>
    <row r="756">
      <c r="I756" s="140"/>
      <c r="J756" s="121"/>
    </row>
    <row r="757">
      <c r="I757" s="140"/>
      <c r="J757" s="121"/>
    </row>
    <row r="758">
      <c r="I758" s="140"/>
      <c r="J758" s="121"/>
    </row>
    <row r="759">
      <c r="I759" s="140"/>
      <c r="J759" s="121"/>
    </row>
    <row r="760">
      <c r="I760" s="140"/>
      <c r="J760" s="121"/>
    </row>
    <row r="761">
      <c r="I761" s="140"/>
      <c r="J761" s="121"/>
    </row>
    <row r="762">
      <c r="I762" s="140"/>
      <c r="J762" s="121"/>
    </row>
    <row r="763">
      <c r="I763" s="140"/>
      <c r="J763" s="121"/>
    </row>
    <row r="764">
      <c r="I764" s="140"/>
      <c r="J764" s="121"/>
    </row>
    <row r="765">
      <c r="I765" s="140"/>
      <c r="J765" s="121"/>
    </row>
    <row r="766">
      <c r="I766" s="140"/>
      <c r="J766" s="121"/>
    </row>
    <row r="767">
      <c r="I767" s="140"/>
      <c r="J767" s="121"/>
    </row>
    <row r="768">
      <c r="I768" s="140"/>
      <c r="J768" s="121"/>
    </row>
    <row r="769">
      <c r="I769" s="140"/>
      <c r="J769" s="121"/>
    </row>
    <row r="770">
      <c r="I770" s="140"/>
      <c r="J770" s="121"/>
    </row>
    <row r="771">
      <c r="I771" s="140"/>
      <c r="J771" s="121"/>
    </row>
    <row r="772">
      <c r="I772" s="140"/>
      <c r="J772" s="121"/>
    </row>
    <row r="773">
      <c r="I773" s="140"/>
      <c r="J773" s="121"/>
    </row>
    <row r="774">
      <c r="I774" s="140"/>
      <c r="J774" s="121"/>
    </row>
    <row r="775">
      <c r="I775" s="140"/>
      <c r="J775" s="121"/>
    </row>
    <row r="776">
      <c r="I776" s="140"/>
      <c r="J776" s="121"/>
    </row>
    <row r="777">
      <c r="I777" s="140"/>
      <c r="J777" s="121"/>
    </row>
    <row r="778">
      <c r="I778" s="140"/>
      <c r="J778" s="121"/>
    </row>
    <row r="779">
      <c r="I779" s="140"/>
      <c r="J779" s="121"/>
    </row>
    <row r="780">
      <c r="I780" s="140"/>
      <c r="J780" s="121"/>
    </row>
    <row r="781">
      <c r="I781" s="140"/>
      <c r="J781" s="121"/>
    </row>
    <row r="782">
      <c r="I782" s="140"/>
      <c r="J782" s="121"/>
    </row>
    <row r="783">
      <c r="I783" s="140"/>
      <c r="J783" s="121"/>
    </row>
    <row r="784">
      <c r="I784" s="140"/>
      <c r="J784" s="121"/>
    </row>
    <row r="785">
      <c r="I785" s="140"/>
      <c r="J785" s="121"/>
    </row>
    <row r="786">
      <c r="I786" s="140"/>
      <c r="J786" s="121"/>
    </row>
    <row r="787">
      <c r="I787" s="140"/>
      <c r="J787" s="121"/>
    </row>
    <row r="788">
      <c r="I788" s="140"/>
      <c r="J788" s="121"/>
    </row>
    <row r="789">
      <c r="I789" s="140"/>
      <c r="J789" s="121"/>
    </row>
    <row r="790">
      <c r="I790" s="140"/>
      <c r="J790" s="121"/>
    </row>
    <row r="791">
      <c r="I791" s="140"/>
      <c r="J791" s="121"/>
    </row>
    <row r="792">
      <c r="I792" s="140"/>
      <c r="J792" s="121"/>
    </row>
    <row r="793">
      <c r="I793" s="140"/>
      <c r="J793" s="121"/>
    </row>
    <row r="794">
      <c r="I794" s="140"/>
      <c r="J794" s="121"/>
    </row>
    <row r="795">
      <c r="I795" s="140"/>
      <c r="J795" s="121"/>
    </row>
    <row r="796">
      <c r="I796" s="140"/>
      <c r="J796" s="121"/>
    </row>
    <row r="797">
      <c r="I797" s="140"/>
      <c r="J797" s="121"/>
    </row>
    <row r="798">
      <c r="I798" s="140"/>
      <c r="J798" s="121"/>
    </row>
    <row r="799">
      <c r="I799" s="140"/>
      <c r="J799" s="121"/>
    </row>
    <row r="800">
      <c r="I800" s="140"/>
      <c r="J800" s="121"/>
    </row>
    <row r="801">
      <c r="I801" s="140"/>
      <c r="J801" s="121"/>
    </row>
    <row r="802">
      <c r="I802" s="140"/>
      <c r="J802" s="121"/>
    </row>
    <row r="803">
      <c r="I803" s="140"/>
      <c r="J803" s="121"/>
    </row>
    <row r="804">
      <c r="I804" s="140"/>
      <c r="J804" s="121"/>
    </row>
    <row r="805">
      <c r="I805" s="140"/>
      <c r="J805" s="121"/>
    </row>
    <row r="806">
      <c r="I806" s="140"/>
      <c r="J806" s="121"/>
    </row>
    <row r="807">
      <c r="I807" s="140"/>
      <c r="J807" s="121"/>
    </row>
    <row r="808">
      <c r="I808" s="140"/>
      <c r="J808" s="121"/>
    </row>
    <row r="809">
      <c r="I809" s="140"/>
      <c r="J809" s="121"/>
    </row>
    <row r="810">
      <c r="I810" s="140"/>
      <c r="J810" s="121"/>
    </row>
    <row r="811">
      <c r="I811" s="140"/>
      <c r="J811" s="121"/>
    </row>
    <row r="812">
      <c r="I812" s="140"/>
      <c r="J812" s="121"/>
    </row>
    <row r="813">
      <c r="I813" s="140"/>
      <c r="J813" s="121"/>
    </row>
    <row r="814">
      <c r="I814" s="140"/>
      <c r="J814" s="121"/>
    </row>
    <row r="815">
      <c r="I815" s="140"/>
      <c r="J815" s="121"/>
    </row>
    <row r="816">
      <c r="I816" s="140"/>
      <c r="J816" s="121"/>
    </row>
    <row r="817">
      <c r="I817" s="140"/>
      <c r="J817" s="121"/>
    </row>
    <row r="818">
      <c r="I818" s="140"/>
      <c r="J818" s="121"/>
    </row>
    <row r="819">
      <c r="I819" s="140"/>
      <c r="J819" s="121"/>
    </row>
    <row r="820">
      <c r="I820" s="140"/>
      <c r="J820" s="121"/>
    </row>
    <row r="821">
      <c r="I821" s="140"/>
      <c r="J821" s="121"/>
    </row>
    <row r="822">
      <c r="I822" s="140"/>
      <c r="J822" s="121"/>
    </row>
    <row r="823">
      <c r="I823" s="140"/>
      <c r="J823" s="121"/>
    </row>
    <row r="824">
      <c r="I824" s="140"/>
      <c r="J824" s="121"/>
    </row>
    <row r="825">
      <c r="I825" s="140"/>
      <c r="J825" s="121"/>
    </row>
    <row r="826">
      <c r="I826" s="140"/>
      <c r="J826" s="121"/>
    </row>
    <row r="827">
      <c r="I827" s="140"/>
      <c r="J827" s="121"/>
    </row>
    <row r="828">
      <c r="I828" s="140"/>
      <c r="J828" s="121"/>
    </row>
    <row r="829">
      <c r="I829" s="140"/>
      <c r="J829" s="121"/>
    </row>
    <row r="830">
      <c r="I830" s="140"/>
      <c r="J830" s="121"/>
    </row>
    <row r="831">
      <c r="I831" s="140"/>
      <c r="J831" s="121"/>
    </row>
    <row r="832">
      <c r="I832" s="140"/>
      <c r="J832" s="121"/>
    </row>
    <row r="833">
      <c r="I833" s="140"/>
      <c r="J833" s="121"/>
    </row>
    <row r="834">
      <c r="I834" s="140"/>
      <c r="J834" s="121"/>
    </row>
    <row r="835">
      <c r="I835" s="140"/>
      <c r="J835" s="121"/>
    </row>
    <row r="836">
      <c r="I836" s="140"/>
      <c r="J836" s="121"/>
    </row>
    <row r="837">
      <c r="I837" s="140"/>
      <c r="J837" s="121"/>
    </row>
    <row r="838">
      <c r="I838" s="140"/>
      <c r="J838" s="121"/>
    </row>
    <row r="839">
      <c r="I839" s="140"/>
      <c r="J839" s="121"/>
    </row>
    <row r="840">
      <c r="I840" s="140"/>
      <c r="J840" s="121"/>
    </row>
    <row r="841">
      <c r="I841" s="140"/>
      <c r="J841" s="121"/>
    </row>
    <row r="842">
      <c r="I842" s="140"/>
      <c r="J842" s="121"/>
    </row>
    <row r="843">
      <c r="I843" s="140"/>
      <c r="J843" s="121"/>
    </row>
    <row r="844">
      <c r="I844" s="140"/>
      <c r="J844" s="121"/>
    </row>
    <row r="845">
      <c r="I845" s="140"/>
      <c r="J845" s="121"/>
    </row>
    <row r="846">
      <c r="I846" s="140"/>
      <c r="J846" s="121"/>
    </row>
    <row r="847">
      <c r="I847" s="140"/>
      <c r="J847" s="121"/>
    </row>
    <row r="848">
      <c r="I848" s="140"/>
      <c r="J848" s="121"/>
    </row>
    <row r="849">
      <c r="I849" s="140"/>
      <c r="J849" s="121"/>
    </row>
    <row r="850">
      <c r="I850" s="140"/>
      <c r="J850" s="121"/>
    </row>
    <row r="851">
      <c r="I851" s="140"/>
      <c r="J851" s="121"/>
    </row>
    <row r="852">
      <c r="I852" s="140"/>
      <c r="J852" s="121"/>
    </row>
    <row r="853">
      <c r="I853" s="140"/>
      <c r="J853" s="121"/>
    </row>
    <row r="854">
      <c r="I854" s="140"/>
      <c r="J854" s="121"/>
    </row>
    <row r="855">
      <c r="I855" s="140"/>
      <c r="J855" s="121"/>
    </row>
    <row r="856">
      <c r="I856" s="140"/>
      <c r="J856" s="121"/>
    </row>
    <row r="857">
      <c r="I857" s="140"/>
      <c r="J857" s="121"/>
    </row>
  </sheetData>
  <autoFilter ref="$A$1:$I$357"/>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sheetData>
    <row r="1">
      <c r="A1" s="3">
        <v>0.97</v>
      </c>
      <c r="B1" s="4">
        <f t="shared" ref="B1:B51" si="1">abs(normsinv(A1/2))</f>
        <v>0.0376082877</v>
      </c>
      <c r="C1" s="4">
        <f>(90.4-90.3)/B1</f>
        <v>2.65898838</v>
      </c>
      <c r="D1" s="4">
        <f>C1*sqrt(32)</f>
        <v>15.04150972</v>
      </c>
    </row>
    <row r="2">
      <c r="A2" s="3">
        <v>0.05</v>
      </c>
      <c r="B2" s="4">
        <f t="shared" si="1"/>
        <v>1.959963986</v>
      </c>
    </row>
    <row r="3">
      <c r="A3" s="4">
        <f t="shared" ref="A3:A51" si="2">A2-0.001</f>
        <v>0.049</v>
      </c>
      <c r="B3" s="4">
        <f t="shared" si="1"/>
        <v>1.968591669</v>
      </c>
    </row>
    <row r="4">
      <c r="A4" s="4">
        <f t="shared" si="2"/>
        <v>0.048</v>
      </c>
      <c r="B4" s="4">
        <f t="shared" si="1"/>
        <v>1.97736843</v>
      </c>
    </row>
    <row r="5">
      <c r="A5" s="4">
        <f t="shared" si="2"/>
        <v>0.047</v>
      </c>
      <c r="B5" s="4">
        <f t="shared" si="1"/>
        <v>1.986300205</v>
      </c>
    </row>
    <row r="6">
      <c r="A6" s="4">
        <f t="shared" si="2"/>
        <v>0.046</v>
      </c>
      <c r="B6" s="4">
        <f t="shared" si="1"/>
        <v>1.995393311</v>
      </c>
    </row>
    <row r="7">
      <c r="A7" s="4">
        <f t="shared" si="2"/>
        <v>0.045</v>
      </c>
      <c r="B7" s="4">
        <f t="shared" si="1"/>
        <v>2.004654462</v>
      </c>
    </row>
    <row r="8">
      <c r="A8" s="4">
        <f t="shared" si="2"/>
        <v>0.044</v>
      </c>
      <c r="B8" s="4">
        <f t="shared" si="1"/>
        <v>2.014090812</v>
      </c>
    </row>
    <row r="9">
      <c r="A9" s="4">
        <f t="shared" si="2"/>
        <v>0.043</v>
      </c>
      <c r="B9" s="4">
        <f t="shared" si="1"/>
        <v>2.02370999</v>
      </c>
    </row>
    <row r="10">
      <c r="A10" s="4">
        <f t="shared" si="2"/>
        <v>0.042</v>
      </c>
      <c r="B10" s="4">
        <f t="shared" si="1"/>
        <v>2.033520148</v>
      </c>
    </row>
    <row r="11">
      <c r="A11" s="4">
        <f t="shared" si="2"/>
        <v>0.041</v>
      </c>
      <c r="B11" s="4">
        <f t="shared" si="1"/>
        <v>2.043530006</v>
      </c>
    </row>
    <row r="12">
      <c r="A12" s="4">
        <f t="shared" si="2"/>
        <v>0.04</v>
      </c>
      <c r="B12" s="4">
        <f t="shared" si="1"/>
        <v>2.053748909</v>
      </c>
    </row>
    <row r="13">
      <c r="A13" s="4">
        <f t="shared" si="2"/>
        <v>0.039</v>
      </c>
      <c r="B13" s="4">
        <f t="shared" si="1"/>
        <v>2.064186889</v>
      </c>
    </row>
    <row r="14">
      <c r="A14" s="4">
        <f t="shared" si="2"/>
        <v>0.038</v>
      </c>
      <c r="B14" s="4">
        <f t="shared" si="1"/>
        <v>2.074854732</v>
      </c>
    </row>
    <row r="15">
      <c r="A15" s="4">
        <f t="shared" si="2"/>
        <v>0.037</v>
      </c>
      <c r="B15" s="4">
        <f t="shared" si="1"/>
        <v>2.085764063</v>
      </c>
    </row>
    <row r="16">
      <c r="A16" s="4">
        <f t="shared" si="2"/>
        <v>0.036</v>
      </c>
      <c r="B16" s="4">
        <f t="shared" si="1"/>
        <v>2.096927427</v>
      </c>
    </row>
    <row r="17">
      <c r="A17" s="4">
        <f t="shared" si="2"/>
        <v>0.035</v>
      </c>
      <c r="B17" s="4">
        <f t="shared" si="1"/>
        <v>2.108358397</v>
      </c>
    </row>
    <row r="18">
      <c r="A18" s="4">
        <f t="shared" si="2"/>
        <v>0.034</v>
      </c>
      <c r="B18" s="4">
        <f t="shared" si="1"/>
        <v>2.120071687</v>
      </c>
    </row>
    <row r="19">
      <c r="A19" s="4">
        <f t="shared" si="2"/>
        <v>0.033</v>
      </c>
      <c r="B19" s="4">
        <f t="shared" si="1"/>
        <v>2.132083288</v>
      </c>
    </row>
    <row r="20">
      <c r="A20" s="4">
        <f t="shared" si="2"/>
        <v>0.032</v>
      </c>
      <c r="B20" s="4">
        <f t="shared" si="1"/>
        <v>2.144410619</v>
      </c>
    </row>
    <row r="21">
      <c r="A21" s="4">
        <f t="shared" si="2"/>
        <v>0.031</v>
      </c>
      <c r="B21" s="4">
        <f t="shared" si="1"/>
        <v>2.157072702</v>
      </c>
    </row>
    <row r="22">
      <c r="A22" s="4">
        <f t="shared" si="2"/>
        <v>0.03</v>
      </c>
      <c r="B22" s="4">
        <f t="shared" si="1"/>
        <v>2.170090375</v>
      </c>
    </row>
    <row r="23">
      <c r="A23" s="4">
        <f t="shared" si="2"/>
        <v>0.029</v>
      </c>
      <c r="B23" s="4">
        <f t="shared" si="1"/>
        <v>2.183486526</v>
      </c>
    </row>
    <row r="24">
      <c r="A24" s="4">
        <f t="shared" si="2"/>
        <v>0.028</v>
      </c>
      <c r="B24" s="4">
        <f t="shared" si="1"/>
        <v>2.197286375</v>
      </c>
    </row>
    <row r="25">
      <c r="A25" s="4">
        <f t="shared" si="2"/>
        <v>0.027</v>
      </c>
      <c r="B25" s="4">
        <f t="shared" si="1"/>
        <v>2.211517808</v>
      </c>
    </row>
    <row r="26">
      <c r="A26" s="4">
        <f t="shared" si="2"/>
        <v>0.026</v>
      </c>
      <c r="B26" s="4">
        <f t="shared" si="1"/>
        <v>2.226211768</v>
      </c>
    </row>
    <row r="27">
      <c r="A27" s="4">
        <f t="shared" si="2"/>
        <v>0.025</v>
      </c>
      <c r="B27" s="4">
        <f t="shared" si="1"/>
        <v>2.241402726</v>
      </c>
    </row>
    <row r="28">
      <c r="A28" s="4">
        <f t="shared" si="2"/>
        <v>0.024</v>
      </c>
      <c r="B28" s="4">
        <f t="shared" si="1"/>
        <v>2.257129244</v>
      </c>
    </row>
    <row r="29">
      <c r="A29" s="4">
        <f t="shared" si="2"/>
        <v>0.023</v>
      </c>
      <c r="B29" s="4">
        <f t="shared" si="1"/>
        <v>2.27343465</v>
      </c>
    </row>
    <row r="30">
      <c r="A30" s="4">
        <f t="shared" si="2"/>
        <v>0.022</v>
      </c>
      <c r="B30" s="4">
        <f t="shared" si="1"/>
        <v>2.290367878</v>
      </c>
    </row>
    <row r="31">
      <c r="A31" s="4">
        <f t="shared" si="2"/>
        <v>0.021</v>
      </c>
      <c r="B31" s="4">
        <f t="shared" si="1"/>
        <v>2.307984475</v>
      </c>
    </row>
    <row r="32">
      <c r="A32" s="4">
        <f t="shared" si="2"/>
        <v>0.02</v>
      </c>
      <c r="B32" s="4">
        <f t="shared" si="1"/>
        <v>2.326347874</v>
      </c>
    </row>
    <row r="33">
      <c r="A33" s="4">
        <f t="shared" si="2"/>
        <v>0.019</v>
      </c>
      <c r="B33" s="4">
        <f t="shared" si="1"/>
        <v>2.345530971</v>
      </c>
    </row>
    <row r="34">
      <c r="A34" s="4">
        <f t="shared" si="2"/>
        <v>0.018</v>
      </c>
      <c r="B34" s="4">
        <f t="shared" si="1"/>
        <v>2.365618128</v>
      </c>
    </row>
    <row r="35">
      <c r="A35" s="4">
        <f t="shared" si="2"/>
        <v>0.017</v>
      </c>
      <c r="B35" s="4">
        <f t="shared" si="1"/>
        <v>2.386707736</v>
      </c>
    </row>
    <row r="36">
      <c r="A36" s="4">
        <f t="shared" si="2"/>
        <v>0.016</v>
      </c>
      <c r="B36" s="4">
        <f t="shared" si="1"/>
        <v>2.408915547</v>
      </c>
    </row>
    <row r="37">
      <c r="A37" s="4">
        <f t="shared" si="2"/>
        <v>0.015</v>
      </c>
      <c r="B37" s="4">
        <f t="shared" si="1"/>
        <v>2.432379061</v>
      </c>
    </row>
    <row r="38">
      <c r="A38" s="4">
        <f t="shared" si="2"/>
        <v>0.014</v>
      </c>
      <c r="B38" s="4">
        <f t="shared" si="1"/>
        <v>2.457263392</v>
      </c>
    </row>
    <row r="39">
      <c r="A39" s="4">
        <f t="shared" si="2"/>
        <v>0.013</v>
      </c>
      <c r="B39" s="4">
        <f t="shared" si="1"/>
        <v>2.483769296</v>
      </c>
    </row>
    <row r="40">
      <c r="A40" s="4">
        <f t="shared" si="2"/>
        <v>0.012</v>
      </c>
      <c r="B40" s="4">
        <f t="shared" si="1"/>
        <v>2.512144331</v>
      </c>
    </row>
    <row r="41">
      <c r="A41" s="4">
        <f t="shared" si="2"/>
        <v>0.011</v>
      </c>
      <c r="B41" s="4">
        <f t="shared" si="1"/>
        <v>2.542698822</v>
      </c>
    </row>
    <row r="42">
      <c r="A42" s="4">
        <f t="shared" si="2"/>
        <v>0.01</v>
      </c>
      <c r="B42" s="4">
        <f t="shared" si="1"/>
        <v>2.575829306</v>
      </c>
    </row>
    <row r="43">
      <c r="A43" s="4">
        <f t="shared" si="2"/>
        <v>0.009</v>
      </c>
      <c r="B43" s="4">
        <f t="shared" si="1"/>
        <v>2.612054144</v>
      </c>
    </row>
    <row r="44">
      <c r="A44" s="4">
        <f t="shared" si="2"/>
        <v>0.008</v>
      </c>
      <c r="B44" s="4">
        <f t="shared" si="1"/>
        <v>2.652069811</v>
      </c>
    </row>
    <row r="45">
      <c r="A45" s="4">
        <f t="shared" si="2"/>
        <v>0.007</v>
      </c>
      <c r="B45" s="4">
        <f t="shared" si="1"/>
        <v>2.696844264</v>
      </c>
    </row>
    <row r="46">
      <c r="A46" s="4">
        <f t="shared" si="2"/>
        <v>0.006</v>
      </c>
      <c r="B46" s="4">
        <f t="shared" si="1"/>
        <v>2.747781388</v>
      </c>
    </row>
    <row r="47">
      <c r="A47" s="4">
        <f t="shared" si="2"/>
        <v>0.005</v>
      </c>
      <c r="B47" s="4">
        <f t="shared" si="1"/>
        <v>2.80703377</v>
      </c>
    </row>
    <row r="48">
      <c r="A48" s="4">
        <f t="shared" si="2"/>
        <v>0.004</v>
      </c>
      <c r="B48" s="4">
        <f t="shared" si="1"/>
        <v>2.87816174</v>
      </c>
    </row>
    <row r="49">
      <c r="A49" s="4">
        <f t="shared" si="2"/>
        <v>0.003</v>
      </c>
      <c r="B49" s="4">
        <f t="shared" si="1"/>
        <v>2.967737925</v>
      </c>
    </row>
    <row r="50">
      <c r="A50" s="4">
        <f t="shared" si="2"/>
        <v>0.002</v>
      </c>
      <c r="B50" s="4">
        <f t="shared" si="1"/>
        <v>3.090232305</v>
      </c>
    </row>
    <row r="51">
      <c r="A51" s="4">
        <f t="shared" si="2"/>
        <v>0.001</v>
      </c>
      <c r="B51" s="4">
        <f t="shared" si="1"/>
        <v>3.290526728</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sheetData>
    <row r="1">
      <c r="A1" s="3" t="s">
        <v>4362</v>
      </c>
      <c r="B1" s="3" t="s">
        <v>4364</v>
      </c>
    </row>
    <row r="2">
      <c r="A2" s="3" t="s">
        <v>4362</v>
      </c>
      <c r="B2" s="3" t="s">
        <v>4367</v>
      </c>
    </row>
    <row r="3">
      <c r="A3" s="3" t="s">
        <v>4362</v>
      </c>
      <c r="B3" s="3" t="s">
        <v>4368</v>
      </c>
    </row>
    <row r="4">
      <c r="A4" s="3" t="s">
        <v>4362</v>
      </c>
      <c r="B4" s="3" t="s">
        <v>4369</v>
      </c>
    </row>
    <row r="5">
      <c r="A5" s="3" t="s">
        <v>4362</v>
      </c>
      <c r="B5" s="145" t="s">
        <v>4370</v>
      </c>
    </row>
    <row r="6">
      <c r="A6" s="3" t="s">
        <v>4362</v>
      </c>
      <c r="B6" s="3" t="s">
        <v>317</v>
      </c>
    </row>
    <row r="7">
      <c r="A7" s="3" t="s">
        <v>4362</v>
      </c>
      <c r="B7" s="3" t="s">
        <v>4375</v>
      </c>
    </row>
    <row r="8">
      <c r="A8" s="145" t="s">
        <v>4376</v>
      </c>
      <c r="B8" s="3" t="s">
        <v>4378</v>
      </c>
    </row>
    <row r="9">
      <c r="A9" s="3" t="s">
        <v>4362</v>
      </c>
      <c r="B9" s="3" t="s">
        <v>4379</v>
      </c>
    </row>
    <row r="10">
      <c r="A10" s="145" t="s">
        <v>4381</v>
      </c>
      <c r="B10" s="3" t="s">
        <v>4382</v>
      </c>
    </row>
    <row r="11">
      <c r="A11" s="3" t="s">
        <v>4362</v>
      </c>
      <c r="B11" s="3" t="s">
        <v>4383</v>
      </c>
    </row>
    <row r="12">
      <c r="A12" s="145" t="s">
        <v>4385</v>
      </c>
      <c r="B12" s="145" t="s">
        <v>4387</v>
      </c>
    </row>
    <row r="13">
      <c r="A13" s="145" t="s">
        <v>4381</v>
      </c>
      <c r="B13" s="3" t="s">
        <v>4390</v>
      </c>
    </row>
    <row r="14">
      <c r="A14" s="145" t="s">
        <v>4391</v>
      </c>
      <c r="B14" s="3" t="s">
        <v>4392</v>
      </c>
    </row>
    <row r="15">
      <c r="A15" s="145" t="s">
        <v>4362</v>
      </c>
      <c r="B15" s="3" t="s">
        <v>4394</v>
      </c>
    </row>
    <row r="16">
      <c r="A16" s="3" t="s">
        <v>4362</v>
      </c>
      <c r="B16" s="3" t="s">
        <v>339</v>
      </c>
    </row>
    <row r="17">
      <c r="A17" s="3" t="s">
        <v>4362</v>
      </c>
      <c r="B17" s="3" t="s">
        <v>4398</v>
      </c>
    </row>
    <row r="18">
      <c r="A18" s="3" t="s">
        <v>4362</v>
      </c>
      <c r="B18" s="3" t="s">
        <v>4394</v>
      </c>
    </row>
    <row r="19">
      <c r="A19" s="3" t="s">
        <v>4362</v>
      </c>
      <c r="B19" s="3" t="s">
        <v>4401</v>
      </c>
    </row>
    <row r="20">
      <c r="A20" s="3" t="s">
        <v>4362</v>
      </c>
      <c r="B20" s="3" t="s">
        <v>4402</v>
      </c>
    </row>
    <row r="21">
      <c r="A21" s="3" t="s">
        <v>4362</v>
      </c>
      <c r="B21" s="3" t="s">
        <v>4403</v>
      </c>
    </row>
    <row r="22">
      <c r="A22" s="3" t="s">
        <v>4362</v>
      </c>
      <c r="B22" s="3" t="s">
        <v>4404</v>
      </c>
    </row>
    <row r="23">
      <c r="A23" s="145" t="s">
        <v>4391</v>
      </c>
      <c r="B23" s="3" t="s">
        <v>4406</v>
      </c>
    </row>
    <row r="24">
      <c r="A24" s="3" t="s">
        <v>4362</v>
      </c>
      <c r="B24" s="3" t="s">
        <v>4407</v>
      </c>
    </row>
    <row r="25">
      <c r="A25" s="3" t="s">
        <v>4362</v>
      </c>
      <c r="B25" s="3" t="s">
        <v>4401</v>
      </c>
    </row>
    <row r="26">
      <c r="A26" s="3" t="s">
        <v>4362</v>
      </c>
      <c r="B26" s="3" t="s">
        <v>4410</v>
      </c>
    </row>
    <row r="27">
      <c r="A27" s="3" t="s">
        <v>4362</v>
      </c>
      <c r="B27" s="3" t="s">
        <v>4412</v>
      </c>
    </row>
    <row r="28">
      <c r="A28" s="145" t="s">
        <v>4376</v>
      </c>
      <c r="B28" s="145" t="s">
        <v>4413</v>
      </c>
    </row>
    <row r="29">
      <c r="A29" s="3" t="s">
        <v>4362</v>
      </c>
      <c r="B29" s="3" t="s">
        <v>4414</v>
      </c>
    </row>
    <row r="30">
      <c r="A30" s="3" t="s">
        <v>4362</v>
      </c>
      <c r="B30" s="3" t="s">
        <v>4415</v>
      </c>
    </row>
    <row r="31">
      <c r="A31" s="145" t="s">
        <v>4385</v>
      </c>
      <c r="B31" s="3" t="s">
        <v>4369</v>
      </c>
    </row>
    <row r="32">
      <c r="A32" s="3" t="s">
        <v>4362</v>
      </c>
      <c r="B32" s="3" t="s">
        <v>4416</v>
      </c>
    </row>
    <row r="33">
      <c r="A33" s="145" t="s">
        <v>4385</v>
      </c>
      <c r="B33" s="3" t="s">
        <v>4414</v>
      </c>
    </row>
    <row r="34">
      <c r="A34" s="3" t="s">
        <v>4362</v>
      </c>
      <c r="B34" s="3" t="s">
        <v>4417</v>
      </c>
    </row>
    <row r="35">
      <c r="A35" s="145" t="s">
        <v>4391</v>
      </c>
      <c r="B35" s="3" t="s">
        <v>4419</v>
      </c>
    </row>
    <row r="36">
      <c r="A36" s="3" t="s">
        <v>4362</v>
      </c>
      <c r="B36" s="3" t="s">
        <v>4420</v>
      </c>
    </row>
    <row r="37">
      <c r="A37" s="3" t="s">
        <v>4362</v>
      </c>
      <c r="B37" s="3" t="s">
        <v>4423</v>
      </c>
    </row>
    <row r="38">
      <c r="A38" s="145" t="s">
        <v>4376</v>
      </c>
      <c r="B38" s="3" t="s">
        <v>4425</v>
      </c>
    </row>
    <row r="39">
      <c r="A39" s="145" t="s">
        <v>4381</v>
      </c>
      <c r="B39" s="3" t="s">
        <v>4428</v>
      </c>
    </row>
    <row r="40">
      <c r="A40" s="3" t="s">
        <v>4362</v>
      </c>
      <c r="B40" s="3" t="s">
        <v>4392</v>
      </c>
    </row>
    <row r="41">
      <c r="A41" s="3" t="s">
        <v>4362</v>
      </c>
      <c r="B41" s="3" t="s">
        <v>4430</v>
      </c>
    </row>
    <row r="42">
      <c r="A42" s="3" t="s">
        <v>4362</v>
      </c>
      <c r="B42" s="3" t="s">
        <v>4432</v>
      </c>
    </row>
    <row r="43">
      <c r="A43" s="145" t="s">
        <v>4433</v>
      </c>
      <c r="B43" s="3" t="s">
        <v>4434</v>
      </c>
    </row>
    <row r="44">
      <c r="A44" s="3" t="s">
        <v>4362</v>
      </c>
      <c r="B44" s="145" t="s">
        <v>4413</v>
      </c>
    </row>
    <row r="45">
      <c r="A45" s="3" t="s">
        <v>4362</v>
      </c>
      <c r="B45" s="3" t="s">
        <v>4375</v>
      </c>
    </row>
    <row r="46">
      <c r="A46" s="3" t="s">
        <v>4362</v>
      </c>
      <c r="B46" s="3" t="s">
        <v>4439</v>
      </c>
    </row>
    <row r="47">
      <c r="A47" s="3" t="s">
        <v>4362</v>
      </c>
      <c r="B47" s="3" t="s">
        <v>4440</v>
      </c>
    </row>
    <row r="48">
      <c r="A48" s="145" t="s">
        <v>4391</v>
      </c>
      <c r="B48" s="145" t="s">
        <v>4441</v>
      </c>
    </row>
    <row r="49">
      <c r="A49" s="145" t="s">
        <v>4442</v>
      </c>
      <c r="B49" s="3" t="s">
        <v>4443</v>
      </c>
    </row>
    <row r="50">
      <c r="A50" s="145" t="s">
        <v>4362</v>
      </c>
      <c r="B50" s="3" t="s">
        <v>4420</v>
      </c>
    </row>
    <row r="51">
      <c r="A51" s="145" t="s">
        <v>4391</v>
      </c>
      <c r="B51" s="145" t="s">
        <v>4441</v>
      </c>
    </row>
    <row r="52">
      <c r="A52" s="145" t="s">
        <v>4362</v>
      </c>
      <c r="B52" s="3" t="s">
        <v>4402</v>
      </c>
    </row>
    <row r="53">
      <c r="A53" s="145" t="s">
        <v>4376</v>
      </c>
      <c r="B53" s="3" t="s">
        <v>4416</v>
      </c>
    </row>
    <row r="54">
      <c r="A54" s="145" t="s">
        <v>4362</v>
      </c>
      <c r="B54" s="3" t="s">
        <v>4392</v>
      </c>
    </row>
    <row r="55">
      <c r="A55" s="145" t="s">
        <v>4362</v>
      </c>
      <c r="B55" s="3" t="s">
        <v>4449</v>
      </c>
    </row>
    <row r="56">
      <c r="A56" s="145" t="s">
        <v>4391</v>
      </c>
      <c r="B56" s="3" t="s">
        <v>4450</v>
      </c>
    </row>
    <row r="57">
      <c r="A57" s="145" t="s">
        <v>4385</v>
      </c>
      <c r="B57" s="3" t="s">
        <v>4451</v>
      </c>
    </row>
    <row r="58">
      <c r="A58" s="145" t="s">
        <v>4362</v>
      </c>
      <c r="B58" s="3" t="s">
        <v>4392</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outlineLevelRow="1"/>
  <cols>
    <col customWidth="1" min="1" max="1" width="4.13"/>
    <col customWidth="1" min="2" max="2" width="20.63"/>
    <col customWidth="1" min="3" max="3" width="33.88"/>
    <col customWidth="1" min="4" max="4" width="21.0"/>
    <col customWidth="1" min="5" max="5" width="13.63"/>
    <col customWidth="1" min="6" max="6" width="76.63"/>
    <col customWidth="1" min="7" max="7" width="5.5"/>
    <col customWidth="1" min="8" max="20" width="5.75"/>
  </cols>
  <sheetData>
    <row r="1">
      <c r="A1" s="146"/>
      <c r="B1" s="147" t="s">
        <v>3</v>
      </c>
      <c r="C1" s="147" t="s">
        <v>4576</v>
      </c>
      <c r="D1" s="147" t="s">
        <v>4577</v>
      </c>
      <c r="E1" s="147" t="s">
        <v>49</v>
      </c>
      <c r="F1" s="147" t="s">
        <v>318</v>
      </c>
      <c r="G1" s="148" t="s">
        <v>42</v>
      </c>
      <c r="H1" s="148" t="s">
        <v>84</v>
      </c>
      <c r="I1" s="148" t="s">
        <v>200</v>
      </c>
      <c r="J1" s="148" t="s">
        <v>186</v>
      </c>
      <c r="K1" s="148" t="s">
        <v>246</v>
      </c>
      <c r="L1" s="148" t="s">
        <v>205</v>
      </c>
      <c r="M1" s="148" t="s">
        <v>220</v>
      </c>
      <c r="N1" s="148" t="s">
        <v>371</v>
      </c>
      <c r="O1" s="148" t="s">
        <v>319</v>
      </c>
      <c r="P1" s="148" t="s">
        <v>317</v>
      </c>
      <c r="Q1" s="148" t="s">
        <v>385</v>
      </c>
      <c r="R1" s="148" t="s">
        <v>370</v>
      </c>
      <c r="S1" s="148" t="s">
        <v>325</v>
      </c>
      <c r="T1" s="149"/>
      <c r="U1" s="149"/>
      <c r="V1" s="149"/>
      <c r="W1" s="149"/>
      <c r="X1" s="149"/>
      <c r="Y1" s="149"/>
      <c r="Z1" s="149"/>
      <c r="AA1" s="149"/>
      <c r="AB1" s="149"/>
    </row>
    <row r="2">
      <c r="A2" s="150">
        <f>ID(A2:A101, D2:D101)</f>
        <v>1</v>
      </c>
      <c r="B2" s="151" t="str">
        <f t="shared" ref="B2:B101" si="1">hyperlink("https://github.com/d-wkim/phd/blob/main/data/pdf/"&amp;D2&amp;".pdf",SUBSTITUTE(Proper(D2),"_"," et al., "))</f>
        <v>Ageberg et al., 2009</v>
      </c>
      <c r="C2" s="152" t="s">
        <v>321</v>
      </c>
      <c r="D2" s="153" t="s">
        <v>4660</v>
      </c>
      <c r="E2" s="152" t="s">
        <v>109</v>
      </c>
      <c r="F2" s="152" t="s">
        <v>319</v>
      </c>
      <c r="G2" s="154" t="str">
        <f>IFERROR(__xludf.DUMMYFUNCTION("if(REGEXMATCH(join("", "",$C2:$F2),G$1)=TRUE,""✓"",""✗"")"),"✓")</f>
        <v>✓</v>
      </c>
      <c r="H2" s="154" t="str">
        <f>IFERROR(__xludf.DUMMYFUNCTION("if(REGEXMATCH(join("", "",$C2:$F2),H$1)=TRUE,""✓"",""✗"")"),"✓")</f>
        <v>✓</v>
      </c>
      <c r="I2" s="154" t="str">
        <f>IFERROR(__xludf.DUMMYFUNCTION("if(REGEXMATCH(join("", "",$C2:$F2),I$1)=TRUE,""✓"",""✗"")"),"✗")</f>
        <v>✗</v>
      </c>
      <c r="J2" s="154" t="str">
        <f>IFERROR(__xludf.DUMMYFUNCTION("if(REGEXMATCH(join("", "",$C2:$F2),J$1)=TRUE,""✓"",""✗"")"),"✗")</f>
        <v>✗</v>
      </c>
      <c r="K2" s="154" t="str">
        <f>IFERROR(__xludf.DUMMYFUNCTION("if(REGEXMATCH(join("", "",$C2:$F2),K$1)=TRUE,""✓"",""✗"")"),"✗")</f>
        <v>✗</v>
      </c>
      <c r="L2" s="154" t="str">
        <f>IFERROR(__xludf.DUMMYFUNCTION("if(REGEXMATCH(join("", "",$C2:$F2),L$1)=TRUE,""✓"",""✗"")"),"✗")</f>
        <v>✗</v>
      </c>
      <c r="M2" s="154" t="str">
        <f>IFERROR(__xludf.DUMMYFUNCTION("if(REGEXMATCH(join("", "",$C2:$F2),M$1)=TRUE,""✓"",""✗"")"),"✗")</f>
        <v>✗</v>
      </c>
      <c r="N2" s="154" t="str">
        <f>IFERROR(__xludf.DUMMYFUNCTION("if(REGEXMATCH(join("", "",$C2:$F2),N$1)=TRUE,""✓"",""✗"")"),"✗")</f>
        <v>✗</v>
      </c>
      <c r="O2" s="154" t="str">
        <f>IFERROR(__xludf.DUMMYFUNCTION("if(REGEXMATCH(join("", "",$C2:$F2),O$1)=TRUE,""✓"",""✗"")"),"✓")</f>
        <v>✓</v>
      </c>
      <c r="P2" s="154" t="str">
        <f>IFERROR(__xludf.DUMMYFUNCTION("if(REGEXMATCH(join("", "",$C2:$F2),P$1)=TRUE,""✓"",""✗"")"),"✗")</f>
        <v>✗</v>
      </c>
      <c r="Q2" s="154" t="str">
        <f>IFERROR(__xludf.DUMMYFUNCTION("if(REGEXMATCH(join("", "",$C2:$F2),Q$1)=TRUE,""✓"",""✗"")"),"✗")</f>
        <v>✗</v>
      </c>
      <c r="R2" s="154" t="str">
        <f>IFERROR(__xludf.DUMMYFUNCTION("if(REGEXMATCH(join("", "",$C2:$F2),R$1)=TRUE,""✓"",""✗"")"),"✗")</f>
        <v>✗</v>
      </c>
      <c r="S2" s="154" t="str">
        <f>IFERROR(__xludf.DUMMYFUNCTION("if(REGEXMATCH(join("", "",$C2:$F2),S$1)=TRUE,""✓"",""✗"")"),"✗")</f>
        <v>✗</v>
      </c>
      <c r="T2" s="155"/>
      <c r="U2" s="155"/>
      <c r="V2" s="155"/>
      <c r="W2" s="155"/>
      <c r="X2" s="155"/>
      <c r="Y2" s="155"/>
      <c r="Z2" s="155"/>
      <c r="AA2" s="155"/>
      <c r="AB2" s="155"/>
    </row>
    <row r="3">
      <c r="A3" s="150">
        <v>2.0</v>
      </c>
      <c r="B3" s="151" t="str">
        <f t="shared" si="1"/>
        <v>Aglietti et al., 2004</v>
      </c>
      <c r="C3" s="152" t="s">
        <v>321</v>
      </c>
      <c r="D3" s="156" t="s">
        <v>4755</v>
      </c>
      <c r="E3" s="152" t="s">
        <v>109</v>
      </c>
      <c r="F3" s="157" t="s">
        <v>322</v>
      </c>
      <c r="G3" s="154" t="str">
        <f>IFERROR(__xludf.DUMMYFUNCTION("if(REGEXMATCH(join("", "",$C3:$F3),G$1)=TRUE,""✓"",""✗"")"),"✓")</f>
        <v>✓</v>
      </c>
      <c r="H3" s="154" t="str">
        <f>IFERROR(__xludf.DUMMYFUNCTION("if(REGEXMATCH(join("", "",$C3:$F3),H$1)=TRUE,""✓"",""✗"")"),"✓")</f>
        <v>✓</v>
      </c>
      <c r="I3" s="154" t="str">
        <f>IFERROR(__xludf.DUMMYFUNCTION("if(REGEXMATCH(join("", "",$C3:$F3),I$1)=TRUE,""✓"",""✗"")"),"✗")</f>
        <v>✗</v>
      </c>
      <c r="J3" s="154" t="str">
        <f>IFERROR(__xludf.DUMMYFUNCTION("if(REGEXMATCH(join("", "",$C3:$F3),J$1)=TRUE,""✓"",""✗"")"),"✗")</f>
        <v>✗</v>
      </c>
      <c r="K3" s="154" t="str">
        <f>IFERROR(__xludf.DUMMYFUNCTION("if(REGEXMATCH(join("", "",$C3:$F3),K$1)=TRUE,""✓"",""✗"")"),"✗")</f>
        <v>✗</v>
      </c>
      <c r="L3" s="154" t="str">
        <f>IFERROR(__xludf.DUMMYFUNCTION("if(REGEXMATCH(join("", "",$C3:$F3),L$1)=TRUE,""✓"",""✗"")"),"✗")</f>
        <v>✗</v>
      </c>
      <c r="M3" s="154" t="str">
        <f>IFERROR(__xludf.DUMMYFUNCTION("if(REGEXMATCH(join("", "",$C3:$F3),M$1)=TRUE,""✓"",""✗"")"),"✗")</f>
        <v>✗</v>
      </c>
      <c r="N3" s="154" t="str">
        <f>IFERROR(__xludf.DUMMYFUNCTION("if(REGEXMATCH(join("", "",$C3:$F3),N$1)=TRUE,""✓"",""✗"")"),"✗")</f>
        <v>✗</v>
      </c>
      <c r="O3" s="154" t="str">
        <f>IFERROR(__xludf.DUMMYFUNCTION("if(REGEXMATCH(join("", "",$C3:$F3),O$1)=TRUE,""✓"",""✗"")"),"✗")</f>
        <v>✗</v>
      </c>
      <c r="P3" s="154" t="str">
        <f>IFERROR(__xludf.DUMMYFUNCTION("if(REGEXMATCH(join("", "",$C3:$F3),P$1)=TRUE,""✓"",""✗"")"),"✓")</f>
        <v>✓</v>
      </c>
      <c r="Q3" s="154" t="str">
        <f>IFERROR(__xludf.DUMMYFUNCTION("if(REGEXMATCH(join("", "",$C3:$F3),Q$1)=TRUE,""✓"",""✗"")"),"✓")</f>
        <v>✓</v>
      </c>
      <c r="R3" s="154" t="str">
        <f>IFERROR(__xludf.DUMMYFUNCTION("if(REGEXMATCH(join("", "",$C3:$F3),R$1)=TRUE,""✓"",""✗"")"),"✓")</f>
        <v>✓</v>
      </c>
      <c r="S3" s="154" t="str">
        <f>IFERROR(__xludf.DUMMYFUNCTION("if(REGEXMATCH(join("", "",$C3:$F3),S$1)=TRUE,""✓"",""✗"")"),"✗")</f>
        <v>✗</v>
      </c>
      <c r="T3" s="155"/>
      <c r="U3" s="155"/>
      <c r="V3" s="155"/>
      <c r="W3" s="155"/>
      <c r="X3" s="155"/>
      <c r="Y3" s="155"/>
      <c r="Z3" s="155"/>
      <c r="AA3" s="155"/>
      <c r="AB3" s="155"/>
    </row>
    <row r="4">
      <c r="A4" s="150">
        <v>3.0</v>
      </c>
      <c r="B4" s="151" t="str">
        <f t="shared" si="1"/>
        <v>Ahldén et al., 2009</v>
      </c>
      <c r="C4" s="152" t="s">
        <v>321</v>
      </c>
      <c r="D4" s="156" t="s">
        <v>4813</v>
      </c>
      <c r="E4" s="152" t="s">
        <v>109</v>
      </c>
      <c r="F4" s="157" t="s">
        <v>323</v>
      </c>
      <c r="G4" s="154" t="str">
        <f>IFERROR(__xludf.DUMMYFUNCTION("if(REGEXMATCH(join("", "",$C4:$F4),G$1)=TRUE,""✓"",""✗"")"),"✓")</f>
        <v>✓</v>
      </c>
      <c r="H4" s="154" t="str">
        <f>IFERROR(__xludf.DUMMYFUNCTION("if(REGEXMATCH(join("", "",$C4:$F4),H$1)=TRUE,""✓"",""✗"")"),"✓")</f>
        <v>✓</v>
      </c>
      <c r="I4" s="154" t="str">
        <f>IFERROR(__xludf.DUMMYFUNCTION("if(REGEXMATCH(join("", "",$C4:$F4),I$1)=TRUE,""✓"",""✗"")"),"✗")</f>
        <v>✗</v>
      </c>
      <c r="J4" s="154" t="str">
        <f>IFERROR(__xludf.DUMMYFUNCTION("if(REGEXMATCH(join("", "",$C4:$F4),J$1)=TRUE,""✓"",""✗"")"),"✗")</f>
        <v>✗</v>
      </c>
      <c r="K4" s="154" t="str">
        <f>IFERROR(__xludf.DUMMYFUNCTION("if(REGEXMATCH(join("", "",$C4:$F4),K$1)=TRUE,""✓"",""✗"")"),"✗")</f>
        <v>✗</v>
      </c>
      <c r="L4" s="154" t="str">
        <f>IFERROR(__xludf.DUMMYFUNCTION("if(REGEXMATCH(join("", "",$C4:$F4),L$1)=TRUE,""✓"",""✗"")"),"✗")</f>
        <v>✗</v>
      </c>
      <c r="M4" s="154" t="str">
        <f>IFERROR(__xludf.DUMMYFUNCTION("if(REGEXMATCH(join("", "",$C4:$F4),M$1)=TRUE,""✓"",""✗"")"),"✗")</f>
        <v>✗</v>
      </c>
      <c r="N4" s="154" t="str">
        <f>IFERROR(__xludf.DUMMYFUNCTION("if(REGEXMATCH(join("", "",$C4:$F4),N$1)=TRUE,""✓"",""✗"")"),"✓")</f>
        <v>✓</v>
      </c>
      <c r="O4" s="154" t="str">
        <f>IFERROR(__xludf.DUMMYFUNCTION("if(REGEXMATCH(join("", "",$C4:$F4),O$1)=TRUE,""✓"",""✗"")"),"✓")</f>
        <v>✓</v>
      </c>
      <c r="P4" s="154" t="str">
        <f>IFERROR(__xludf.DUMMYFUNCTION("if(REGEXMATCH(join("", "",$C4:$F4),P$1)=TRUE,""✓"",""✗"")"),"✓")</f>
        <v>✓</v>
      </c>
      <c r="Q4" s="154" t="str">
        <f>IFERROR(__xludf.DUMMYFUNCTION("if(REGEXMATCH(join("", "",$C4:$F4),Q$1)=TRUE,""✓"",""✗"")"),"✗")</f>
        <v>✗</v>
      </c>
      <c r="R4" s="154" t="str">
        <f>IFERROR(__xludf.DUMMYFUNCTION("if(REGEXMATCH(join("", "",$C4:$F4),R$1)=TRUE,""✓"",""✗"")"),"✓")</f>
        <v>✓</v>
      </c>
      <c r="S4" s="154" t="str">
        <f>IFERROR(__xludf.DUMMYFUNCTION("if(REGEXMATCH(join("", "",$C4:$F4),S$1)=TRUE,""✓"",""✗"")"),"✗")</f>
        <v>✗</v>
      </c>
      <c r="T4" s="155"/>
      <c r="U4" s="155"/>
      <c r="V4" s="155"/>
      <c r="W4" s="155"/>
      <c r="X4" s="155"/>
      <c r="Y4" s="155"/>
      <c r="Z4" s="155"/>
      <c r="AA4" s="155"/>
      <c r="AB4" s="155"/>
    </row>
    <row r="5">
      <c r="A5" s="150">
        <v>4.0</v>
      </c>
      <c r="B5" s="151" t="str">
        <f t="shared" si="1"/>
        <v>Akelman et al., 2016</v>
      </c>
      <c r="C5" s="152"/>
      <c r="D5" s="156" t="s">
        <v>4860</v>
      </c>
      <c r="E5" s="152" t="s">
        <v>174</v>
      </c>
      <c r="F5" s="157" t="s">
        <v>317</v>
      </c>
      <c r="G5" s="154" t="str">
        <f>IFERROR(__xludf.DUMMYFUNCTION("if(REGEXMATCH(join("", "",$C5:$F5),G$1)=TRUE,""✓"",""✗"")"),"✗")</f>
        <v>✗</v>
      </c>
      <c r="H5" s="154" t="str">
        <f>IFERROR(__xludf.DUMMYFUNCTION("if(REGEXMATCH(join("", "",$C5:$F5),H$1)=TRUE,""✓"",""✗"")"),"✗")</f>
        <v>✗</v>
      </c>
      <c r="I5" s="154" t="str">
        <f>IFERROR(__xludf.DUMMYFUNCTION("if(REGEXMATCH(join("", "",$C5:$F5),I$1)=TRUE,""✓"",""✗"")"),"✗")</f>
        <v>✗</v>
      </c>
      <c r="J5" s="154" t="str">
        <f>IFERROR(__xludf.DUMMYFUNCTION("if(REGEXMATCH(join("", "",$C5:$F5),J$1)=TRUE,""✓"",""✗"")"),"✗")</f>
        <v>✗</v>
      </c>
      <c r="K5" s="154" t="str">
        <f>IFERROR(__xludf.DUMMYFUNCTION("if(REGEXMATCH(join("", "",$C5:$F5),K$1)=TRUE,""✓"",""✗"")"),"✗")</f>
        <v>✗</v>
      </c>
      <c r="L5" s="154" t="str">
        <f>IFERROR(__xludf.DUMMYFUNCTION("if(REGEXMATCH(join("", "",$C5:$F5),L$1)=TRUE,""✓"",""✗"")"),"✗")</f>
        <v>✗</v>
      </c>
      <c r="M5" s="154" t="str">
        <f>IFERROR(__xludf.DUMMYFUNCTION("if(REGEXMATCH(join("", "",$C5:$F5),M$1)=TRUE,""✓"",""✗"")"),"✗")</f>
        <v>✗</v>
      </c>
      <c r="N5" s="154" t="str">
        <f>IFERROR(__xludf.DUMMYFUNCTION("if(REGEXMATCH(join("", "",$C5:$F5),N$1)=TRUE,""✓"",""✗"")"),"✗")</f>
        <v>✗</v>
      </c>
      <c r="O5" s="154" t="str">
        <f>IFERROR(__xludf.DUMMYFUNCTION("if(REGEXMATCH(join("", "",$C5:$F5),O$1)=TRUE,""✓"",""✗"")"),"✗")</f>
        <v>✗</v>
      </c>
      <c r="P5" s="154" t="str">
        <f>IFERROR(__xludf.DUMMYFUNCTION("if(REGEXMATCH(join("", "",$C5:$F5),P$1)=TRUE,""✓"",""✗"")"),"✓")</f>
        <v>✓</v>
      </c>
      <c r="Q5" s="154" t="str">
        <f>IFERROR(__xludf.DUMMYFUNCTION("if(REGEXMATCH(join("", "",$C5:$F5),Q$1)=TRUE,""✓"",""✗"")"),"✗")</f>
        <v>✗</v>
      </c>
      <c r="R5" s="154" t="str">
        <f>IFERROR(__xludf.DUMMYFUNCTION("if(REGEXMATCH(join("", "",$C5:$F5),R$1)=TRUE,""✓"",""✗"")"),"✗")</f>
        <v>✗</v>
      </c>
      <c r="S5" s="154" t="str">
        <f>IFERROR(__xludf.DUMMYFUNCTION("if(REGEXMATCH(join("", "",$C5:$F5),S$1)=TRUE,""✓"",""✗"")"),"✗")</f>
        <v>✗</v>
      </c>
      <c r="T5" s="155"/>
      <c r="U5" s="155"/>
      <c r="V5" s="155"/>
      <c r="W5" s="155"/>
      <c r="X5" s="155"/>
      <c r="Y5" s="155"/>
      <c r="Z5" s="155"/>
      <c r="AA5" s="155"/>
      <c r="AB5" s="155"/>
    </row>
    <row r="6">
      <c r="A6" s="150">
        <v>5.0</v>
      </c>
      <c r="B6" s="151" t="str">
        <f t="shared" si="1"/>
        <v>Anderson et al., 2001</v>
      </c>
      <c r="C6" s="152" t="s">
        <v>321</v>
      </c>
      <c r="D6" s="156" t="s">
        <v>4903</v>
      </c>
      <c r="E6" s="152" t="s">
        <v>109</v>
      </c>
      <c r="F6" s="157" t="s">
        <v>324</v>
      </c>
      <c r="G6" s="154" t="str">
        <f>IFERROR(__xludf.DUMMYFUNCTION("if(REGEXMATCH(join("", "",$C6:$F6),G$1)=TRUE,""✓"",""✗"")"),"✓")</f>
        <v>✓</v>
      </c>
      <c r="H6" s="154" t="str">
        <f>IFERROR(__xludf.DUMMYFUNCTION("if(REGEXMATCH(join("", "",$C6:$F6),H$1)=TRUE,""✓"",""✗"")"),"✓")</f>
        <v>✓</v>
      </c>
      <c r="I6" s="154" t="str">
        <f>IFERROR(__xludf.DUMMYFUNCTION("if(REGEXMATCH(join("", "",$C6:$F6),I$1)=TRUE,""✓"",""✗"")"),"✗")</f>
        <v>✗</v>
      </c>
      <c r="J6" s="154" t="str">
        <f>IFERROR(__xludf.DUMMYFUNCTION("if(REGEXMATCH(join("", "",$C6:$F6),J$1)=TRUE,""✓"",""✗"")"),"✗")</f>
        <v>✗</v>
      </c>
      <c r="K6" s="154" t="str">
        <f>IFERROR(__xludf.DUMMYFUNCTION("if(REGEXMATCH(join("", "",$C6:$F6),K$1)=TRUE,""✓"",""✗"")"),"✗")</f>
        <v>✗</v>
      </c>
      <c r="L6" s="154" t="str">
        <f>IFERROR(__xludf.DUMMYFUNCTION("if(REGEXMATCH(join("", "",$C6:$F6),L$1)=TRUE,""✓"",""✗"")"),"✗")</f>
        <v>✗</v>
      </c>
      <c r="M6" s="154" t="str">
        <f>IFERROR(__xludf.DUMMYFUNCTION("if(REGEXMATCH(join("", "",$C6:$F6),M$1)=TRUE,""✓"",""✗"")"),"✓")</f>
        <v>✓</v>
      </c>
      <c r="N6" s="154" t="str">
        <f>IFERROR(__xludf.DUMMYFUNCTION("if(REGEXMATCH(join("", "",$C6:$F6),N$1)=TRUE,""✓"",""✗"")"),"✗")</f>
        <v>✗</v>
      </c>
      <c r="O6" s="154" t="str">
        <f>IFERROR(__xludf.DUMMYFUNCTION("if(REGEXMATCH(join("", "",$C6:$F6),O$1)=TRUE,""✓"",""✗"")"),"✗")</f>
        <v>✗</v>
      </c>
      <c r="P6" s="154" t="str">
        <f>IFERROR(__xludf.DUMMYFUNCTION("if(REGEXMATCH(join("", "",$C6:$F6),P$1)=TRUE,""✓"",""✗"")"),"✓")</f>
        <v>✓</v>
      </c>
      <c r="Q6" s="154" t="str">
        <f>IFERROR(__xludf.DUMMYFUNCTION("if(REGEXMATCH(join("", "",$C6:$F6),Q$1)=TRUE,""✓"",""✗"")"),"✓")</f>
        <v>✓</v>
      </c>
      <c r="R6" s="154" t="str">
        <f>IFERROR(__xludf.DUMMYFUNCTION("if(REGEXMATCH(join("", "",$C6:$F6),R$1)=TRUE,""✓"",""✗"")"),"✗")</f>
        <v>✗</v>
      </c>
      <c r="S6" s="154" t="str">
        <f>IFERROR(__xludf.DUMMYFUNCTION("if(REGEXMATCH(join("", "",$C6:$F6),S$1)=TRUE,""✓"",""✗"")"),"✗")</f>
        <v>✗</v>
      </c>
      <c r="T6" s="155"/>
      <c r="U6" s="155"/>
      <c r="V6" s="155"/>
      <c r="W6" s="155"/>
      <c r="X6" s="155"/>
      <c r="Y6" s="155"/>
      <c r="Z6" s="155"/>
      <c r="AA6" s="155"/>
      <c r="AB6" s="155"/>
    </row>
    <row r="7">
      <c r="A7" s="150">
        <v>6.0</v>
      </c>
      <c r="B7" s="151" t="str">
        <f t="shared" si="1"/>
        <v>Anz et al., 2023</v>
      </c>
      <c r="C7" s="152" t="s">
        <v>321</v>
      </c>
      <c r="D7" s="156" t="s">
        <v>4950</v>
      </c>
      <c r="E7" s="152" t="s">
        <v>109</v>
      </c>
      <c r="F7" s="157" t="s">
        <v>325</v>
      </c>
      <c r="G7" s="154" t="str">
        <f>IFERROR(__xludf.DUMMYFUNCTION("if(REGEXMATCH(join("", "",$C7:$F7),G$1)=TRUE,""✓"",""✗"")"),"✓")</f>
        <v>✓</v>
      </c>
      <c r="H7" s="154" t="str">
        <f>IFERROR(__xludf.DUMMYFUNCTION("if(REGEXMATCH(join("", "",$C7:$F7),H$1)=TRUE,""✓"",""✗"")"),"✓")</f>
        <v>✓</v>
      </c>
      <c r="I7" s="154" t="str">
        <f>IFERROR(__xludf.DUMMYFUNCTION("if(REGEXMATCH(join("", "",$C7:$F7),I$1)=TRUE,""✓"",""✗"")"),"✗")</f>
        <v>✗</v>
      </c>
      <c r="J7" s="154" t="str">
        <f>IFERROR(__xludf.DUMMYFUNCTION("if(REGEXMATCH(join("", "",$C7:$F7),J$1)=TRUE,""✓"",""✗"")"),"✗")</f>
        <v>✗</v>
      </c>
      <c r="K7" s="154" t="str">
        <f>IFERROR(__xludf.DUMMYFUNCTION("if(REGEXMATCH(join("", "",$C7:$F7),K$1)=TRUE,""✓"",""✗"")"),"✗")</f>
        <v>✗</v>
      </c>
      <c r="L7" s="154" t="str">
        <f>IFERROR(__xludf.DUMMYFUNCTION("if(REGEXMATCH(join("", "",$C7:$F7),L$1)=TRUE,""✓"",""✗"")"),"✗")</f>
        <v>✗</v>
      </c>
      <c r="M7" s="154" t="str">
        <f>IFERROR(__xludf.DUMMYFUNCTION("if(REGEXMATCH(join("", "",$C7:$F7),M$1)=TRUE,""✓"",""✗"")"),"✗")</f>
        <v>✗</v>
      </c>
      <c r="N7" s="154" t="str">
        <f>IFERROR(__xludf.DUMMYFUNCTION("if(REGEXMATCH(join("", "",$C7:$F7),N$1)=TRUE,""✓"",""✗"")"),"✗")</f>
        <v>✗</v>
      </c>
      <c r="O7" s="154" t="str">
        <f>IFERROR(__xludf.DUMMYFUNCTION("if(REGEXMATCH(join("", "",$C7:$F7),O$1)=TRUE,""✓"",""✗"")"),"✗")</f>
        <v>✗</v>
      </c>
      <c r="P7" s="154" t="str">
        <f>IFERROR(__xludf.DUMMYFUNCTION("if(REGEXMATCH(join("", "",$C7:$F7),P$1)=TRUE,""✓"",""✗"")"),"✗")</f>
        <v>✗</v>
      </c>
      <c r="Q7" s="154" t="str">
        <f>IFERROR(__xludf.DUMMYFUNCTION("if(REGEXMATCH(join("", "",$C7:$F7),Q$1)=TRUE,""✓"",""✗"")"),"✗")</f>
        <v>✗</v>
      </c>
      <c r="R7" s="154" t="str">
        <f>IFERROR(__xludf.DUMMYFUNCTION("if(REGEXMATCH(join("", "",$C7:$F7),R$1)=TRUE,""✓"",""✗"")"),"✗")</f>
        <v>✗</v>
      </c>
      <c r="S7" s="154" t="str">
        <f>IFERROR(__xludf.DUMMYFUNCTION("if(REGEXMATCH(join("", "",$C7:$F7),S$1)=TRUE,""✓"",""✗"")"),"✓")</f>
        <v>✓</v>
      </c>
      <c r="T7" s="155"/>
      <c r="U7" s="155"/>
      <c r="V7" s="155"/>
      <c r="W7" s="155"/>
      <c r="X7" s="155"/>
      <c r="Y7" s="155"/>
      <c r="Z7" s="155"/>
      <c r="AA7" s="155"/>
      <c r="AB7" s="155"/>
    </row>
    <row r="8">
      <c r="A8" s="150">
        <v>7.0</v>
      </c>
      <c r="B8" s="151" t="str">
        <f t="shared" si="1"/>
        <v>Aune et al., 2001</v>
      </c>
      <c r="C8" s="152" t="s">
        <v>321</v>
      </c>
      <c r="D8" s="156" t="s">
        <v>4970</v>
      </c>
      <c r="E8" s="152" t="s">
        <v>109</v>
      </c>
      <c r="F8" s="157" t="s">
        <v>317</v>
      </c>
      <c r="G8" s="154" t="str">
        <f>IFERROR(__xludf.DUMMYFUNCTION("if(REGEXMATCH(join("", "",$C8:$F8),G$1)=TRUE,""✓"",""✗"")"),"✓")</f>
        <v>✓</v>
      </c>
      <c r="H8" s="154" t="str">
        <f>IFERROR(__xludf.DUMMYFUNCTION("if(REGEXMATCH(join("", "",$C8:$F8),H$1)=TRUE,""✓"",""✗"")"),"✓")</f>
        <v>✓</v>
      </c>
      <c r="I8" s="154" t="str">
        <f>IFERROR(__xludf.DUMMYFUNCTION("if(REGEXMATCH(join("", "",$C8:$F8),I$1)=TRUE,""✓"",""✗"")"),"✗")</f>
        <v>✗</v>
      </c>
      <c r="J8" s="154" t="str">
        <f>IFERROR(__xludf.DUMMYFUNCTION("if(REGEXMATCH(join("", "",$C8:$F8),J$1)=TRUE,""✓"",""✗"")"),"✗")</f>
        <v>✗</v>
      </c>
      <c r="K8" s="154" t="str">
        <f>IFERROR(__xludf.DUMMYFUNCTION("if(REGEXMATCH(join("", "",$C8:$F8),K$1)=TRUE,""✓"",""✗"")"),"✗")</f>
        <v>✗</v>
      </c>
      <c r="L8" s="154" t="str">
        <f>IFERROR(__xludf.DUMMYFUNCTION("if(REGEXMATCH(join("", "",$C8:$F8),L$1)=TRUE,""✓"",""✗"")"),"✗")</f>
        <v>✗</v>
      </c>
      <c r="M8" s="154" t="str">
        <f>IFERROR(__xludf.DUMMYFUNCTION("if(REGEXMATCH(join("", "",$C8:$F8),M$1)=TRUE,""✓"",""✗"")"),"✗")</f>
        <v>✗</v>
      </c>
      <c r="N8" s="154" t="str">
        <f>IFERROR(__xludf.DUMMYFUNCTION("if(REGEXMATCH(join("", "",$C8:$F8),N$1)=TRUE,""✓"",""✗"")"),"✗")</f>
        <v>✗</v>
      </c>
      <c r="O8" s="154" t="str">
        <f>IFERROR(__xludf.DUMMYFUNCTION("if(REGEXMATCH(join("", "",$C8:$F8),O$1)=TRUE,""✓"",""✗"")"),"✗")</f>
        <v>✗</v>
      </c>
      <c r="P8" s="154" t="str">
        <f>IFERROR(__xludf.DUMMYFUNCTION("if(REGEXMATCH(join("", "",$C8:$F8),P$1)=TRUE,""✓"",""✗"")"),"✓")</f>
        <v>✓</v>
      </c>
      <c r="Q8" s="154" t="str">
        <f>IFERROR(__xludf.DUMMYFUNCTION("if(REGEXMATCH(join("", "",$C8:$F8),Q$1)=TRUE,""✓"",""✗"")"),"✗")</f>
        <v>✗</v>
      </c>
      <c r="R8" s="154" t="str">
        <f>IFERROR(__xludf.DUMMYFUNCTION("if(REGEXMATCH(join("", "",$C8:$F8),R$1)=TRUE,""✓"",""✗"")"),"✗")</f>
        <v>✗</v>
      </c>
      <c r="S8" s="154" t="str">
        <f>IFERROR(__xludf.DUMMYFUNCTION("if(REGEXMATCH(join("", "",$C8:$F8),S$1)=TRUE,""✓"",""✗"")"),"✗")</f>
        <v>✗</v>
      </c>
      <c r="T8" s="155"/>
      <c r="U8" s="155"/>
      <c r="V8" s="155"/>
      <c r="W8" s="155"/>
      <c r="X8" s="155"/>
      <c r="Y8" s="155"/>
      <c r="Z8" s="155"/>
      <c r="AA8" s="155"/>
      <c r="AB8" s="155"/>
    </row>
    <row r="9" outlineLevel="1">
      <c r="A9" s="150">
        <v>8.0</v>
      </c>
      <c r="B9" s="151" t="str">
        <f t="shared" si="1"/>
        <v>Barenius et al., 2010</v>
      </c>
      <c r="C9" s="152" t="s">
        <v>321</v>
      </c>
      <c r="D9" s="156" t="s">
        <v>4971</v>
      </c>
      <c r="E9" s="152" t="s">
        <v>109</v>
      </c>
      <c r="F9" s="157" t="s">
        <v>326</v>
      </c>
      <c r="G9" s="154" t="str">
        <f>IFERROR(__xludf.DUMMYFUNCTION("if(REGEXMATCH(join("", "",$C9:$F9),G$1)=TRUE,""✓"",""✗"")"),"✓")</f>
        <v>✓</v>
      </c>
      <c r="H9" s="154" t="str">
        <f>IFERROR(__xludf.DUMMYFUNCTION("if(REGEXMATCH(join("", "",$C9:$F9),H$1)=TRUE,""✓"",""✗"")"),"✓")</f>
        <v>✓</v>
      </c>
      <c r="I9" s="154" t="str">
        <f>IFERROR(__xludf.DUMMYFUNCTION("if(REGEXMATCH(join("", "",$C9:$F9),I$1)=TRUE,""✓"",""✗"")"),"✗")</f>
        <v>✗</v>
      </c>
      <c r="J9" s="154" t="str">
        <f>IFERROR(__xludf.DUMMYFUNCTION("if(REGEXMATCH(join("", "",$C9:$F9),J$1)=TRUE,""✓"",""✗"")"),"✗")</f>
        <v>✗</v>
      </c>
      <c r="K9" s="154" t="str">
        <f>IFERROR(__xludf.DUMMYFUNCTION("if(REGEXMATCH(join("", "",$C9:$F9),K$1)=TRUE,""✓"",""✗"")"),"✗")</f>
        <v>✗</v>
      </c>
      <c r="L9" s="154" t="str">
        <f>IFERROR(__xludf.DUMMYFUNCTION("if(REGEXMATCH(join("", "",$C9:$F9),L$1)=TRUE,""✓"",""✗"")"),"✗")</f>
        <v>✗</v>
      </c>
      <c r="M9" s="154" t="str">
        <f>IFERROR(__xludf.DUMMYFUNCTION("if(REGEXMATCH(join("", "",$C9:$F9),M$1)=TRUE,""✓"",""✗"")"),"✓")</f>
        <v>✓</v>
      </c>
      <c r="N9" s="154" t="str">
        <f>IFERROR(__xludf.DUMMYFUNCTION("if(REGEXMATCH(join("", "",$C9:$F9),N$1)=TRUE,""✓"",""✗"")"),"✓")</f>
        <v>✓</v>
      </c>
      <c r="O9" s="154" t="str">
        <f>IFERROR(__xludf.DUMMYFUNCTION("if(REGEXMATCH(join("", "",$C9:$F9),O$1)=TRUE,""✓"",""✗"")"),"✗")</f>
        <v>✗</v>
      </c>
      <c r="P9" s="154" t="str">
        <f>IFERROR(__xludf.DUMMYFUNCTION("if(REGEXMATCH(join("", "",$C9:$F9),P$1)=TRUE,""✓"",""✗"")"),"✓")</f>
        <v>✓</v>
      </c>
      <c r="Q9" s="154" t="str">
        <f>IFERROR(__xludf.DUMMYFUNCTION("if(REGEXMATCH(join("", "",$C9:$F9),Q$1)=TRUE,""✓"",""✗"")"),"✓")</f>
        <v>✓</v>
      </c>
      <c r="R9" s="154" t="str">
        <f>IFERROR(__xludf.DUMMYFUNCTION("if(REGEXMATCH(join("", "",$C9:$F9),R$1)=TRUE,""✓"",""✗"")"),"✓")</f>
        <v>✓</v>
      </c>
      <c r="S9" s="154" t="str">
        <f>IFERROR(__xludf.DUMMYFUNCTION("if(REGEXMATCH(join("", "",$C9:$F9),S$1)=TRUE,""✓"",""✗"")"),"✗")</f>
        <v>✗</v>
      </c>
      <c r="T9" s="155"/>
      <c r="U9" s="155"/>
      <c r="V9" s="155"/>
      <c r="W9" s="155"/>
      <c r="X9" s="155"/>
      <c r="Y9" s="155"/>
      <c r="Z9" s="155"/>
      <c r="AA9" s="155"/>
      <c r="AB9" s="155"/>
    </row>
    <row r="10">
      <c r="A10" s="150">
        <v>9.0</v>
      </c>
      <c r="B10" s="151" t="str">
        <f t="shared" si="1"/>
        <v>Barenius et al., 2014</v>
      </c>
      <c r="C10" s="152"/>
      <c r="D10" s="156" t="s">
        <v>4972</v>
      </c>
      <c r="E10" s="152" t="s">
        <v>174</v>
      </c>
      <c r="F10" s="152" t="s">
        <v>4973</v>
      </c>
      <c r="G10" s="154" t="str">
        <f>IFERROR(__xludf.DUMMYFUNCTION("if(REGEXMATCH(join("", "",$C10:$F10),G$1)=TRUE,""✓"",""✗"")"),"✗")</f>
        <v>✗</v>
      </c>
      <c r="H10" s="154" t="str">
        <f>IFERROR(__xludf.DUMMYFUNCTION("if(REGEXMATCH(join("", "",$C10:$F10),H$1)=TRUE,""✓"",""✗"")"),"✗")</f>
        <v>✗</v>
      </c>
      <c r="I10" s="154" t="str">
        <f>IFERROR(__xludf.DUMMYFUNCTION("if(REGEXMATCH(join("", "",$C10:$F10),I$1)=TRUE,""✓"",""✗"")"),"✗")</f>
        <v>✗</v>
      </c>
      <c r="J10" s="154" t="str">
        <f>IFERROR(__xludf.DUMMYFUNCTION("if(REGEXMATCH(join("", "",$C10:$F10),J$1)=TRUE,""✓"",""✗"")"),"✗")</f>
        <v>✗</v>
      </c>
      <c r="K10" s="154" t="str">
        <f>IFERROR(__xludf.DUMMYFUNCTION("if(REGEXMATCH(join("", "",$C10:$F10),K$1)=TRUE,""✓"",""✗"")"),"✗")</f>
        <v>✗</v>
      </c>
      <c r="L10" s="154" t="str">
        <f>IFERROR(__xludf.DUMMYFUNCTION("if(REGEXMATCH(join("", "",$C10:$F10),L$1)=TRUE,""✓"",""✗"")"),"✗")</f>
        <v>✗</v>
      </c>
      <c r="M10" s="154" t="str">
        <f>IFERROR(__xludf.DUMMYFUNCTION("if(REGEXMATCH(join("", "",$C10:$F10),M$1)=TRUE,""✓"",""✗"")"),"✗")</f>
        <v>✗</v>
      </c>
      <c r="N10" s="154" t="str">
        <f>IFERROR(__xludf.DUMMYFUNCTION("if(REGEXMATCH(join("", "",$C10:$F10),N$1)=TRUE,""✓"",""✗"")"),"✗")</f>
        <v>✗</v>
      </c>
      <c r="O10" s="154" t="str">
        <f>IFERROR(__xludf.DUMMYFUNCTION("if(REGEXMATCH(join("", "",$C10:$F10),O$1)=TRUE,""✓"",""✗"")"),"✗")</f>
        <v>✗</v>
      </c>
      <c r="P10" s="154" t="str">
        <f>IFERROR(__xludf.DUMMYFUNCTION("if(REGEXMATCH(join("", "",$C10:$F10),P$1)=TRUE,""✓"",""✗"")"),"✗")</f>
        <v>✗</v>
      </c>
      <c r="Q10" s="154" t="str">
        <f>IFERROR(__xludf.DUMMYFUNCTION("if(REGEXMATCH(join("", "",$C10:$F10),Q$1)=TRUE,""✓"",""✗"")"),"✗")</f>
        <v>✗</v>
      </c>
      <c r="R10" s="154" t="str">
        <f>IFERROR(__xludf.DUMMYFUNCTION("if(REGEXMATCH(join("", "",$C10:$F10),R$1)=TRUE,""✓"",""✗"")"),"✗")</f>
        <v>✗</v>
      </c>
      <c r="S10" s="154" t="str">
        <f>IFERROR(__xludf.DUMMYFUNCTION("if(REGEXMATCH(join("", "",$C10:$F10),S$1)=TRUE,""✓"",""✗"")"),"✗")</f>
        <v>✗</v>
      </c>
      <c r="T10" s="155"/>
      <c r="U10" s="155"/>
      <c r="V10" s="155"/>
      <c r="W10" s="155"/>
      <c r="X10" s="155"/>
      <c r="Y10" s="155"/>
      <c r="Z10" s="155"/>
      <c r="AA10" s="155"/>
      <c r="AB10" s="155"/>
    </row>
    <row r="11">
      <c r="A11" s="150">
        <v>10.0</v>
      </c>
      <c r="B11" s="151" t="str">
        <f t="shared" si="1"/>
        <v>Barié et al., 2020</v>
      </c>
      <c r="C11" s="157" t="s">
        <v>328</v>
      </c>
      <c r="D11" s="156" t="s">
        <v>4974</v>
      </c>
      <c r="E11" s="152" t="s">
        <v>109</v>
      </c>
      <c r="F11" s="157" t="s">
        <v>327</v>
      </c>
      <c r="G11" s="154" t="str">
        <f>IFERROR(__xludf.DUMMYFUNCTION("if(REGEXMATCH(join("", "",$C11:$F11),G$1)=TRUE,""✓"",""✗"")"),"✓")</f>
        <v>✓</v>
      </c>
      <c r="H11" s="154" t="str">
        <f>IFERROR(__xludf.DUMMYFUNCTION("if(REGEXMATCH(join("", "",$C11:$F11),H$1)=TRUE,""✓"",""✗"")"),"✗")</f>
        <v>✗</v>
      </c>
      <c r="I11" s="154" t="str">
        <f>IFERROR(__xludf.DUMMYFUNCTION("if(REGEXMATCH(join("", "",$C11:$F11),I$1)=TRUE,""✓"",""✗"")"),"✓")</f>
        <v>✓</v>
      </c>
      <c r="J11" s="154" t="str">
        <f>IFERROR(__xludf.DUMMYFUNCTION("if(REGEXMATCH(join("", "",$C11:$F11),J$1)=TRUE,""✓"",""✗"")"),"✗")</f>
        <v>✗</v>
      </c>
      <c r="K11" s="154" t="str">
        <f>IFERROR(__xludf.DUMMYFUNCTION("if(REGEXMATCH(join("", "",$C11:$F11),K$1)=TRUE,""✓"",""✗"")"),"✗")</f>
        <v>✗</v>
      </c>
      <c r="L11" s="154" t="str">
        <f>IFERROR(__xludf.DUMMYFUNCTION("if(REGEXMATCH(join("", "",$C11:$F11),L$1)=TRUE,""✓"",""✗"")"),"✗")</f>
        <v>✗</v>
      </c>
      <c r="M11" s="154" t="str">
        <f>IFERROR(__xludf.DUMMYFUNCTION("if(REGEXMATCH(join("", "",$C11:$F11),M$1)=TRUE,""✓"",""✗"")"),"✓")</f>
        <v>✓</v>
      </c>
      <c r="N11" s="154" t="str">
        <f>IFERROR(__xludf.DUMMYFUNCTION("if(REGEXMATCH(join("", "",$C11:$F11),N$1)=TRUE,""✓"",""✗"")"),"✓")</f>
        <v>✓</v>
      </c>
      <c r="O11" s="154" t="str">
        <f>IFERROR(__xludf.DUMMYFUNCTION("if(REGEXMATCH(join("", "",$C11:$F11),O$1)=TRUE,""✓"",""✗"")"),"✓")</f>
        <v>✓</v>
      </c>
      <c r="P11" s="154" t="str">
        <f>IFERROR(__xludf.DUMMYFUNCTION("if(REGEXMATCH(join("", "",$C11:$F11),P$1)=TRUE,""✓"",""✗"")"),"✓")</f>
        <v>✓</v>
      </c>
      <c r="Q11" s="154" t="str">
        <f>IFERROR(__xludf.DUMMYFUNCTION("if(REGEXMATCH(join("", "",$C11:$F11),Q$1)=TRUE,""✓"",""✗"")"),"✗")</f>
        <v>✗</v>
      </c>
      <c r="R11" s="154" t="str">
        <f>IFERROR(__xludf.DUMMYFUNCTION("if(REGEXMATCH(join("", "",$C11:$F11),R$1)=TRUE,""✓"",""✗"")"),"✗")</f>
        <v>✗</v>
      </c>
      <c r="S11" s="154" t="str">
        <f>IFERROR(__xludf.DUMMYFUNCTION("if(REGEXMATCH(join("", "",$C11:$F11),S$1)=TRUE,""✓"",""✗"")"),"✓")</f>
        <v>✓</v>
      </c>
      <c r="T11" s="155"/>
      <c r="U11" s="155"/>
      <c r="V11" s="155"/>
      <c r="W11" s="155"/>
      <c r="X11" s="155"/>
      <c r="Y11" s="155"/>
      <c r="Z11" s="155"/>
      <c r="AA11" s="155"/>
      <c r="AB11" s="155"/>
    </row>
    <row r="12">
      <c r="A12" s="150">
        <v>11.0</v>
      </c>
      <c r="B12" s="151" t="str">
        <f t="shared" si="1"/>
        <v>Beynnon et al., 2002</v>
      </c>
      <c r="C12" s="152" t="s">
        <v>321</v>
      </c>
      <c r="D12" s="156" t="s">
        <v>4975</v>
      </c>
      <c r="E12" s="152" t="s">
        <v>109</v>
      </c>
      <c r="F12" s="157" t="s">
        <v>329</v>
      </c>
      <c r="G12" s="154" t="str">
        <f>IFERROR(__xludf.DUMMYFUNCTION("if(REGEXMATCH(join("", "",$C12:$F12),G$1)=TRUE,""✓"",""✗"")"),"✓")</f>
        <v>✓</v>
      </c>
      <c r="H12" s="154" t="str">
        <f>IFERROR(__xludf.DUMMYFUNCTION("if(REGEXMATCH(join("", "",$C12:$F12),H$1)=TRUE,""✓"",""✗"")"),"✓")</f>
        <v>✓</v>
      </c>
      <c r="I12" s="154" t="str">
        <f>IFERROR(__xludf.DUMMYFUNCTION("if(REGEXMATCH(join("", "",$C12:$F12),I$1)=TRUE,""✓"",""✗"")"),"✗")</f>
        <v>✗</v>
      </c>
      <c r="J12" s="154" t="str">
        <f>IFERROR(__xludf.DUMMYFUNCTION("if(REGEXMATCH(join("", "",$C12:$F12),J$1)=TRUE,""✓"",""✗"")"),"✗")</f>
        <v>✗</v>
      </c>
      <c r="K12" s="154" t="str">
        <f>IFERROR(__xludf.DUMMYFUNCTION("if(REGEXMATCH(join("", "",$C12:$F12),K$1)=TRUE,""✓"",""✗"")"),"✗")</f>
        <v>✗</v>
      </c>
      <c r="L12" s="154" t="str">
        <f>IFERROR(__xludf.DUMMYFUNCTION("if(REGEXMATCH(join("", "",$C12:$F12),L$1)=TRUE,""✓"",""✗"")"),"✗")</f>
        <v>✗</v>
      </c>
      <c r="M12" s="154" t="str">
        <f>IFERROR(__xludf.DUMMYFUNCTION("if(REGEXMATCH(join("", "",$C12:$F12),M$1)=TRUE,""✓"",""✗"")"),"✓")</f>
        <v>✓</v>
      </c>
      <c r="N12" s="154" t="str">
        <f>IFERROR(__xludf.DUMMYFUNCTION("if(REGEXMATCH(join("", "",$C12:$F12),N$1)=TRUE,""✓"",""✗"")"),"✗")</f>
        <v>✗</v>
      </c>
      <c r="O12" s="154" t="str">
        <f>IFERROR(__xludf.DUMMYFUNCTION("if(REGEXMATCH(join("", "",$C12:$F12),O$1)=TRUE,""✓"",""✗"")"),"✓")</f>
        <v>✓</v>
      </c>
      <c r="P12" s="154" t="str">
        <f>IFERROR(__xludf.DUMMYFUNCTION("if(REGEXMATCH(join("", "",$C12:$F12),P$1)=TRUE,""✓"",""✗"")"),"✓")</f>
        <v>✓</v>
      </c>
      <c r="Q12" s="154" t="str">
        <f>IFERROR(__xludf.DUMMYFUNCTION("if(REGEXMATCH(join("", "",$C12:$F12),Q$1)=TRUE,""✓"",""✗"")"),"✓")</f>
        <v>✓</v>
      </c>
      <c r="R12" s="154" t="str">
        <f>IFERROR(__xludf.DUMMYFUNCTION("if(REGEXMATCH(join("", "",$C12:$F12),R$1)=TRUE,""✓"",""✗"")"),"✓")</f>
        <v>✓</v>
      </c>
      <c r="S12" s="154" t="str">
        <f>IFERROR(__xludf.DUMMYFUNCTION("if(REGEXMATCH(join("", "",$C12:$F12),S$1)=TRUE,""✓"",""✗"")"),"✗")</f>
        <v>✗</v>
      </c>
      <c r="T12" s="155"/>
      <c r="U12" s="155"/>
      <c r="V12" s="155"/>
      <c r="W12" s="155"/>
      <c r="X12" s="155"/>
      <c r="Y12" s="155"/>
      <c r="Z12" s="155"/>
      <c r="AA12" s="155"/>
      <c r="AB12" s="155"/>
    </row>
    <row r="13">
      <c r="A13" s="150">
        <v>12.0</v>
      </c>
      <c r="B13" s="151" t="str">
        <f t="shared" si="1"/>
        <v>Bi et al., 2018</v>
      </c>
      <c r="C13" s="157" t="s">
        <v>331</v>
      </c>
      <c r="D13" s="156" t="s">
        <v>4976</v>
      </c>
      <c r="E13" s="152" t="s">
        <v>109</v>
      </c>
      <c r="F13" s="157" t="s">
        <v>330</v>
      </c>
      <c r="G13" s="154" t="str">
        <f>IFERROR(__xludf.DUMMYFUNCTION("if(REGEXMATCH(join("", "",$C13:$F13),G$1)=TRUE,""✓"",""✗"")"),"✗")</f>
        <v>✗</v>
      </c>
      <c r="H13" s="154" t="str">
        <f>IFERROR(__xludf.DUMMYFUNCTION("if(REGEXMATCH(join("", "",$C13:$F13),H$1)=TRUE,""✓"",""✗"")"),"✓")</f>
        <v>✓</v>
      </c>
      <c r="I13" s="154" t="str">
        <f>IFERROR(__xludf.DUMMYFUNCTION("if(REGEXMATCH(join("", "",$C13:$F13),I$1)=TRUE,""✓"",""✗"")"),"✗")</f>
        <v>✗</v>
      </c>
      <c r="J13" s="154" t="str">
        <f>IFERROR(__xludf.DUMMYFUNCTION("if(REGEXMATCH(join("", "",$C13:$F13),J$1)=TRUE,""✓"",""✗"")"),"✓")</f>
        <v>✓</v>
      </c>
      <c r="K13" s="154" t="str">
        <f>IFERROR(__xludf.DUMMYFUNCTION("if(REGEXMATCH(join("", "",$C13:$F13),K$1)=TRUE,""✓"",""✗"")"),"✗")</f>
        <v>✗</v>
      </c>
      <c r="L13" s="154" t="str">
        <f>IFERROR(__xludf.DUMMYFUNCTION("if(REGEXMATCH(join("", "",$C13:$F13),L$1)=TRUE,""✓"",""✗"")"),"✗")</f>
        <v>✗</v>
      </c>
      <c r="M13" s="154" t="str">
        <f>IFERROR(__xludf.DUMMYFUNCTION("if(REGEXMATCH(join("", "",$C13:$F13),M$1)=TRUE,""✓"",""✗"")"),"✓")</f>
        <v>✓</v>
      </c>
      <c r="N13" s="154" t="str">
        <f>IFERROR(__xludf.DUMMYFUNCTION("if(REGEXMATCH(join("", "",$C13:$F13),N$1)=TRUE,""✓"",""✗"")"),"✗")</f>
        <v>✗</v>
      </c>
      <c r="O13" s="154" t="str">
        <f>IFERROR(__xludf.DUMMYFUNCTION("if(REGEXMATCH(join("", "",$C13:$F13),O$1)=TRUE,""✓"",""✗"")"),"✗")</f>
        <v>✗</v>
      </c>
      <c r="P13" s="154" t="str">
        <f>IFERROR(__xludf.DUMMYFUNCTION("if(REGEXMATCH(join("", "",$C13:$F13),P$1)=TRUE,""✓"",""✗"")"),"✓")</f>
        <v>✓</v>
      </c>
      <c r="Q13" s="154" t="str">
        <f>IFERROR(__xludf.DUMMYFUNCTION("if(REGEXMATCH(join("", "",$C13:$F13),Q$1)=TRUE,""✓"",""✗"")"),"✓")</f>
        <v>✓</v>
      </c>
      <c r="R13" s="154" t="str">
        <f>IFERROR(__xludf.DUMMYFUNCTION("if(REGEXMATCH(join("", "",$C13:$F13),R$1)=TRUE,""✓"",""✗"")"),"✗")</f>
        <v>✗</v>
      </c>
      <c r="S13" s="154" t="str">
        <f>IFERROR(__xludf.DUMMYFUNCTION("if(REGEXMATCH(join("", "",$C13:$F13),S$1)=TRUE,""✓"",""✗"")"),"✓")</f>
        <v>✓</v>
      </c>
      <c r="T13" s="155"/>
      <c r="U13" s="155"/>
      <c r="V13" s="155"/>
      <c r="W13" s="155"/>
      <c r="X13" s="155"/>
      <c r="Y13" s="155"/>
      <c r="Z13" s="155"/>
      <c r="AA13" s="155"/>
      <c r="AB13" s="155"/>
    </row>
    <row r="14">
      <c r="A14" s="150">
        <v>13.0</v>
      </c>
      <c r="B14" s="151" t="str">
        <f t="shared" si="1"/>
        <v>Björnsson et al., 2016</v>
      </c>
      <c r="C14" s="152" t="s">
        <v>321</v>
      </c>
      <c r="D14" s="156" t="s">
        <v>4977</v>
      </c>
      <c r="E14" s="152" t="s">
        <v>109</v>
      </c>
      <c r="F14" s="157" t="s">
        <v>332</v>
      </c>
      <c r="G14" s="154" t="str">
        <f>IFERROR(__xludf.DUMMYFUNCTION("if(REGEXMATCH(join("", "",$C14:$F14),G$1)=TRUE,""✓"",""✗"")"),"✓")</f>
        <v>✓</v>
      </c>
      <c r="H14" s="154" t="str">
        <f>IFERROR(__xludf.DUMMYFUNCTION("if(REGEXMATCH(join("", "",$C14:$F14),H$1)=TRUE,""✓"",""✗"")"),"✓")</f>
        <v>✓</v>
      </c>
      <c r="I14" s="154" t="str">
        <f>IFERROR(__xludf.DUMMYFUNCTION("if(REGEXMATCH(join("", "",$C14:$F14),I$1)=TRUE,""✓"",""✗"")"),"✗")</f>
        <v>✗</v>
      </c>
      <c r="J14" s="154" t="str">
        <f>IFERROR(__xludf.DUMMYFUNCTION("if(REGEXMATCH(join("", "",$C14:$F14),J$1)=TRUE,""✓"",""✗"")"),"✗")</f>
        <v>✗</v>
      </c>
      <c r="K14" s="154" t="str">
        <f>IFERROR(__xludf.DUMMYFUNCTION("if(REGEXMATCH(join("", "",$C14:$F14),K$1)=TRUE,""✓"",""✗"")"),"✗")</f>
        <v>✗</v>
      </c>
      <c r="L14" s="154" t="str">
        <f>IFERROR(__xludf.DUMMYFUNCTION("if(REGEXMATCH(join("", "",$C14:$F14),L$1)=TRUE,""✓"",""✗"")"),"✗")</f>
        <v>✗</v>
      </c>
      <c r="M14" s="154" t="str">
        <f>IFERROR(__xludf.DUMMYFUNCTION("if(REGEXMATCH(join("", "",$C14:$F14),M$1)=TRUE,""✓"",""✗"")"),"✓")</f>
        <v>✓</v>
      </c>
      <c r="N14" s="154" t="str">
        <f>IFERROR(__xludf.DUMMYFUNCTION("if(REGEXMATCH(join("", "",$C14:$F14),N$1)=TRUE,""✓"",""✗"")"),"✓")</f>
        <v>✓</v>
      </c>
      <c r="O14" s="154" t="str">
        <f>IFERROR(__xludf.DUMMYFUNCTION("if(REGEXMATCH(join("", "",$C14:$F14),O$1)=TRUE,""✓"",""✗"")"),"✓")</f>
        <v>✓</v>
      </c>
      <c r="P14" s="154" t="str">
        <f>IFERROR(__xludf.DUMMYFUNCTION("if(REGEXMATCH(join("", "",$C14:$F14),P$1)=TRUE,""✓"",""✗"")"),"✓")</f>
        <v>✓</v>
      </c>
      <c r="Q14" s="154" t="str">
        <f>IFERROR(__xludf.DUMMYFUNCTION("if(REGEXMATCH(join("", "",$C14:$F14),Q$1)=TRUE,""✓"",""✗"")"),"✗")</f>
        <v>✗</v>
      </c>
      <c r="R14" s="154" t="str">
        <f>IFERROR(__xludf.DUMMYFUNCTION("if(REGEXMATCH(join("", "",$C14:$F14),R$1)=TRUE,""✓"",""✗"")"),"✗")</f>
        <v>✗</v>
      </c>
      <c r="S14" s="154" t="str">
        <f>IFERROR(__xludf.DUMMYFUNCTION("if(REGEXMATCH(join("", "",$C14:$F14),S$1)=TRUE,""✓"",""✗"")"),"✗")</f>
        <v>✗</v>
      </c>
      <c r="T14" s="155"/>
      <c r="U14" s="155"/>
      <c r="V14" s="155"/>
      <c r="W14" s="155"/>
      <c r="X14" s="155"/>
      <c r="Y14" s="155"/>
      <c r="Z14" s="155"/>
      <c r="AA14" s="155"/>
      <c r="AB14" s="155"/>
    </row>
    <row r="15">
      <c r="A15" s="150">
        <v>14.0</v>
      </c>
      <c r="B15" s="151" t="str">
        <f t="shared" si="1"/>
        <v>Bottoni et al., 2015</v>
      </c>
      <c r="C15" s="157" t="s">
        <v>334</v>
      </c>
      <c r="D15" s="156" t="s">
        <v>4978</v>
      </c>
      <c r="E15" s="152" t="s">
        <v>109</v>
      </c>
      <c r="F15" s="157" t="s">
        <v>333</v>
      </c>
      <c r="G15" s="154" t="str">
        <f>IFERROR(__xludf.DUMMYFUNCTION("if(REGEXMATCH(join("", "",$C15:$F15),G$1)=TRUE,""✓"",""✗"")"),"✗")</f>
        <v>✗</v>
      </c>
      <c r="H15" s="154" t="str">
        <f>IFERROR(__xludf.DUMMYFUNCTION("if(REGEXMATCH(join("", "",$C15:$F15),H$1)=TRUE,""✓"",""✗"")"),"✓")</f>
        <v>✓</v>
      </c>
      <c r="I15" s="154" t="str">
        <f>IFERROR(__xludf.DUMMYFUNCTION("if(REGEXMATCH(join("", "",$C15:$F15),I$1)=TRUE,""✓"",""✗"")"),"✗")</f>
        <v>✗</v>
      </c>
      <c r="J15" s="154" t="str">
        <f>IFERROR(__xludf.DUMMYFUNCTION("if(REGEXMATCH(join("", "",$C15:$F15),J$1)=TRUE,""✓"",""✗"")"),"✗")</f>
        <v>✗</v>
      </c>
      <c r="K15" s="154" t="str">
        <f>IFERROR(__xludf.DUMMYFUNCTION("if(REGEXMATCH(join("", "",$C15:$F15),K$1)=TRUE,""✓"",""✗"")"),"✗")</f>
        <v>✗</v>
      </c>
      <c r="L15" s="154" t="str">
        <f>IFERROR(__xludf.DUMMYFUNCTION("if(REGEXMATCH(join("", "",$C15:$F15),L$1)=TRUE,""✓"",""✗"")"),"✓")</f>
        <v>✓</v>
      </c>
      <c r="M15" s="154" t="str">
        <f>IFERROR(__xludf.DUMMYFUNCTION("if(REGEXMATCH(join("", "",$C15:$F15),M$1)=TRUE,""✓"",""✗"")"),"✓")</f>
        <v>✓</v>
      </c>
      <c r="N15" s="154" t="str">
        <f>IFERROR(__xludf.DUMMYFUNCTION("if(REGEXMATCH(join("", "",$C15:$F15),N$1)=TRUE,""✓"",""✗"")"),"✗")</f>
        <v>✗</v>
      </c>
      <c r="O15" s="154" t="str">
        <f>IFERROR(__xludf.DUMMYFUNCTION("if(REGEXMATCH(join("", "",$C15:$F15),O$1)=TRUE,""✓"",""✗"")"),"✓")</f>
        <v>✓</v>
      </c>
      <c r="P15" s="154" t="str">
        <f>IFERROR(__xludf.DUMMYFUNCTION("if(REGEXMATCH(join("", "",$C15:$F15),P$1)=TRUE,""✓"",""✗"")"),"✗")</f>
        <v>✗</v>
      </c>
      <c r="Q15" s="154" t="str">
        <f>IFERROR(__xludf.DUMMYFUNCTION("if(REGEXMATCH(join("", "",$C15:$F15),Q$1)=TRUE,""✓"",""✗"")"),"✗")</f>
        <v>✗</v>
      </c>
      <c r="R15" s="154" t="str">
        <f>IFERROR(__xludf.DUMMYFUNCTION("if(REGEXMATCH(join("", "",$C15:$F15),R$1)=TRUE,""✓"",""✗"")"),"✗")</f>
        <v>✗</v>
      </c>
      <c r="S15" s="154" t="str">
        <f>IFERROR(__xludf.DUMMYFUNCTION("if(REGEXMATCH(join("", "",$C15:$F15),S$1)=TRUE,""✓"",""✗"")"),"✗")</f>
        <v>✗</v>
      </c>
      <c r="T15" s="155"/>
      <c r="U15" s="155"/>
      <c r="V15" s="155"/>
      <c r="W15" s="155"/>
      <c r="X15" s="155"/>
      <c r="Y15" s="155"/>
      <c r="Z15" s="155"/>
      <c r="AA15" s="155"/>
      <c r="AB15" s="155"/>
    </row>
    <row r="16" outlineLevel="1">
      <c r="A16" s="150">
        <v>15.0</v>
      </c>
      <c r="B16" s="151" t="str">
        <f t="shared" si="1"/>
        <v>Brand et al., 2000</v>
      </c>
      <c r="C16" s="157"/>
      <c r="D16" s="156" t="s">
        <v>4979</v>
      </c>
      <c r="E16" s="152" t="s">
        <v>174</v>
      </c>
      <c r="F16" s="152" t="s">
        <v>4980</v>
      </c>
      <c r="G16" s="154" t="str">
        <f>IFERROR(__xludf.DUMMYFUNCTION("if(REGEXMATCH(join("", "",$C16:$F16),G$1)=TRUE,""✓"",""✗"")"),"✗")</f>
        <v>✗</v>
      </c>
      <c r="H16" s="154" t="str">
        <f>IFERROR(__xludf.DUMMYFUNCTION("if(REGEXMATCH(join("", "",$C16:$F16),H$1)=TRUE,""✓"",""✗"")"),"✗")</f>
        <v>✗</v>
      </c>
      <c r="I16" s="154" t="str">
        <f>IFERROR(__xludf.DUMMYFUNCTION("if(REGEXMATCH(join("", "",$C16:$F16),I$1)=TRUE,""✓"",""✗"")"),"✗")</f>
        <v>✗</v>
      </c>
      <c r="J16" s="154" t="str">
        <f>IFERROR(__xludf.DUMMYFUNCTION("if(REGEXMATCH(join("", "",$C16:$F16),J$1)=TRUE,""✓"",""✗"")"),"✗")</f>
        <v>✗</v>
      </c>
      <c r="K16" s="154" t="str">
        <f>IFERROR(__xludf.DUMMYFUNCTION("if(REGEXMATCH(join("", "",$C16:$F16),K$1)=TRUE,""✓"",""✗"")"),"✗")</f>
        <v>✗</v>
      </c>
      <c r="L16" s="154" t="str">
        <f>IFERROR(__xludf.DUMMYFUNCTION("if(REGEXMATCH(join("", "",$C16:$F16),L$1)=TRUE,""✓"",""✗"")"),"✗")</f>
        <v>✗</v>
      </c>
      <c r="M16" s="154" t="str">
        <f>IFERROR(__xludf.DUMMYFUNCTION("if(REGEXMATCH(join("", "",$C16:$F16),M$1)=TRUE,""✓"",""✗"")"),"✗")</f>
        <v>✗</v>
      </c>
      <c r="N16" s="154" t="str">
        <f>IFERROR(__xludf.DUMMYFUNCTION("if(REGEXMATCH(join("", "",$C16:$F16),N$1)=TRUE,""✓"",""✗"")"),"✗")</f>
        <v>✗</v>
      </c>
      <c r="O16" s="154" t="str">
        <f>IFERROR(__xludf.DUMMYFUNCTION("if(REGEXMATCH(join("", "",$C16:$F16),O$1)=TRUE,""✓"",""✗"")"),"✗")</f>
        <v>✗</v>
      </c>
      <c r="P16" s="154" t="str">
        <f>IFERROR(__xludf.DUMMYFUNCTION("if(REGEXMATCH(join("", "",$C16:$F16),P$1)=TRUE,""✓"",""✗"")"),"✗")</f>
        <v>✗</v>
      </c>
      <c r="Q16" s="154" t="str">
        <f>IFERROR(__xludf.DUMMYFUNCTION("if(REGEXMATCH(join("", "",$C16:$F16),Q$1)=TRUE,""✓"",""✗"")"),"✗")</f>
        <v>✗</v>
      </c>
      <c r="R16" s="154" t="str">
        <f>IFERROR(__xludf.DUMMYFUNCTION("if(REGEXMATCH(join("", "",$C16:$F16),R$1)=TRUE,""✓"",""✗"")"),"✗")</f>
        <v>✗</v>
      </c>
      <c r="S16" s="154" t="str">
        <f>IFERROR(__xludf.DUMMYFUNCTION("if(REGEXMATCH(join("", "",$C16:$F16),S$1)=TRUE,""✓"",""✗"")"),"✗")</f>
        <v>✗</v>
      </c>
      <c r="T16" s="155"/>
      <c r="U16" s="155"/>
      <c r="V16" s="155"/>
      <c r="W16" s="155"/>
      <c r="X16" s="155"/>
      <c r="Y16" s="155"/>
      <c r="Z16" s="155"/>
      <c r="AA16" s="155"/>
      <c r="AB16" s="155"/>
    </row>
    <row r="17">
      <c r="A17" s="150">
        <v>16.0</v>
      </c>
      <c r="B17" s="151" t="str">
        <f t="shared" si="1"/>
        <v>Breker et al., 2025</v>
      </c>
      <c r="C17" s="152" t="s">
        <v>321</v>
      </c>
      <c r="D17" s="156" t="s">
        <v>4981</v>
      </c>
      <c r="E17" s="152" t="s">
        <v>109</v>
      </c>
      <c r="F17" s="157" t="s">
        <v>317</v>
      </c>
      <c r="G17" s="154" t="str">
        <f>IFERROR(__xludf.DUMMYFUNCTION("if(REGEXMATCH(join("", "",$C17:$F17),G$1)=TRUE,""✓"",""✗"")"),"✓")</f>
        <v>✓</v>
      </c>
      <c r="H17" s="154" t="str">
        <f>IFERROR(__xludf.DUMMYFUNCTION("if(REGEXMATCH(join("", "",$C17:$F17),H$1)=TRUE,""✓"",""✗"")"),"✓")</f>
        <v>✓</v>
      </c>
      <c r="I17" s="154" t="str">
        <f>IFERROR(__xludf.DUMMYFUNCTION("if(REGEXMATCH(join("", "",$C17:$F17),I$1)=TRUE,""✓"",""✗"")"),"✗")</f>
        <v>✗</v>
      </c>
      <c r="J17" s="154" t="str">
        <f>IFERROR(__xludf.DUMMYFUNCTION("if(REGEXMATCH(join("", "",$C17:$F17),J$1)=TRUE,""✓"",""✗"")"),"✗")</f>
        <v>✗</v>
      </c>
      <c r="K17" s="154" t="str">
        <f>IFERROR(__xludf.DUMMYFUNCTION("if(REGEXMATCH(join("", "",$C17:$F17),K$1)=TRUE,""✓"",""✗"")"),"✗")</f>
        <v>✗</v>
      </c>
      <c r="L17" s="154" t="str">
        <f>IFERROR(__xludf.DUMMYFUNCTION("if(REGEXMATCH(join("", "",$C17:$F17),L$1)=TRUE,""✓"",""✗"")"),"✗")</f>
        <v>✗</v>
      </c>
      <c r="M17" s="154" t="str">
        <f>IFERROR(__xludf.DUMMYFUNCTION("if(REGEXMATCH(join("", "",$C17:$F17),M$1)=TRUE,""✓"",""✗"")"),"✗")</f>
        <v>✗</v>
      </c>
      <c r="N17" s="154" t="str">
        <f>IFERROR(__xludf.DUMMYFUNCTION("if(REGEXMATCH(join("", "",$C17:$F17),N$1)=TRUE,""✓"",""✗"")"),"✗")</f>
        <v>✗</v>
      </c>
      <c r="O17" s="154" t="str">
        <f>IFERROR(__xludf.DUMMYFUNCTION("if(REGEXMATCH(join("", "",$C17:$F17),O$1)=TRUE,""✓"",""✗"")"),"✗")</f>
        <v>✗</v>
      </c>
      <c r="P17" s="154" t="str">
        <f>IFERROR(__xludf.DUMMYFUNCTION("if(REGEXMATCH(join("", "",$C17:$F17),P$1)=TRUE,""✓"",""✗"")"),"✓")</f>
        <v>✓</v>
      </c>
      <c r="Q17" s="154" t="str">
        <f>IFERROR(__xludf.DUMMYFUNCTION("if(REGEXMATCH(join("", "",$C17:$F17),Q$1)=TRUE,""✓"",""✗"")"),"✗")</f>
        <v>✗</v>
      </c>
      <c r="R17" s="154" t="str">
        <f>IFERROR(__xludf.DUMMYFUNCTION("if(REGEXMATCH(join("", "",$C17:$F17),R$1)=TRUE,""✓"",""✗"")"),"✗")</f>
        <v>✗</v>
      </c>
      <c r="S17" s="154" t="str">
        <f>IFERROR(__xludf.DUMMYFUNCTION("if(REGEXMATCH(join("", "",$C17:$F17),S$1)=TRUE,""✓"",""✗"")"),"✗")</f>
        <v>✗</v>
      </c>
      <c r="T17" s="155"/>
      <c r="U17" s="155"/>
      <c r="V17" s="155"/>
      <c r="W17" s="155"/>
      <c r="X17" s="155"/>
      <c r="Y17" s="155"/>
      <c r="Z17" s="155"/>
      <c r="AA17" s="155"/>
      <c r="AB17" s="155"/>
    </row>
    <row r="18">
      <c r="A18" s="150">
        <v>17.0</v>
      </c>
      <c r="B18" s="151" t="str">
        <f t="shared" si="1"/>
        <v>Buescu et al., 2017</v>
      </c>
      <c r="C18" s="157"/>
      <c r="D18" s="156" t="s">
        <v>4982</v>
      </c>
      <c r="E18" s="152" t="s">
        <v>174</v>
      </c>
      <c r="F18" s="152" t="s">
        <v>4980</v>
      </c>
      <c r="G18" s="154" t="str">
        <f>IFERROR(__xludf.DUMMYFUNCTION("if(REGEXMATCH(join("", "",$C18:$F18),G$1)=TRUE,""✓"",""✗"")"),"✗")</f>
        <v>✗</v>
      </c>
      <c r="H18" s="154" t="str">
        <f>IFERROR(__xludf.DUMMYFUNCTION("if(REGEXMATCH(join("", "",$C18:$F18),H$1)=TRUE,""✓"",""✗"")"),"✗")</f>
        <v>✗</v>
      </c>
      <c r="I18" s="154" t="str">
        <f>IFERROR(__xludf.DUMMYFUNCTION("if(REGEXMATCH(join("", "",$C18:$F18),I$1)=TRUE,""✓"",""✗"")"),"✗")</f>
        <v>✗</v>
      </c>
      <c r="J18" s="154" t="str">
        <f>IFERROR(__xludf.DUMMYFUNCTION("if(REGEXMATCH(join("", "",$C18:$F18),J$1)=TRUE,""✓"",""✗"")"),"✗")</f>
        <v>✗</v>
      </c>
      <c r="K18" s="154" t="str">
        <f>IFERROR(__xludf.DUMMYFUNCTION("if(REGEXMATCH(join("", "",$C18:$F18),K$1)=TRUE,""✓"",""✗"")"),"✗")</f>
        <v>✗</v>
      </c>
      <c r="L18" s="154" t="str">
        <f>IFERROR(__xludf.DUMMYFUNCTION("if(REGEXMATCH(join("", "",$C18:$F18),L$1)=TRUE,""✓"",""✗"")"),"✗")</f>
        <v>✗</v>
      </c>
      <c r="M18" s="154" t="str">
        <f>IFERROR(__xludf.DUMMYFUNCTION("if(REGEXMATCH(join("", "",$C18:$F18),M$1)=TRUE,""✓"",""✗"")"),"✗")</f>
        <v>✗</v>
      </c>
      <c r="N18" s="154" t="str">
        <f>IFERROR(__xludf.DUMMYFUNCTION("if(REGEXMATCH(join("", "",$C18:$F18),N$1)=TRUE,""✓"",""✗"")"),"✗")</f>
        <v>✗</v>
      </c>
      <c r="O18" s="154" t="str">
        <f>IFERROR(__xludf.DUMMYFUNCTION("if(REGEXMATCH(join("", "",$C18:$F18),O$1)=TRUE,""✓"",""✗"")"),"✗")</f>
        <v>✗</v>
      </c>
      <c r="P18" s="154" t="str">
        <f>IFERROR(__xludf.DUMMYFUNCTION("if(REGEXMATCH(join("", "",$C18:$F18),P$1)=TRUE,""✓"",""✗"")"),"✗")</f>
        <v>✗</v>
      </c>
      <c r="Q18" s="154" t="str">
        <f>IFERROR(__xludf.DUMMYFUNCTION("if(REGEXMATCH(join("", "",$C18:$F18),Q$1)=TRUE,""✓"",""✗"")"),"✗")</f>
        <v>✗</v>
      </c>
      <c r="R18" s="154" t="str">
        <f>IFERROR(__xludf.DUMMYFUNCTION("if(REGEXMATCH(join("", "",$C18:$F18),R$1)=TRUE,""✓"",""✗"")"),"✗")</f>
        <v>✗</v>
      </c>
      <c r="S18" s="154" t="str">
        <f>IFERROR(__xludf.DUMMYFUNCTION("if(REGEXMATCH(join("", "",$C18:$F18),S$1)=TRUE,""✓"",""✗"")"),"✗")</f>
        <v>✗</v>
      </c>
      <c r="T18" s="155"/>
      <c r="U18" s="155"/>
      <c r="V18" s="155"/>
      <c r="W18" s="155"/>
      <c r="X18" s="155"/>
      <c r="Y18" s="155"/>
      <c r="Z18" s="155"/>
      <c r="AA18" s="155"/>
      <c r="AB18" s="155"/>
    </row>
    <row r="19">
      <c r="A19" s="150">
        <v>18.0</v>
      </c>
      <c r="B19" s="151" t="str">
        <f t="shared" si="1"/>
        <v>Butt et al., 2024</v>
      </c>
      <c r="C19" s="157" t="s">
        <v>331</v>
      </c>
      <c r="D19" s="156" t="s">
        <v>4983</v>
      </c>
      <c r="E19" s="152" t="s">
        <v>109</v>
      </c>
      <c r="F19" s="157" t="s">
        <v>335</v>
      </c>
      <c r="G19" s="154" t="str">
        <f>IFERROR(__xludf.DUMMYFUNCTION("if(REGEXMATCH(join("", "",$C19:$F19),G$1)=TRUE,""✓"",""✗"")"),"✗")</f>
        <v>✗</v>
      </c>
      <c r="H19" s="154" t="str">
        <f>IFERROR(__xludf.DUMMYFUNCTION("if(REGEXMATCH(join("", "",$C19:$F19),H$1)=TRUE,""✓"",""✗"")"),"✓")</f>
        <v>✓</v>
      </c>
      <c r="I19" s="154" t="str">
        <f>IFERROR(__xludf.DUMMYFUNCTION("if(REGEXMATCH(join("", "",$C19:$F19),I$1)=TRUE,""✓"",""✗"")"),"✗")</f>
        <v>✗</v>
      </c>
      <c r="J19" s="154" t="str">
        <f>IFERROR(__xludf.DUMMYFUNCTION("if(REGEXMATCH(join("", "",$C19:$F19),J$1)=TRUE,""✓"",""✗"")"),"✓")</f>
        <v>✓</v>
      </c>
      <c r="K19" s="154" t="str">
        <f>IFERROR(__xludf.DUMMYFUNCTION("if(REGEXMATCH(join("", "",$C19:$F19),K$1)=TRUE,""✓"",""✗"")"),"✗")</f>
        <v>✗</v>
      </c>
      <c r="L19" s="154" t="str">
        <f>IFERROR(__xludf.DUMMYFUNCTION("if(REGEXMATCH(join("", "",$C19:$F19),L$1)=TRUE,""✓"",""✗"")"),"✗")</f>
        <v>✗</v>
      </c>
      <c r="M19" s="154" t="str">
        <f>IFERROR(__xludf.DUMMYFUNCTION("if(REGEXMATCH(join("", "",$C19:$F19),M$1)=TRUE,""✓"",""✗"")"),"✓")</f>
        <v>✓</v>
      </c>
      <c r="N19" s="154" t="str">
        <f>IFERROR(__xludf.DUMMYFUNCTION("if(REGEXMATCH(join("", "",$C19:$F19),N$1)=TRUE,""✓"",""✗"")"),"✓")</f>
        <v>✓</v>
      </c>
      <c r="O19" s="154" t="str">
        <f>IFERROR(__xludf.DUMMYFUNCTION("if(REGEXMATCH(join("", "",$C19:$F19),O$1)=TRUE,""✓"",""✗"")"),"✗")</f>
        <v>✗</v>
      </c>
      <c r="P19" s="154" t="str">
        <f>IFERROR(__xludf.DUMMYFUNCTION("if(REGEXMATCH(join("", "",$C19:$F19),P$1)=TRUE,""✓"",""✗"")"),"✗")</f>
        <v>✗</v>
      </c>
      <c r="Q19" s="154" t="str">
        <f>IFERROR(__xludf.DUMMYFUNCTION("if(REGEXMATCH(join("", "",$C19:$F19),Q$1)=TRUE,""✓"",""✗"")"),"✓")</f>
        <v>✓</v>
      </c>
      <c r="R19" s="154" t="str">
        <f>IFERROR(__xludf.DUMMYFUNCTION("if(REGEXMATCH(join("", "",$C19:$F19),R$1)=TRUE,""✓"",""✗"")"),"✓")</f>
        <v>✓</v>
      </c>
      <c r="S19" s="154" t="str">
        <f>IFERROR(__xludf.DUMMYFUNCTION("if(REGEXMATCH(join("", "",$C19:$F19),S$1)=TRUE,""✓"",""✗"")"),"✗")</f>
        <v>✗</v>
      </c>
      <c r="T19" s="155"/>
      <c r="U19" s="155"/>
      <c r="V19" s="155"/>
      <c r="W19" s="155"/>
      <c r="X19" s="155"/>
      <c r="Y19" s="155"/>
      <c r="Z19" s="155"/>
      <c r="AA19" s="155"/>
      <c r="AB19" s="155"/>
    </row>
    <row r="20">
      <c r="A20" s="150">
        <v>19.0</v>
      </c>
      <c r="B20" s="151" t="str">
        <f t="shared" si="1"/>
        <v>Calvert et al., 2025</v>
      </c>
      <c r="C20" s="157" t="s">
        <v>337</v>
      </c>
      <c r="D20" s="156" t="s">
        <v>4984</v>
      </c>
      <c r="E20" s="152" t="s">
        <v>109</v>
      </c>
      <c r="F20" s="157" t="s">
        <v>336</v>
      </c>
      <c r="G20" s="154" t="str">
        <f>IFERROR(__xludf.DUMMYFUNCTION("if(REGEXMATCH(join("", "",$C20:$F20),G$1)=TRUE,""✓"",""✗"")"),"✗")</f>
        <v>✗</v>
      </c>
      <c r="H20" s="154" t="str">
        <f>IFERROR(__xludf.DUMMYFUNCTION("if(REGEXMATCH(join("", "",$C20:$F20),H$1)=TRUE,""✓"",""✗"")"),"✓")</f>
        <v>✓</v>
      </c>
      <c r="I20" s="154" t="str">
        <f>IFERROR(__xludf.DUMMYFUNCTION("if(REGEXMATCH(join("", "",$C20:$F20),I$1)=TRUE,""✓"",""✗"")"),"✓")</f>
        <v>✓</v>
      </c>
      <c r="J20" s="154" t="str">
        <f>IFERROR(__xludf.DUMMYFUNCTION("if(REGEXMATCH(join("", "",$C20:$F20),J$1)=TRUE,""✓"",""✗"")"),"✗")</f>
        <v>✗</v>
      </c>
      <c r="K20" s="154" t="str">
        <f>IFERROR(__xludf.DUMMYFUNCTION("if(REGEXMATCH(join("", "",$C20:$F20),K$1)=TRUE,""✓"",""✗"")"),"✗")</f>
        <v>✗</v>
      </c>
      <c r="L20" s="154" t="str">
        <f>IFERROR(__xludf.DUMMYFUNCTION("if(REGEXMATCH(join("", "",$C20:$F20),L$1)=TRUE,""✓"",""✗"")"),"✗")</f>
        <v>✗</v>
      </c>
      <c r="M20" s="154" t="str">
        <f>IFERROR(__xludf.DUMMYFUNCTION("if(REGEXMATCH(join("", "",$C20:$F20),M$1)=TRUE,""✓"",""✗"")"),"✓")</f>
        <v>✓</v>
      </c>
      <c r="N20" s="154" t="str">
        <f>IFERROR(__xludf.DUMMYFUNCTION("if(REGEXMATCH(join("", "",$C20:$F20),N$1)=TRUE,""✓"",""✗"")"),"✗")</f>
        <v>✗</v>
      </c>
      <c r="O20" s="154" t="str">
        <f>IFERROR(__xludf.DUMMYFUNCTION("if(REGEXMATCH(join("", "",$C20:$F20),O$1)=TRUE,""✓"",""✗"")"),"✗")</f>
        <v>✗</v>
      </c>
      <c r="P20" s="154" t="str">
        <f>IFERROR(__xludf.DUMMYFUNCTION("if(REGEXMATCH(join("", "",$C20:$F20),P$1)=TRUE,""✓"",""✗"")"),"✓")</f>
        <v>✓</v>
      </c>
      <c r="Q20" s="154" t="str">
        <f>IFERROR(__xludf.DUMMYFUNCTION("if(REGEXMATCH(join("", "",$C20:$F20),Q$1)=TRUE,""✓"",""✗"")"),"✗")</f>
        <v>✗</v>
      </c>
      <c r="R20" s="154" t="str">
        <f>IFERROR(__xludf.DUMMYFUNCTION("if(REGEXMATCH(join("", "",$C20:$F20),R$1)=TRUE,""✓"",""✗"")"),"✗")</f>
        <v>✗</v>
      </c>
      <c r="S20" s="154" t="str">
        <f>IFERROR(__xludf.DUMMYFUNCTION("if(REGEXMATCH(join("", "",$C20:$F20),S$1)=TRUE,""✓"",""✗"")"),"✗")</f>
        <v>✗</v>
      </c>
      <c r="T20" s="155"/>
      <c r="U20" s="155"/>
      <c r="V20" s="155"/>
      <c r="W20" s="155"/>
      <c r="X20" s="155"/>
      <c r="Y20" s="155"/>
      <c r="Z20" s="155"/>
      <c r="AA20" s="155"/>
      <c r="AB20" s="155"/>
    </row>
    <row r="21">
      <c r="A21" s="150">
        <v>20.0</v>
      </c>
      <c r="B21" s="151" t="str">
        <f t="shared" si="1"/>
        <v>Carter et al., Edinger et al., 1999</v>
      </c>
      <c r="C21" s="152"/>
      <c r="D21" s="156" t="s">
        <v>4985</v>
      </c>
      <c r="E21" s="152" t="s">
        <v>174</v>
      </c>
      <c r="F21" s="152" t="s">
        <v>4980</v>
      </c>
      <c r="G21" s="154" t="str">
        <f>IFERROR(__xludf.DUMMYFUNCTION("if(REGEXMATCH(join("", "",$C21:$F21),G$1)=TRUE,""✓"",""✗"")"),"✗")</f>
        <v>✗</v>
      </c>
      <c r="H21" s="154" t="str">
        <f>IFERROR(__xludf.DUMMYFUNCTION("if(REGEXMATCH(join("", "",$C21:$F21),H$1)=TRUE,""✓"",""✗"")"),"✗")</f>
        <v>✗</v>
      </c>
      <c r="I21" s="154" t="str">
        <f>IFERROR(__xludf.DUMMYFUNCTION("if(REGEXMATCH(join("", "",$C21:$F21),I$1)=TRUE,""✓"",""✗"")"),"✗")</f>
        <v>✗</v>
      </c>
      <c r="J21" s="154" t="str">
        <f>IFERROR(__xludf.DUMMYFUNCTION("if(REGEXMATCH(join("", "",$C21:$F21),J$1)=TRUE,""✓"",""✗"")"),"✗")</f>
        <v>✗</v>
      </c>
      <c r="K21" s="154" t="str">
        <f>IFERROR(__xludf.DUMMYFUNCTION("if(REGEXMATCH(join("", "",$C21:$F21),K$1)=TRUE,""✓"",""✗"")"),"✗")</f>
        <v>✗</v>
      </c>
      <c r="L21" s="154" t="str">
        <f>IFERROR(__xludf.DUMMYFUNCTION("if(REGEXMATCH(join("", "",$C21:$F21),L$1)=TRUE,""✓"",""✗"")"),"✗")</f>
        <v>✗</v>
      </c>
      <c r="M21" s="154" t="str">
        <f>IFERROR(__xludf.DUMMYFUNCTION("if(REGEXMATCH(join("", "",$C21:$F21),M$1)=TRUE,""✓"",""✗"")"),"✗")</f>
        <v>✗</v>
      </c>
      <c r="N21" s="154" t="str">
        <f>IFERROR(__xludf.DUMMYFUNCTION("if(REGEXMATCH(join("", "",$C21:$F21),N$1)=TRUE,""✓"",""✗"")"),"✗")</f>
        <v>✗</v>
      </c>
      <c r="O21" s="154" t="str">
        <f>IFERROR(__xludf.DUMMYFUNCTION("if(REGEXMATCH(join("", "",$C21:$F21),O$1)=TRUE,""✓"",""✗"")"),"✗")</f>
        <v>✗</v>
      </c>
      <c r="P21" s="154" t="str">
        <f>IFERROR(__xludf.DUMMYFUNCTION("if(REGEXMATCH(join("", "",$C21:$F21),P$1)=TRUE,""✓"",""✗"")"),"✗")</f>
        <v>✗</v>
      </c>
      <c r="Q21" s="154" t="str">
        <f>IFERROR(__xludf.DUMMYFUNCTION("if(REGEXMATCH(join("", "",$C21:$F21),Q$1)=TRUE,""✓"",""✗"")"),"✗")</f>
        <v>✗</v>
      </c>
      <c r="R21" s="154" t="str">
        <f>IFERROR(__xludf.DUMMYFUNCTION("if(REGEXMATCH(join("", "",$C21:$F21),R$1)=TRUE,""✓"",""✗"")"),"✗")</f>
        <v>✗</v>
      </c>
      <c r="S21" s="154" t="str">
        <f>IFERROR(__xludf.DUMMYFUNCTION("if(REGEXMATCH(join("", "",$C21:$F21),S$1)=TRUE,""✓"",""✗"")"),"✗")</f>
        <v>✗</v>
      </c>
      <c r="T21" s="155"/>
      <c r="U21" s="155"/>
      <c r="V21" s="155"/>
      <c r="W21" s="155"/>
      <c r="X21" s="155"/>
      <c r="Y21" s="155"/>
      <c r="Z21" s="155"/>
      <c r="AA21" s="155"/>
      <c r="AB21" s="155"/>
    </row>
    <row r="22">
      <c r="A22" s="150">
        <v>21.0</v>
      </c>
      <c r="B22" s="151" t="str">
        <f t="shared" si="1"/>
        <v>Covey et al., 2018</v>
      </c>
      <c r="C22" s="152"/>
      <c r="D22" s="156" t="s">
        <v>4986</v>
      </c>
      <c r="E22" s="152" t="s">
        <v>174</v>
      </c>
      <c r="F22" s="152" t="s">
        <v>4980</v>
      </c>
      <c r="G22" s="154" t="str">
        <f>IFERROR(__xludf.DUMMYFUNCTION("if(REGEXMATCH(join("", "",$C22:$F22),G$1)=TRUE,""✓"",""✗"")"),"✗")</f>
        <v>✗</v>
      </c>
      <c r="H22" s="154" t="str">
        <f>IFERROR(__xludf.DUMMYFUNCTION("if(REGEXMATCH(join("", "",$C22:$F22),H$1)=TRUE,""✓"",""✗"")"),"✗")</f>
        <v>✗</v>
      </c>
      <c r="I22" s="154" t="str">
        <f>IFERROR(__xludf.DUMMYFUNCTION("if(REGEXMATCH(join("", "",$C22:$F22),I$1)=TRUE,""✓"",""✗"")"),"✗")</f>
        <v>✗</v>
      </c>
      <c r="J22" s="154" t="str">
        <f>IFERROR(__xludf.DUMMYFUNCTION("if(REGEXMATCH(join("", "",$C22:$F22),J$1)=TRUE,""✓"",""✗"")"),"✗")</f>
        <v>✗</v>
      </c>
      <c r="K22" s="154" t="str">
        <f>IFERROR(__xludf.DUMMYFUNCTION("if(REGEXMATCH(join("", "",$C22:$F22),K$1)=TRUE,""✓"",""✗"")"),"✗")</f>
        <v>✗</v>
      </c>
      <c r="L22" s="154" t="str">
        <f>IFERROR(__xludf.DUMMYFUNCTION("if(REGEXMATCH(join("", "",$C22:$F22),L$1)=TRUE,""✓"",""✗"")"),"✗")</f>
        <v>✗</v>
      </c>
      <c r="M22" s="154" t="str">
        <f>IFERROR(__xludf.DUMMYFUNCTION("if(REGEXMATCH(join("", "",$C22:$F22),M$1)=TRUE,""✓"",""✗"")"),"✗")</f>
        <v>✗</v>
      </c>
      <c r="N22" s="154" t="str">
        <f>IFERROR(__xludf.DUMMYFUNCTION("if(REGEXMATCH(join("", "",$C22:$F22),N$1)=TRUE,""✓"",""✗"")"),"✗")</f>
        <v>✗</v>
      </c>
      <c r="O22" s="154" t="str">
        <f>IFERROR(__xludf.DUMMYFUNCTION("if(REGEXMATCH(join("", "",$C22:$F22),O$1)=TRUE,""✓"",""✗"")"),"✗")</f>
        <v>✗</v>
      </c>
      <c r="P22" s="154" t="str">
        <f>IFERROR(__xludf.DUMMYFUNCTION("if(REGEXMATCH(join("", "",$C22:$F22),P$1)=TRUE,""✓"",""✗"")"),"✗")</f>
        <v>✗</v>
      </c>
      <c r="Q22" s="154" t="str">
        <f>IFERROR(__xludf.DUMMYFUNCTION("if(REGEXMATCH(join("", "",$C22:$F22),Q$1)=TRUE,""✓"",""✗"")"),"✗")</f>
        <v>✗</v>
      </c>
      <c r="R22" s="154" t="str">
        <f>IFERROR(__xludf.DUMMYFUNCTION("if(REGEXMATCH(join("", "",$C22:$F22),R$1)=TRUE,""✓"",""✗"")"),"✗")</f>
        <v>✗</v>
      </c>
      <c r="S22" s="154" t="str">
        <f>IFERROR(__xludf.DUMMYFUNCTION("if(REGEXMATCH(join("", "",$C22:$F22),S$1)=TRUE,""✓"",""✗"")"),"✗")</f>
        <v>✗</v>
      </c>
      <c r="T22" s="155"/>
      <c r="U22" s="155"/>
      <c r="V22" s="155"/>
      <c r="W22" s="155"/>
      <c r="X22" s="155"/>
      <c r="Y22" s="155"/>
      <c r="Z22" s="155"/>
      <c r="AA22" s="155"/>
      <c r="AB22" s="155"/>
    </row>
    <row r="23">
      <c r="A23" s="150">
        <v>22.0</v>
      </c>
      <c r="B23" s="151" t="str">
        <f t="shared" si="1"/>
        <v>Cruz et al., 2022</v>
      </c>
      <c r="C23" s="157" t="s">
        <v>334</v>
      </c>
      <c r="D23" s="156" t="s">
        <v>4987</v>
      </c>
      <c r="E23" s="152" t="s">
        <v>109</v>
      </c>
      <c r="F23" s="157" t="s">
        <v>325</v>
      </c>
      <c r="G23" s="154" t="str">
        <f>IFERROR(__xludf.DUMMYFUNCTION("if(REGEXMATCH(join("", "",$C23:$F23),G$1)=TRUE,""✓"",""✗"")"),"✗")</f>
        <v>✗</v>
      </c>
      <c r="H23" s="154" t="str">
        <f>IFERROR(__xludf.DUMMYFUNCTION("if(REGEXMATCH(join("", "",$C23:$F23),H$1)=TRUE,""✓"",""✗"")"),"✓")</f>
        <v>✓</v>
      </c>
      <c r="I23" s="154" t="str">
        <f>IFERROR(__xludf.DUMMYFUNCTION("if(REGEXMATCH(join("", "",$C23:$F23),I$1)=TRUE,""✓"",""✗"")"),"✗")</f>
        <v>✗</v>
      </c>
      <c r="J23" s="154" t="str">
        <f>IFERROR(__xludf.DUMMYFUNCTION("if(REGEXMATCH(join("", "",$C23:$F23),J$1)=TRUE,""✓"",""✗"")"),"✗")</f>
        <v>✗</v>
      </c>
      <c r="K23" s="154" t="str">
        <f>IFERROR(__xludf.DUMMYFUNCTION("if(REGEXMATCH(join("", "",$C23:$F23),K$1)=TRUE,""✓"",""✗"")"),"✗")</f>
        <v>✗</v>
      </c>
      <c r="L23" s="154" t="str">
        <f>IFERROR(__xludf.DUMMYFUNCTION("if(REGEXMATCH(join("", "",$C23:$F23),L$1)=TRUE,""✓"",""✗"")"),"✓")</f>
        <v>✓</v>
      </c>
      <c r="M23" s="154" t="str">
        <f>IFERROR(__xludf.DUMMYFUNCTION("if(REGEXMATCH(join("", "",$C23:$F23),M$1)=TRUE,""✓"",""✗"")"),"✗")</f>
        <v>✗</v>
      </c>
      <c r="N23" s="154" t="str">
        <f>IFERROR(__xludf.DUMMYFUNCTION("if(REGEXMATCH(join("", "",$C23:$F23),N$1)=TRUE,""✓"",""✗"")"),"✗")</f>
        <v>✗</v>
      </c>
      <c r="O23" s="154" t="str">
        <f>IFERROR(__xludf.DUMMYFUNCTION("if(REGEXMATCH(join("", "",$C23:$F23),O$1)=TRUE,""✓"",""✗"")"),"✗")</f>
        <v>✗</v>
      </c>
      <c r="P23" s="154" t="str">
        <f>IFERROR(__xludf.DUMMYFUNCTION("if(REGEXMATCH(join("", "",$C23:$F23),P$1)=TRUE,""✓"",""✗"")"),"✗")</f>
        <v>✗</v>
      </c>
      <c r="Q23" s="154" t="str">
        <f>IFERROR(__xludf.DUMMYFUNCTION("if(REGEXMATCH(join("", "",$C23:$F23),Q$1)=TRUE,""✓"",""✗"")"),"✗")</f>
        <v>✗</v>
      </c>
      <c r="R23" s="154" t="str">
        <f>IFERROR(__xludf.DUMMYFUNCTION("if(REGEXMATCH(join("", "",$C23:$F23),R$1)=TRUE,""✓"",""✗"")"),"✗")</f>
        <v>✗</v>
      </c>
      <c r="S23" s="154" t="str">
        <f>IFERROR(__xludf.DUMMYFUNCTION("if(REGEXMATCH(join("", "",$C23:$F23),S$1)=TRUE,""✓"",""✗"")"),"✓")</f>
        <v>✓</v>
      </c>
      <c r="T23" s="155"/>
      <c r="U23" s="155"/>
      <c r="V23" s="155"/>
      <c r="W23" s="155"/>
      <c r="X23" s="155"/>
      <c r="Y23" s="155"/>
      <c r="Z23" s="155"/>
      <c r="AA23" s="155"/>
      <c r="AB23" s="155"/>
    </row>
    <row r="24">
      <c r="A24" s="150">
        <v>23.0</v>
      </c>
      <c r="B24" s="151" t="str">
        <f t="shared" si="1"/>
        <v>Ejerhed et al., 2003</v>
      </c>
      <c r="C24" s="157" t="s">
        <v>321</v>
      </c>
      <c r="D24" s="156" t="s">
        <v>4988</v>
      </c>
      <c r="E24" s="152" t="s">
        <v>109</v>
      </c>
      <c r="F24" s="157" t="s">
        <v>338</v>
      </c>
      <c r="G24" s="154" t="str">
        <f>IFERROR(__xludf.DUMMYFUNCTION("if(REGEXMATCH(join("", "",$C24:$F24),G$1)=TRUE,""✓"",""✗"")"),"✓")</f>
        <v>✓</v>
      </c>
      <c r="H24" s="154" t="str">
        <f>IFERROR(__xludf.DUMMYFUNCTION("if(REGEXMATCH(join("", "",$C24:$F24),H$1)=TRUE,""✓"",""✗"")"),"✓")</f>
        <v>✓</v>
      </c>
      <c r="I24" s="154" t="str">
        <f>IFERROR(__xludf.DUMMYFUNCTION("if(REGEXMATCH(join("", "",$C24:$F24),I$1)=TRUE,""✓"",""✗"")"),"✗")</f>
        <v>✗</v>
      </c>
      <c r="J24" s="154" t="str">
        <f>IFERROR(__xludf.DUMMYFUNCTION("if(REGEXMATCH(join("", "",$C24:$F24),J$1)=TRUE,""✓"",""✗"")"),"✗")</f>
        <v>✗</v>
      </c>
      <c r="K24" s="154" t="str">
        <f>IFERROR(__xludf.DUMMYFUNCTION("if(REGEXMATCH(join("", "",$C24:$F24),K$1)=TRUE,""✓"",""✗"")"),"✗")</f>
        <v>✗</v>
      </c>
      <c r="L24" s="154" t="str">
        <f>IFERROR(__xludf.DUMMYFUNCTION("if(REGEXMATCH(join("", "",$C24:$F24),L$1)=TRUE,""✓"",""✗"")"),"✗")</f>
        <v>✗</v>
      </c>
      <c r="M24" s="154" t="str">
        <f>IFERROR(__xludf.DUMMYFUNCTION("if(REGEXMATCH(join("", "",$C24:$F24),M$1)=TRUE,""✓"",""✗"")"),"✗")</f>
        <v>✗</v>
      </c>
      <c r="N24" s="154" t="str">
        <f>IFERROR(__xludf.DUMMYFUNCTION("if(REGEXMATCH(join("", "",$C24:$F24),N$1)=TRUE,""✓"",""✗"")"),"✓")</f>
        <v>✓</v>
      </c>
      <c r="O24" s="154" t="str">
        <f>IFERROR(__xludf.DUMMYFUNCTION("if(REGEXMATCH(join("", "",$C24:$F24),O$1)=TRUE,""✓"",""✗"")"),"✓")</f>
        <v>✓</v>
      </c>
      <c r="P24" s="154" t="str">
        <f>IFERROR(__xludf.DUMMYFUNCTION("if(REGEXMATCH(join("", "",$C24:$F24),P$1)=TRUE,""✓"",""✗"")"),"✓")</f>
        <v>✓</v>
      </c>
      <c r="Q24" s="154" t="str">
        <f>IFERROR(__xludf.DUMMYFUNCTION("if(REGEXMATCH(join("", "",$C24:$F24),Q$1)=TRUE,""✓"",""✗"")"),"✗")</f>
        <v>✗</v>
      </c>
      <c r="R24" s="154" t="str">
        <f>IFERROR(__xludf.DUMMYFUNCTION("if(REGEXMATCH(join("", "",$C24:$F24),R$1)=TRUE,""✓"",""✗"")"),"✓")</f>
        <v>✓</v>
      </c>
      <c r="S24" s="154" t="str">
        <f>IFERROR(__xludf.DUMMYFUNCTION("if(REGEXMATCH(join("", "",$C24:$F24),S$1)=TRUE,""✓"",""✗"")"),"✗")</f>
        <v>✗</v>
      </c>
      <c r="T24" s="155"/>
      <c r="U24" s="155"/>
      <c r="V24" s="155"/>
      <c r="W24" s="155"/>
      <c r="X24" s="155"/>
      <c r="Y24" s="155"/>
      <c r="Z24" s="155"/>
      <c r="AA24" s="155"/>
      <c r="AB24" s="155"/>
    </row>
    <row r="25" outlineLevel="1">
      <c r="A25" s="150">
        <v>24.0</v>
      </c>
      <c r="B25" s="151" t="str">
        <f t="shared" si="1"/>
        <v>Eriksson et al., 2001</v>
      </c>
      <c r="C25" s="157"/>
      <c r="D25" s="156" t="s">
        <v>4989</v>
      </c>
      <c r="E25" s="152" t="s">
        <v>174</v>
      </c>
      <c r="F25" s="152" t="s">
        <v>4973</v>
      </c>
      <c r="G25" s="154" t="str">
        <f>IFERROR(__xludf.DUMMYFUNCTION("if(REGEXMATCH(join("", "",$C25:$F25),G$1)=TRUE,""✓"",""✗"")"),"✗")</f>
        <v>✗</v>
      </c>
      <c r="H25" s="154" t="str">
        <f>IFERROR(__xludf.DUMMYFUNCTION("if(REGEXMATCH(join("", "",$C25:$F25),H$1)=TRUE,""✓"",""✗"")"),"✗")</f>
        <v>✗</v>
      </c>
      <c r="I25" s="154" t="str">
        <f>IFERROR(__xludf.DUMMYFUNCTION("if(REGEXMATCH(join("", "",$C25:$F25),I$1)=TRUE,""✓"",""✗"")"),"✗")</f>
        <v>✗</v>
      </c>
      <c r="J25" s="154" t="str">
        <f>IFERROR(__xludf.DUMMYFUNCTION("if(REGEXMATCH(join("", "",$C25:$F25),J$1)=TRUE,""✓"",""✗"")"),"✗")</f>
        <v>✗</v>
      </c>
      <c r="K25" s="154" t="str">
        <f>IFERROR(__xludf.DUMMYFUNCTION("if(REGEXMATCH(join("", "",$C25:$F25),K$1)=TRUE,""✓"",""✗"")"),"✗")</f>
        <v>✗</v>
      </c>
      <c r="L25" s="154" t="str">
        <f>IFERROR(__xludf.DUMMYFUNCTION("if(REGEXMATCH(join("", "",$C25:$F25),L$1)=TRUE,""✓"",""✗"")"),"✗")</f>
        <v>✗</v>
      </c>
      <c r="M25" s="154" t="str">
        <f>IFERROR(__xludf.DUMMYFUNCTION("if(REGEXMATCH(join("", "",$C25:$F25),M$1)=TRUE,""✓"",""✗"")"),"✗")</f>
        <v>✗</v>
      </c>
      <c r="N25" s="154" t="str">
        <f>IFERROR(__xludf.DUMMYFUNCTION("if(REGEXMATCH(join("", "",$C25:$F25),N$1)=TRUE,""✓"",""✗"")"),"✗")</f>
        <v>✗</v>
      </c>
      <c r="O25" s="154" t="str">
        <f>IFERROR(__xludf.DUMMYFUNCTION("if(REGEXMATCH(join("", "",$C25:$F25),O$1)=TRUE,""✓"",""✗"")"),"✗")</f>
        <v>✗</v>
      </c>
      <c r="P25" s="154" t="str">
        <f>IFERROR(__xludf.DUMMYFUNCTION("if(REGEXMATCH(join("", "",$C25:$F25),P$1)=TRUE,""✓"",""✗"")"),"✗")</f>
        <v>✗</v>
      </c>
      <c r="Q25" s="154" t="str">
        <f>IFERROR(__xludf.DUMMYFUNCTION("if(REGEXMATCH(join("", "",$C25:$F25),Q$1)=TRUE,""✓"",""✗"")"),"✗")</f>
        <v>✗</v>
      </c>
      <c r="R25" s="154" t="str">
        <f>IFERROR(__xludf.DUMMYFUNCTION("if(REGEXMATCH(join("", "",$C25:$F25),R$1)=TRUE,""✓"",""✗"")"),"✗")</f>
        <v>✗</v>
      </c>
      <c r="S25" s="154" t="str">
        <f>IFERROR(__xludf.DUMMYFUNCTION("if(REGEXMATCH(join("", "",$C25:$F25),S$1)=TRUE,""✓"",""✗"")"),"✗")</f>
        <v>✗</v>
      </c>
      <c r="T25" s="155"/>
      <c r="U25" s="155"/>
      <c r="V25" s="155"/>
      <c r="W25" s="155"/>
      <c r="X25" s="155"/>
      <c r="Y25" s="155"/>
      <c r="Z25" s="155"/>
      <c r="AA25" s="155"/>
      <c r="AB25" s="155"/>
    </row>
    <row r="26">
      <c r="A26" s="150">
        <v>25.0</v>
      </c>
      <c r="B26" s="151" t="str">
        <f t="shared" si="1"/>
        <v>Eriksson et al., 2006</v>
      </c>
      <c r="C26" s="152" t="s">
        <v>321</v>
      </c>
      <c r="D26" s="156" t="s">
        <v>4990</v>
      </c>
      <c r="E26" s="152" t="s">
        <v>109</v>
      </c>
      <c r="F26" s="157" t="s">
        <v>339</v>
      </c>
      <c r="G26" s="154" t="str">
        <f>IFERROR(__xludf.DUMMYFUNCTION("if(REGEXMATCH(join("", "",$C26:$F26),G$1)=TRUE,""✓"",""✗"")"),"✓")</f>
        <v>✓</v>
      </c>
      <c r="H26" s="154" t="str">
        <f>IFERROR(__xludf.DUMMYFUNCTION("if(REGEXMATCH(join("", "",$C26:$F26),H$1)=TRUE,""✓"",""✗"")"),"✓")</f>
        <v>✓</v>
      </c>
      <c r="I26" s="154" t="str">
        <f>IFERROR(__xludf.DUMMYFUNCTION("if(REGEXMATCH(join("", "",$C26:$F26),I$1)=TRUE,""✓"",""✗"")"),"✗")</f>
        <v>✗</v>
      </c>
      <c r="J26" s="154" t="str">
        <f>IFERROR(__xludf.DUMMYFUNCTION("if(REGEXMATCH(join("", "",$C26:$F26),J$1)=TRUE,""✓"",""✗"")"),"✗")</f>
        <v>✗</v>
      </c>
      <c r="K26" s="154" t="str">
        <f>IFERROR(__xludf.DUMMYFUNCTION("if(REGEXMATCH(join("", "",$C26:$F26),K$1)=TRUE,""✓"",""✗"")"),"✗")</f>
        <v>✗</v>
      </c>
      <c r="L26" s="154" t="str">
        <f>IFERROR(__xludf.DUMMYFUNCTION("if(REGEXMATCH(join("", "",$C26:$F26),L$1)=TRUE,""✓"",""✗"")"),"✗")</f>
        <v>✗</v>
      </c>
      <c r="M26" s="154" t="str">
        <f>IFERROR(__xludf.DUMMYFUNCTION("if(REGEXMATCH(join("", "",$C26:$F26),M$1)=TRUE,""✓"",""✗"")"),"✗")</f>
        <v>✗</v>
      </c>
      <c r="N26" s="154" t="str">
        <f>IFERROR(__xludf.DUMMYFUNCTION("if(REGEXMATCH(join("", "",$C26:$F26),N$1)=TRUE,""✓"",""✗"")"),"✗")</f>
        <v>✗</v>
      </c>
      <c r="O26" s="154" t="str">
        <f>IFERROR(__xludf.DUMMYFUNCTION("if(REGEXMATCH(join("", "",$C26:$F26),O$1)=TRUE,""✓"",""✗"")"),"✗")</f>
        <v>✗</v>
      </c>
      <c r="P26" s="154" t="str">
        <f>IFERROR(__xludf.DUMMYFUNCTION("if(REGEXMATCH(join("", "",$C26:$F26),P$1)=TRUE,""✓"",""✗"")"),"✓")</f>
        <v>✓</v>
      </c>
      <c r="Q26" s="154" t="str">
        <f>IFERROR(__xludf.DUMMYFUNCTION("if(REGEXMATCH(join("", "",$C26:$F26),Q$1)=TRUE,""✓"",""✗"")"),"✓")</f>
        <v>✓</v>
      </c>
      <c r="R26" s="154" t="str">
        <f>IFERROR(__xludf.DUMMYFUNCTION("if(REGEXMATCH(join("", "",$C26:$F26),R$1)=TRUE,""✓"",""✗"")"),"✗")</f>
        <v>✗</v>
      </c>
      <c r="S26" s="154" t="str">
        <f>IFERROR(__xludf.DUMMYFUNCTION("if(REGEXMATCH(join("", "",$C26:$F26),S$1)=TRUE,""✓"",""✗"")"),"✗")</f>
        <v>✗</v>
      </c>
      <c r="T26" s="155"/>
      <c r="U26" s="155"/>
      <c r="V26" s="155"/>
      <c r="W26" s="155"/>
      <c r="X26" s="155"/>
      <c r="Y26" s="155"/>
      <c r="Z26" s="155"/>
      <c r="AA26" s="155"/>
      <c r="AB26" s="155"/>
    </row>
    <row r="27">
      <c r="A27" s="150">
        <v>26.0</v>
      </c>
      <c r="B27" s="151" t="str">
        <f t="shared" si="1"/>
        <v>Feller et al., Webster et al., 2003</v>
      </c>
      <c r="C27" s="152" t="s">
        <v>321</v>
      </c>
      <c r="D27" s="156" t="s">
        <v>4991</v>
      </c>
      <c r="E27" s="152" t="s">
        <v>109</v>
      </c>
      <c r="F27" s="157" t="s">
        <v>340</v>
      </c>
      <c r="G27" s="154" t="str">
        <f>IFERROR(__xludf.DUMMYFUNCTION("if(REGEXMATCH(join("", "",$C27:$F27),G$1)=TRUE,""✓"",""✗"")"),"✓")</f>
        <v>✓</v>
      </c>
      <c r="H27" s="154" t="str">
        <f>IFERROR(__xludf.DUMMYFUNCTION("if(REGEXMATCH(join("", "",$C27:$F27),H$1)=TRUE,""✓"",""✗"")"),"✓")</f>
        <v>✓</v>
      </c>
      <c r="I27" s="154" t="str">
        <f>IFERROR(__xludf.DUMMYFUNCTION("if(REGEXMATCH(join("", "",$C27:$F27),I$1)=TRUE,""✓"",""✗"")"),"✗")</f>
        <v>✗</v>
      </c>
      <c r="J27" s="154" t="str">
        <f>IFERROR(__xludf.DUMMYFUNCTION("if(REGEXMATCH(join("", "",$C27:$F27),J$1)=TRUE,""✓"",""✗"")"),"✗")</f>
        <v>✗</v>
      </c>
      <c r="K27" s="154" t="str">
        <f>IFERROR(__xludf.DUMMYFUNCTION("if(REGEXMATCH(join("", "",$C27:$F27),K$1)=TRUE,""✓"",""✗"")"),"✗")</f>
        <v>✗</v>
      </c>
      <c r="L27" s="154" t="str">
        <f>IFERROR(__xludf.DUMMYFUNCTION("if(REGEXMATCH(join("", "",$C27:$F27),L$1)=TRUE,""✓"",""✗"")"),"✗")</f>
        <v>✗</v>
      </c>
      <c r="M27" s="154" t="str">
        <f>IFERROR(__xludf.DUMMYFUNCTION("if(REGEXMATCH(join("", "",$C27:$F27),M$1)=TRUE,""✓"",""✗"")"),"✓")</f>
        <v>✓</v>
      </c>
      <c r="N27" s="154" t="str">
        <f>IFERROR(__xludf.DUMMYFUNCTION("if(REGEXMATCH(join("", "",$C27:$F27),N$1)=TRUE,""✓"",""✗"")"),"✗")</f>
        <v>✗</v>
      </c>
      <c r="O27" s="154" t="str">
        <f>IFERROR(__xludf.DUMMYFUNCTION("if(REGEXMATCH(join("", "",$C27:$F27),O$1)=TRUE,""✓"",""✗"")"),"✗")</f>
        <v>✗</v>
      </c>
      <c r="P27" s="154" t="str">
        <f>IFERROR(__xludf.DUMMYFUNCTION("if(REGEXMATCH(join("", "",$C27:$F27),P$1)=TRUE,""✓"",""✗"")"),"✓")</f>
        <v>✓</v>
      </c>
      <c r="Q27" s="154" t="str">
        <f>IFERROR(__xludf.DUMMYFUNCTION("if(REGEXMATCH(join("", "",$C27:$F27),Q$1)=TRUE,""✓"",""✗"")"),"✓")</f>
        <v>✓</v>
      </c>
      <c r="R27" s="154" t="str">
        <f>IFERROR(__xludf.DUMMYFUNCTION("if(REGEXMATCH(join("", "",$C27:$F27),R$1)=TRUE,""✓"",""✗"")"),"✓")</f>
        <v>✓</v>
      </c>
      <c r="S27" s="154" t="str">
        <f>IFERROR(__xludf.DUMMYFUNCTION("if(REGEXMATCH(join("", "",$C27:$F27),S$1)=TRUE,""✓"",""✗"")"),"✗")</f>
        <v>✗</v>
      </c>
      <c r="T27" s="155"/>
      <c r="U27" s="155"/>
      <c r="V27" s="155"/>
      <c r="W27" s="155"/>
      <c r="X27" s="155"/>
      <c r="Y27" s="155"/>
      <c r="Z27" s="155"/>
      <c r="AA27" s="155"/>
      <c r="AB27" s="155"/>
    </row>
    <row r="28">
      <c r="A28" s="150">
        <v>27.0</v>
      </c>
      <c r="B28" s="151" t="str">
        <f t="shared" si="1"/>
        <v>Garcia-Linage et al., 2025</v>
      </c>
      <c r="C28" s="157"/>
      <c r="D28" s="156" t="s">
        <v>4992</v>
      </c>
      <c r="E28" s="152" t="s">
        <v>174</v>
      </c>
      <c r="F28" s="152" t="s">
        <v>4993</v>
      </c>
      <c r="G28" s="154" t="str">
        <f>IFERROR(__xludf.DUMMYFUNCTION("if(REGEXMATCH(join("", "",$C28:$F28),G$1)=TRUE,""✓"",""✗"")"),"✗")</f>
        <v>✗</v>
      </c>
      <c r="H28" s="154" t="str">
        <f>IFERROR(__xludf.DUMMYFUNCTION("if(REGEXMATCH(join("", "",$C28:$F28),H$1)=TRUE,""✓"",""✗"")"),"✗")</f>
        <v>✗</v>
      </c>
      <c r="I28" s="154" t="str">
        <f>IFERROR(__xludf.DUMMYFUNCTION("if(REGEXMATCH(join("", "",$C28:$F28),I$1)=TRUE,""✓"",""✗"")"),"✗")</f>
        <v>✗</v>
      </c>
      <c r="J28" s="154" t="str">
        <f>IFERROR(__xludf.DUMMYFUNCTION("if(REGEXMATCH(join("", "",$C28:$F28),J$1)=TRUE,""✓"",""✗"")"),"✗")</f>
        <v>✗</v>
      </c>
      <c r="K28" s="154" t="str">
        <f>IFERROR(__xludf.DUMMYFUNCTION("if(REGEXMATCH(join("", "",$C28:$F28),K$1)=TRUE,""✓"",""✗"")"),"✗")</f>
        <v>✗</v>
      </c>
      <c r="L28" s="154" t="str">
        <f>IFERROR(__xludf.DUMMYFUNCTION("if(REGEXMATCH(join("", "",$C28:$F28),L$1)=TRUE,""✓"",""✗"")"),"✗")</f>
        <v>✗</v>
      </c>
      <c r="M28" s="154" t="str">
        <f>IFERROR(__xludf.DUMMYFUNCTION("if(REGEXMATCH(join("", "",$C28:$F28),M$1)=TRUE,""✓"",""✗"")"),"✗")</f>
        <v>✗</v>
      </c>
      <c r="N28" s="154" t="str">
        <f>IFERROR(__xludf.DUMMYFUNCTION("if(REGEXMATCH(join("", "",$C28:$F28),N$1)=TRUE,""✓"",""✗"")"),"✗")</f>
        <v>✗</v>
      </c>
      <c r="O28" s="154" t="str">
        <f>IFERROR(__xludf.DUMMYFUNCTION("if(REGEXMATCH(join("", "",$C28:$F28),O$1)=TRUE,""✓"",""✗"")"),"✗")</f>
        <v>✗</v>
      </c>
      <c r="P28" s="154" t="str">
        <f>IFERROR(__xludf.DUMMYFUNCTION("if(REGEXMATCH(join("", "",$C28:$F28),P$1)=TRUE,""✓"",""✗"")"),"✗")</f>
        <v>✗</v>
      </c>
      <c r="Q28" s="154" t="str">
        <f>IFERROR(__xludf.DUMMYFUNCTION("if(REGEXMATCH(join("", "",$C28:$F28),Q$1)=TRUE,""✓"",""✗"")"),"✗")</f>
        <v>✗</v>
      </c>
      <c r="R28" s="154" t="str">
        <f>IFERROR(__xludf.DUMMYFUNCTION("if(REGEXMATCH(join("", "",$C28:$F28),R$1)=TRUE,""✓"",""✗"")"),"✗")</f>
        <v>✗</v>
      </c>
      <c r="S28" s="154" t="str">
        <f>IFERROR(__xludf.DUMMYFUNCTION("if(REGEXMATCH(join("", "",$C28:$F28),S$1)=TRUE,""✓"",""✗"")"),"✗")</f>
        <v>✗</v>
      </c>
      <c r="T28" s="155"/>
      <c r="U28" s="155"/>
      <c r="V28" s="155"/>
      <c r="W28" s="155"/>
      <c r="X28" s="155"/>
      <c r="Y28" s="155"/>
      <c r="Z28" s="155"/>
      <c r="AA28" s="155"/>
      <c r="AB28" s="155"/>
    </row>
    <row r="29">
      <c r="A29" s="150">
        <v>28.0</v>
      </c>
      <c r="B29" s="151" t="str">
        <f t="shared" si="1"/>
        <v>Gerber et al., 2007</v>
      </c>
      <c r="C29" s="152" t="s">
        <v>321</v>
      </c>
      <c r="D29" s="156" t="s">
        <v>4994</v>
      </c>
      <c r="E29" s="152" t="s">
        <v>109</v>
      </c>
      <c r="F29" s="157" t="s">
        <v>317</v>
      </c>
      <c r="G29" s="154" t="str">
        <f>IFERROR(__xludf.DUMMYFUNCTION("if(REGEXMATCH(join("", "",$C29:$F29),G$1)=TRUE,""✓"",""✗"")"),"✓")</f>
        <v>✓</v>
      </c>
      <c r="H29" s="154" t="str">
        <f>IFERROR(__xludf.DUMMYFUNCTION("if(REGEXMATCH(join("", "",$C29:$F29),H$1)=TRUE,""✓"",""✗"")"),"✓")</f>
        <v>✓</v>
      </c>
      <c r="I29" s="154" t="str">
        <f>IFERROR(__xludf.DUMMYFUNCTION("if(REGEXMATCH(join("", "",$C29:$F29),I$1)=TRUE,""✓"",""✗"")"),"✗")</f>
        <v>✗</v>
      </c>
      <c r="J29" s="154" t="str">
        <f>IFERROR(__xludf.DUMMYFUNCTION("if(REGEXMATCH(join("", "",$C29:$F29),J$1)=TRUE,""✓"",""✗"")"),"✗")</f>
        <v>✗</v>
      </c>
      <c r="K29" s="154" t="str">
        <f>IFERROR(__xludf.DUMMYFUNCTION("if(REGEXMATCH(join("", "",$C29:$F29),K$1)=TRUE,""✓"",""✗"")"),"✗")</f>
        <v>✗</v>
      </c>
      <c r="L29" s="154" t="str">
        <f>IFERROR(__xludf.DUMMYFUNCTION("if(REGEXMATCH(join("", "",$C29:$F29),L$1)=TRUE,""✓"",""✗"")"),"✗")</f>
        <v>✗</v>
      </c>
      <c r="M29" s="154" t="str">
        <f>IFERROR(__xludf.DUMMYFUNCTION("if(REGEXMATCH(join("", "",$C29:$F29),M$1)=TRUE,""✓"",""✗"")"),"✗")</f>
        <v>✗</v>
      </c>
      <c r="N29" s="154" t="str">
        <f>IFERROR(__xludf.DUMMYFUNCTION("if(REGEXMATCH(join("", "",$C29:$F29),N$1)=TRUE,""✓"",""✗"")"),"✗")</f>
        <v>✗</v>
      </c>
      <c r="O29" s="154" t="str">
        <f>IFERROR(__xludf.DUMMYFUNCTION("if(REGEXMATCH(join("", "",$C29:$F29),O$1)=TRUE,""✓"",""✗"")"),"✗")</f>
        <v>✗</v>
      </c>
      <c r="P29" s="154" t="str">
        <f>IFERROR(__xludf.DUMMYFUNCTION("if(REGEXMATCH(join("", "",$C29:$F29),P$1)=TRUE,""✓"",""✗"")"),"✓")</f>
        <v>✓</v>
      </c>
      <c r="Q29" s="154" t="str">
        <f>IFERROR(__xludf.DUMMYFUNCTION("if(REGEXMATCH(join("", "",$C29:$F29),Q$1)=TRUE,""✓"",""✗"")"),"✗")</f>
        <v>✗</v>
      </c>
      <c r="R29" s="154" t="str">
        <f>IFERROR(__xludf.DUMMYFUNCTION("if(REGEXMATCH(join("", "",$C29:$F29),R$1)=TRUE,""✓"",""✗"")"),"✗")</f>
        <v>✗</v>
      </c>
      <c r="S29" s="154" t="str">
        <f>IFERROR(__xludf.DUMMYFUNCTION("if(REGEXMATCH(join("", "",$C29:$F29),S$1)=TRUE,""✓"",""✗"")"),"✗")</f>
        <v>✗</v>
      </c>
      <c r="T29" s="155"/>
      <c r="U29" s="155"/>
      <c r="V29" s="155"/>
      <c r="W29" s="155"/>
      <c r="X29" s="155"/>
      <c r="Y29" s="155"/>
      <c r="Z29" s="155"/>
      <c r="AA29" s="155"/>
      <c r="AB29" s="155"/>
    </row>
    <row r="30" outlineLevel="1">
      <c r="A30" s="150">
        <v>29.0</v>
      </c>
      <c r="B30" s="151" t="str">
        <f t="shared" si="1"/>
        <v>Ghalayini et al., 2010</v>
      </c>
      <c r="C30" s="157"/>
      <c r="D30" s="156" t="s">
        <v>4995</v>
      </c>
      <c r="E30" s="152" t="s">
        <v>174</v>
      </c>
      <c r="F30" s="152" t="s">
        <v>4996</v>
      </c>
      <c r="G30" s="154" t="str">
        <f>IFERROR(__xludf.DUMMYFUNCTION("if(REGEXMATCH(join("", "",$C30:$F30),G$1)=TRUE,""✓"",""✗"")"),"✗")</f>
        <v>✗</v>
      </c>
      <c r="H30" s="154" t="str">
        <f>IFERROR(__xludf.DUMMYFUNCTION("if(REGEXMATCH(join("", "",$C30:$F30),H$1)=TRUE,""✓"",""✗"")"),"✗")</f>
        <v>✗</v>
      </c>
      <c r="I30" s="154" t="str">
        <f>IFERROR(__xludf.DUMMYFUNCTION("if(REGEXMATCH(join("", "",$C30:$F30),I$1)=TRUE,""✓"",""✗"")"),"✗")</f>
        <v>✗</v>
      </c>
      <c r="J30" s="154" t="str">
        <f>IFERROR(__xludf.DUMMYFUNCTION("if(REGEXMATCH(join("", "",$C30:$F30),J$1)=TRUE,""✓"",""✗"")"),"✗")</f>
        <v>✗</v>
      </c>
      <c r="K30" s="154" t="str">
        <f>IFERROR(__xludf.DUMMYFUNCTION("if(REGEXMATCH(join("", "",$C30:$F30),K$1)=TRUE,""✓"",""✗"")"),"✗")</f>
        <v>✗</v>
      </c>
      <c r="L30" s="154" t="str">
        <f>IFERROR(__xludf.DUMMYFUNCTION("if(REGEXMATCH(join("", "",$C30:$F30),L$1)=TRUE,""✓"",""✗"")"),"✗")</f>
        <v>✗</v>
      </c>
      <c r="M30" s="154" t="str">
        <f>IFERROR(__xludf.DUMMYFUNCTION("if(REGEXMATCH(join("", "",$C30:$F30),M$1)=TRUE,""✓"",""✗"")"),"✗")</f>
        <v>✗</v>
      </c>
      <c r="N30" s="154" t="str">
        <f>IFERROR(__xludf.DUMMYFUNCTION("if(REGEXMATCH(join("", "",$C30:$F30),N$1)=TRUE,""✓"",""✗"")"),"✗")</f>
        <v>✗</v>
      </c>
      <c r="O30" s="154" t="str">
        <f>IFERROR(__xludf.DUMMYFUNCTION("if(REGEXMATCH(join("", "",$C30:$F30),O$1)=TRUE,""✓"",""✗"")"),"✗")</f>
        <v>✗</v>
      </c>
      <c r="P30" s="154" t="str">
        <f>IFERROR(__xludf.DUMMYFUNCTION("if(REGEXMATCH(join("", "",$C30:$F30),P$1)=TRUE,""✓"",""✗"")"),"✗")</f>
        <v>✗</v>
      </c>
      <c r="Q30" s="154" t="str">
        <f>IFERROR(__xludf.DUMMYFUNCTION("if(REGEXMATCH(join("", "",$C30:$F30),Q$1)=TRUE,""✓"",""✗"")"),"✗")</f>
        <v>✗</v>
      </c>
      <c r="R30" s="154" t="str">
        <f>IFERROR(__xludf.DUMMYFUNCTION("if(REGEXMATCH(join("", "",$C30:$F30),R$1)=TRUE,""✓"",""✗"")"),"✗")</f>
        <v>✗</v>
      </c>
      <c r="S30" s="154" t="str">
        <f>IFERROR(__xludf.DUMMYFUNCTION("if(REGEXMATCH(join("", "",$C30:$F30),S$1)=TRUE,""✓"",""✗"")"),"✗")</f>
        <v>✗</v>
      </c>
      <c r="T30" s="155"/>
      <c r="U30" s="155"/>
      <c r="V30" s="155"/>
      <c r="W30" s="155"/>
      <c r="X30" s="155"/>
      <c r="Y30" s="155"/>
      <c r="Z30" s="155"/>
      <c r="AA30" s="155"/>
      <c r="AB30" s="155"/>
    </row>
    <row r="31">
      <c r="A31" s="150">
        <v>30.0</v>
      </c>
      <c r="B31" s="151" t="str">
        <f t="shared" si="1"/>
        <v>Gifstad et al., 2013</v>
      </c>
      <c r="C31" s="152" t="s">
        <v>321</v>
      </c>
      <c r="D31" s="156" t="s">
        <v>4997</v>
      </c>
      <c r="E31" s="152" t="s">
        <v>109</v>
      </c>
      <c r="F31" s="157" t="s">
        <v>338</v>
      </c>
      <c r="G31" s="154" t="str">
        <f>IFERROR(__xludf.DUMMYFUNCTION("if(REGEXMATCH(join("", "",$C31:$F31),G$1)=TRUE,""✓"",""✗"")"),"✓")</f>
        <v>✓</v>
      </c>
      <c r="H31" s="154" t="str">
        <f>IFERROR(__xludf.DUMMYFUNCTION("if(REGEXMATCH(join("", "",$C31:$F31),H$1)=TRUE,""✓"",""✗"")"),"✓")</f>
        <v>✓</v>
      </c>
      <c r="I31" s="154" t="str">
        <f>IFERROR(__xludf.DUMMYFUNCTION("if(REGEXMATCH(join("", "",$C31:$F31),I$1)=TRUE,""✓"",""✗"")"),"✗")</f>
        <v>✗</v>
      </c>
      <c r="J31" s="154" t="str">
        <f>IFERROR(__xludf.DUMMYFUNCTION("if(REGEXMATCH(join("", "",$C31:$F31),J$1)=TRUE,""✓"",""✗"")"),"✗")</f>
        <v>✗</v>
      </c>
      <c r="K31" s="154" t="str">
        <f>IFERROR(__xludf.DUMMYFUNCTION("if(REGEXMATCH(join("", "",$C31:$F31),K$1)=TRUE,""✓"",""✗"")"),"✗")</f>
        <v>✗</v>
      </c>
      <c r="L31" s="154" t="str">
        <f>IFERROR(__xludf.DUMMYFUNCTION("if(REGEXMATCH(join("", "",$C31:$F31),L$1)=TRUE,""✓"",""✗"")"),"✗")</f>
        <v>✗</v>
      </c>
      <c r="M31" s="154" t="str">
        <f>IFERROR(__xludf.DUMMYFUNCTION("if(REGEXMATCH(join("", "",$C31:$F31),M$1)=TRUE,""✓"",""✗"")"),"✗")</f>
        <v>✗</v>
      </c>
      <c r="N31" s="154" t="str">
        <f>IFERROR(__xludf.DUMMYFUNCTION("if(REGEXMATCH(join("", "",$C31:$F31),N$1)=TRUE,""✓"",""✗"")"),"✓")</f>
        <v>✓</v>
      </c>
      <c r="O31" s="154" t="str">
        <f>IFERROR(__xludf.DUMMYFUNCTION("if(REGEXMATCH(join("", "",$C31:$F31),O$1)=TRUE,""✓"",""✗"")"),"✓")</f>
        <v>✓</v>
      </c>
      <c r="P31" s="154" t="str">
        <f>IFERROR(__xludf.DUMMYFUNCTION("if(REGEXMATCH(join("", "",$C31:$F31),P$1)=TRUE,""✓"",""✗"")"),"✓")</f>
        <v>✓</v>
      </c>
      <c r="Q31" s="154" t="str">
        <f>IFERROR(__xludf.DUMMYFUNCTION("if(REGEXMATCH(join("", "",$C31:$F31),Q$1)=TRUE,""✓"",""✗"")"),"✗")</f>
        <v>✗</v>
      </c>
      <c r="R31" s="154" t="str">
        <f>IFERROR(__xludf.DUMMYFUNCTION("if(REGEXMATCH(join("", "",$C31:$F31),R$1)=TRUE,""✓"",""✗"")"),"✓")</f>
        <v>✓</v>
      </c>
      <c r="S31" s="154" t="str">
        <f>IFERROR(__xludf.DUMMYFUNCTION("if(REGEXMATCH(join("", "",$C31:$F31),S$1)=TRUE,""✓"",""✗"")"),"✗")</f>
        <v>✗</v>
      </c>
      <c r="T31" s="155"/>
      <c r="U31" s="155"/>
      <c r="V31" s="155"/>
      <c r="W31" s="155"/>
      <c r="X31" s="155"/>
      <c r="Y31" s="155"/>
      <c r="Z31" s="155"/>
      <c r="AA31" s="155"/>
      <c r="AB31" s="155"/>
    </row>
    <row r="32">
      <c r="A32" s="158">
        <v>31.0</v>
      </c>
      <c r="B32" s="151" t="str">
        <f t="shared" si="1"/>
        <v>Gobbi et al., Francisco et al., 2006</v>
      </c>
      <c r="C32" s="152" t="s">
        <v>321</v>
      </c>
      <c r="D32" s="153" t="s">
        <v>4998</v>
      </c>
      <c r="E32" s="152" t="s">
        <v>109</v>
      </c>
      <c r="F32" s="157" t="s">
        <v>352</v>
      </c>
      <c r="G32" s="154" t="str">
        <f>IFERROR(__xludf.DUMMYFUNCTION("if(REGEXMATCH(join("", "",$C32:$F32),G$1)=TRUE,""✓"",""✗"")"),"✓")</f>
        <v>✓</v>
      </c>
      <c r="H32" s="154" t="str">
        <f>IFERROR(__xludf.DUMMYFUNCTION("if(REGEXMATCH(join("", "",$C32:$F32),H$1)=TRUE,""✓"",""✗"")"),"✓")</f>
        <v>✓</v>
      </c>
      <c r="I32" s="154" t="str">
        <f>IFERROR(__xludf.DUMMYFUNCTION("if(REGEXMATCH(join("", "",$C32:$F32),I$1)=TRUE,""✓"",""✗"")"),"✗")</f>
        <v>✗</v>
      </c>
      <c r="J32" s="154" t="str">
        <f>IFERROR(__xludf.DUMMYFUNCTION("if(REGEXMATCH(join("", "",$C32:$F32),J$1)=TRUE,""✓"",""✗"")"),"✗")</f>
        <v>✗</v>
      </c>
      <c r="K32" s="154" t="str">
        <f>IFERROR(__xludf.DUMMYFUNCTION("if(REGEXMATCH(join("", "",$C32:$F32),K$1)=TRUE,""✓"",""✗"")"),"✗")</f>
        <v>✗</v>
      </c>
      <c r="L32" s="154" t="str">
        <f>IFERROR(__xludf.DUMMYFUNCTION("if(REGEXMATCH(join("", "",$C32:$F32),L$1)=TRUE,""✓"",""✗"")"),"✗")</f>
        <v>✗</v>
      </c>
      <c r="M32" s="154" t="str">
        <f>IFERROR(__xludf.DUMMYFUNCTION("if(REGEXMATCH(join("", "",$C32:$F32),M$1)=TRUE,""✓"",""✗"")"),"✓")</f>
        <v>✓</v>
      </c>
      <c r="N32" s="154" t="str">
        <f>IFERROR(__xludf.DUMMYFUNCTION("if(REGEXMATCH(join("", "",$C32:$F32),N$1)=TRUE,""✓"",""✗"")"),"✓")</f>
        <v>✓</v>
      </c>
      <c r="O32" s="154" t="str">
        <f>IFERROR(__xludf.DUMMYFUNCTION("if(REGEXMATCH(join("", "",$C32:$F32),O$1)=TRUE,""✓"",""✗"")"),"✓")</f>
        <v>✓</v>
      </c>
      <c r="P32" s="154" t="str">
        <f>IFERROR(__xludf.DUMMYFUNCTION("if(REGEXMATCH(join("", "",$C32:$F32),P$1)=TRUE,""✓"",""✗"")"),"✓")</f>
        <v>✓</v>
      </c>
      <c r="Q32" s="154" t="str">
        <f>IFERROR(__xludf.DUMMYFUNCTION("if(REGEXMATCH(join("", "",$C32:$F32),Q$1)=TRUE,""✓"",""✗"")"),"✗")</f>
        <v>✗</v>
      </c>
      <c r="R32" s="154" t="str">
        <f>IFERROR(__xludf.DUMMYFUNCTION("if(REGEXMATCH(join("", "",$C32:$F32),R$1)=TRUE,""✓"",""✗"")"),"✗")</f>
        <v>✗</v>
      </c>
      <c r="S32" s="154" t="str">
        <f>IFERROR(__xludf.DUMMYFUNCTION("if(REGEXMATCH(join("", "",$C32:$F32),S$1)=TRUE,""✓"",""✗"")"),"✗")</f>
        <v>✗</v>
      </c>
      <c r="T32" s="155"/>
      <c r="U32" s="155"/>
      <c r="V32" s="155"/>
      <c r="W32" s="155"/>
      <c r="X32" s="155"/>
      <c r="Y32" s="155"/>
      <c r="Z32" s="155"/>
      <c r="AA32" s="155"/>
      <c r="AB32" s="155"/>
    </row>
    <row r="33">
      <c r="A33" s="150">
        <v>32.0</v>
      </c>
      <c r="B33" s="151" t="str">
        <f t="shared" si="1"/>
        <v>Guglielmetti et al., 2021</v>
      </c>
      <c r="C33" s="152" t="s">
        <v>321</v>
      </c>
      <c r="D33" s="156" t="s">
        <v>4999</v>
      </c>
      <c r="E33" s="152" t="s">
        <v>109</v>
      </c>
      <c r="F33" s="157" t="s">
        <v>341</v>
      </c>
      <c r="G33" s="154" t="str">
        <f>IFERROR(__xludf.DUMMYFUNCTION("if(REGEXMATCH(join("", "",$C33:$F33),G$1)=TRUE,""✓"",""✗"")"),"✓")</f>
        <v>✓</v>
      </c>
      <c r="H33" s="154" t="str">
        <f>IFERROR(__xludf.DUMMYFUNCTION("if(REGEXMATCH(join("", "",$C33:$F33),H$1)=TRUE,""✓"",""✗"")"),"✓")</f>
        <v>✓</v>
      </c>
      <c r="I33" s="154" t="str">
        <f>IFERROR(__xludf.DUMMYFUNCTION("if(REGEXMATCH(join("", "",$C33:$F33),I$1)=TRUE,""✓"",""✗"")"),"✗")</f>
        <v>✗</v>
      </c>
      <c r="J33" s="154" t="str">
        <f>IFERROR(__xludf.DUMMYFUNCTION("if(REGEXMATCH(join("", "",$C33:$F33),J$1)=TRUE,""✓"",""✗"")"),"✗")</f>
        <v>✗</v>
      </c>
      <c r="K33" s="154" t="str">
        <f>IFERROR(__xludf.DUMMYFUNCTION("if(REGEXMATCH(join("", "",$C33:$F33),K$1)=TRUE,""✓"",""✗"")"),"✗")</f>
        <v>✗</v>
      </c>
      <c r="L33" s="154" t="str">
        <f>IFERROR(__xludf.DUMMYFUNCTION("if(REGEXMATCH(join("", "",$C33:$F33),L$1)=TRUE,""✓"",""✗"")"),"✗")</f>
        <v>✗</v>
      </c>
      <c r="M33" s="154" t="str">
        <f>IFERROR(__xludf.DUMMYFUNCTION("if(REGEXMATCH(join("", "",$C33:$F33),M$1)=TRUE,""✓"",""✗"")"),"✓")</f>
        <v>✓</v>
      </c>
      <c r="N33" s="154" t="str">
        <f>IFERROR(__xludf.DUMMYFUNCTION("if(REGEXMATCH(join("", "",$C33:$F33),N$1)=TRUE,""✓"",""✗"")"),"✓")</f>
        <v>✓</v>
      </c>
      <c r="O33" s="154" t="str">
        <f>IFERROR(__xludf.DUMMYFUNCTION("if(REGEXMATCH(join("", "",$C33:$F33),O$1)=TRUE,""✓"",""✗"")"),"✗")</f>
        <v>✗</v>
      </c>
      <c r="P33" s="154" t="str">
        <f>IFERROR(__xludf.DUMMYFUNCTION("if(REGEXMATCH(join("", "",$C33:$F33),P$1)=TRUE,""✓"",""✗"")"),"✗")</f>
        <v>✗</v>
      </c>
      <c r="Q33" s="154" t="str">
        <f>IFERROR(__xludf.DUMMYFUNCTION("if(REGEXMATCH(join("", "",$C33:$F33),Q$1)=TRUE,""✓"",""✗"")"),"✓")</f>
        <v>✓</v>
      </c>
      <c r="R33" s="154" t="str">
        <f>IFERROR(__xludf.DUMMYFUNCTION("if(REGEXMATCH(join("", "",$C33:$F33),R$1)=TRUE,""✓"",""✗"")"),"✓")</f>
        <v>✓</v>
      </c>
      <c r="S33" s="154" t="str">
        <f>IFERROR(__xludf.DUMMYFUNCTION("if(REGEXMATCH(join("", "",$C33:$F33),S$1)=TRUE,""✓"",""✗"")"),"✗")</f>
        <v>✗</v>
      </c>
      <c r="T33" s="155"/>
      <c r="U33" s="155"/>
      <c r="V33" s="155"/>
      <c r="W33" s="155"/>
      <c r="X33" s="155"/>
      <c r="Y33" s="155"/>
      <c r="Z33" s="155"/>
      <c r="AA33" s="155"/>
      <c r="AB33" s="155"/>
    </row>
    <row r="34">
      <c r="A34" s="150">
        <v>33.0</v>
      </c>
      <c r="B34" s="151" t="str">
        <f t="shared" si="1"/>
        <v>Harilainen et al., 2006</v>
      </c>
      <c r="C34" s="152" t="s">
        <v>321</v>
      </c>
      <c r="D34" s="156" t="s">
        <v>5000</v>
      </c>
      <c r="E34" s="152" t="s">
        <v>109</v>
      </c>
      <c r="F34" s="157" t="s">
        <v>342</v>
      </c>
      <c r="G34" s="154" t="str">
        <f>IFERROR(__xludf.DUMMYFUNCTION("if(REGEXMATCH(join("", "",$C34:$F34),G$1)=TRUE,""✓"",""✗"")"),"✓")</f>
        <v>✓</v>
      </c>
      <c r="H34" s="154" t="str">
        <f>IFERROR(__xludf.DUMMYFUNCTION("if(REGEXMATCH(join("", "",$C34:$F34),H$1)=TRUE,""✓"",""✗"")"),"✓")</f>
        <v>✓</v>
      </c>
      <c r="I34" s="154" t="str">
        <f>IFERROR(__xludf.DUMMYFUNCTION("if(REGEXMATCH(join("", "",$C34:$F34),I$1)=TRUE,""✓"",""✗"")"),"✗")</f>
        <v>✗</v>
      </c>
      <c r="J34" s="154" t="str">
        <f>IFERROR(__xludf.DUMMYFUNCTION("if(REGEXMATCH(join("", "",$C34:$F34),J$1)=TRUE,""✓"",""✗"")"),"✗")</f>
        <v>✗</v>
      </c>
      <c r="K34" s="154" t="str">
        <f>IFERROR(__xludf.DUMMYFUNCTION("if(REGEXMATCH(join("", "",$C34:$F34),K$1)=TRUE,""✓"",""✗"")"),"✗")</f>
        <v>✗</v>
      </c>
      <c r="L34" s="154" t="str">
        <f>IFERROR(__xludf.DUMMYFUNCTION("if(REGEXMATCH(join("", "",$C34:$F34),L$1)=TRUE,""✓"",""✗"")"),"✗")</f>
        <v>✗</v>
      </c>
      <c r="M34" s="154" t="str">
        <f>IFERROR(__xludf.DUMMYFUNCTION("if(REGEXMATCH(join("", "",$C34:$F34),M$1)=TRUE,""✓"",""✗"")"),"✓")</f>
        <v>✓</v>
      </c>
      <c r="N34" s="154" t="str">
        <f>IFERROR(__xludf.DUMMYFUNCTION("if(REGEXMATCH(join("", "",$C34:$F34),N$1)=TRUE,""✓"",""✗"")"),"✓")</f>
        <v>✓</v>
      </c>
      <c r="O34" s="154" t="str">
        <f>IFERROR(__xludf.DUMMYFUNCTION("if(REGEXMATCH(join("", "",$C34:$F34),O$1)=TRUE,""✓"",""✗"")"),"✓")</f>
        <v>✓</v>
      </c>
      <c r="P34" s="154" t="str">
        <f>IFERROR(__xludf.DUMMYFUNCTION("if(REGEXMATCH(join("", "",$C34:$F34),P$1)=TRUE,""✓"",""✗"")"),"✓")</f>
        <v>✓</v>
      </c>
      <c r="Q34" s="154" t="str">
        <f>IFERROR(__xludf.DUMMYFUNCTION("if(REGEXMATCH(join("", "",$C34:$F34),Q$1)=TRUE,""✓"",""✗"")"),"✓")</f>
        <v>✓</v>
      </c>
      <c r="R34" s="154" t="str">
        <f>IFERROR(__xludf.DUMMYFUNCTION("if(REGEXMATCH(join("", "",$C34:$F34),R$1)=TRUE,""✓"",""✗"")"),"✗")</f>
        <v>✗</v>
      </c>
      <c r="S34" s="154" t="str">
        <f>IFERROR(__xludf.DUMMYFUNCTION("if(REGEXMATCH(join("", "",$C34:$F34),S$1)=TRUE,""✓"",""✗"")"),"✗")</f>
        <v>✗</v>
      </c>
      <c r="T34" s="155"/>
      <c r="U34" s="155"/>
      <c r="V34" s="155"/>
      <c r="W34" s="155"/>
      <c r="X34" s="155"/>
      <c r="Y34" s="155"/>
      <c r="Z34" s="155"/>
      <c r="AA34" s="155"/>
      <c r="AB34" s="155"/>
    </row>
    <row r="35">
      <c r="A35" s="150">
        <v>34.0</v>
      </c>
      <c r="B35" s="151" t="str">
        <f t="shared" si="1"/>
        <v>Heijne et al., Werner et al., 2010</v>
      </c>
      <c r="C35" s="152" t="s">
        <v>321</v>
      </c>
      <c r="D35" s="156" t="s">
        <v>5001</v>
      </c>
      <c r="E35" s="152" t="s">
        <v>109</v>
      </c>
      <c r="F35" s="157" t="s">
        <v>343</v>
      </c>
      <c r="G35" s="154" t="str">
        <f>IFERROR(__xludf.DUMMYFUNCTION("if(REGEXMATCH(join("", "",$C35:$F35),G$1)=TRUE,""✓"",""✗"")"),"✓")</f>
        <v>✓</v>
      </c>
      <c r="H35" s="154" t="str">
        <f>IFERROR(__xludf.DUMMYFUNCTION("if(REGEXMATCH(join("", "",$C35:$F35),H$1)=TRUE,""✓"",""✗"")"),"✓")</f>
        <v>✓</v>
      </c>
      <c r="I35" s="154" t="str">
        <f>IFERROR(__xludf.DUMMYFUNCTION("if(REGEXMATCH(join("", "",$C35:$F35),I$1)=TRUE,""✓"",""✗"")"),"✗")</f>
        <v>✗</v>
      </c>
      <c r="J35" s="154" t="str">
        <f>IFERROR(__xludf.DUMMYFUNCTION("if(REGEXMATCH(join("", "",$C35:$F35),J$1)=TRUE,""✓"",""✗"")"),"✗")</f>
        <v>✗</v>
      </c>
      <c r="K35" s="154" t="str">
        <f>IFERROR(__xludf.DUMMYFUNCTION("if(REGEXMATCH(join("", "",$C35:$F35),K$1)=TRUE,""✓"",""✗"")"),"✗")</f>
        <v>✗</v>
      </c>
      <c r="L35" s="154" t="str">
        <f>IFERROR(__xludf.DUMMYFUNCTION("if(REGEXMATCH(join("", "",$C35:$F35),L$1)=TRUE,""✓"",""✗"")"),"✗")</f>
        <v>✗</v>
      </c>
      <c r="M35" s="154" t="str">
        <f>IFERROR(__xludf.DUMMYFUNCTION("if(REGEXMATCH(join("", "",$C35:$F35),M$1)=TRUE,""✓"",""✗"")"),"✗")</f>
        <v>✗</v>
      </c>
      <c r="N35" s="154" t="str">
        <f>IFERROR(__xludf.DUMMYFUNCTION("if(REGEXMATCH(join("", "",$C35:$F35),N$1)=TRUE,""✓"",""✗"")"),"✗")</f>
        <v>✗</v>
      </c>
      <c r="O35" s="154" t="str">
        <f>IFERROR(__xludf.DUMMYFUNCTION("if(REGEXMATCH(join("", "",$C35:$F35),O$1)=TRUE,""✓"",""✗"")"),"✓")</f>
        <v>✓</v>
      </c>
      <c r="P35" s="154" t="str">
        <f>IFERROR(__xludf.DUMMYFUNCTION("if(REGEXMATCH(join("", "",$C35:$F35),P$1)=TRUE,""✓"",""✗"")"),"✓")</f>
        <v>✓</v>
      </c>
      <c r="Q35" s="154" t="str">
        <f>IFERROR(__xludf.DUMMYFUNCTION("if(REGEXMATCH(join("", "",$C35:$F35),Q$1)=TRUE,""✓"",""✗"")"),"✓")</f>
        <v>✓</v>
      </c>
      <c r="R35" s="154" t="str">
        <f>IFERROR(__xludf.DUMMYFUNCTION("if(REGEXMATCH(join("", "",$C35:$F35),R$1)=TRUE,""✓"",""✗"")"),"✗")</f>
        <v>✗</v>
      </c>
      <c r="S35" s="154" t="str">
        <f>IFERROR(__xludf.DUMMYFUNCTION("if(REGEXMATCH(join("", "",$C35:$F35),S$1)=TRUE,""✓"",""✗"")"),"✗")</f>
        <v>✗</v>
      </c>
      <c r="T35" s="155"/>
      <c r="U35" s="155"/>
      <c r="V35" s="155"/>
      <c r="W35" s="155"/>
      <c r="X35" s="155"/>
      <c r="Y35" s="155"/>
      <c r="Z35" s="155"/>
      <c r="AA35" s="155"/>
      <c r="AB35" s="155"/>
    </row>
    <row r="36">
      <c r="A36" s="150">
        <v>35.0</v>
      </c>
      <c r="B36" s="151" t="str">
        <f t="shared" si="1"/>
        <v>Holm et al., 2010</v>
      </c>
      <c r="C36" s="152" t="s">
        <v>321</v>
      </c>
      <c r="D36" s="156" t="s">
        <v>5002</v>
      </c>
      <c r="E36" s="152" t="s">
        <v>109</v>
      </c>
      <c r="F36" s="157" t="s">
        <v>344</v>
      </c>
      <c r="G36" s="154" t="str">
        <f>IFERROR(__xludf.DUMMYFUNCTION("if(REGEXMATCH(join("", "",$C36:$F36),G$1)=TRUE,""✓"",""✗"")"),"✓")</f>
        <v>✓</v>
      </c>
      <c r="H36" s="154" t="str">
        <f>IFERROR(__xludf.DUMMYFUNCTION("if(REGEXMATCH(join("", "",$C36:$F36),H$1)=TRUE,""✓"",""✗"")"),"✓")</f>
        <v>✓</v>
      </c>
      <c r="I36" s="154" t="str">
        <f>IFERROR(__xludf.DUMMYFUNCTION("if(REGEXMATCH(join("", "",$C36:$F36),I$1)=TRUE,""✓"",""✗"")"),"✗")</f>
        <v>✗</v>
      </c>
      <c r="J36" s="154" t="str">
        <f>IFERROR(__xludf.DUMMYFUNCTION("if(REGEXMATCH(join("", "",$C36:$F36),J$1)=TRUE,""✓"",""✗"")"),"✗")</f>
        <v>✗</v>
      </c>
      <c r="K36" s="154" t="str">
        <f>IFERROR(__xludf.DUMMYFUNCTION("if(REGEXMATCH(join("", "",$C36:$F36),K$1)=TRUE,""✓"",""✗"")"),"✗")</f>
        <v>✗</v>
      </c>
      <c r="L36" s="154" t="str">
        <f>IFERROR(__xludf.DUMMYFUNCTION("if(REGEXMATCH(join("", "",$C36:$F36),L$1)=TRUE,""✓"",""✗"")"),"✗")</f>
        <v>✗</v>
      </c>
      <c r="M36" s="154" t="str">
        <f>IFERROR(__xludf.DUMMYFUNCTION("if(REGEXMATCH(join("", "",$C36:$F36),M$1)=TRUE,""✓"",""✗"")"),"✗")</f>
        <v>✗</v>
      </c>
      <c r="N36" s="154" t="str">
        <f>IFERROR(__xludf.DUMMYFUNCTION("if(REGEXMATCH(join("", "",$C36:$F36),N$1)=TRUE,""✓"",""✗"")"),"✗")</f>
        <v>✗</v>
      </c>
      <c r="O36" s="154" t="str">
        <f>IFERROR(__xludf.DUMMYFUNCTION("if(REGEXMATCH(join("", "",$C36:$F36),O$1)=TRUE,""✓"",""✗"")"),"✓")</f>
        <v>✓</v>
      </c>
      <c r="P36" s="154" t="str">
        <f>IFERROR(__xludf.DUMMYFUNCTION("if(REGEXMATCH(join("", "",$C36:$F36),P$1)=TRUE,""✓"",""✗"")"),"✓")</f>
        <v>✓</v>
      </c>
      <c r="Q36" s="154" t="str">
        <f>IFERROR(__xludf.DUMMYFUNCTION("if(REGEXMATCH(join("", "",$C36:$F36),Q$1)=TRUE,""✓"",""✗"")"),"✗")</f>
        <v>✗</v>
      </c>
      <c r="R36" s="154" t="str">
        <f>IFERROR(__xludf.DUMMYFUNCTION("if(REGEXMATCH(join("", "",$C36:$F36),R$1)=TRUE,""✓"",""✗"")"),"✗")</f>
        <v>✗</v>
      </c>
      <c r="S36" s="154" t="str">
        <f>IFERROR(__xludf.DUMMYFUNCTION("if(REGEXMATCH(join("", "",$C36:$F36),S$1)=TRUE,""✓"",""✗"")"),"✗")</f>
        <v>✗</v>
      </c>
      <c r="T36" s="155"/>
      <c r="U36" s="155"/>
      <c r="V36" s="155"/>
      <c r="W36" s="155"/>
      <c r="X36" s="155"/>
      <c r="Y36" s="155"/>
      <c r="Z36" s="155"/>
      <c r="AA36" s="155"/>
      <c r="AB36" s="155"/>
    </row>
    <row r="37">
      <c r="A37" s="150">
        <v>36.0</v>
      </c>
      <c r="B37" s="151" t="str">
        <f t="shared" si="1"/>
        <v>Horstmann et al., 2022</v>
      </c>
      <c r="C37" s="157" t="s">
        <v>337</v>
      </c>
      <c r="D37" s="156" t="s">
        <v>5003</v>
      </c>
      <c r="E37" s="152" t="s">
        <v>109</v>
      </c>
      <c r="F37" s="157" t="s">
        <v>345</v>
      </c>
      <c r="G37" s="154" t="str">
        <f>IFERROR(__xludf.DUMMYFUNCTION("if(REGEXMATCH(join("", "",$C37:$F37),G$1)=TRUE,""✓"",""✗"")"),"✗")</f>
        <v>✗</v>
      </c>
      <c r="H37" s="154" t="str">
        <f>IFERROR(__xludf.DUMMYFUNCTION("if(REGEXMATCH(join("", "",$C37:$F37),H$1)=TRUE,""✓"",""✗"")"),"✓")</f>
        <v>✓</v>
      </c>
      <c r="I37" s="154" t="str">
        <f>IFERROR(__xludf.DUMMYFUNCTION("if(REGEXMATCH(join("", "",$C37:$F37),I$1)=TRUE,""✓"",""✗"")"),"✓")</f>
        <v>✓</v>
      </c>
      <c r="J37" s="154" t="str">
        <f>IFERROR(__xludf.DUMMYFUNCTION("if(REGEXMATCH(join("", "",$C37:$F37),J$1)=TRUE,""✓"",""✗"")"),"✗")</f>
        <v>✗</v>
      </c>
      <c r="K37" s="154" t="str">
        <f>IFERROR(__xludf.DUMMYFUNCTION("if(REGEXMATCH(join("", "",$C37:$F37),K$1)=TRUE,""✓"",""✗"")"),"✗")</f>
        <v>✗</v>
      </c>
      <c r="L37" s="154" t="str">
        <f>IFERROR(__xludf.DUMMYFUNCTION("if(REGEXMATCH(join("", "",$C37:$F37),L$1)=TRUE,""✓"",""✗"")"),"✗")</f>
        <v>✗</v>
      </c>
      <c r="M37" s="154" t="str">
        <f>IFERROR(__xludf.DUMMYFUNCTION("if(REGEXMATCH(join("", "",$C37:$F37),M$1)=TRUE,""✓"",""✗"")"),"✓")</f>
        <v>✓</v>
      </c>
      <c r="N37" s="154" t="str">
        <f>IFERROR(__xludf.DUMMYFUNCTION("if(REGEXMATCH(join("", "",$C37:$F37),N$1)=TRUE,""✓"",""✗"")"),"✓")</f>
        <v>✓</v>
      </c>
      <c r="O37" s="154" t="str">
        <f>IFERROR(__xludf.DUMMYFUNCTION("if(REGEXMATCH(join("", "",$C37:$F37),O$1)=TRUE,""✓"",""✗"")"),"✗")</f>
        <v>✗</v>
      </c>
      <c r="P37" s="154" t="str">
        <f>IFERROR(__xludf.DUMMYFUNCTION("if(REGEXMATCH(join("", "",$C37:$F37),P$1)=TRUE,""✓"",""✗"")"),"✓")</f>
        <v>✓</v>
      </c>
      <c r="Q37" s="154" t="str">
        <f>IFERROR(__xludf.DUMMYFUNCTION("if(REGEXMATCH(join("", "",$C37:$F37),Q$1)=TRUE,""✓"",""✗"")"),"✗")</f>
        <v>✗</v>
      </c>
      <c r="R37" s="154" t="str">
        <f>IFERROR(__xludf.DUMMYFUNCTION("if(REGEXMATCH(join("", "",$C37:$F37),R$1)=TRUE,""✓"",""✗"")"),"✗")</f>
        <v>✗</v>
      </c>
      <c r="S37" s="154" t="str">
        <f>IFERROR(__xludf.DUMMYFUNCTION("if(REGEXMATCH(join("", "",$C37:$F37),S$1)=TRUE,""✓"",""✗"")"),"✗")</f>
        <v>✗</v>
      </c>
      <c r="T37" s="155"/>
      <c r="U37" s="155"/>
      <c r="V37" s="155"/>
      <c r="W37" s="155"/>
      <c r="X37" s="155"/>
      <c r="Y37" s="155"/>
      <c r="Z37" s="155"/>
      <c r="AA37" s="155"/>
      <c r="AB37" s="155"/>
    </row>
    <row r="38">
      <c r="A38" s="150">
        <v>37.0</v>
      </c>
      <c r="B38" s="151" t="str">
        <f t="shared" si="1"/>
        <v>Ibrahim et al., 2005</v>
      </c>
      <c r="C38" s="152" t="s">
        <v>321</v>
      </c>
      <c r="D38" s="156" t="s">
        <v>5004</v>
      </c>
      <c r="E38" s="152" t="s">
        <v>109</v>
      </c>
      <c r="F38" s="157" t="s">
        <v>346</v>
      </c>
      <c r="G38" s="154" t="str">
        <f>IFERROR(__xludf.DUMMYFUNCTION("if(REGEXMATCH(join("", "",$C38:$F38),G$1)=TRUE,""✓"",""✗"")"),"✓")</f>
        <v>✓</v>
      </c>
      <c r="H38" s="154" t="str">
        <f>IFERROR(__xludf.DUMMYFUNCTION("if(REGEXMATCH(join("", "",$C38:$F38),H$1)=TRUE,""✓"",""✗"")"),"✓")</f>
        <v>✓</v>
      </c>
      <c r="I38" s="154" t="str">
        <f>IFERROR(__xludf.DUMMYFUNCTION("if(REGEXMATCH(join("", "",$C38:$F38),I$1)=TRUE,""✓"",""✗"")"),"✗")</f>
        <v>✗</v>
      </c>
      <c r="J38" s="154" t="str">
        <f>IFERROR(__xludf.DUMMYFUNCTION("if(REGEXMATCH(join("", "",$C38:$F38),J$1)=TRUE,""✓"",""✗"")"),"✗")</f>
        <v>✗</v>
      </c>
      <c r="K38" s="154" t="str">
        <f>IFERROR(__xludf.DUMMYFUNCTION("if(REGEXMATCH(join("", "",$C38:$F38),K$1)=TRUE,""✓"",""✗"")"),"✗")</f>
        <v>✗</v>
      </c>
      <c r="L38" s="154" t="str">
        <f>IFERROR(__xludf.DUMMYFUNCTION("if(REGEXMATCH(join("", "",$C38:$F38),L$1)=TRUE,""✓"",""✗"")"),"✗")</f>
        <v>✗</v>
      </c>
      <c r="M38" s="154" t="str">
        <f>IFERROR(__xludf.DUMMYFUNCTION("if(REGEXMATCH(join("", "",$C38:$F38),M$1)=TRUE,""✓"",""✗"")"),"✗")</f>
        <v>✗</v>
      </c>
      <c r="N38" s="154" t="str">
        <f>IFERROR(__xludf.DUMMYFUNCTION("if(REGEXMATCH(join("", "",$C38:$F38),N$1)=TRUE,""✓"",""✗"")"),"✓")</f>
        <v>✓</v>
      </c>
      <c r="O38" s="154" t="str">
        <f>IFERROR(__xludf.DUMMYFUNCTION("if(REGEXMATCH(join("", "",$C38:$F38),O$1)=TRUE,""✓"",""✗"")"),"✗")</f>
        <v>✗</v>
      </c>
      <c r="P38" s="154" t="str">
        <f>IFERROR(__xludf.DUMMYFUNCTION("if(REGEXMATCH(join("", "",$C38:$F38),P$1)=TRUE,""✓"",""✗"")"),"✓")</f>
        <v>✓</v>
      </c>
      <c r="Q38" s="154" t="str">
        <f>IFERROR(__xludf.DUMMYFUNCTION("if(REGEXMATCH(join("", "",$C38:$F38),Q$1)=TRUE,""✓"",""✗"")"),"✓")</f>
        <v>✓</v>
      </c>
      <c r="R38" s="154" t="str">
        <f>IFERROR(__xludf.DUMMYFUNCTION("if(REGEXMATCH(join("", "",$C38:$F38),R$1)=TRUE,""✓"",""✗"")"),"✓")</f>
        <v>✓</v>
      </c>
      <c r="S38" s="154" t="str">
        <f>IFERROR(__xludf.DUMMYFUNCTION("if(REGEXMATCH(join("", "",$C38:$F38),S$1)=TRUE,""✓"",""✗"")"),"✗")</f>
        <v>✗</v>
      </c>
      <c r="T38" s="155"/>
      <c r="U38" s="155"/>
      <c r="V38" s="155"/>
      <c r="W38" s="155"/>
      <c r="X38" s="155"/>
      <c r="Y38" s="155"/>
      <c r="Z38" s="155"/>
      <c r="AA38" s="155"/>
      <c r="AB38" s="155"/>
    </row>
    <row r="39">
      <c r="A39" s="150">
        <v>38.0</v>
      </c>
      <c r="B39" s="151" t="str">
        <f t="shared" si="1"/>
        <v>Iliopoulos et al., 2017</v>
      </c>
      <c r="C39" s="152" t="s">
        <v>321</v>
      </c>
      <c r="D39" s="156" t="s">
        <v>5005</v>
      </c>
      <c r="E39" s="152" t="s">
        <v>109</v>
      </c>
      <c r="F39" s="157" t="s">
        <v>341</v>
      </c>
      <c r="G39" s="154" t="str">
        <f>IFERROR(__xludf.DUMMYFUNCTION("if(REGEXMATCH(join("", "",$C39:$F39),G$1)=TRUE,""✓"",""✗"")"),"✓")</f>
        <v>✓</v>
      </c>
      <c r="H39" s="154" t="str">
        <f>IFERROR(__xludf.DUMMYFUNCTION("if(REGEXMATCH(join("", "",$C39:$F39),H$1)=TRUE,""✓"",""✗"")"),"✓")</f>
        <v>✓</v>
      </c>
      <c r="I39" s="154" t="str">
        <f>IFERROR(__xludf.DUMMYFUNCTION("if(REGEXMATCH(join("", "",$C39:$F39),I$1)=TRUE,""✓"",""✗"")"),"✗")</f>
        <v>✗</v>
      </c>
      <c r="J39" s="154" t="str">
        <f>IFERROR(__xludf.DUMMYFUNCTION("if(REGEXMATCH(join("", "",$C39:$F39),J$1)=TRUE,""✓"",""✗"")"),"✗")</f>
        <v>✗</v>
      </c>
      <c r="K39" s="154" t="str">
        <f>IFERROR(__xludf.DUMMYFUNCTION("if(REGEXMATCH(join("", "",$C39:$F39),K$1)=TRUE,""✓"",""✗"")"),"✗")</f>
        <v>✗</v>
      </c>
      <c r="L39" s="154" t="str">
        <f>IFERROR(__xludf.DUMMYFUNCTION("if(REGEXMATCH(join("", "",$C39:$F39),L$1)=TRUE,""✓"",""✗"")"),"✗")</f>
        <v>✗</v>
      </c>
      <c r="M39" s="154" t="str">
        <f>IFERROR(__xludf.DUMMYFUNCTION("if(REGEXMATCH(join("", "",$C39:$F39),M$1)=TRUE,""✓"",""✗"")"),"✓")</f>
        <v>✓</v>
      </c>
      <c r="N39" s="154" t="str">
        <f>IFERROR(__xludf.DUMMYFUNCTION("if(REGEXMATCH(join("", "",$C39:$F39),N$1)=TRUE,""✓"",""✗"")"),"✓")</f>
        <v>✓</v>
      </c>
      <c r="O39" s="154" t="str">
        <f>IFERROR(__xludf.DUMMYFUNCTION("if(REGEXMATCH(join("", "",$C39:$F39),O$1)=TRUE,""✓"",""✗"")"),"✗")</f>
        <v>✗</v>
      </c>
      <c r="P39" s="154" t="str">
        <f>IFERROR(__xludf.DUMMYFUNCTION("if(REGEXMATCH(join("", "",$C39:$F39),P$1)=TRUE,""✓"",""✗"")"),"✗")</f>
        <v>✗</v>
      </c>
      <c r="Q39" s="154" t="str">
        <f>IFERROR(__xludf.DUMMYFUNCTION("if(REGEXMATCH(join("", "",$C39:$F39),Q$1)=TRUE,""✓"",""✗"")"),"✓")</f>
        <v>✓</v>
      </c>
      <c r="R39" s="154" t="str">
        <f>IFERROR(__xludf.DUMMYFUNCTION("if(REGEXMATCH(join("", "",$C39:$F39),R$1)=TRUE,""✓"",""✗"")"),"✓")</f>
        <v>✓</v>
      </c>
      <c r="S39" s="154" t="str">
        <f>IFERROR(__xludf.DUMMYFUNCTION("if(REGEXMATCH(join("", "",$C39:$F39),S$1)=TRUE,""✓"",""✗"")"),"✗")</f>
        <v>✗</v>
      </c>
      <c r="T39" s="155"/>
      <c r="U39" s="155"/>
      <c r="V39" s="155"/>
      <c r="W39" s="155"/>
      <c r="X39" s="155"/>
      <c r="Y39" s="155"/>
      <c r="Z39" s="155"/>
      <c r="AA39" s="155"/>
      <c r="AB39" s="155"/>
    </row>
    <row r="40" outlineLevel="1">
      <c r="A40" s="150">
        <v>39.0</v>
      </c>
      <c r="B40" s="151" t="str">
        <f t="shared" si="1"/>
        <v>Irrgang et al., 2021</v>
      </c>
      <c r="C40" s="157"/>
      <c r="D40" s="156" t="s">
        <v>5006</v>
      </c>
      <c r="E40" s="152" t="s">
        <v>174</v>
      </c>
      <c r="F40" s="152" t="s">
        <v>4996</v>
      </c>
      <c r="G40" s="154" t="str">
        <f>IFERROR(__xludf.DUMMYFUNCTION("if(REGEXMATCH(join("", "",$C40:$F40),G$1)=TRUE,""✓"",""✗"")"),"✗")</f>
        <v>✗</v>
      </c>
      <c r="H40" s="154" t="str">
        <f>IFERROR(__xludf.DUMMYFUNCTION("if(REGEXMATCH(join("", "",$C40:$F40),H$1)=TRUE,""✓"",""✗"")"),"✗")</f>
        <v>✗</v>
      </c>
      <c r="I40" s="154" t="str">
        <f>IFERROR(__xludf.DUMMYFUNCTION("if(REGEXMATCH(join("", "",$C40:$F40),I$1)=TRUE,""✓"",""✗"")"),"✗")</f>
        <v>✗</v>
      </c>
      <c r="J40" s="154" t="str">
        <f>IFERROR(__xludf.DUMMYFUNCTION("if(REGEXMATCH(join("", "",$C40:$F40),J$1)=TRUE,""✓"",""✗"")"),"✗")</f>
        <v>✗</v>
      </c>
      <c r="K40" s="154" t="str">
        <f>IFERROR(__xludf.DUMMYFUNCTION("if(REGEXMATCH(join("", "",$C40:$F40),K$1)=TRUE,""✓"",""✗"")"),"✗")</f>
        <v>✗</v>
      </c>
      <c r="L40" s="154" t="str">
        <f>IFERROR(__xludf.DUMMYFUNCTION("if(REGEXMATCH(join("", "",$C40:$F40),L$1)=TRUE,""✓"",""✗"")"),"✗")</f>
        <v>✗</v>
      </c>
      <c r="M40" s="154" t="str">
        <f>IFERROR(__xludf.DUMMYFUNCTION("if(REGEXMATCH(join("", "",$C40:$F40),M$1)=TRUE,""✓"",""✗"")"),"✗")</f>
        <v>✗</v>
      </c>
      <c r="N40" s="154" t="str">
        <f>IFERROR(__xludf.DUMMYFUNCTION("if(REGEXMATCH(join("", "",$C40:$F40),N$1)=TRUE,""✓"",""✗"")"),"✗")</f>
        <v>✗</v>
      </c>
      <c r="O40" s="154" t="str">
        <f>IFERROR(__xludf.DUMMYFUNCTION("if(REGEXMATCH(join("", "",$C40:$F40),O$1)=TRUE,""✓"",""✗"")"),"✗")</f>
        <v>✗</v>
      </c>
      <c r="P40" s="154" t="str">
        <f>IFERROR(__xludf.DUMMYFUNCTION("if(REGEXMATCH(join("", "",$C40:$F40),P$1)=TRUE,""✓"",""✗"")"),"✗")</f>
        <v>✗</v>
      </c>
      <c r="Q40" s="154" t="str">
        <f>IFERROR(__xludf.DUMMYFUNCTION("if(REGEXMATCH(join("", "",$C40:$F40),Q$1)=TRUE,""✓"",""✗"")"),"✗")</f>
        <v>✗</v>
      </c>
      <c r="R40" s="154" t="str">
        <f>IFERROR(__xludf.DUMMYFUNCTION("if(REGEXMATCH(join("", "",$C40:$F40),R$1)=TRUE,""✓"",""✗"")"),"✗")</f>
        <v>✗</v>
      </c>
      <c r="S40" s="154" t="str">
        <f>IFERROR(__xludf.DUMMYFUNCTION("if(REGEXMATCH(join("", "",$C40:$F40),S$1)=TRUE,""✓"",""✗"")"),"✗")</f>
        <v>✗</v>
      </c>
      <c r="T40" s="155"/>
      <c r="U40" s="155"/>
      <c r="V40" s="155"/>
      <c r="W40" s="155"/>
      <c r="X40" s="155"/>
      <c r="Y40" s="155"/>
      <c r="Z40" s="155"/>
      <c r="AA40" s="155"/>
      <c r="AB40" s="155"/>
    </row>
    <row r="41" outlineLevel="1">
      <c r="A41" s="150">
        <v>40.0</v>
      </c>
      <c r="B41" s="151" t="str">
        <f t="shared" si="1"/>
        <v>Jansson et al., 1999</v>
      </c>
      <c r="C41" s="152"/>
      <c r="D41" s="156" t="s">
        <v>5007</v>
      </c>
      <c r="E41" s="152" t="s">
        <v>174</v>
      </c>
      <c r="F41" s="152" t="s">
        <v>4973</v>
      </c>
      <c r="G41" s="154" t="str">
        <f>IFERROR(__xludf.DUMMYFUNCTION("if(REGEXMATCH(join("", "",$C41:$F41),G$1)=TRUE,""✓"",""✗"")"),"✗")</f>
        <v>✗</v>
      </c>
      <c r="H41" s="154" t="str">
        <f>IFERROR(__xludf.DUMMYFUNCTION("if(REGEXMATCH(join("", "",$C41:$F41),H$1)=TRUE,""✓"",""✗"")"),"✗")</f>
        <v>✗</v>
      </c>
      <c r="I41" s="154" t="str">
        <f>IFERROR(__xludf.DUMMYFUNCTION("if(REGEXMATCH(join("", "",$C41:$F41),I$1)=TRUE,""✓"",""✗"")"),"✗")</f>
        <v>✗</v>
      </c>
      <c r="J41" s="154" t="str">
        <f>IFERROR(__xludf.DUMMYFUNCTION("if(REGEXMATCH(join("", "",$C41:$F41),J$1)=TRUE,""✓"",""✗"")"),"✗")</f>
        <v>✗</v>
      </c>
      <c r="K41" s="154" t="str">
        <f>IFERROR(__xludf.DUMMYFUNCTION("if(REGEXMATCH(join("", "",$C41:$F41),K$1)=TRUE,""✓"",""✗"")"),"✗")</f>
        <v>✗</v>
      </c>
      <c r="L41" s="154" t="str">
        <f>IFERROR(__xludf.DUMMYFUNCTION("if(REGEXMATCH(join("", "",$C41:$F41),L$1)=TRUE,""✓"",""✗"")"),"✗")</f>
        <v>✗</v>
      </c>
      <c r="M41" s="154" t="str">
        <f>IFERROR(__xludf.DUMMYFUNCTION("if(REGEXMATCH(join("", "",$C41:$F41),M$1)=TRUE,""✓"",""✗"")"),"✗")</f>
        <v>✗</v>
      </c>
      <c r="N41" s="154" t="str">
        <f>IFERROR(__xludf.DUMMYFUNCTION("if(REGEXMATCH(join("", "",$C41:$F41),N$1)=TRUE,""✓"",""✗"")"),"✗")</f>
        <v>✗</v>
      </c>
      <c r="O41" s="154" t="str">
        <f>IFERROR(__xludf.DUMMYFUNCTION("if(REGEXMATCH(join("", "",$C41:$F41),O$1)=TRUE,""✓"",""✗"")"),"✗")</f>
        <v>✗</v>
      </c>
      <c r="P41" s="154" t="str">
        <f>IFERROR(__xludf.DUMMYFUNCTION("if(REGEXMATCH(join("", "",$C41:$F41),P$1)=TRUE,""✓"",""✗"")"),"✗")</f>
        <v>✗</v>
      </c>
      <c r="Q41" s="154" t="str">
        <f>IFERROR(__xludf.DUMMYFUNCTION("if(REGEXMATCH(join("", "",$C41:$F41),Q$1)=TRUE,""✓"",""✗"")"),"✗")</f>
        <v>✗</v>
      </c>
      <c r="R41" s="154" t="str">
        <f>IFERROR(__xludf.DUMMYFUNCTION("if(REGEXMATCH(join("", "",$C41:$F41),R$1)=TRUE,""✓"",""✗"")"),"✗")</f>
        <v>✗</v>
      </c>
      <c r="S41" s="154" t="str">
        <f>IFERROR(__xludf.DUMMYFUNCTION("if(REGEXMATCH(join("", "",$C41:$F41),S$1)=TRUE,""✓"",""✗"")"),"✗")</f>
        <v>✗</v>
      </c>
      <c r="T41" s="155"/>
      <c r="U41" s="155"/>
      <c r="V41" s="155"/>
      <c r="W41" s="155"/>
      <c r="X41" s="155"/>
      <c r="Y41" s="155"/>
      <c r="Z41" s="155"/>
      <c r="AA41" s="155"/>
      <c r="AB41" s="155"/>
    </row>
    <row r="42">
      <c r="A42" s="150">
        <v>41.0</v>
      </c>
      <c r="B42" s="151" t="str">
        <f t="shared" si="1"/>
        <v>Jansson et al., 2003</v>
      </c>
      <c r="C42" s="152" t="s">
        <v>321</v>
      </c>
      <c r="D42" s="156" t="s">
        <v>5008</v>
      </c>
      <c r="E42" s="152" t="s">
        <v>109</v>
      </c>
      <c r="F42" s="157" t="s">
        <v>347</v>
      </c>
      <c r="G42" s="154" t="str">
        <f>IFERROR(__xludf.DUMMYFUNCTION("if(REGEXMATCH(join("", "",$C42:$F42),G$1)=TRUE,""✓"",""✗"")"),"✓")</f>
        <v>✓</v>
      </c>
      <c r="H42" s="154" t="str">
        <f>IFERROR(__xludf.DUMMYFUNCTION("if(REGEXMATCH(join("", "",$C42:$F42),H$1)=TRUE,""✓"",""✗"")"),"✓")</f>
        <v>✓</v>
      </c>
      <c r="I42" s="154" t="str">
        <f>IFERROR(__xludf.DUMMYFUNCTION("if(REGEXMATCH(join("", "",$C42:$F42),I$1)=TRUE,""✓"",""✗"")"),"✗")</f>
        <v>✗</v>
      </c>
      <c r="J42" s="154" t="str">
        <f>IFERROR(__xludf.DUMMYFUNCTION("if(REGEXMATCH(join("", "",$C42:$F42),J$1)=TRUE,""✓"",""✗"")"),"✗")</f>
        <v>✗</v>
      </c>
      <c r="K42" s="154" t="str">
        <f>IFERROR(__xludf.DUMMYFUNCTION("if(REGEXMATCH(join("", "",$C42:$F42),K$1)=TRUE,""✓"",""✗"")"),"✗")</f>
        <v>✗</v>
      </c>
      <c r="L42" s="154" t="str">
        <f>IFERROR(__xludf.DUMMYFUNCTION("if(REGEXMATCH(join("", "",$C42:$F42),L$1)=TRUE,""✓"",""✗"")"),"✗")</f>
        <v>✗</v>
      </c>
      <c r="M42" s="154" t="str">
        <f>IFERROR(__xludf.DUMMYFUNCTION("if(REGEXMATCH(join("", "",$C42:$F42),M$1)=TRUE,""✓"",""✗"")"),"✗")</f>
        <v>✗</v>
      </c>
      <c r="N42" s="154" t="str">
        <f>IFERROR(__xludf.DUMMYFUNCTION("if(REGEXMATCH(join("", "",$C42:$F42),N$1)=TRUE,""✓"",""✗"")"),"✓")</f>
        <v>✓</v>
      </c>
      <c r="O42" s="154" t="str">
        <f>IFERROR(__xludf.DUMMYFUNCTION("if(REGEXMATCH(join("", "",$C42:$F42),O$1)=TRUE,""✓"",""✗"")"),"✓")</f>
        <v>✓</v>
      </c>
      <c r="P42" s="154" t="str">
        <f>IFERROR(__xludf.DUMMYFUNCTION("if(REGEXMATCH(join("", "",$C42:$F42),P$1)=TRUE,""✓"",""✗"")"),"✓")</f>
        <v>✓</v>
      </c>
      <c r="Q42" s="154" t="str">
        <f>IFERROR(__xludf.DUMMYFUNCTION("if(REGEXMATCH(join("", "",$C42:$F42),Q$1)=TRUE,""✓"",""✗"")"),"✓")</f>
        <v>✓</v>
      </c>
      <c r="R42" s="154" t="str">
        <f>IFERROR(__xludf.DUMMYFUNCTION("if(REGEXMATCH(join("", "",$C42:$F42),R$1)=TRUE,""✓"",""✗"")"),"✓")</f>
        <v>✓</v>
      </c>
      <c r="S42" s="154" t="str">
        <f>IFERROR(__xludf.DUMMYFUNCTION("if(REGEXMATCH(join("", "",$C42:$F42),S$1)=TRUE,""✓"",""✗"")"),"✗")</f>
        <v>✗</v>
      </c>
      <c r="T42" s="155"/>
      <c r="U42" s="155"/>
      <c r="V42" s="155"/>
      <c r="W42" s="155"/>
      <c r="X42" s="155"/>
      <c r="Y42" s="155"/>
      <c r="Z42" s="155"/>
      <c r="AA42" s="155"/>
      <c r="AB42" s="155"/>
    </row>
    <row r="43">
      <c r="A43" s="150">
        <v>42.0</v>
      </c>
      <c r="B43" s="151" t="str">
        <f t="shared" si="1"/>
        <v>Johns et al., 2026</v>
      </c>
      <c r="C43" s="157"/>
      <c r="D43" s="156" t="s">
        <v>5009</v>
      </c>
      <c r="E43" s="152" t="s">
        <v>174</v>
      </c>
      <c r="F43" s="152" t="s">
        <v>4980</v>
      </c>
      <c r="G43" s="154" t="str">
        <f>IFERROR(__xludf.DUMMYFUNCTION("if(REGEXMATCH(join("", "",$C43:$F43),G$1)=TRUE,""✓"",""✗"")"),"✗")</f>
        <v>✗</v>
      </c>
      <c r="H43" s="154" t="str">
        <f>IFERROR(__xludf.DUMMYFUNCTION("if(REGEXMATCH(join("", "",$C43:$F43),H$1)=TRUE,""✓"",""✗"")"),"✗")</f>
        <v>✗</v>
      </c>
      <c r="I43" s="154" t="str">
        <f>IFERROR(__xludf.DUMMYFUNCTION("if(REGEXMATCH(join("", "",$C43:$F43),I$1)=TRUE,""✓"",""✗"")"),"✗")</f>
        <v>✗</v>
      </c>
      <c r="J43" s="154" t="str">
        <f>IFERROR(__xludf.DUMMYFUNCTION("if(REGEXMATCH(join("", "",$C43:$F43),J$1)=TRUE,""✓"",""✗"")"),"✗")</f>
        <v>✗</v>
      </c>
      <c r="K43" s="154" t="str">
        <f>IFERROR(__xludf.DUMMYFUNCTION("if(REGEXMATCH(join("", "",$C43:$F43),K$1)=TRUE,""✓"",""✗"")"),"✗")</f>
        <v>✗</v>
      </c>
      <c r="L43" s="154" t="str">
        <f>IFERROR(__xludf.DUMMYFUNCTION("if(REGEXMATCH(join("", "",$C43:$F43),L$1)=TRUE,""✓"",""✗"")"),"✗")</f>
        <v>✗</v>
      </c>
      <c r="M43" s="154" t="str">
        <f>IFERROR(__xludf.DUMMYFUNCTION("if(REGEXMATCH(join("", "",$C43:$F43),M$1)=TRUE,""✓"",""✗"")"),"✗")</f>
        <v>✗</v>
      </c>
      <c r="N43" s="154" t="str">
        <f>IFERROR(__xludf.DUMMYFUNCTION("if(REGEXMATCH(join("", "",$C43:$F43),N$1)=TRUE,""✓"",""✗"")"),"✗")</f>
        <v>✗</v>
      </c>
      <c r="O43" s="154" t="str">
        <f>IFERROR(__xludf.DUMMYFUNCTION("if(REGEXMATCH(join("", "",$C43:$F43),O$1)=TRUE,""✓"",""✗"")"),"✗")</f>
        <v>✗</v>
      </c>
      <c r="P43" s="154" t="str">
        <f>IFERROR(__xludf.DUMMYFUNCTION("if(REGEXMATCH(join("", "",$C43:$F43),P$1)=TRUE,""✓"",""✗"")"),"✗")</f>
        <v>✗</v>
      </c>
      <c r="Q43" s="154" t="str">
        <f>IFERROR(__xludf.DUMMYFUNCTION("if(REGEXMATCH(join("", "",$C43:$F43),Q$1)=TRUE,""✓"",""✗"")"),"✗")</f>
        <v>✗</v>
      </c>
      <c r="R43" s="154" t="str">
        <f>IFERROR(__xludf.DUMMYFUNCTION("if(REGEXMATCH(join("", "",$C43:$F43),R$1)=TRUE,""✓"",""✗"")"),"✗")</f>
        <v>✗</v>
      </c>
      <c r="S43" s="154" t="str">
        <f>IFERROR(__xludf.DUMMYFUNCTION("if(REGEXMATCH(join("", "",$C43:$F43),S$1)=TRUE,""✓"",""✗"")"),"✗")</f>
        <v>✗</v>
      </c>
      <c r="T43" s="155"/>
      <c r="U43" s="155"/>
      <c r="V43" s="155"/>
      <c r="W43" s="155"/>
      <c r="X43" s="155"/>
      <c r="Y43" s="155"/>
      <c r="Z43" s="155"/>
      <c r="AA43" s="155"/>
      <c r="AB43" s="155"/>
    </row>
    <row r="44">
      <c r="A44" s="150">
        <v>43.0</v>
      </c>
      <c r="B44" s="151" t="str">
        <f t="shared" si="1"/>
        <v>Kautzner et al., 2015</v>
      </c>
      <c r="C44" s="152" t="s">
        <v>321</v>
      </c>
      <c r="D44" s="156" t="s">
        <v>5010</v>
      </c>
      <c r="E44" s="152" t="s">
        <v>109</v>
      </c>
      <c r="F44" s="157" t="s">
        <v>348</v>
      </c>
      <c r="G44" s="154" t="str">
        <f>IFERROR(__xludf.DUMMYFUNCTION("if(REGEXMATCH(join("", "",$C44:$F44),G$1)=TRUE,""✓"",""✗"")"),"✓")</f>
        <v>✓</v>
      </c>
      <c r="H44" s="154" t="str">
        <f>IFERROR(__xludf.DUMMYFUNCTION("if(REGEXMATCH(join("", "",$C44:$F44),H$1)=TRUE,""✓"",""✗"")"),"✓")</f>
        <v>✓</v>
      </c>
      <c r="I44" s="154" t="str">
        <f>IFERROR(__xludf.DUMMYFUNCTION("if(REGEXMATCH(join("", "",$C44:$F44),I$1)=TRUE,""✓"",""✗"")"),"✗")</f>
        <v>✗</v>
      </c>
      <c r="J44" s="154" t="str">
        <f>IFERROR(__xludf.DUMMYFUNCTION("if(REGEXMATCH(join("", "",$C44:$F44),J$1)=TRUE,""✓"",""✗"")"),"✗")</f>
        <v>✗</v>
      </c>
      <c r="K44" s="154" t="str">
        <f>IFERROR(__xludf.DUMMYFUNCTION("if(REGEXMATCH(join("", "",$C44:$F44),K$1)=TRUE,""✓"",""✗"")"),"✗")</f>
        <v>✗</v>
      </c>
      <c r="L44" s="154" t="str">
        <f>IFERROR(__xludf.DUMMYFUNCTION("if(REGEXMATCH(join("", "",$C44:$F44),L$1)=TRUE,""✓"",""✗"")"),"✗")</f>
        <v>✗</v>
      </c>
      <c r="M44" s="154" t="str">
        <f>IFERROR(__xludf.DUMMYFUNCTION("if(REGEXMATCH(join("", "",$C44:$F44),M$1)=TRUE,""✓"",""✗"")"),"✗")</f>
        <v>✗</v>
      </c>
      <c r="N44" s="154" t="str">
        <f>IFERROR(__xludf.DUMMYFUNCTION("if(REGEXMATCH(join("", "",$C44:$F44),N$1)=TRUE,""✓"",""✗"")"),"✓")</f>
        <v>✓</v>
      </c>
      <c r="O44" s="154" t="str">
        <f>IFERROR(__xludf.DUMMYFUNCTION("if(REGEXMATCH(join("", "",$C44:$F44),O$1)=TRUE,""✓"",""✗"")"),"✗")</f>
        <v>✗</v>
      </c>
      <c r="P44" s="154" t="str">
        <f>IFERROR(__xludf.DUMMYFUNCTION("if(REGEXMATCH(join("", "",$C44:$F44),P$1)=TRUE,""✓"",""✗"")"),"✓")</f>
        <v>✓</v>
      </c>
      <c r="Q44" s="154" t="str">
        <f>IFERROR(__xludf.DUMMYFUNCTION("if(REGEXMATCH(join("", "",$C44:$F44),Q$1)=TRUE,""✓"",""✗"")"),"✗")</f>
        <v>✗</v>
      </c>
      <c r="R44" s="154" t="str">
        <f>IFERROR(__xludf.DUMMYFUNCTION("if(REGEXMATCH(join("", "",$C44:$F44),R$1)=TRUE,""✓"",""✗"")"),"✗")</f>
        <v>✗</v>
      </c>
      <c r="S44" s="154" t="str">
        <f>IFERROR(__xludf.DUMMYFUNCTION("if(REGEXMATCH(join("", "",$C44:$F44),S$1)=TRUE,""✓"",""✗"")"),"✗")</f>
        <v>✗</v>
      </c>
      <c r="T44" s="155"/>
      <c r="U44" s="155"/>
      <c r="V44" s="155"/>
      <c r="W44" s="155"/>
      <c r="X44" s="155"/>
      <c r="Y44" s="155"/>
      <c r="Z44" s="155"/>
      <c r="AA44" s="155"/>
      <c r="AB44" s="155"/>
    </row>
    <row r="45">
      <c r="A45" s="150">
        <v>44.0</v>
      </c>
      <c r="B45" s="151" t="str">
        <f t="shared" si="1"/>
        <v>Komzak et al., 2022</v>
      </c>
      <c r="C45" s="157" t="s">
        <v>328</v>
      </c>
      <c r="D45" s="156" t="s">
        <v>5011</v>
      </c>
      <c r="E45" s="152" t="s">
        <v>109</v>
      </c>
      <c r="F45" s="157" t="s">
        <v>349</v>
      </c>
      <c r="G45" s="154" t="str">
        <f>IFERROR(__xludf.DUMMYFUNCTION("if(REGEXMATCH(join("", "",$C45:$F45),G$1)=TRUE,""✓"",""✗"")"),"✓")</f>
        <v>✓</v>
      </c>
      <c r="H45" s="154" t="str">
        <f>IFERROR(__xludf.DUMMYFUNCTION("if(REGEXMATCH(join("", "",$C45:$F45),H$1)=TRUE,""✓"",""✗"")"),"✗")</f>
        <v>✗</v>
      </c>
      <c r="I45" s="154" t="str">
        <f>IFERROR(__xludf.DUMMYFUNCTION("if(REGEXMATCH(join("", "",$C45:$F45),I$1)=TRUE,""✓"",""✗"")"),"✓")</f>
        <v>✓</v>
      </c>
      <c r="J45" s="154" t="str">
        <f>IFERROR(__xludf.DUMMYFUNCTION("if(REGEXMATCH(join("", "",$C45:$F45),J$1)=TRUE,""✓"",""✗"")"),"✗")</f>
        <v>✗</v>
      </c>
      <c r="K45" s="154" t="str">
        <f>IFERROR(__xludf.DUMMYFUNCTION("if(REGEXMATCH(join("", "",$C45:$F45),K$1)=TRUE,""✓"",""✗"")"),"✗")</f>
        <v>✗</v>
      </c>
      <c r="L45" s="154" t="str">
        <f>IFERROR(__xludf.DUMMYFUNCTION("if(REGEXMATCH(join("", "",$C45:$F45),L$1)=TRUE,""✓"",""✗"")"),"✗")</f>
        <v>✗</v>
      </c>
      <c r="M45" s="154" t="str">
        <f>IFERROR(__xludf.DUMMYFUNCTION("if(REGEXMATCH(join("", "",$C45:$F45),M$1)=TRUE,""✓"",""✗"")"),"✓")</f>
        <v>✓</v>
      </c>
      <c r="N45" s="154" t="str">
        <f>IFERROR(__xludf.DUMMYFUNCTION("if(REGEXMATCH(join("", "",$C45:$F45),N$1)=TRUE,""✓"",""✗"")"),"✓")</f>
        <v>✓</v>
      </c>
      <c r="O45" s="154" t="str">
        <f>IFERROR(__xludf.DUMMYFUNCTION("if(REGEXMATCH(join("", "",$C45:$F45),O$1)=TRUE,""✓"",""✗"")"),"✗")</f>
        <v>✗</v>
      </c>
      <c r="P45" s="154" t="str">
        <f>IFERROR(__xludf.DUMMYFUNCTION("if(REGEXMATCH(join("", "",$C45:$F45),P$1)=TRUE,""✓"",""✗"")"),"✗")</f>
        <v>✗</v>
      </c>
      <c r="Q45" s="154" t="str">
        <f>IFERROR(__xludf.DUMMYFUNCTION("if(REGEXMATCH(join("", "",$C45:$F45),Q$1)=TRUE,""✓"",""✗"")"),"✗")</f>
        <v>✗</v>
      </c>
      <c r="R45" s="154" t="str">
        <f>IFERROR(__xludf.DUMMYFUNCTION("if(REGEXMATCH(join("", "",$C45:$F45),R$1)=TRUE,""✓"",""✗"")"),"✗")</f>
        <v>✗</v>
      </c>
      <c r="S45" s="154" t="str">
        <f>IFERROR(__xludf.DUMMYFUNCTION("if(REGEXMATCH(join("", "",$C45:$F45),S$1)=TRUE,""✓"",""✗"")"),"✗")</f>
        <v>✗</v>
      </c>
      <c r="T45" s="155"/>
      <c r="U45" s="155"/>
      <c r="V45" s="155"/>
      <c r="W45" s="155"/>
      <c r="X45" s="155"/>
      <c r="Y45" s="155"/>
      <c r="Z45" s="155"/>
      <c r="AA45" s="155"/>
      <c r="AB45" s="155"/>
    </row>
    <row r="46">
      <c r="A46" s="150">
        <v>45.0</v>
      </c>
      <c r="B46" s="151" t="str">
        <f t="shared" si="1"/>
        <v>Konrads et al., 2016</v>
      </c>
      <c r="C46" s="152" t="s">
        <v>321</v>
      </c>
      <c r="D46" s="156" t="s">
        <v>5022</v>
      </c>
      <c r="E46" s="152" t="s">
        <v>109</v>
      </c>
      <c r="F46" s="157" t="s">
        <v>350</v>
      </c>
      <c r="G46" s="154" t="str">
        <f>IFERROR(__xludf.DUMMYFUNCTION("if(REGEXMATCH(join("", "",$C46:$F46),G$1)=TRUE,""✓"",""✗"")"),"✓")</f>
        <v>✓</v>
      </c>
      <c r="H46" s="154" t="str">
        <f>IFERROR(__xludf.DUMMYFUNCTION("if(REGEXMATCH(join("", "",$C46:$F46),H$1)=TRUE,""✓"",""✗"")"),"✓")</f>
        <v>✓</v>
      </c>
      <c r="I46" s="154" t="str">
        <f>IFERROR(__xludf.DUMMYFUNCTION("if(REGEXMATCH(join("", "",$C46:$F46),I$1)=TRUE,""✓"",""✗"")"),"✗")</f>
        <v>✗</v>
      </c>
      <c r="J46" s="154" t="str">
        <f>IFERROR(__xludf.DUMMYFUNCTION("if(REGEXMATCH(join("", "",$C46:$F46),J$1)=TRUE,""✓"",""✗"")"),"✗")</f>
        <v>✗</v>
      </c>
      <c r="K46" s="154" t="str">
        <f>IFERROR(__xludf.DUMMYFUNCTION("if(REGEXMATCH(join("", "",$C46:$F46),K$1)=TRUE,""✓"",""✗"")"),"✗")</f>
        <v>✗</v>
      </c>
      <c r="L46" s="154" t="str">
        <f>IFERROR(__xludf.DUMMYFUNCTION("if(REGEXMATCH(join("", "",$C46:$F46),L$1)=TRUE,""✓"",""✗"")"),"✗")</f>
        <v>✗</v>
      </c>
      <c r="M46" s="154" t="str">
        <f>IFERROR(__xludf.DUMMYFUNCTION("if(REGEXMATCH(join("", "",$C46:$F46),M$1)=TRUE,""✓"",""✗"")"),"✓")</f>
        <v>✓</v>
      </c>
      <c r="N46" s="154" t="str">
        <f>IFERROR(__xludf.DUMMYFUNCTION("if(REGEXMATCH(join("", "",$C46:$F46),N$1)=TRUE,""✓"",""✗"")"),"✓")</f>
        <v>✓</v>
      </c>
      <c r="O46" s="154" t="str">
        <f>IFERROR(__xludf.DUMMYFUNCTION("if(REGEXMATCH(join("", "",$C46:$F46),O$1)=TRUE,""✓"",""✗"")"),"✓")</f>
        <v>✓</v>
      </c>
      <c r="P46" s="154" t="str">
        <f>IFERROR(__xludf.DUMMYFUNCTION("if(REGEXMATCH(join("", "",$C46:$F46),P$1)=TRUE,""✓"",""✗"")"),"✓")</f>
        <v>✓</v>
      </c>
      <c r="Q46" s="154" t="str">
        <f>IFERROR(__xludf.DUMMYFUNCTION("if(REGEXMATCH(join("", "",$C46:$F46),Q$1)=TRUE,""✓"",""✗"")"),"✓")</f>
        <v>✓</v>
      </c>
      <c r="R46" s="154" t="str">
        <f>IFERROR(__xludf.DUMMYFUNCTION("if(REGEXMATCH(join("", "",$C46:$F46),R$1)=TRUE,""✓"",""✗"")"),"✓")</f>
        <v>✓</v>
      </c>
      <c r="S46" s="154" t="str">
        <f>IFERROR(__xludf.DUMMYFUNCTION("if(REGEXMATCH(join("", "",$C46:$F46),S$1)=TRUE,""✓"",""✗"")"),"✗")</f>
        <v>✗</v>
      </c>
      <c r="T46" s="155"/>
      <c r="U46" s="155"/>
      <c r="V46" s="155"/>
      <c r="W46" s="155"/>
      <c r="X46" s="155"/>
      <c r="Y46" s="155"/>
      <c r="Z46" s="155"/>
      <c r="AA46" s="155"/>
      <c r="AB46" s="155"/>
    </row>
    <row r="47">
      <c r="A47" s="150">
        <v>46.0</v>
      </c>
      <c r="B47" s="151" t="str">
        <f t="shared" si="1"/>
        <v>Laoruengthana et al., 2009</v>
      </c>
      <c r="C47" s="152" t="s">
        <v>321</v>
      </c>
      <c r="D47" s="156" t="s">
        <v>5023</v>
      </c>
      <c r="E47" s="152" t="s">
        <v>109</v>
      </c>
      <c r="F47" s="157" t="s">
        <v>351</v>
      </c>
      <c r="G47" s="154" t="str">
        <f>IFERROR(__xludf.DUMMYFUNCTION("if(REGEXMATCH(join("", "",$C47:$F47),G$1)=TRUE,""✓"",""✗"")"),"✓")</f>
        <v>✓</v>
      </c>
      <c r="H47" s="154" t="str">
        <f>IFERROR(__xludf.DUMMYFUNCTION("if(REGEXMATCH(join("", "",$C47:$F47),H$1)=TRUE,""✓"",""✗"")"),"✓")</f>
        <v>✓</v>
      </c>
      <c r="I47" s="154" t="str">
        <f>IFERROR(__xludf.DUMMYFUNCTION("if(REGEXMATCH(join("", "",$C47:$F47),I$1)=TRUE,""✓"",""✗"")"),"✗")</f>
        <v>✗</v>
      </c>
      <c r="J47" s="154" t="str">
        <f>IFERROR(__xludf.DUMMYFUNCTION("if(REGEXMATCH(join("", "",$C47:$F47),J$1)=TRUE,""✓"",""✗"")"),"✗")</f>
        <v>✗</v>
      </c>
      <c r="K47" s="154" t="str">
        <f>IFERROR(__xludf.DUMMYFUNCTION("if(REGEXMATCH(join("", "",$C47:$F47),K$1)=TRUE,""✓"",""✗"")"),"✗")</f>
        <v>✗</v>
      </c>
      <c r="L47" s="154" t="str">
        <f>IFERROR(__xludf.DUMMYFUNCTION("if(REGEXMATCH(join("", "",$C47:$F47),L$1)=TRUE,""✓"",""✗"")"),"✗")</f>
        <v>✗</v>
      </c>
      <c r="M47" s="154" t="str">
        <f>IFERROR(__xludf.DUMMYFUNCTION("if(REGEXMATCH(join("", "",$C47:$F47),M$1)=TRUE,""✓"",""✗"")"),"✓")</f>
        <v>✓</v>
      </c>
      <c r="N47" s="154" t="str">
        <f>IFERROR(__xludf.DUMMYFUNCTION("if(REGEXMATCH(join("", "",$C47:$F47),N$1)=TRUE,""✓"",""✗"")"),"✓")</f>
        <v>✓</v>
      </c>
      <c r="O47" s="154" t="str">
        <f>IFERROR(__xludf.DUMMYFUNCTION("if(REGEXMATCH(join("", "",$C47:$F47),O$1)=TRUE,""✓"",""✗"")"),"✗")</f>
        <v>✗</v>
      </c>
      <c r="P47" s="154" t="str">
        <f>IFERROR(__xludf.DUMMYFUNCTION("if(REGEXMATCH(join("", "",$C47:$F47),P$1)=TRUE,""✓"",""✗"")"),"✓")</f>
        <v>✓</v>
      </c>
      <c r="Q47" s="154" t="str">
        <f>IFERROR(__xludf.DUMMYFUNCTION("if(REGEXMATCH(join("", "",$C47:$F47),Q$1)=TRUE,""✓"",""✗"")"),"✓")</f>
        <v>✓</v>
      </c>
      <c r="R47" s="154" t="str">
        <f>IFERROR(__xludf.DUMMYFUNCTION("if(REGEXMATCH(join("", "",$C47:$F47),R$1)=TRUE,""✓"",""✗"")"),"✗")</f>
        <v>✗</v>
      </c>
      <c r="S47" s="154" t="str">
        <f>IFERROR(__xludf.DUMMYFUNCTION("if(REGEXMATCH(join("", "",$C47:$F47),S$1)=TRUE,""✓"",""✗"")"),"✗")</f>
        <v>✗</v>
      </c>
      <c r="T47" s="155"/>
      <c r="U47" s="155"/>
      <c r="V47" s="155"/>
      <c r="W47" s="155"/>
      <c r="X47" s="155"/>
      <c r="Y47" s="155"/>
      <c r="Z47" s="155"/>
      <c r="AA47" s="155"/>
      <c r="AB47" s="155"/>
    </row>
    <row r="48">
      <c r="A48" s="150">
        <v>47.0</v>
      </c>
      <c r="B48" s="151" t="str">
        <f t="shared" si="1"/>
        <v>Lawhorn et al., 2012</v>
      </c>
      <c r="C48" s="157" t="s">
        <v>334</v>
      </c>
      <c r="D48" s="156" t="s">
        <v>5024</v>
      </c>
      <c r="E48" s="152" t="s">
        <v>109</v>
      </c>
      <c r="F48" s="157" t="s">
        <v>324</v>
      </c>
      <c r="G48" s="154" t="str">
        <f>IFERROR(__xludf.DUMMYFUNCTION("if(REGEXMATCH(join("", "",$C48:$F48),G$1)=TRUE,""✓"",""✗"")"),"✗")</f>
        <v>✗</v>
      </c>
      <c r="H48" s="154" t="str">
        <f>IFERROR(__xludf.DUMMYFUNCTION("if(REGEXMATCH(join("", "",$C48:$F48),H$1)=TRUE,""✓"",""✗"")"),"✓")</f>
        <v>✓</v>
      </c>
      <c r="I48" s="154" t="str">
        <f>IFERROR(__xludf.DUMMYFUNCTION("if(REGEXMATCH(join("", "",$C48:$F48),I$1)=TRUE,""✓"",""✗"")"),"✗")</f>
        <v>✗</v>
      </c>
      <c r="J48" s="154" t="str">
        <f>IFERROR(__xludf.DUMMYFUNCTION("if(REGEXMATCH(join("", "",$C48:$F48),J$1)=TRUE,""✓"",""✗"")"),"✗")</f>
        <v>✗</v>
      </c>
      <c r="K48" s="154" t="str">
        <f>IFERROR(__xludf.DUMMYFUNCTION("if(REGEXMATCH(join("", "",$C48:$F48),K$1)=TRUE,""✓"",""✗"")"),"✗")</f>
        <v>✗</v>
      </c>
      <c r="L48" s="154" t="str">
        <f>IFERROR(__xludf.DUMMYFUNCTION("if(REGEXMATCH(join("", "",$C48:$F48),L$1)=TRUE,""✓"",""✗"")"),"✓")</f>
        <v>✓</v>
      </c>
      <c r="M48" s="154" t="str">
        <f>IFERROR(__xludf.DUMMYFUNCTION("if(REGEXMATCH(join("", "",$C48:$F48),M$1)=TRUE,""✓"",""✗"")"),"✓")</f>
        <v>✓</v>
      </c>
      <c r="N48" s="154" t="str">
        <f>IFERROR(__xludf.DUMMYFUNCTION("if(REGEXMATCH(join("", "",$C48:$F48),N$1)=TRUE,""✓"",""✗"")"),"✗")</f>
        <v>✗</v>
      </c>
      <c r="O48" s="154" t="str">
        <f>IFERROR(__xludf.DUMMYFUNCTION("if(REGEXMATCH(join("", "",$C48:$F48),O$1)=TRUE,""✓"",""✗"")"),"✗")</f>
        <v>✗</v>
      </c>
      <c r="P48" s="154" t="str">
        <f>IFERROR(__xludf.DUMMYFUNCTION("if(REGEXMATCH(join("", "",$C48:$F48),P$1)=TRUE,""✓"",""✗"")"),"✓")</f>
        <v>✓</v>
      </c>
      <c r="Q48" s="154" t="str">
        <f>IFERROR(__xludf.DUMMYFUNCTION("if(REGEXMATCH(join("", "",$C48:$F48),Q$1)=TRUE,""✓"",""✗"")"),"✓")</f>
        <v>✓</v>
      </c>
      <c r="R48" s="154" t="str">
        <f>IFERROR(__xludf.DUMMYFUNCTION("if(REGEXMATCH(join("", "",$C48:$F48),R$1)=TRUE,""✓"",""✗"")"),"✗")</f>
        <v>✗</v>
      </c>
      <c r="S48" s="154" t="str">
        <f>IFERROR(__xludf.DUMMYFUNCTION("if(REGEXMATCH(join("", "",$C48:$F48),S$1)=TRUE,""✓"",""✗"")"),"✗")</f>
        <v>✗</v>
      </c>
      <c r="T48" s="155"/>
      <c r="U48" s="155"/>
      <c r="V48" s="155"/>
      <c r="W48" s="155"/>
      <c r="X48" s="155"/>
      <c r="Y48" s="155"/>
      <c r="Z48" s="155"/>
      <c r="AA48" s="155"/>
      <c r="AB48" s="155"/>
    </row>
    <row r="49" outlineLevel="1">
      <c r="A49" s="150">
        <v>48.0</v>
      </c>
      <c r="B49" s="151" t="str">
        <f t="shared" si="1"/>
        <v>Laxdal et al., 2004</v>
      </c>
      <c r="C49" s="152"/>
      <c r="D49" s="156" t="s">
        <v>5027</v>
      </c>
      <c r="E49" s="152" t="s">
        <v>174</v>
      </c>
      <c r="F49" s="152" t="s">
        <v>4973</v>
      </c>
      <c r="G49" s="154" t="str">
        <f>IFERROR(__xludf.DUMMYFUNCTION("if(REGEXMATCH(join("", "",$C49:$F49),G$1)=TRUE,""✓"",""✗"")"),"✗")</f>
        <v>✗</v>
      </c>
      <c r="H49" s="154" t="str">
        <f>IFERROR(__xludf.DUMMYFUNCTION("if(REGEXMATCH(join("", "",$C49:$F49),H$1)=TRUE,""✓"",""✗"")"),"✗")</f>
        <v>✗</v>
      </c>
      <c r="I49" s="154" t="str">
        <f>IFERROR(__xludf.DUMMYFUNCTION("if(REGEXMATCH(join("", "",$C49:$F49),I$1)=TRUE,""✓"",""✗"")"),"✗")</f>
        <v>✗</v>
      </c>
      <c r="J49" s="154" t="str">
        <f>IFERROR(__xludf.DUMMYFUNCTION("if(REGEXMATCH(join("", "",$C49:$F49),J$1)=TRUE,""✓"",""✗"")"),"✗")</f>
        <v>✗</v>
      </c>
      <c r="K49" s="154" t="str">
        <f>IFERROR(__xludf.DUMMYFUNCTION("if(REGEXMATCH(join("", "",$C49:$F49),K$1)=TRUE,""✓"",""✗"")"),"✗")</f>
        <v>✗</v>
      </c>
      <c r="L49" s="154" t="str">
        <f>IFERROR(__xludf.DUMMYFUNCTION("if(REGEXMATCH(join("", "",$C49:$F49),L$1)=TRUE,""✓"",""✗"")"),"✗")</f>
        <v>✗</v>
      </c>
      <c r="M49" s="154" t="str">
        <f>IFERROR(__xludf.DUMMYFUNCTION("if(REGEXMATCH(join("", "",$C49:$F49),M$1)=TRUE,""✓"",""✗"")"),"✗")</f>
        <v>✗</v>
      </c>
      <c r="N49" s="154" t="str">
        <f>IFERROR(__xludf.DUMMYFUNCTION("if(REGEXMATCH(join("", "",$C49:$F49),N$1)=TRUE,""✓"",""✗"")"),"✗")</f>
        <v>✗</v>
      </c>
      <c r="O49" s="154" t="str">
        <f>IFERROR(__xludf.DUMMYFUNCTION("if(REGEXMATCH(join("", "",$C49:$F49),O$1)=TRUE,""✓"",""✗"")"),"✗")</f>
        <v>✗</v>
      </c>
      <c r="P49" s="154" t="str">
        <f>IFERROR(__xludf.DUMMYFUNCTION("if(REGEXMATCH(join("", "",$C49:$F49),P$1)=TRUE,""✓"",""✗"")"),"✗")</f>
        <v>✗</v>
      </c>
      <c r="Q49" s="154" t="str">
        <f>IFERROR(__xludf.DUMMYFUNCTION("if(REGEXMATCH(join("", "",$C49:$F49),Q$1)=TRUE,""✓"",""✗"")"),"✗")</f>
        <v>✗</v>
      </c>
      <c r="R49" s="154" t="str">
        <f>IFERROR(__xludf.DUMMYFUNCTION("if(REGEXMATCH(join("", "",$C49:$F49),R$1)=TRUE,""✓"",""✗"")"),"✗")</f>
        <v>✗</v>
      </c>
      <c r="S49" s="154" t="str">
        <f>IFERROR(__xludf.DUMMYFUNCTION("if(REGEXMATCH(join("", "",$C49:$F49),S$1)=TRUE,""✓"",""✗"")"),"✗")</f>
        <v>✗</v>
      </c>
      <c r="T49" s="155"/>
      <c r="U49" s="155"/>
      <c r="V49" s="155"/>
      <c r="W49" s="155"/>
      <c r="X49" s="155"/>
      <c r="Y49" s="155"/>
      <c r="Z49" s="155"/>
      <c r="AA49" s="155"/>
      <c r="AB49" s="155"/>
    </row>
    <row r="50">
      <c r="A50" s="150">
        <v>49.0</v>
      </c>
      <c r="B50" s="151" t="str">
        <f t="shared" si="1"/>
        <v>Laxdal et al., 2005</v>
      </c>
      <c r="C50" s="152" t="s">
        <v>321</v>
      </c>
      <c r="D50" s="156" t="s">
        <v>5030</v>
      </c>
      <c r="E50" s="152" t="s">
        <v>109</v>
      </c>
      <c r="F50" s="157" t="s">
        <v>352</v>
      </c>
      <c r="G50" s="154" t="str">
        <f>IFERROR(__xludf.DUMMYFUNCTION("if(REGEXMATCH(join("", "",$C50:$F50),G$1)=TRUE,""✓"",""✗"")"),"✓")</f>
        <v>✓</v>
      </c>
      <c r="H50" s="154" t="str">
        <f>IFERROR(__xludf.DUMMYFUNCTION("if(REGEXMATCH(join("", "",$C50:$F50),H$1)=TRUE,""✓"",""✗"")"),"✓")</f>
        <v>✓</v>
      </c>
      <c r="I50" s="154" t="str">
        <f>IFERROR(__xludf.DUMMYFUNCTION("if(REGEXMATCH(join("", "",$C50:$F50),I$1)=TRUE,""✓"",""✗"")"),"✗")</f>
        <v>✗</v>
      </c>
      <c r="J50" s="154" t="str">
        <f>IFERROR(__xludf.DUMMYFUNCTION("if(REGEXMATCH(join("", "",$C50:$F50),J$1)=TRUE,""✓"",""✗"")"),"✗")</f>
        <v>✗</v>
      </c>
      <c r="K50" s="154" t="str">
        <f>IFERROR(__xludf.DUMMYFUNCTION("if(REGEXMATCH(join("", "",$C50:$F50),K$1)=TRUE,""✓"",""✗"")"),"✗")</f>
        <v>✗</v>
      </c>
      <c r="L50" s="154" t="str">
        <f>IFERROR(__xludf.DUMMYFUNCTION("if(REGEXMATCH(join("", "",$C50:$F50),L$1)=TRUE,""✓"",""✗"")"),"✗")</f>
        <v>✗</v>
      </c>
      <c r="M50" s="154" t="str">
        <f>IFERROR(__xludf.DUMMYFUNCTION("if(REGEXMATCH(join("", "",$C50:$F50),M$1)=TRUE,""✓"",""✗"")"),"✓")</f>
        <v>✓</v>
      </c>
      <c r="N50" s="154" t="str">
        <f>IFERROR(__xludf.DUMMYFUNCTION("if(REGEXMATCH(join("", "",$C50:$F50),N$1)=TRUE,""✓"",""✗"")"),"✓")</f>
        <v>✓</v>
      </c>
      <c r="O50" s="154" t="str">
        <f>IFERROR(__xludf.DUMMYFUNCTION("if(REGEXMATCH(join("", "",$C50:$F50),O$1)=TRUE,""✓"",""✗"")"),"✓")</f>
        <v>✓</v>
      </c>
      <c r="P50" s="154" t="str">
        <f>IFERROR(__xludf.DUMMYFUNCTION("if(REGEXMATCH(join("", "",$C50:$F50),P$1)=TRUE,""✓"",""✗"")"),"✓")</f>
        <v>✓</v>
      </c>
      <c r="Q50" s="154" t="str">
        <f>IFERROR(__xludf.DUMMYFUNCTION("if(REGEXMATCH(join("", "",$C50:$F50),Q$1)=TRUE,""✓"",""✗"")"),"✗")</f>
        <v>✗</v>
      </c>
      <c r="R50" s="154" t="str">
        <f>IFERROR(__xludf.DUMMYFUNCTION("if(REGEXMATCH(join("", "",$C50:$F50),R$1)=TRUE,""✓"",""✗"")"),"✗")</f>
        <v>✗</v>
      </c>
      <c r="S50" s="154" t="str">
        <f>IFERROR(__xludf.DUMMYFUNCTION("if(REGEXMATCH(join("", "",$C50:$F50),S$1)=TRUE,""✓"",""✗"")"),"✗")</f>
        <v>✗</v>
      </c>
      <c r="T50" s="155"/>
      <c r="U50" s="155"/>
      <c r="V50" s="155"/>
      <c r="W50" s="155"/>
      <c r="X50" s="155"/>
      <c r="Y50" s="155"/>
      <c r="Z50" s="155"/>
      <c r="AA50" s="155"/>
      <c r="AB50" s="155"/>
    </row>
    <row r="51">
      <c r="A51" s="150">
        <v>50.0</v>
      </c>
      <c r="B51" s="151" t="str">
        <f t="shared" si="1"/>
        <v>Leitgeb et al., 2014</v>
      </c>
      <c r="C51" s="152" t="s">
        <v>321</v>
      </c>
      <c r="D51" s="156" t="s">
        <v>5033</v>
      </c>
      <c r="E51" s="152" t="s">
        <v>109</v>
      </c>
      <c r="F51" s="157" t="s">
        <v>5036</v>
      </c>
      <c r="G51" s="154" t="str">
        <f>IFERROR(__xludf.DUMMYFUNCTION("if(REGEXMATCH(join("", "",$C51:$F51),G$1)=TRUE,""✓"",""✗"")"),"✓")</f>
        <v>✓</v>
      </c>
      <c r="H51" s="154" t="str">
        <f>IFERROR(__xludf.DUMMYFUNCTION("if(REGEXMATCH(join("", "",$C51:$F51),H$1)=TRUE,""✓"",""✗"")"),"✓")</f>
        <v>✓</v>
      </c>
      <c r="I51" s="154" t="str">
        <f>IFERROR(__xludf.DUMMYFUNCTION("if(REGEXMATCH(join("", "",$C51:$F51),I$1)=TRUE,""✓"",""✗"")"),"✗")</f>
        <v>✗</v>
      </c>
      <c r="J51" s="154" t="str">
        <f>IFERROR(__xludf.DUMMYFUNCTION("if(REGEXMATCH(join("", "",$C51:$F51),J$1)=TRUE,""✓"",""✗"")"),"✗")</f>
        <v>✗</v>
      </c>
      <c r="K51" s="154" t="str">
        <f>IFERROR(__xludf.DUMMYFUNCTION("if(REGEXMATCH(join("", "",$C51:$F51),K$1)=TRUE,""✓"",""✗"")"),"✗")</f>
        <v>✗</v>
      </c>
      <c r="L51" s="154" t="str">
        <f>IFERROR(__xludf.DUMMYFUNCTION("if(REGEXMATCH(join("", "",$C51:$F51),L$1)=TRUE,""✓"",""✗"")"),"✗")</f>
        <v>✗</v>
      </c>
      <c r="M51" s="154" t="str">
        <f>IFERROR(__xludf.DUMMYFUNCTION("if(REGEXMATCH(join("", "",$C51:$F51),M$1)=TRUE,""✓"",""✗"")"),"✗")</f>
        <v>✗</v>
      </c>
      <c r="N51" s="154" t="str">
        <f>IFERROR(__xludf.DUMMYFUNCTION("if(REGEXMATCH(join("", "",$C51:$F51),N$1)=TRUE,""✓"",""✗"")"),"✗")</f>
        <v>✗</v>
      </c>
      <c r="O51" s="154" t="str">
        <f>IFERROR(__xludf.DUMMYFUNCTION("if(REGEXMATCH(join("", "",$C51:$F51),O$1)=TRUE,""✓"",""✗"")"),"✗")</f>
        <v>✗</v>
      </c>
      <c r="P51" s="154" t="str">
        <f>IFERROR(__xludf.DUMMYFUNCTION("if(REGEXMATCH(join("", "",$C51:$F51),P$1)=TRUE,""✓"",""✗"")"),"✓")</f>
        <v>✓</v>
      </c>
      <c r="Q51" s="154" t="str">
        <f>IFERROR(__xludf.DUMMYFUNCTION("if(REGEXMATCH(join("", "",$C51:$F51),Q$1)=TRUE,""✓"",""✗"")"),"✗")</f>
        <v>✗</v>
      </c>
      <c r="R51" s="154" t="str">
        <f>IFERROR(__xludf.DUMMYFUNCTION("if(REGEXMATCH(join("", "",$C51:$F51),R$1)=TRUE,""✓"",""✗"")"),"✓")</f>
        <v>✓</v>
      </c>
      <c r="S51" s="154" t="str">
        <f>IFERROR(__xludf.DUMMYFUNCTION("if(REGEXMATCH(join("", "",$C51:$F51),S$1)=TRUE,""✓"",""✗"")"),"✗")</f>
        <v>✗</v>
      </c>
      <c r="T51" s="155"/>
      <c r="U51" s="155"/>
      <c r="V51" s="155"/>
      <c r="W51" s="155"/>
      <c r="X51" s="155"/>
      <c r="Y51" s="155"/>
      <c r="Z51" s="155"/>
      <c r="AA51" s="155"/>
      <c r="AB51" s="155"/>
    </row>
    <row r="52">
      <c r="A52" s="150">
        <v>51.0</v>
      </c>
      <c r="B52" s="151" t="str">
        <f t="shared" si="1"/>
        <v>Li et al., 2015</v>
      </c>
      <c r="C52" s="157" t="s">
        <v>334</v>
      </c>
      <c r="D52" s="156" t="s">
        <v>5037</v>
      </c>
      <c r="E52" s="152" t="s">
        <v>109</v>
      </c>
      <c r="F52" s="157" t="s">
        <v>350</v>
      </c>
      <c r="G52" s="154" t="str">
        <f>IFERROR(__xludf.DUMMYFUNCTION("if(REGEXMATCH(join("", "",$C52:$F52),G$1)=TRUE,""✓"",""✗"")"),"✗")</f>
        <v>✗</v>
      </c>
      <c r="H52" s="154" t="str">
        <f>IFERROR(__xludf.DUMMYFUNCTION("if(REGEXMATCH(join("", "",$C52:$F52),H$1)=TRUE,""✓"",""✗"")"),"✓")</f>
        <v>✓</v>
      </c>
      <c r="I52" s="154" t="str">
        <f>IFERROR(__xludf.DUMMYFUNCTION("if(REGEXMATCH(join("", "",$C52:$F52),I$1)=TRUE,""✓"",""✗"")"),"✗")</f>
        <v>✗</v>
      </c>
      <c r="J52" s="154" t="str">
        <f>IFERROR(__xludf.DUMMYFUNCTION("if(REGEXMATCH(join("", "",$C52:$F52),J$1)=TRUE,""✓"",""✗"")"),"✗")</f>
        <v>✗</v>
      </c>
      <c r="K52" s="154" t="str">
        <f>IFERROR(__xludf.DUMMYFUNCTION("if(REGEXMATCH(join("", "",$C52:$F52),K$1)=TRUE,""✓"",""✗"")"),"✗")</f>
        <v>✗</v>
      </c>
      <c r="L52" s="154" t="str">
        <f>IFERROR(__xludf.DUMMYFUNCTION("if(REGEXMATCH(join("", "",$C52:$F52),L$1)=TRUE,""✓"",""✗"")"),"✓")</f>
        <v>✓</v>
      </c>
      <c r="M52" s="154" t="str">
        <f>IFERROR(__xludf.DUMMYFUNCTION("if(REGEXMATCH(join("", "",$C52:$F52),M$1)=TRUE,""✓"",""✗"")"),"✓")</f>
        <v>✓</v>
      </c>
      <c r="N52" s="154" t="str">
        <f>IFERROR(__xludf.DUMMYFUNCTION("if(REGEXMATCH(join("", "",$C52:$F52),N$1)=TRUE,""✓"",""✗"")"),"✓")</f>
        <v>✓</v>
      </c>
      <c r="O52" s="154" t="str">
        <f>IFERROR(__xludf.DUMMYFUNCTION("if(REGEXMATCH(join("", "",$C52:$F52),O$1)=TRUE,""✓"",""✗"")"),"✓")</f>
        <v>✓</v>
      </c>
      <c r="P52" s="154" t="str">
        <f>IFERROR(__xludf.DUMMYFUNCTION("if(REGEXMATCH(join("", "",$C52:$F52),P$1)=TRUE,""✓"",""✗"")"),"✓")</f>
        <v>✓</v>
      </c>
      <c r="Q52" s="154" t="str">
        <f>IFERROR(__xludf.DUMMYFUNCTION("if(REGEXMATCH(join("", "",$C52:$F52),Q$1)=TRUE,""✓"",""✗"")"),"✓")</f>
        <v>✓</v>
      </c>
      <c r="R52" s="154" t="str">
        <f>IFERROR(__xludf.DUMMYFUNCTION("if(REGEXMATCH(join("", "",$C52:$F52),R$1)=TRUE,""✓"",""✗"")"),"✓")</f>
        <v>✓</v>
      </c>
      <c r="S52" s="154" t="str">
        <f>IFERROR(__xludf.DUMMYFUNCTION("if(REGEXMATCH(join("", "",$C52:$F52),S$1)=TRUE,""✓"",""✗"")"),"✗")</f>
        <v>✗</v>
      </c>
      <c r="T52" s="155"/>
      <c r="U52" s="155"/>
      <c r="V52" s="155"/>
      <c r="W52" s="155"/>
      <c r="X52" s="155"/>
      <c r="Y52" s="155"/>
      <c r="Z52" s="155"/>
      <c r="AA52" s="155"/>
      <c r="AB52" s="155"/>
    </row>
    <row r="53">
      <c r="A53" s="150">
        <v>52.0</v>
      </c>
      <c r="B53" s="151" t="str">
        <f t="shared" si="1"/>
        <v>Lidén et al., 2007</v>
      </c>
      <c r="C53" s="152" t="s">
        <v>321</v>
      </c>
      <c r="D53" s="156" t="s">
        <v>5042</v>
      </c>
      <c r="E53" s="152" t="s">
        <v>109</v>
      </c>
      <c r="F53" s="157" t="s">
        <v>353</v>
      </c>
      <c r="G53" s="154" t="str">
        <f>IFERROR(__xludf.DUMMYFUNCTION("if(REGEXMATCH(join("", "",$C53:$F53),G$1)=TRUE,""✓"",""✗"")"),"✓")</f>
        <v>✓</v>
      </c>
      <c r="H53" s="154" t="str">
        <f>IFERROR(__xludf.DUMMYFUNCTION("if(REGEXMATCH(join("", "",$C53:$F53),H$1)=TRUE,""✓"",""✗"")"),"✓")</f>
        <v>✓</v>
      </c>
      <c r="I53" s="154" t="str">
        <f>IFERROR(__xludf.DUMMYFUNCTION("if(REGEXMATCH(join("", "",$C53:$F53),I$1)=TRUE,""✓"",""✗"")"),"✗")</f>
        <v>✗</v>
      </c>
      <c r="J53" s="154" t="str">
        <f>IFERROR(__xludf.DUMMYFUNCTION("if(REGEXMATCH(join("", "",$C53:$F53),J$1)=TRUE,""✓"",""✗"")"),"✗")</f>
        <v>✗</v>
      </c>
      <c r="K53" s="154" t="str">
        <f>IFERROR(__xludf.DUMMYFUNCTION("if(REGEXMATCH(join("", "",$C53:$F53),K$1)=TRUE,""✓"",""✗"")"),"✗")</f>
        <v>✗</v>
      </c>
      <c r="L53" s="154" t="str">
        <f>IFERROR(__xludf.DUMMYFUNCTION("if(REGEXMATCH(join("", "",$C53:$F53),L$1)=TRUE,""✓"",""✗"")"),"✗")</f>
        <v>✗</v>
      </c>
      <c r="M53" s="154" t="str">
        <f>IFERROR(__xludf.DUMMYFUNCTION("if(REGEXMATCH(join("", "",$C53:$F53),M$1)=TRUE,""✓"",""✗"")"),"✓")</f>
        <v>✓</v>
      </c>
      <c r="N53" s="154" t="str">
        <f>IFERROR(__xludf.DUMMYFUNCTION("if(REGEXMATCH(join("", "",$C53:$F53),N$1)=TRUE,""✓"",""✗"")"),"✓")</f>
        <v>✓</v>
      </c>
      <c r="O53" s="154" t="str">
        <f>IFERROR(__xludf.DUMMYFUNCTION("if(REGEXMATCH(join("", "",$C53:$F53),O$1)=TRUE,""✓"",""✗"")"),"✓")</f>
        <v>✓</v>
      </c>
      <c r="P53" s="154" t="str">
        <f>IFERROR(__xludf.DUMMYFUNCTION("if(REGEXMATCH(join("", "",$C53:$F53),P$1)=TRUE,""✓"",""✗"")"),"✓")</f>
        <v>✓</v>
      </c>
      <c r="Q53" s="154" t="str">
        <f>IFERROR(__xludf.DUMMYFUNCTION("if(REGEXMATCH(join("", "",$C53:$F53),Q$1)=TRUE,""✓"",""✗"")"),"✗")</f>
        <v>✗</v>
      </c>
      <c r="R53" s="154" t="str">
        <f>IFERROR(__xludf.DUMMYFUNCTION("if(REGEXMATCH(join("", "",$C53:$F53),R$1)=TRUE,""✓"",""✗"")"),"✓")</f>
        <v>✓</v>
      </c>
      <c r="S53" s="154" t="str">
        <f>IFERROR(__xludf.DUMMYFUNCTION("if(REGEXMATCH(join("", "",$C53:$F53),S$1)=TRUE,""✓"",""✗"")"),"✗")</f>
        <v>✗</v>
      </c>
      <c r="T53" s="155"/>
      <c r="U53" s="155"/>
      <c r="V53" s="155"/>
      <c r="W53" s="155"/>
      <c r="X53" s="155"/>
      <c r="Y53" s="155"/>
      <c r="Z53" s="155"/>
      <c r="AA53" s="155"/>
      <c r="AB53" s="155"/>
    </row>
    <row r="54">
      <c r="A54" s="150">
        <v>53.0</v>
      </c>
      <c r="B54" s="151" t="str">
        <f t="shared" si="1"/>
        <v>Lind et al., 2020</v>
      </c>
      <c r="C54" s="157" t="s">
        <v>337</v>
      </c>
      <c r="D54" s="156" t="s">
        <v>5043</v>
      </c>
      <c r="E54" s="152" t="s">
        <v>109</v>
      </c>
      <c r="F54" s="157" t="s">
        <v>354</v>
      </c>
      <c r="G54" s="154" t="str">
        <f>IFERROR(__xludf.DUMMYFUNCTION("if(REGEXMATCH(join("", "",$C54:$F54),G$1)=TRUE,""✓"",""✗"")"),"✗")</f>
        <v>✗</v>
      </c>
      <c r="H54" s="154" t="str">
        <f>IFERROR(__xludf.DUMMYFUNCTION("if(REGEXMATCH(join("", "",$C54:$F54),H$1)=TRUE,""✓"",""✗"")"),"✓")</f>
        <v>✓</v>
      </c>
      <c r="I54" s="154" t="str">
        <f>IFERROR(__xludf.DUMMYFUNCTION("if(REGEXMATCH(join("", "",$C54:$F54),I$1)=TRUE,""✓"",""✗"")"),"✓")</f>
        <v>✓</v>
      </c>
      <c r="J54" s="154" t="str">
        <f>IFERROR(__xludf.DUMMYFUNCTION("if(REGEXMATCH(join("", "",$C54:$F54),J$1)=TRUE,""✓"",""✗"")"),"✗")</f>
        <v>✗</v>
      </c>
      <c r="K54" s="154" t="str">
        <f>IFERROR(__xludf.DUMMYFUNCTION("if(REGEXMATCH(join("", "",$C54:$F54),K$1)=TRUE,""✓"",""✗"")"),"✗")</f>
        <v>✗</v>
      </c>
      <c r="L54" s="154" t="str">
        <f>IFERROR(__xludf.DUMMYFUNCTION("if(REGEXMATCH(join("", "",$C54:$F54),L$1)=TRUE,""✓"",""✗"")"),"✗")</f>
        <v>✗</v>
      </c>
      <c r="M54" s="154" t="str">
        <f>IFERROR(__xludf.DUMMYFUNCTION("if(REGEXMATCH(join("", "",$C54:$F54),M$1)=TRUE,""✓"",""✗"")"),"✓")</f>
        <v>✓</v>
      </c>
      <c r="N54" s="154" t="str">
        <f>IFERROR(__xludf.DUMMYFUNCTION("if(REGEXMATCH(join("", "",$C54:$F54),N$1)=TRUE,""✓"",""✗"")"),"✗")</f>
        <v>✗</v>
      </c>
      <c r="O54" s="154" t="str">
        <f>IFERROR(__xludf.DUMMYFUNCTION("if(REGEXMATCH(join("", "",$C54:$F54),O$1)=TRUE,""✓"",""✗"")"),"✓")</f>
        <v>✓</v>
      </c>
      <c r="P54" s="154" t="str">
        <f>IFERROR(__xludf.DUMMYFUNCTION("if(REGEXMATCH(join("", "",$C54:$F54),P$1)=TRUE,""✓"",""✗"")"),"✓")</f>
        <v>✓</v>
      </c>
      <c r="Q54" s="154" t="str">
        <f>IFERROR(__xludf.DUMMYFUNCTION("if(REGEXMATCH(join("", "",$C54:$F54),Q$1)=TRUE,""✓"",""✗"")"),"✓")</f>
        <v>✓</v>
      </c>
      <c r="R54" s="154" t="str">
        <f>IFERROR(__xludf.DUMMYFUNCTION("if(REGEXMATCH(join("", "",$C54:$F54),R$1)=TRUE,""✓"",""✗"")"),"✗")</f>
        <v>✗</v>
      </c>
      <c r="S54" s="154" t="str">
        <f>IFERROR(__xludf.DUMMYFUNCTION("if(REGEXMATCH(join("", "",$C54:$F54),S$1)=TRUE,""✓"",""✗"")"),"✗")</f>
        <v>✗</v>
      </c>
      <c r="T54" s="155"/>
      <c r="U54" s="155"/>
      <c r="V54" s="155"/>
      <c r="W54" s="155"/>
      <c r="X54" s="155"/>
      <c r="Y54" s="155"/>
      <c r="Z54" s="155"/>
      <c r="AA54" s="155"/>
      <c r="AB54" s="155"/>
    </row>
    <row r="55">
      <c r="A55" s="150">
        <v>54.0</v>
      </c>
      <c r="B55" s="151" t="str">
        <f t="shared" si="1"/>
        <v>Lucidi et al., 2025</v>
      </c>
      <c r="C55" s="152" t="s">
        <v>321</v>
      </c>
      <c r="D55" s="156" t="s">
        <v>5048</v>
      </c>
      <c r="E55" s="152" t="s">
        <v>109</v>
      </c>
      <c r="F55" s="157" t="s">
        <v>355</v>
      </c>
      <c r="G55" s="154" t="str">
        <f>IFERROR(__xludf.DUMMYFUNCTION("if(REGEXMATCH(join("", "",$C55:$F55),G$1)=TRUE,""✓"",""✗"")"),"✓")</f>
        <v>✓</v>
      </c>
      <c r="H55" s="154" t="str">
        <f>IFERROR(__xludf.DUMMYFUNCTION("if(REGEXMATCH(join("", "",$C55:$F55),H$1)=TRUE,""✓"",""✗"")"),"✓")</f>
        <v>✓</v>
      </c>
      <c r="I55" s="154" t="str">
        <f>IFERROR(__xludf.DUMMYFUNCTION("if(REGEXMATCH(join("", "",$C55:$F55),I$1)=TRUE,""✓"",""✗"")"),"✗")</f>
        <v>✗</v>
      </c>
      <c r="J55" s="154" t="str">
        <f>IFERROR(__xludf.DUMMYFUNCTION("if(REGEXMATCH(join("", "",$C55:$F55),J$1)=TRUE,""✓"",""✗"")"),"✗")</f>
        <v>✗</v>
      </c>
      <c r="K55" s="154" t="str">
        <f>IFERROR(__xludf.DUMMYFUNCTION("if(REGEXMATCH(join("", "",$C55:$F55),K$1)=TRUE,""✓"",""✗"")"),"✗")</f>
        <v>✗</v>
      </c>
      <c r="L55" s="154" t="str">
        <f>IFERROR(__xludf.DUMMYFUNCTION("if(REGEXMATCH(join("", "",$C55:$F55),L$1)=TRUE,""✓"",""✗"")"),"✗")</f>
        <v>✗</v>
      </c>
      <c r="M55" s="154" t="str">
        <f>IFERROR(__xludf.DUMMYFUNCTION("if(REGEXMATCH(join("", "",$C55:$F55),M$1)=TRUE,""✓"",""✗"")"),"✓")</f>
        <v>✓</v>
      </c>
      <c r="N55" s="154" t="str">
        <f>IFERROR(__xludf.DUMMYFUNCTION("if(REGEXMATCH(join("", "",$C55:$F55),N$1)=TRUE,""✓"",""✗"")"),"✓")</f>
        <v>✓</v>
      </c>
      <c r="O55" s="154" t="str">
        <f>IFERROR(__xludf.DUMMYFUNCTION("if(REGEXMATCH(join("", "",$C55:$F55),O$1)=TRUE,""✓"",""✗"")"),"✓")</f>
        <v>✓</v>
      </c>
      <c r="P55" s="154" t="str">
        <f>IFERROR(__xludf.DUMMYFUNCTION("if(REGEXMATCH(join("", "",$C55:$F55),P$1)=TRUE,""✓"",""✗"")"),"✓")</f>
        <v>✓</v>
      </c>
      <c r="Q55" s="154" t="str">
        <f>IFERROR(__xludf.DUMMYFUNCTION("if(REGEXMATCH(join("", "",$C55:$F55),Q$1)=TRUE,""✓"",""✗"")"),"✓")</f>
        <v>✓</v>
      </c>
      <c r="R55" s="154" t="str">
        <f>IFERROR(__xludf.DUMMYFUNCTION("if(REGEXMATCH(join("", "",$C55:$F55),R$1)=TRUE,""✓"",""✗"")"),"✗")</f>
        <v>✗</v>
      </c>
      <c r="S55" s="154" t="str">
        <f>IFERROR(__xludf.DUMMYFUNCTION("if(REGEXMATCH(join("", "",$C55:$F55),S$1)=TRUE,""✓"",""✗"")"),"✓")</f>
        <v>✓</v>
      </c>
      <c r="T55" s="155"/>
      <c r="U55" s="155"/>
      <c r="V55" s="155"/>
      <c r="W55" s="155"/>
      <c r="X55" s="155"/>
      <c r="Y55" s="155"/>
      <c r="Z55" s="155"/>
      <c r="AA55" s="155"/>
      <c r="AB55" s="155"/>
    </row>
    <row r="56">
      <c r="A56" s="150">
        <v>55.0</v>
      </c>
      <c r="B56" s="151" t="str">
        <f t="shared" si="1"/>
        <v>Lui et al., 2012</v>
      </c>
      <c r="C56" s="152" t="s">
        <v>321</v>
      </c>
      <c r="D56" s="156" t="s">
        <v>5051</v>
      </c>
      <c r="E56" s="152" t="s">
        <v>109</v>
      </c>
      <c r="F56" s="157" t="s">
        <v>356</v>
      </c>
      <c r="G56" s="154" t="str">
        <f>IFERROR(__xludf.DUMMYFUNCTION("if(REGEXMATCH(join("", "",$C56:$F56),G$1)=TRUE,""✓"",""✗"")"),"✓")</f>
        <v>✓</v>
      </c>
      <c r="H56" s="154" t="str">
        <f>IFERROR(__xludf.DUMMYFUNCTION("if(REGEXMATCH(join("", "",$C56:$F56),H$1)=TRUE,""✓"",""✗"")"),"✓")</f>
        <v>✓</v>
      </c>
      <c r="I56" s="154" t="str">
        <f>IFERROR(__xludf.DUMMYFUNCTION("if(REGEXMATCH(join("", "",$C56:$F56),I$1)=TRUE,""✓"",""✗"")"),"✗")</f>
        <v>✗</v>
      </c>
      <c r="J56" s="154" t="str">
        <f>IFERROR(__xludf.DUMMYFUNCTION("if(REGEXMATCH(join("", "",$C56:$F56),J$1)=TRUE,""✓"",""✗"")"),"✗")</f>
        <v>✗</v>
      </c>
      <c r="K56" s="154" t="str">
        <f>IFERROR(__xludf.DUMMYFUNCTION("if(REGEXMATCH(join("", "",$C56:$F56),K$1)=TRUE,""✓"",""✗"")"),"✗")</f>
        <v>✗</v>
      </c>
      <c r="L56" s="154" t="str">
        <f>IFERROR(__xludf.DUMMYFUNCTION("if(REGEXMATCH(join("", "",$C56:$F56),L$1)=TRUE,""✓"",""✗"")"),"✗")</f>
        <v>✗</v>
      </c>
      <c r="M56" s="154" t="str">
        <f>IFERROR(__xludf.DUMMYFUNCTION("if(REGEXMATCH(join("", "",$C56:$F56),M$1)=TRUE,""✓"",""✗"")"),"✓")</f>
        <v>✓</v>
      </c>
      <c r="N56" s="154" t="str">
        <f>IFERROR(__xludf.DUMMYFUNCTION("if(REGEXMATCH(join("", "",$C56:$F56),N$1)=TRUE,""✓"",""✗"")"),"✓")</f>
        <v>✓</v>
      </c>
      <c r="O56" s="154" t="str">
        <f>IFERROR(__xludf.DUMMYFUNCTION("if(REGEXMATCH(join("", "",$C56:$F56),O$1)=TRUE,""✓"",""✗"")"),"✗")</f>
        <v>✗</v>
      </c>
      <c r="P56" s="154" t="str">
        <f>IFERROR(__xludf.DUMMYFUNCTION("if(REGEXMATCH(join("", "",$C56:$F56),P$1)=TRUE,""✓"",""✗"")"),"✓")</f>
        <v>✓</v>
      </c>
      <c r="Q56" s="154" t="str">
        <f>IFERROR(__xludf.DUMMYFUNCTION("if(REGEXMATCH(join("", "",$C56:$F56),Q$1)=TRUE,""✓"",""✗"")"),"✗")</f>
        <v>✗</v>
      </c>
      <c r="R56" s="154" t="str">
        <f>IFERROR(__xludf.DUMMYFUNCTION("if(REGEXMATCH(join("", "",$C56:$F56),R$1)=TRUE,""✓"",""✗"")"),"✓")</f>
        <v>✓</v>
      </c>
      <c r="S56" s="154" t="str">
        <f>IFERROR(__xludf.DUMMYFUNCTION("if(REGEXMATCH(join("", "",$C56:$F56),S$1)=TRUE,""✓"",""✗"")"),"✗")</f>
        <v>✗</v>
      </c>
      <c r="T56" s="155"/>
      <c r="U56" s="155"/>
      <c r="V56" s="155"/>
      <c r="W56" s="155"/>
      <c r="X56" s="155"/>
      <c r="Y56" s="155"/>
      <c r="Z56" s="155"/>
      <c r="AA56" s="155"/>
      <c r="AB56" s="155"/>
    </row>
    <row r="57">
      <c r="A57" s="150">
        <v>56.0</v>
      </c>
      <c r="B57" s="151" t="str">
        <f t="shared" si="1"/>
        <v>Lund et al., 2014</v>
      </c>
      <c r="C57" s="157" t="s">
        <v>328</v>
      </c>
      <c r="D57" s="156" t="s">
        <v>5053</v>
      </c>
      <c r="E57" s="152" t="s">
        <v>109</v>
      </c>
      <c r="F57" s="157" t="s">
        <v>357</v>
      </c>
      <c r="G57" s="154" t="str">
        <f>IFERROR(__xludf.DUMMYFUNCTION("if(REGEXMATCH(join("", "",$C57:$F57),G$1)=TRUE,""✓"",""✗"")"),"✓")</f>
        <v>✓</v>
      </c>
      <c r="H57" s="154" t="str">
        <f>IFERROR(__xludf.DUMMYFUNCTION("if(REGEXMATCH(join("", "",$C57:$F57),H$1)=TRUE,""✓"",""✗"")"),"✗")</f>
        <v>✗</v>
      </c>
      <c r="I57" s="154" t="str">
        <f>IFERROR(__xludf.DUMMYFUNCTION("if(REGEXMATCH(join("", "",$C57:$F57),I$1)=TRUE,""✓"",""✗"")"),"✓")</f>
        <v>✓</v>
      </c>
      <c r="J57" s="154" t="str">
        <f>IFERROR(__xludf.DUMMYFUNCTION("if(REGEXMATCH(join("", "",$C57:$F57),J$1)=TRUE,""✓"",""✗"")"),"✗")</f>
        <v>✗</v>
      </c>
      <c r="K57" s="154" t="str">
        <f>IFERROR(__xludf.DUMMYFUNCTION("if(REGEXMATCH(join("", "",$C57:$F57),K$1)=TRUE,""✓"",""✗"")"),"✗")</f>
        <v>✗</v>
      </c>
      <c r="L57" s="154" t="str">
        <f>IFERROR(__xludf.DUMMYFUNCTION("if(REGEXMATCH(join("", "",$C57:$F57),L$1)=TRUE,""✓"",""✗"")"),"✗")</f>
        <v>✗</v>
      </c>
      <c r="M57" s="154" t="str">
        <f>IFERROR(__xludf.DUMMYFUNCTION("if(REGEXMATCH(join("", "",$C57:$F57),M$1)=TRUE,""✓"",""✗"")"),"✓")</f>
        <v>✓</v>
      </c>
      <c r="N57" s="154" t="str">
        <f>IFERROR(__xludf.DUMMYFUNCTION("if(REGEXMATCH(join("", "",$C57:$F57),N$1)=TRUE,""✓"",""✗"")"),"✗")</f>
        <v>✗</v>
      </c>
      <c r="O57" s="154" t="str">
        <f>IFERROR(__xludf.DUMMYFUNCTION("if(REGEXMATCH(join("", "",$C57:$F57),O$1)=TRUE,""✓"",""✗"")"),"✗")</f>
        <v>✗</v>
      </c>
      <c r="P57" s="154" t="str">
        <f>IFERROR(__xludf.DUMMYFUNCTION("if(REGEXMATCH(join("", "",$C57:$F57),P$1)=TRUE,""✓"",""✗"")"),"✓")</f>
        <v>✓</v>
      </c>
      <c r="Q57" s="154" t="str">
        <f>IFERROR(__xludf.DUMMYFUNCTION("if(REGEXMATCH(join("", "",$C57:$F57),Q$1)=TRUE,""✓"",""✗"")"),"✗")</f>
        <v>✗</v>
      </c>
      <c r="R57" s="154" t="str">
        <f>IFERROR(__xludf.DUMMYFUNCTION("if(REGEXMATCH(join("", "",$C57:$F57),R$1)=TRUE,""✓"",""✗"")"),"✗")</f>
        <v>✗</v>
      </c>
      <c r="S57" s="154" t="str">
        <f>IFERROR(__xludf.DUMMYFUNCTION("if(REGEXMATCH(join("", "",$C57:$F57),S$1)=TRUE,""✓"",""✗"")"),"✗")</f>
        <v>✗</v>
      </c>
      <c r="T57" s="155"/>
      <c r="U57" s="155"/>
      <c r="V57" s="155"/>
      <c r="W57" s="155"/>
      <c r="X57" s="155"/>
      <c r="Y57" s="155"/>
      <c r="Z57" s="155"/>
      <c r="AA57" s="155"/>
      <c r="AB57" s="155"/>
    </row>
    <row r="58">
      <c r="A58" s="150">
        <v>57.0</v>
      </c>
      <c r="B58" s="151" t="str">
        <f t="shared" si="1"/>
        <v>Maletis et al., 2007</v>
      </c>
      <c r="C58" s="152" t="s">
        <v>321</v>
      </c>
      <c r="D58" s="156" t="s">
        <v>5057</v>
      </c>
      <c r="E58" s="152" t="s">
        <v>109</v>
      </c>
      <c r="F58" s="157" t="s">
        <v>352</v>
      </c>
      <c r="G58" s="154" t="str">
        <f>IFERROR(__xludf.DUMMYFUNCTION("if(REGEXMATCH(join("", "",$C58:$F58),G$1)=TRUE,""✓"",""✗"")"),"✓")</f>
        <v>✓</v>
      </c>
      <c r="H58" s="154" t="str">
        <f>IFERROR(__xludf.DUMMYFUNCTION("if(REGEXMATCH(join("", "",$C58:$F58),H$1)=TRUE,""✓"",""✗"")"),"✓")</f>
        <v>✓</v>
      </c>
      <c r="I58" s="154" t="str">
        <f>IFERROR(__xludf.DUMMYFUNCTION("if(REGEXMATCH(join("", "",$C58:$F58),I$1)=TRUE,""✓"",""✗"")"),"✗")</f>
        <v>✗</v>
      </c>
      <c r="J58" s="154" t="str">
        <f>IFERROR(__xludf.DUMMYFUNCTION("if(REGEXMATCH(join("", "",$C58:$F58),J$1)=TRUE,""✓"",""✗"")"),"✗")</f>
        <v>✗</v>
      </c>
      <c r="K58" s="154" t="str">
        <f>IFERROR(__xludf.DUMMYFUNCTION("if(REGEXMATCH(join("", "",$C58:$F58),K$1)=TRUE,""✓"",""✗"")"),"✗")</f>
        <v>✗</v>
      </c>
      <c r="L58" s="154" t="str">
        <f>IFERROR(__xludf.DUMMYFUNCTION("if(REGEXMATCH(join("", "",$C58:$F58),L$1)=TRUE,""✓"",""✗"")"),"✗")</f>
        <v>✗</v>
      </c>
      <c r="M58" s="154" t="str">
        <f>IFERROR(__xludf.DUMMYFUNCTION("if(REGEXMATCH(join("", "",$C58:$F58),M$1)=TRUE,""✓"",""✗"")"),"✓")</f>
        <v>✓</v>
      </c>
      <c r="N58" s="154" t="str">
        <f>IFERROR(__xludf.DUMMYFUNCTION("if(REGEXMATCH(join("", "",$C58:$F58),N$1)=TRUE,""✓"",""✗"")"),"✓")</f>
        <v>✓</v>
      </c>
      <c r="O58" s="154" t="str">
        <f>IFERROR(__xludf.DUMMYFUNCTION("if(REGEXMATCH(join("", "",$C58:$F58),O$1)=TRUE,""✓"",""✗"")"),"✓")</f>
        <v>✓</v>
      </c>
      <c r="P58" s="154" t="str">
        <f>IFERROR(__xludf.DUMMYFUNCTION("if(REGEXMATCH(join("", "",$C58:$F58),P$1)=TRUE,""✓"",""✗"")"),"✓")</f>
        <v>✓</v>
      </c>
      <c r="Q58" s="154" t="str">
        <f>IFERROR(__xludf.DUMMYFUNCTION("if(REGEXMATCH(join("", "",$C58:$F58),Q$1)=TRUE,""✓"",""✗"")"),"✗")</f>
        <v>✗</v>
      </c>
      <c r="R58" s="154" t="str">
        <f>IFERROR(__xludf.DUMMYFUNCTION("if(REGEXMATCH(join("", "",$C58:$F58),R$1)=TRUE,""✓"",""✗"")"),"✗")</f>
        <v>✗</v>
      </c>
      <c r="S58" s="154" t="str">
        <f>IFERROR(__xludf.DUMMYFUNCTION("if(REGEXMATCH(join("", "",$C58:$F58),S$1)=TRUE,""✓"",""✗"")"),"✗")</f>
        <v>✗</v>
      </c>
      <c r="T58" s="155"/>
      <c r="U58" s="155"/>
      <c r="V58" s="155"/>
      <c r="W58" s="155"/>
      <c r="X58" s="155"/>
      <c r="Y58" s="155"/>
      <c r="Z58" s="155"/>
      <c r="AA58" s="155"/>
      <c r="AB58" s="155"/>
    </row>
    <row r="59">
      <c r="A59" s="150">
        <v>58.0</v>
      </c>
      <c r="B59" s="151" t="str">
        <f t="shared" si="1"/>
        <v>Malik et al., 2026</v>
      </c>
      <c r="C59" s="157" t="s">
        <v>331</v>
      </c>
      <c r="D59" s="156" t="s">
        <v>5060</v>
      </c>
      <c r="E59" s="152" t="s">
        <v>109</v>
      </c>
      <c r="F59" s="157" t="s">
        <v>358</v>
      </c>
      <c r="G59" s="154" t="str">
        <f>IFERROR(__xludf.DUMMYFUNCTION("if(REGEXMATCH(join("", "",$C59:$F59),G$1)=TRUE,""✓"",""✗"")"),"✗")</f>
        <v>✗</v>
      </c>
      <c r="H59" s="154" t="str">
        <f>IFERROR(__xludf.DUMMYFUNCTION("if(REGEXMATCH(join("", "",$C59:$F59),H$1)=TRUE,""✓"",""✗"")"),"✓")</f>
        <v>✓</v>
      </c>
      <c r="I59" s="154" t="str">
        <f>IFERROR(__xludf.DUMMYFUNCTION("if(REGEXMATCH(join("", "",$C59:$F59),I$1)=TRUE,""✓"",""✗"")"),"✗")</f>
        <v>✗</v>
      </c>
      <c r="J59" s="154" t="str">
        <f>IFERROR(__xludf.DUMMYFUNCTION("if(REGEXMATCH(join("", "",$C59:$F59),J$1)=TRUE,""✓"",""✗"")"),"✓")</f>
        <v>✓</v>
      </c>
      <c r="K59" s="154" t="str">
        <f>IFERROR(__xludf.DUMMYFUNCTION("if(REGEXMATCH(join("", "",$C59:$F59),K$1)=TRUE,""✓"",""✗"")"),"✗")</f>
        <v>✗</v>
      </c>
      <c r="L59" s="154" t="str">
        <f>IFERROR(__xludf.DUMMYFUNCTION("if(REGEXMATCH(join("", "",$C59:$F59),L$1)=TRUE,""✓"",""✗"")"),"✗")</f>
        <v>✗</v>
      </c>
      <c r="M59" s="154" t="str">
        <f>IFERROR(__xludf.DUMMYFUNCTION("if(REGEXMATCH(join("", "",$C59:$F59),M$1)=TRUE,""✓"",""✗"")"),"✓")</f>
        <v>✓</v>
      </c>
      <c r="N59" s="154" t="str">
        <f>IFERROR(__xludf.DUMMYFUNCTION("if(REGEXMATCH(join("", "",$C59:$F59),N$1)=TRUE,""✓"",""✗"")"),"✓")</f>
        <v>✓</v>
      </c>
      <c r="O59" s="154" t="str">
        <f>IFERROR(__xludf.DUMMYFUNCTION("if(REGEXMATCH(join("", "",$C59:$F59),O$1)=TRUE,""✓"",""✗"")"),"✓")</f>
        <v>✓</v>
      </c>
      <c r="P59" s="154" t="str">
        <f>IFERROR(__xludf.DUMMYFUNCTION("if(REGEXMATCH(join("", "",$C59:$F59),P$1)=TRUE,""✓"",""✗"")"),"✓")</f>
        <v>✓</v>
      </c>
      <c r="Q59" s="154" t="str">
        <f>IFERROR(__xludf.DUMMYFUNCTION("if(REGEXMATCH(join("", "",$C59:$F59),Q$1)=TRUE,""✓"",""✗"")"),"✓")</f>
        <v>✓</v>
      </c>
      <c r="R59" s="154" t="str">
        <f>IFERROR(__xludf.DUMMYFUNCTION("if(REGEXMATCH(join("", "",$C59:$F59),R$1)=TRUE,""✓"",""✗"")"),"✓")</f>
        <v>✓</v>
      </c>
      <c r="S59" s="154" t="str">
        <f>IFERROR(__xludf.DUMMYFUNCTION("if(REGEXMATCH(join("", "",$C59:$F59),S$1)=TRUE,""✓"",""✗"")"),"✗")</f>
        <v>✗</v>
      </c>
      <c r="T59" s="155"/>
      <c r="U59" s="155"/>
      <c r="V59" s="155"/>
      <c r="W59" s="155"/>
      <c r="X59" s="155"/>
      <c r="Y59" s="155"/>
      <c r="Z59" s="155"/>
      <c r="AA59" s="155"/>
      <c r="AB59" s="155"/>
    </row>
    <row r="60">
      <c r="A60" s="150">
        <v>59.0</v>
      </c>
      <c r="B60" s="151" t="str">
        <f t="shared" si="1"/>
        <v>Martin et al., 2024</v>
      </c>
      <c r="C60" s="152"/>
      <c r="D60" s="156" t="s">
        <v>5065</v>
      </c>
      <c r="E60" s="152" t="s">
        <v>174</v>
      </c>
      <c r="F60" s="152" t="s">
        <v>4980</v>
      </c>
      <c r="G60" s="154" t="str">
        <f>IFERROR(__xludf.DUMMYFUNCTION("if(REGEXMATCH(join("", "",$C60:$F60),G$1)=TRUE,""✓"",""✗"")"),"✗")</f>
        <v>✗</v>
      </c>
      <c r="H60" s="154" t="str">
        <f>IFERROR(__xludf.DUMMYFUNCTION("if(REGEXMATCH(join("", "",$C60:$F60),H$1)=TRUE,""✓"",""✗"")"),"✗")</f>
        <v>✗</v>
      </c>
      <c r="I60" s="154" t="str">
        <f>IFERROR(__xludf.DUMMYFUNCTION("if(REGEXMATCH(join("", "",$C60:$F60),I$1)=TRUE,""✓"",""✗"")"),"✗")</f>
        <v>✗</v>
      </c>
      <c r="J60" s="154" t="str">
        <f>IFERROR(__xludf.DUMMYFUNCTION("if(REGEXMATCH(join("", "",$C60:$F60),J$1)=TRUE,""✓"",""✗"")"),"✗")</f>
        <v>✗</v>
      </c>
      <c r="K60" s="154" t="str">
        <f>IFERROR(__xludf.DUMMYFUNCTION("if(REGEXMATCH(join("", "",$C60:$F60),K$1)=TRUE,""✓"",""✗"")"),"✗")</f>
        <v>✗</v>
      </c>
      <c r="L60" s="154" t="str">
        <f>IFERROR(__xludf.DUMMYFUNCTION("if(REGEXMATCH(join("", "",$C60:$F60),L$1)=TRUE,""✓"",""✗"")"),"✗")</f>
        <v>✗</v>
      </c>
      <c r="M60" s="154" t="str">
        <f>IFERROR(__xludf.DUMMYFUNCTION("if(REGEXMATCH(join("", "",$C60:$F60),M$1)=TRUE,""✓"",""✗"")"),"✗")</f>
        <v>✗</v>
      </c>
      <c r="N60" s="154" t="str">
        <f>IFERROR(__xludf.DUMMYFUNCTION("if(REGEXMATCH(join("", "",$C60:$F60),N$1)=TRUE,""✓"",""✗"")"),"✗")</f>
        <v>✗</v>
      </c>
      <c r="O60" s="154" t="str">
        <f>IFERROR(__xludf.DUMMYFUNCTION("if(REGEXMATCH(join("", "",$C60:$F60),O$1)=TRUE,""✓"",""✗"")"),"✗")</f>
        <v>✗</v>
      </c>
      <c r="P60" s="154" t="str">
        <f>IFERROR(__xludf.DUMMYFUNCTION("if(REGEXMATCH(join("", "",$C60:$F60),P$1)=TRUE,""✓"",""✗"")"),"✗")</f>
        <v>✗</v>
      </c>
      <c r="Q60" s="154" t="str">
        <f>IFERROR(__xludf.DUMMYFUNCTION("if(REGEXMATCH(join("", "",$C60:$F60),Q$1)=TRUE,""✓"",""✗"")"),"✗")</f>
        <v>✗</v>
      </c>
      <c r="R60" s="154" t="str">
        <f>IFERROR(__xludf.DUMMYFUNCTION("if(REGEXMATCH(join("", "",$C60:$F60),R$1)=TRUE,""✓"",""✗"")"),"✗")</f>
        <v>✗</v>
      </c>
      <c r="S60" s="154" t="str">
        <f>IFERROR(__xludf.DUMMYFUNCTION("if(REGEXMATCH(join("", "",$C60:$F60),S$1)=TRUE,""✓"",""✗"")"),"✗")</f>
        <v>✗</v>
      </c>
      <c r="T60" s="155"/>
      <c r="U60" s="155"/>
      <c r="V60" s="155"/>
      <c r="W60" s="155"/>
      <c r="X60" s="155"/>
      <c r="Y60" s="155"/>
      <c r="Z60" s="155"/>
      <c r="AA60" s="155"/>
      <c r="AB60" s="155"/>
    </row>
    <row r="61" outlineLevel="1">
      <c r="A61" s="158">
        <v>60.0</v>
      </c>
      <c r="B61" s="151" t="str">
        <f t="shared" si="1"/>
        <v>Martin-Alguacil et al., 2018</v>
      </c>
      <c r="C61" s="157"/>
      <c r="D61" s="153" t="s">
        <v>5068</v>
      </c>
      <c r="E61" s="152" t="s">
        <v>174</v>
      </c>
      <c r="F61" s="152" t="s">
        <v>4973</v>
      </c>
      <c r="G61" s="154" t="str">
        <f>IFERROR(__xludf.DUMMYFUNCTION("if(REGEXMATCH(join("", "",$C61:$F61),G$1)=TRUE,""✓"",""✗"")"),"✗")</f>
        <v>✗</v>
      </c>
      <c r="H61" s="154" t="str">
        <f>IFERROR(__xludf.DUMMYFUNCTION("if(REGEXMATCH(join("", "",$C61:$F61),H$1)=TRUE,""✓"",""✗"")"),"✗")</f>
        <v>✗</v>
      </c>
      <c r="I61" s="154" t="str">
        <f>IFERROR(__xludf.DUMMYFUNCTION("if(REGEXMATCH(join("", "",$C61:$F61),I$1)=TRUE,""✓"",""✗"")"),"✗")</f>
        <v>✗</v>
      </c>
      <c r="J61" s="154" t="str">
        <f>IFERROR(__xludf.DUMMYFUNCTION("if(REGEXMATCH(join("", "",$C61:$F61),J$1)=TRUE,""✓"",""✗"")"),"✗")</f>
        <v>✗</v>
      </c>
      <c r="K61" s="154" t="str">
        <f>IFERROR(__xludf.DUMMYFUNCTION("if(REGEXMATCH(join("", "",$C61:$F61),K$1)=TRUE,""✓"",""✗"")"),"✗")</f>
        <v>✗</v>
      </c>
      <c r="L61" s="154" t="str">
        <f>IFERROR(__xludf.DUMMYFUNCTION("if(REGEXMATCH(join("", "",$C61:$F61),L$1)=TRUE,""✓"",""✗"")"),"✗")</f>
        <v>✗</v>
      </c>
      <c r="M61" s="154" t="str">
        <f>IFERROR(__xludf.DUMMYFUNCTION("if(REGEXMATCH(join("", "",$C61:$F61),M$1)=TRUE,""✓"",""✗"")"),"✗")</f>
        <v>✗</v>
      </c>
      <c r="N61" s="154" t="str">
        <f>IFERROR(__xludf.DUMMYFUNCTION("if(REGEXMATCH(join("", "",$C61:$F61),N$1)=TRUE,""✓"",""✗"")"),"✗")</f>
        <v>✗</v>
      </c>
      <c r="O61" s="154" t="str">
        <f>IFERROR(__xludf.DUMMYFUNCTION("if(REGEXMATCH(join("", "",$C61:$F61),O$1)=TRUE,""✓"",""✗"")"),"✗")</f>
        <v>✗</v>
      </c>
      <c r="P61" s="154" t="str">
        <f>IFERROR(__xludf.DUMMYFUNCTION("if(REGEXMATCH(join("", "",$C61:$F61),P$1)=TRUE,""✓"",""✗"")"),"✗")</f>
        <v>✗</v>
      </c>
      <c r="Q61" s="154" t="str">
        <f>IFERROR(__xludf.DUMMYFUNCTION("if(REGEXMATCH(join("", "",$C61:$F61),Q$1)=TRUE,""✓"",""✗"")"),"✗")</f>
        <v>✗</v>
      </c>
      <c r="R61" s="154" t="str">
        <f>IFERROR(__xludf.DUMMYFUNCTION("if(REGEXMATCH(join("", "",$C61:$F61),R$1)=TRUE,""✓"",""✗"")"),"✗")</f>
        <v>✗</v>
      </c>
      <c r="S61" s="154" t="str">
        <f>IFERROR(__xludf.DUMMYFUNCTION("if(REGEXMATCH(join("", "",$C61:$F61),S$1)=TRUE,""✓"",""✗"")"),"✗")</f>
        <v>✗</v>
      </c>
      <c r="T61" s="155"/>
      <c r="U61" s="155"/>
      <c r="V61" s="155"/>
      <c r="W61" s="155"/>
      <c r="X61" s="155"/>
      <c r="Y61" s="155"/>
      <c r="Z61" s="155"/>
      <c r="AA61" s="155"/>
      <c r="AB61" s="155"/>
    </row>
    <row r="62">
      <c r="A62" s="158">
        <v>61.0</v>
      </c>
      <c r="B62" s="151" t="str">
        <f t="shared" si="1"/>
        <v>Martin-Alguacil et al., 2019</v>
      </c>
      <c r="C62" s="157"/>
      <c r="D62" s="153" t="s">
        <v>5071</v>
      </c>
      <c r="E62" s="152" t="s">
        <v>174</v>
      </c>
      <c r="F62" s="152" t="s">
        <v>4980</v>
      </c>
      <c r="G62" s="154" t="str">
        <f>IFERROR(__xludf.DUMMYFUNCTION("if(REGEXMATCH(join("", "",$C62:$F62),G$1)=TRUE,""✓"",""✗"")"),"✗")</f>
        <v>✗</v>
      </c>
      <c r="H62" s="154" t="str">
        <f>IFERROR(__xludf.DUMMYFUNCTION("if(REGEXMATCH(join("", "",$C62:$F62),H$1)=TRUE,""✓"",""✗"")"),"✗")</f>
        <v>✗</v>
      </c>
      <c r="I62" s="154" t="str">
        <f>IFERROR(__xludf.DUMMYFUNCTION("if(REGEXMATCH(join("", "",$C62:$F62),I$1)=TRUE,""✓"",""✗"")"),"✗")</f>
        <v>✗</v>
      </c>
      <c r="J62" s="154" t="str">
        <f>IFERROR(__xludf.DUMMYFUNCTION("if(REGEXMATCH(join("", "",$C62:$F62),J$1)=TRUE,""✓"",""✗"")"),"✗")</f>
        <v>✗</v>
      </c>
      <c r="K62" s="154" t="str">
        <f>IFERROR(__xludf.DUMMYFUNCTION("if(REGEXMATCH(join("", "",$C62:$F62),K$1)=TRUE,""✓"",""✗"")"),"✗")</f>
        <v>✗</v>
      </c>
      <c r="L62" s="154" t="str">
        <f>IFERROR(__xludf.DUMMYFUNCTION("if(REGEXMATCH(join("", "",$C62:$F62),L$1)=TRUE,""✓"",""✗"")"),"✗")</f>
        <v>✗</v>
      </c>
      <c r="M62" s="154" t="str">
        <f>IFERROR(__xludf.DUMMYFUNCTION("if(REGEXMATCH(join("", "",$C62:$F62),M$1)=TRUE,""✓"",""✗"")"),"✗")</f>
        <v>✗</v>
      </c>
      <c r="N62" s="154" t="str">
        <f>IFERROR(__xludf.DUMMYFUNCTION("if(REGEXMATCH(join("", "",$C62:$F62),N$1)=TRUE,""✓"",""✗"")"),"✗")</f>
        <v>✗</v>
      </c>
      <c r="O62" s="154" t="str">
        <f>IFERROR(__xludf.DUMMYFUNCTION("if(REGEXMATCH(join("", "",$C62:$F62),O$1)=TRUE,""✓"",""✗"")"),"✗")</f>
        <v>✗</v>
      </c>
      <c r="P62" s="154" t="str">
        <f>IFERROR(__xludf.DUMMYFUNCTION("if(REGEXMATCH(join("", "",$C62:$F62),P$1)=TRUE,""✓"",""✗"")"),"✗")</f>
        <v>✗</v>
      </c>
      <c r="Q62" s="154" t="str">
        <f>IFERROR(__xludf.DUMMYFUNCTION("if(REGEXMATCH(join("", "",$C62:$F62),Q$1)=TRUE,""✓"",""✗"")"),"✗")</f>
        <v>✗</v>
      </c>
      <c r="R62" s="154" t="str">
        <f>IFERROR(__xludf.DUMMYFUNCTION("if(REGEXMATCH(join("", "",$C62:$F62),R$1)=TRUE,""✓"",""✗"")"),"✗")</f>
        <v>✗</v>
      </c>
      <c r="S62" s="154" t="str">
        <f>IFERROR(__xludf.DUMMYFUNCTION("if(REGEXMATCH(join("", "",$C62:$F62),S$1)=TRUE,""✓"",""✗"")"),"✗")</f>
        <v>✗</v>
      </c>
      <c r="T62" s="155"/>
      <c r="U62" s="155"/>
      <c r="V62" s="155"/>
      <c r="W62" s="155"/>
      <c r="X62" s="155"/>
      <c r="Y62" s="155"/>
      <c r="Z62" s="155"/>
      <c r="AA62" s="155"/>
      <c r="AB62" s="155"/>
    </row>
    <row r="63">
      <c r="A63" s="150">
        <v>62.0</v>
      </c>
      <c r="B63" s="151" t="str">
        <f t="shared" si="1"/>
        <v>Matsumoto et al., 2006</v>
      </c>
      <c r="C63" s="152" t="s">
        <v>321</v>
      </c>
      <c r="D63" s="156" t="s">
        <v>5074</v>
      </c>
      <c r="E63" s="152" t="s">
        <v>109</v>
      </c>
      <c r="F63" s="157" t="s">
        <v>336</v>
      </c>
      <c r="G63" s="154" t="str">
        <f>IFERROR(__xludf.DUMMYFUNCTION("if(REGEXMATCH(join("", "",$C63:$F63),G$1)=TRUE,""✓"",""✗"")"),"✓")</f>
        <v>✓</v>
      </c>
      <c r="H63" s="154" t="str">
        <f>IFERROR(__xludf.DUMMYFUNCTION("if(REGEXMATCH(join("", "",$C63:$F63),H$1)=TRUE,""✓"",""✗"")"),"✓")</f>
        <v>✓</v>
      </c>
      <c r="I63" s="154" t="str">
        <f>IFERROR(__xludf.DUMMYFUNCTION("if(REGEXMATCH(join("", "",$C63:$F63),I$1)=TRUE,""✓"",""✗"")"),"✗")</f>
        <v>✗</v>
      </c>
      <c r="J63" s="154" t="str">
        <f>IFERROR(__xludf.DUMMYFUNCTION("if(REGEXMATCH(join("", "",$C63:$F63),J$1)=TRUE,""✓"",""✗"")"),"✗")</f>
        <v>✗</v>
      </c>
      <c r="K63" s="154" t="str">
        <f>IFERROR(__xludf.DUMMYFUNCTION("if(REGEXMATCH(join("", "",$C63:$F63),K$1)=TRUE,""✓"",""✗"")"),"✗")</f>
        <v>✗</v>
      </c>
      <c r="L63" s="154" t="str">
        <f>IFERROR(__xludf.DUMMYFUNCTION("if(REGEXMATCH(join("", "",$C63:$F63),L$1)=TRUE,""✓"",""✗"")"),"✗")</f>
        <v>✗</v>
      </c>
      <c r="M63" s="154" t="str">
        <f>IFERROR(__xludf.DUMMYFUNCTION("if(REGEXMATCH(join("", "",$C63:$F63),M$1)=TRUE,""✓"",""✗"")"),"✓")</f>
        <v>✓</v>
      </c>
      <c r="N63" s="154" t="str">
        <f>IFERROR(__xludf.DUMMYFUNCTION("if(REGEXMATCH(join("", "",$C63:$F63),N$1)=TRUE,""✓"",""✗"")"),"✗")</f>
        <v>✗</v>
      </c>
      <c r="O63" s="154" t="str">
        <f>IFERROR(__xludf.DUMMYFUNCTION("if(REGEXMATCH(join("", "",$C63:$F63),O$1)=TRUE,""✓"",""✗"")"),"✗")</f>
        <v>✗</v>
      </c>
      <c r="P63" s="154" t="str">
        <f>IFERROR(__xludf.DUMMYFUNCTION("if(REGEXMATCH(join("", "",$C63:$F63),P$1)=TRUE,""✓"",""✗"")"),"✓")</f>
        <v>✓</v>
      </c>
      <c r="Q63" s="154" t="str">
        <f>IFERROR(__xludf.DUMMYFUNCTION("if(REGEXMATCH(join("", "",$C63:$F63),Q$1)=TRUE,""✓"",""✗"")"),"✗")</f>
        <v>✗</v>
      </c>
      <c r="R63" s="154" t="str">
        <f>IFERROR(__xludf.DUMMYFUNCTION("if(REGEXMATCH(join("", "",$C63:$F63),R$1)=TRUE,""✓"",""✗"")"),"✗")</f>
        <v>✗</v>
      </c>
      <c r="S63" s="154" t="str">
        <f>IFERROR(__xludf.DUMMYFUNCTION("if(REGEXMATCH(join("", "",$C63:$F63),S$1)=TRUE,""✓"",""✗"")"),"✗")</f>
        <v>✗</v>
      </c>
      <c r="T63" s="155"/>
      <c r="U63" s="155"/>
      <c r="V63" s="155"/>
      <c r="W63" s="155"/>
      <c r="X63" s="155"/>
      <c r="Y63" s="155"/>
      <c r="Z63" s="155"/>
      <c r="AA63" s="155"/>
      <c r="AB63" s="155"/>
    </row>
    <row r="64">
      <c r="A64" s="150">
        <v>63.0</v>
      </c>
      <c r="B64" s="151" t="str">
        <f t="shared" si="1"/>
        <v>Mccormack et al., 2006</v>
      </c>
      <c r="C64" s="163"/>
      <c r="D64" s="156" t="s">
        <v>5077</v>
      </c>
      <c r="E64" s="152" t="s">
        <v>174</v>
      </c>
      <c r="F64" s="152" t="s">
        <v>4980</v>
      </c>
      <c r="G64" s="154" t="str">
        <f>IFERROR(__xludf.DUMMYFUNCTION("if(REGEXMATCH(join("", "",$C64:$F64),G$1)=TRUE,""✓"",""✗"")"),"✗")</f>
        <v>✗</v>
      </c>
      <c r="H64" s="154" t="str">
        <f>IFERROR(__xludf.DUMMYFUNCTION("if(REGEXMATCH(join("", "",$C64:$F64),H$1)=TRUE,""✓"",""✗"")"),"✗")</f>
        <v>✗</v>
      </c>
      <c r="I64" s="154" t="str">
        <f>IFERROR(__xludf.DUMMYFUNCTION("if(REGEXMATCH(join("", "",$C64:$F64),I$1)=TRUE,""✓"",""✗"")"),"✗")</f>
        <v>✗</v>
      </c>
      <c r="J64" s="154" t="str">
        <f>IFERROR(__xludf.DUMMYFUNCTION("if(REGEXMATCH(join("", "",$C64:$F64),J$1)=TRUE,""✓"",""✗"")"),"✗")</f>
        <v>✗</v>
      </c>
      <c r="K64" s="154" t="str">
        <f>IFERROR(__xludf.DUMMYFUNCTION("if(REGEXMATCH(join("", "",$C64:$F64),K$1)=TRUE,""✓"",""✗"")"),"✗")</f>
        <v>✗</v>
      </c>
      <c r="L64" s="154" t="str">
        <f>IFERROR(__xludf.DUMMYFUNCTION("if(REGEXMATCH(join("", "",$C64:$F64),L$1)=TRUE,""✓"",""✗"")"),"✗")</f>
        <v>✗</v>
      </c>
      <c r="M64" s="154" t="str">
        <f>IFERROR(__xludf.DUMMYFUNCTION("if(REGEXMATCH(join("", "",$C64:$F64),M$1)=TRUE,""✓"",""✗"")"),"✗")</f>
        <v>✗</v>
      </c>
      <c r="N64" s="154" t="str">
        <f>IFERROR(__xludf.DUMMYFUNCTION("if(REGEXMATCH(join("", "",$C64:$F64),N$1)=TRUE,""✓"",""✗"")"),"✗")</f>
        <v>✗</v>
      </c>
      <c r="O64" s="154" t="str">
        <f>IFERROR(__xludf.DUMMYFUNCTION("if(REGEXMATCH(join("", "",$C64:$F64),O$1)=TRUE,""✓"",""✗"")"),"✗")</f>
        <v>✗</v>
      </c>
      <c r="P64" s="154" t="str">
        <f>IFERROR(__xludf.DUMMYFUNCTION("if(REGEXMATCH(join("", "",$C64:$F64),P$1)=TRUE,""✓"",""✗"")"),"✗")</f>
        <v>✗</v>
      </c>
      <c r="Q64" s="154" t="str">
        <f>IFERROR(__xludf.DUMMYFUNCTION("if(REGEXMATCH(join("", "",$C64:$F64),Q$1)=TRUE,""✓"",""✗"")"),"✗")</f>
        <v>✗</v>
      </c>
      <c r="R64" s="154" t="str">
        <f>IFERROR(__xludf.DUMMYFUNCTION("if(REGEXMATCH(join("", "",$C64:$F64),R$1)=TRUE,""✓"",""✗"")"),"✗")</f>
        <v>✗</v>
      </c>
      <c r="S64" s="154" t="str">
        <f>IFERROR(__xludf.DUMMYFUNCTION("if(REGEXMATCH(join("", "",$C64:$F64),S$1)=TRUE,""✓"",""✗"")"),"✗")</f>
        <v>✗</v>
      </c>
      <c r="T64" s="155"/>
      <c r="U64" s="155"/>
      <c r="V64" s="155"/>
      <c r="W64" s="155"/>
      <c r="X64" s="155"/>
      <c r="Y64" s="155"/>
      <c r="Z64" s="155"/>
      <c r="AA64" s="155"/>
      <c r="AB64" s="155"/>
    </row>
    <row r="65">
      <c r="A65" s="150">
        <v>64.0</v>
      </c>
      <c r="B65" s="151" t="str">
        <f t="shared" si="1"/>
        <v>Mohammadi et al., 2013</v>
      </c>
      <c r="C65" s="152"/>
      <c r="D65" s="156" t="s">
        <v>5080</v>
      </c>
      <c r="E65" s="152" t="s">
        <v>174</v>
      </c>
      <c r="F65" s="152" t="s">
        <v>4980</v>
      </c>
      <c r="G65" s="154" t="str">
        <f>IFERROR(__xludf.DUMMYFUNCTION("if(REGEXMATCH(join("", "",$C65:$F65),G$1)=TRUE,""✓"",""✗"")"),"✗")</f>
        <v>✗</v>
      </c>
      <c r="H65" s="154" t="str">
        <f>IFERROR(__xludf.DUMMYFUNCTION("if(REGEXMATCH(join("", "",$C65:$F65),H$1)=TRUE,""✓"",""✗"")"),"✗")</f>
        <v>✗</v>
      </c>
      <c r="I65" s="154" t="str">
        <f>IFERROR(__xludf.DUMMYFUNCTION("if(REGEXMATCH(join("", "",$C65:$F65),I$1)=TRUE,""✓"",""✗"")"),"✗")</f>
        <v>✗</v>
      </c>
      <c r="J65" s="154" t="str">
        <f>IFERROR(__xludf.DUMMYFUNCTION("if(REGEXMATCH(join("", "",$C65:$F65),J$1)=TRUE,""✓"",""✗"")"),"✗")</f>
        <v>✗</v>
      </c>
      <c r="K65" s="154" t="str">
        <f>IFERROR(__xludf.DUMMYFUNCTION("if(REGEXMATCH(join("", "",$C65:$F65),K$1)=TRUE,""✓"",""✗"")"),"✗")</f>
        <v>✗</v>
      </c>
      <c r="L65" s="154" t="str">
        <f>IFERROR(__xludf.DUMMYFUNCTION("if(REGEXMATCH(join("", "",$C65:$F65),L$1)=TRUE,""✓"",""✗"")"),"✗")</f>
        <v>✗</v>
      </c>
      <c r="M65" s="154" t="str">
        <f>IFERROR(__xludf.DUMMYFUNCTION("if(REGEXMATCH(join("", "",$C65:$F65),M$1)=TRUE,""✓"",""✗"")"),"✗")</f>
        <v>✗</v>
      </c>
      <c r="N65" s="154" t="str">
        <f>IFERROR(__xludf.DUMMYFUNCTION("if(REGEXMATCH(join("", "",$C65:$F65),N$1)=TRUE,""✓"",""✗"")"),"✗")</f>
        <v>✗</v>
      </c>
      <c r="O65" s="154" t="str">
        <f>IFERROR(__xludf.DUMMYFUNCTION("if(REGEXMATCH(join("", "",$C65:$F65),O$1)=TRUE,""✓"",""✗"")"),"✗")</f>
        <v>✗</v>
      </c>
      <c r="P65" s="154" t="str">
        <f>IFERROR(__xludf.DUMMYFUNCTION("if(REGEXMATCH(join("", "",$C65:$F65),P$1)=TRUE,""✓"",""✗"")"),"✗")</f>
        <v>✗</v>
      </c>
      <c r="Q65" s="154" t="str">
        <f>IFERROR(__xludf.DUMMYFUNCTION("if(REGEXMATCH(join("", "",$C65:$F65),Q$1)=TRUE,""✓"",""✗"")"),"✗")</f>
        <v>✗</v>
      </c>
      <c r="R65" s="154" t="str">
        <f>IFERROR(__xludf.DUMMYFUNCTION("if(REGEXMATCH(join("", "",$C65:$F65),R$1)=TRUE,""✓"",""✗"")"),"✗")</f>
        <v>✗</v>
      </c>
      <c r="S65" s="154" t="str">
        <f>IFERROR(__xludf.DUMMYFUNCTION("if(REGEXMATCH(join("", "",$C65:$F65),S$1)=TRUE,""✓"",""✗"")"),"✗")</f>
        <v>✗</v>
      </c>
      <c r="T65" s="155"/>
      <c r="U65" s="155"/>
      <c r="V65" s="155"/>
      <c r="W65" s="155"/>
      <c r="X65" s="155"/>
      <c r="Y65" s="155"/>
      <c r="Z65" s="155"/>
      <c r="AA65" s="155"/>
      <c r="AB65" s="155"/>
    </row>
    <row r="66">
      <c r="A66" s="150">
        <v>65.0</v>
      </c>
      <c r="B66" s="151" t="str">
        <f t="shared" si="1"/>
        <v>Mohtadi et al., 2016A</v>
      </c>
      <c r="C66" s="152"/>
      <c r="D66" s="156" t="s">
        <v>5081</v>
      </c>
      <c r="E66" s="152" t="s">
        <v>174</v>
      </c>
      <c r="F66" s="152" t="s">
        <v>4973</v>
      </c>
      <c r="G66" s="154" t="str">
        <f>IFERROR(__xludf.DUMMYFUNCTION("if(REGEXMATCH(join("", "",$C66:$F66),G$1)=TRUE,""✓"",""✗"")"),"✗")</f>
        <v>✗</v>
      </c>
      <c r="H66" s="154" t="str">
        <f>IFERROR(__xludf.DUMMYFUNCTION("if(REGEXMATCH(join("", "",$C66:$F66),H$1)=TRUE,""✓"",""✗"")"),"✗")</f>
        <v>✗</v>
      </c>
      <c r="I66" s="154" t="str">
        <f>IFERROR(__xludf.DUMMYFUNCTION("if(REGEXMATCH(join("", "",$C66:$F66),I$1)=TRUE,""✓"",""✗"")"),"✗")</f>
        <v>✗</v>
      </c>
      <c r="J66" s="154" t="str">
        <f>IFERROR(__xludf.DUMMYFUNCTION("if(REGEXMATCH(join("", "",$C66:$F66),J$1)=TRUE,""✓"",""✗"")"),"✗")</f>
        <v>✗</v>
      </c>
      <c r="K66" s="154" t="str">
        <f>IFERROR(__xludf.DUMMYFUNCTION("if(REGEXMATCH(join("", "",$C66:$F66),K$1)=TRUE,""✓"",""✗"")"),"✗")</f>
        <v>✗</v>
      </c>
      <c r="L66" s="154" t="str">
        <f>IFERROR(__xludf.DUMMYFUNCTION("if(REGEXMATCH(join("", "",$C66:$F66),L$1)=TRUE,""✓"",""✗"")"),"✗")</f>
        <v>✗</v>
      </c>
      <c r="M66" s="154" t="str">
        <f>IFERROR(__xludf.DUMMYFUNCTION("if(REGEXMATCH(join("", "",$C66:$F66),M$1)=TRUE,""✓"",""✗"")"),"✗")</f>
        <v>✗</v>
      </c>
      <c r="N66" s="154" t="str">
        <f>IFERROR(__xludf.DUMMYFUNCTION("if(REGEXMATCH(join("", "",$C66:$F66),N$1)=TRUE,""✓"",""✗"")"),"✗")</f>
        <v>✗</v>
      </c>
      <c r="O66" s="154" t="str">
        <f>IFERROR(__xludf.DUMMYFUNCTION("if(REGEXMATCH(join("", "",$C66:$F66),O$1)=TRUE,""✓"",""✗"")"),"✗")</f>
        <v>✗</v>
      </c>
      <c r="P66" s="154" t="str">
        <f>IFERROR(__xludf.DUMMYFUNCTION("if(REGEXMATCH(join("", "",$C66:$F66),P$1)=TRUE,""✓"",""✗"")"),"✗")</f>
        <v>✗</v>
      </c>
      <c r="Q66" s="154" t="str">
        <f>IFERROR(__xludf.DUMMYFUNCTION("if(REGEXMATCH(join("", "",$C66:$F66),Q$1)=TRUE,""✓"",""✗"")"),"✗")</f>
        <v>✗</v>
      </c>
      <c r="R66" s="154" t="str">
        <f>IFERROR(__xludf.DUMMYFUNCTION("if(REGEXMATCH(join("", "",$C66:$F66),R$1)=TRUE,""✓"",""✗"")"),"✗")</f>
        <v>✗</v>
      </c>
      <c r="S66" s="154" t="str">
        <f>IFERROR(__xludf.DUMMYFUNCTION("if(REGEXMATCH(join("", "",$C66:$F66),S$1)=TRUE,""✓"",""✗"")"),"✗")</f>
        <v>✗</v>
      </c>
      <c r="T66" s="155"/>
      <c r="U66" s="155"/>
      <c r="V66" s="155"/>
      <c r="W66" s="155"/>
      <c r="X66" s="155"/>
      <c r="Y66" s="155"/>
      <c r="Z66" s="155"/>
      <c r="AA66" s="155"/>
      <c r="AB66" s="155"/>
    </row>
    <row r="67">
      <c r="A67" s="150">
        <v>66.0</v>
      </c>
      <c r="B67" s="151" t="str">
        <f t="shared" si="1"/>
        <v>Mohtadi et al., 2016B</v>
      </c>
      <c r="C67" s="152" t="s">
        <v>321</v>
      </c>
      <c r="D67" s="156" t="s">
        <v>5084</v>
      </c>
      <c r="E67" s="152" t="s">
        <v>109</v>
      </c>
      <c r="F67" s="157" t="s">
        <v>359</v>
      </c>
      <c r="G67" s="154" t="str">
        <f>IFERROR(__xludf.DUMMYFUNCTION("if(REGEXMATCH(join("", "",$C67:$F67),G$1)=TRUE,""✓"",""✗"")"),"✓")</f>
        <v>✓</v>
      </c>
      <c r="H67" s="154" t="str">
        <f>IFERROR(__xludf.DUMMYFUNCTION("if(REGEXMATCH(join("", "",$C67:$F67),H$1)=TRUE,""✓"",""✗"")"),"✓")</f>
        <v>✓</v>
      </c>
      <c r="I67" s="154" t="str">
        <f>IFERROR(__xludf.DUMMYFUNCTION("if(REGEXMATCH(join("", "",$C67:$F67),I$1)=TRUE,""✓"",""✗"")"),"✗")</f>
        <v>✗</v>
      </c>
      <c r="J67" s="154" t="str">
        <f>IFERROR(__xludf.DUMMYFUNCTION("if(REGEXMATCH(join("", "",$C67:$F67),J$1)=TRUE,""✓"",""✗"")"),"✗")</f>
        <v>✗</v>
      </c>
      <c r="K67" s="154" t="str">
        <f>IFERROR(__xludf.DUMMYFUNCTION("if(REGEXMATCH(join("", "",$C67:$F67),K$1)=TRUE,""✓"",""✗"")"),"✗")</f>
        <v>✗</v>
      </c>
      <c r="L67" s="154" t="str">
        <f>IFERROR(__xludf.DUMMYFUNCTION("if(REGEXMATCH(join("", "",$C67:$F67),L$1)=TRUE,""✓"",""✗"")"),"✗")</f>
        <v>✗</v>
      </c>
      <c r="M67" s="154" t="str">
        <f>IFERROR(__xludf.DUMMYFUNCTION("if(REGEXMATCH(join("", "",$C67:$F67),M$1)=TRUE,""✓"",""✗"")"),"✗")</f>
        <v>✗</v>
      </c>
      <c r="N67" s="154" t="str">
        <f>IFERROR(__xludf.DUMMYFUNCTION("if(REGEXMATCH(join("", "",$C67:$F67),N$1)=TRUE,""✓"",""✗"")"),"✗")</f>
        <v>✗</v>
      </c>
      <c r="O67" s="154" t="str">
        <f>IFERROR(__xludf.DUMMYFUNCTION("if(REGEXMATCH(join("", "",$C67:$F67),O$1)=TRUE,""✓"",""✗"")"),"✗")</f>
        <v>✗</v>
      </c>
      <c r="P67" s="154" t="str">
        <f>IFERROR(__xludf.DUMMYFUNCTION("if(REGEXMATCH(join("", "",$C67:$F67),P$1)=TRUE,""✓"",""✗"")"),"✓")</f>
        <v>✓</v>
      </c>
      <c r="Q67" s="154" t="str">
        <f>IFERROR(__xludf.DUMMYFUNCTION("if(REGEXMATCH(join("", "",$C67:$F67),Q$1)=TRUE,""✓"",""✗"")"),"✗")</f>
        <v>✗</v>
      </c>
      <c r="R67" s="154" t="str">
        <f>IFERROR(__xludf.DUMMYFUNCTION("if(REGEXMATCH(join("", "",$C67:$F67),R$1)=TRUE,""✓"",""✗"")"),"✓")</f>
        <v>✓</v>
      </c>
      <c r="S67" s="154" t="str">
        <f>IFERROR(__xludf.DUMMYFUNCTION("if(REGEXMATCH(join("", "",$C67:$F67),S$1)=TRUE,""✓"",""✗"")"),"✓")</f>
        <v>✓</v>
      </c>
      <c r="T67" s="155"/>
      <c r="U67" s="155"/>
      <c r="V67" s="155"/>
      <c r="W67" s="155"/>
      <c r="X67" s="155"/>
      <c r="Y67" s="155"/>
      <c r="Z67" s="155"/>
      <c r="AA67" s="155"/>
      <c r="AB67" s="155"/>
    </row>
    <row r="68">
      <c r="A68" s="150">
        <v>67.0</v>
      </c>
      <c r="B68" s="151" t="str">
        <f t="shared" si="1"/>
        <v>Mohtadi et al., Chan et al., 2019</v>
      </c>
      <c r="C68" s="152" t="s">
        <v>321</v>
      </c>
      <c r="D68" s="156" t="s">
        <v>5087</v>
      </c>
      <c r="E68" s="152" t="s">
        <v>109</v>
      </c>
      <c r="F68" s="157" t="s">
        <v>5088</v>
      </c>
      <c r="G68" s="154" t="str">
        <f>IFERROR(__xludf.DUMMYFUNCTION("if(REGEXMATCH(join("", "",$C68:$F68),G$1)=TRUE,""✓"",""✗"")"),"✓")</f>
        <v>✓</v>
      </c>
      <c r="H68" s="154" t="str">
        <f>IFERROR(__xludf.DUMMYFUNCTION("if(REGEXMATCH(join("", "",$C68:$F68),H$1)=TRUE,""✓"",""✗"")"),"✓")</f>
        <v>✓</v>
      </c>
      <c r="I68" s="154" t="str">
        <f>IFERROR(__xludf.DUMMYFUNCTION("if(REGEXMATCH(join("", "",$C68:$F68),I$1)=TRUE,""✓"",""✗"")"),"✗")</f>
        <v>✗</v>
      </c>
      <c r="J68" s="154" t="str">
        <f>IFERROR(__xludf.DUMMYFUNCTION("if(REGEXMATCH(join("", "",$C68:$F68),J$1)=TRUE,""✓"",""✗"")"),"✗")</f>
        <v>✗</v>
      </c>
      <c r="K68" s="154" t="str">
        <f>IFERROR(__xludf.DUMMYFUNCTION("if(REGEXMATCH(join("", "",$C68:$F68),K$1)=TRUE,""✓"",""✗"")"),"✗")</f>
        <v>✗</v>
      </c>
      <c r="L68" s="154" t="str">
        <f>IFERROR(__xludf.DUMMYFUNCTION("if(REGEXMATCH(join("", "",$C68:$F68),L$1)=TRUE,""✓"",""✗"")"),"✗")</f>
        <v>✗</v>
      </c>
      <c r="M68" s="154" t="str">
        <f>IFERROR(__xludf.DUMMYFUNCTION("if(REGEXMATCH(join("", "",$C68:$F68),M$1)=TRUE,""✓"",""✗"")"),"✓")</f>
        <v>✓</v>
      </c>
      <c r="N68" s="154" t="str">
        <f>IFERROR(__xludf.DUMMYFUNCTION("if(REGEXMATCH(join("", "",$C68:$F68),N$1)=TRUE,""✓"",""✗"")"),"✗")</f>
        <v>✗</v>
      </c>
      <c r="O68" s="154" t="str">
        <f>IFERROR(__xludf.DUMMYFUNCTION("if(REGEXMATCH(join("", "",$C68:$F68),O$1)=TRUE,""✓"",""✗"")"),"✗")</f>
        <v>✗</v>
      </c>
      <c r="P68" s="154" t="str">
        <f>IFERROR(__xludf.DUMMYFUNCTION("if(REGEXMATCH(join("", "",$C68:$F68),P$1)=TRUE,""✓"",""✗"")"),"✓")</f>
        <v>✓</v>
      </c>
      <c r="Q68" s="154" t="str">
        <f>IFERROR(__xludf.DUMMYFUNCTION("if(REGEXMATCH(join("", "",$C68:$F68),Q$1)=TRUE,""✓"",""✗"")"),"✓")</f>
        <v>✓</v>
      </c>
      <c r="R68" s="154" t="str">
        <f>IFERROR(__xludf.DUMMYFUNCTION("if(REGEXMATCH(join("", "",$C68:$F68),R$1)=TRUE,""✓"",""✗"")"),"✓")</f>
        <v>✓</v>
      </c>
      <c r="S68" s="154" t="str">
        <f>IFERROR(__xludf.DUMMYFUNCTION("if(REGEXMATCH(join("", "",$C68:$F68),S$1)=TRUE,""✓"",""✗"")"),"✓")</f>
        <v>✓</v>
      </c>
      <c r="T68" s="155"/>
      <c r="U68" s="155"/>
      <c r="V68" s="155"/>
      <c r="W68" s="155"/>
      <c r="X68" s="155"/>
      <c r="Y68" s="155"/>
      <c r="Z68" s="155"/>
      <c r="AA68" s="155"/>
      <c r="AB68" s="155"/>
    </row>
    <row r="69">
      <c r="A69" s="150">
        <v>68.0</v>
      </c>
      <c r="B69" s="151" t="str">
        <f t="shared" si="1"/>
        <v>Moraiti et al., 2010</v>
      </c>
      <c r="C69" s="152" t="s">
        <v>321</v>
      </c>
      <c r="D69" s="156" t="s">
        <v>5090</v>
      </c>
      <c r="E69" s="152" t="s">
        <v>109</v>
      </c>
      <c r="F69" s="157" t="s">
        <v>360</v>
      </c>
      <c r="G69" s="154" t="str">
        <f>IFERROR(__xludf.DUMMYFUNCTION("if(REGEXMATCH(join("", "",$C69:$F69),G$1)=TRUE,""✓"",""✗"")"),"✓")</f>
        <v>✓</v>
      </c>
      <c r="H69" s="154" t="str">
        <f>IFERROR(__xludf.DUMMYFUNCTION("if(REGEXMATCH(join("", "",$C69:$F69),H$1)=TRUE,""✓"",""✗"")"),"✓")</f>
        <v>✓</v>
      </c>
      <c r="I69" s="154" t="str">
        <f>IFERROR(__xludf.DUMMYFUNCTION("if(REGEXMATCH(join("", "",$C69:$F69),I$1)=TRUE,""✓"",""✗"")"),"✗")</f>
        <v>✗</v>
      </c>
      <c r="J69" s="154" t="str">
        <f>IFERROR(__xludf.DUMMYFUNCTION("if(REGEXMATCH(join("", "",$C69:$F69),J$1)=TRUE,""✓"",""✗"")"),"✗")</f>
        <v>✗</v>
      </c>
      <c r="K69" s="154" t="str">
        <f>IFERROR(__xludf.DUMMYFUNCTION("if(REGEXMATCH(join("", "",$C69:$F69),K$1)=TRUE,""✓"",""✗"")"),"✗")</f>
        <v>✗</v>
      </c>
      <c r="L69" s="154" t="str">
        <f>IFERROR(__xludf.DUMMYFUNCTION("if(REGEXMATCH(join("", "",$C69:$F69),L$1)=TRUE,""✓"",""✗"")"),"✗")</f>
        <v>✗</v>
      </c>
      <c r="M69" s="154" t="str">
        <f>IFERROR(__xludf.DUMMYFUNCTION("if(REGEXMATCH(join("", "",$C69:$F69),M$1)=TRUE,""✓"",""✗"")"),"✓")</f>
        <v>✓</v>
      </c>
      <c r="N69" s="154" t="str">
        <f>IFERROR(__xludf.DUMMYFUNCTION("if(REGEXMATCH(join("", "",$C69:$F69),N$1)=TRUE,""✓"",""✗"")"),"✓")</f>
        <v>✓</v>
      </c>
      <c r="O69" s="154" t="str">
        <f>IFERROR(__xludf.DUMMYFUNCTION("if(REGEXMATCH(join("", "",$C69:$F69),O$1)=TRUE,""✓"",""✗"")"),"✓")</f>
        <v>✓</v>
      </c>
      <c r="P69" s="154" t="str">
        <f>IFERROR(__xludf.DUMMYFUNCTION("if(REGEXMATCH(join("", "",$C69:$F69),P$1)=TRUE,""✓"",""✗"")"),"✓")</f>
        <v>✓</v>
      </c>
      <c r="Q69" s="154" t="str">
        <f>IFERROR(__xludf.DUMMYFUNCTION("if(REGEXMATCH(join("", "",$C69:$F69),Q$1)=TRUE,""✓"",""✗"")"),"✗")</f>
        <v>✗</v>
      </c>
      <c r="R69" s="154" t="str">
        <f>IFERROR(__xludf.DUMMYFUNCTION("if(REGEXMATCH(join("", "",$C69:$F69),R$1)=TRUE,""✓"",""✗"")"),"✓")</f>
        <v>✓</v>
      </c>
      <c r="S69" s="154" t="str">
        <f>IFERROR(__xludf.DUMMYFUNCTION("if(REGEXMATCH(join("", "",$C69:$F69),S$1)=TRUE,""✓"",""✗"")"),"✓")</f>
        <v>✓</v>
      </c>
      <c r="T69" s="155"/>
      <c r="U69" s="155"/>
      <c r="V69" s="155"/>
      <c r="W69" s="155"/>
      <c r="X69" s="155"/>
      <c r="Y69" s="155"/>
      <c r="Z69" s="155"/>
      <c r="AA69" s="155"/>
      <c r="AB69" s="155"/>
    </row>
    <row r="70">
      <c r="A70" s="150">
        <v>69.0</v>
      </c>
      <c r="B70" s="151" t="str">
        <f t="shared" si="1"/>
        <v>Mouzopoulos et al., 2015</v>
      </c>
      <c r="C70" s="152"/>
      <c r="D70" s="156" t="s">
        <v>5092</v>
      </c>
      <c r="E70" s="152" t="s">
        <v>174</v>
      </c>
      <c r="F70" s="152" t="s">
        <v>4980</v>
      </c>
      <c r="G70" s="154" t="str">
        <f>IFERROR(__xludf.DUMMYFUNCTION("if(REGEXMATCH(join("", "",$C70:$F70),G$1)=TRUE,""✓"",""✗"")"),"✗")</f>
        <v>✗</v>
      </c>
      <c r="H70" s="154" t="str">
        <f>IFERROR(__xludf.DUMMYFUNCTION("if(REGEXMATCH(join("", "",$C70:$F70),H$1)=TRUE,""✓"",""✗"")"),"✗")</f>
        <v>✗</v>
      </c>
      <c r="I70" s="154" t="str">
        <f>IFERROR(__xludf.DUMMYFUNCTION("if(REGEXMATCH(join("", "",$C70:$F70),I$1)=TRUE,""✓"",""✗"")"),"✗")</f>
        <v>✗</v>
      </c>
      <c r="J70" s="154" t="str">
        <f>IFERROR(__xludf.DUMMYFUNCTION("if(REGEXMATCH(join("", "",$C70:$F70),J$1)=TRUE,""✓"",""✗"")"),"✗")</f>
        <v>✗</v>
      </c>
      <c r="K70" s="154" t="str">
        <f>IFERROR(__xludf.DUMMYFUNCTION("if(REGEXMATCH(join("", "",$C70:$F70),K$1)=TRUE,""✓"",""✗"")"),"✗")</f>
        <v>✗</v>
      </c>
      <c r="L70" s="154" t="str">
        <f>IFERROR(__xludf.DUMMYFUNCTION("if(REGEXMATCH(join("", "",$C70:$F70),L$1)=TRUE,""✓"",""✗"")"),"✗")</f>
        <v>✗</v>
      </c>
      <c r="M70" s="154" t="str">
        <f>IFERROR(__xludf.DUMMYFUNCTION("if(REGEXMATCH(join("", "",$C70:$F70),M$1)=TRUE,""✓"",""✗"")"),"✗")</f>
        <v>✗</v>
      </c>
      <c r="N70" s="154" t="str">
        <f>IFERROR(__xludf.DUMMYFUNCTION("if(REGEXMATCH(join("", "",$C70:$F70),N$1)=TRUE,""✓"",""✗"")"),"✗")</f>
        <v>✗</v>
      </c>
      <c r="O70" s="154" t="str">
        <f>IFERROR(__xludf.DUMMYFUNCTION("if(REGEXMATCH(join("", "",$C70:$F70),O$1)=TRUE,""✓"",""✗"")"),"✗")</f>
        <v>✗</v>
      </c>
      <c r="P70" s="154" t="str">
        <f>IFERROR(__xludf.DUMMYFUNCTION("if(REGEXMATCH(join("", "",$C70:$F70),P$1)=TRUE,""✓"",""✗"")"),"✗")</f>
        <v>✗</v>
      </c>
      <c r="Q70" s="154" t="str">
        <f>IFERROR(__xludf.DUMMYFUNCTION("if(REGEXMATCH(join("", "",$C70:$F70),Q$1)=TRUE,""✓"",""✗"")"),"✗")</f>
        <v>✗</v>
      </c>
      <c r="R70" s="154" t="str">
        <f>IFERROR(__xludf.DUMMYFUNCTION("if(REGEXMATCH(join("", "",$C70:$F70),R$1)=TRUE,""✓"",""✗"")"),"✗")</f>
        <v>✗</v>
      </c>
      <c r="S70" s="154" t="str">
        <f>IFERROR(__xludf.DUMMYFUNCTION("if(REGEXMATCH(join("", "",$C70:$F70),S$1)=TRUE,""✓"",""✗"")"),"✗")</f>
        <v>✗</v>
      </c>
      <c r="T70" s="155"/>
      <c r="U70" s="155"/>
      <c r="V70" s="155"/>
      <c r="W70" s="155"/>
      <c r="X70" s="155"/>
      <c r="Y70" s="155"/>
      <c r="Z70" s="155"/>
      <c r="AA70" s="155"/>
      <c r="AB70" s="155"/>
    </row>
    <row r="71">
      <c r="A71" s="150">
        <v>70.0</v>
      </c>
      <c r="B71" s="151" t="str">
        <f t="shared" si="1"/>
        <v>Noh et al., 2011</v>
      </c>
      <c r="C71" s="157" t="s">
        <v>362</v>
      </c>
      <c r="D71" s="156" t="s">
        <v>5096</v>
      </c>
      <c r="E71" s="152" t="s">
        <v>109</v>
      </c>
      <c r="F71" s="157" t="s">
        <v>361</v>
      </c>
      <c r="G71" s="154" t="str">
        <f>IFERROR(__xludf.DUMMYFUNCTION("if(REGEXMATCH(join("", "",$C71:$F71),G$1)=TRUE,""✓"",""✗"")"),"✗")</f>
        <v>✗</v>
      </c>
      <c r="H71" s="154" t="str">
        <f>IFERROR(__xludf.DUMMYFUNCTION("if(REGEXMATCH(join("", "",$C71:$F71),H$1)=TRUE,""✓"",""✗"")"),"✓")</f>
        <v>✓</v>
      </c>
      <c r="I71" s="154" t="str">
        <f>IFERROR(__xludf.DUMMYFUNCTION("if(REGEXMATCH(join("", "",$C71:$F71),I$1)=TRUE,""✓"",""✗"")"),"✗")</f>
        <v>✗</v>
      </c>
      <c r="J71" s="154" t="str">
        <f>IFERROR(__xludf.DUMMYFUNCTION("if(REGEXMATCH(join("", "",$C71:$F71),J$1)=TRUE,""✓"",""✗"")"),"✗")</f>
        <v>✗</v>
      </c>
      <c r="K71" s="154" t="str">
        <f>IFERROR(__xludf.DUMMYFUNCTION("if(REGEXMATCH(join("", "",$C71:$F71),K$1)=TRUE,""✓"",""✗"")"),"✓")</f>
        <v>✓</v>
      </c>
      <c r="L71" s="154" t="str">
        <f>IFERROR(__xludf.DUMMYFUNCTION("if(REGEXMATCH(join("", "",$C71:$F71),L$1)=TRUE,""✓"",""✗"")"),"✗")</f>
        <v>✗</v>
      </c>
      <c r="M71" s="154" t="str">
        <f>IFERROR(__xludf.DUMMYFUNCTION("if(REGEXMATCH(join("", "",$C71:$F71),M$1)=TRUE,""✓"",""✗"")"),"✓")</f>
        <v>✓</v>
      </c>
      <c r="N71" s="154" t="str">
        <f>IFERROR(__xludf.DUMMYFUNCTION("if(REGEXMATCH(join("", "",$C71:$F71),N$1)=TRUE,""✓"",""✗"")"),"✓")</f>
        <v>✓</v>
      </c>
      <c r="O71" s="154" t="str">
        <f>IFERROR(__xludf.DUMMYFUNCTION("if(REGEXMATCH(join("", "",$C71:$F71),O$1)=TRUE,""✓"",""✗"")"),"✓")</f>
        <v>✓</v>
      </c>
      <c r="P71" s="154" t="str">
        <f>IFERROR(__xludf.DUMMYFUNCTION("if(REGEXMATCH(join("", "",$C71:$F71),P$1)=TRUE,""✓"",""✗"")"),"✓")</f>
        <v>✓</v>
      </c>
      <c r="Q71" s="154" t="str">
        <f>IFERROR(__xludf.DUMMYFUNCTION("if(REGEXMATCH(join("", "",$C71:$F71),Q$1)=TRUE,""✓"",""✗"")"),"✓")</f>
        <v>✓</v>
      </c>
      <c r="R71" s="154" t="str">
        <f>IFERROR(__xludf.DUMMYFUNCTION("if(REGEXMATCH(join("", "",$C71:$F71),R$1)=TRUE,""✓"",""✗"")"),"✓")</f>
        <v>✓</v>
      </c>
      <c r="S71" s="154" t="str">
        <f>IFERROR(__xludf.DUMMYFUNCTION("if(REGEXMATCH(join("", "",$C71:$F71),S$1)=TRUE,""✓"",""✗"")"),"✓")</f>
        <v>✓</v>
      </c>
      <c r="T71" s="155"/>
      <c r="U71" s="155"/>
      <c r="V71" s="155"/>
      <c r="W71" s="155"/>
      <c r="X71" s="155"/>
      <c r="Y71" s="155"/>
      <c r="Z71" s="155"/>
      <c r="AA71" s="155"/>
      <c r="AB71" s="155"/>
    </row>
    <row r="72">
      <c r="A72" s="150">
        <v>71.0</v>
      </c>
      <c r="B72" s="151" t="str">
        <f t="shared" si="1"/>
        <v>Nurmi et al., 2004</v>
      </c>
      <c r="C72" s="157"/>
      <c r="D72" s="156" t="s">
        <v>5100</v>
      </c>
      <c r="E72" s="152" t="s">
        <v>174</v>
      </c>
      <c r="F72" s="152" t="s">
        <v>4980</v>
      </c>
      <c r="G72" s="154" t="str">
        <f>IFERROR(__xludf.DUMMYFUNCTION("if(REGEXMATCH(join("", "",$C72:$F72),G$1)=TRUE,""✓"",""✗"")"),"✗")</f>
        <v>✗</v>
      </c>
      <c r="H72" s="154" t="str">
        <f>IFERROR(__xludf.DUMMYFUNCTION("if(REGEXMATCH(join("", "",$C72:$F72),H$1)=TRUE,""✓"",""✗"")"),"✗")</f>
        <v>✗</v>
      </c>
      <c r="I72" s="154" t="str">
        <f>IFERROR(__xludf.DUMMYFUNCTION("if(REGEXMATCH(join("", "",$C72:$F72),I$1)=TRUE,""✓"",""✗"")"),"✗")</f>
        <v>✗</v>
      </c>
      <c r="J72" s="154" t="str">
        <f>IFERROR(__xludf.DUMMYFUNCTION("if(REGEXMATCH(join("", "",$C72:$F72),J$1)=TRUE,""✓"",""✗"")"),"✗")</f>
        <v>✗</v>
      </c>
      <c r="K72" s="154" t="str">
        <f>IFERROR(__xludf.DUMMYFUNCTION("if(REGEXMATCH(join("", "",$C72:$F72),K$1)=TRUE,""✓"",""✗"")"),"✗")</f>
        <v>✗</v>
      </c>
      <c r="L72" s="154" t="str">
        <f>IFERROR(__xludf.DUMMYFUNCTION("if(REGEXMATCH(join("", "",$C72:$F72),L$1)=TRUE,""✓"",""✗"")"),"✗")</f>
        <v>✗</v>
      </c>
      <c r="M72" s="154" t="str">
        <f>IFERROR(__xludf.DUMMYFUNCTION("if(REGEXMATCH(join("", "",$C72:$F72),M$1)=TRUE,""✓"",""✗"")"),"✗")</f>
        <v>✗</v>
      </c>
      <c r="N72" s="154" t="str">
        <f>IFERROR(__xludf.DUMMYFUNCTION("if(REGEXMATCH(join("", "",$C72:$F72),N$1)=TRUE,""✓"",""✗"")"),"✗")</f>
        <v>✗</v>
      </c>
      <c r="O72" s="154" t="str">
        <f>IFERROR(__xludf.DUMMYFUNCTION("if(REGEXMATCH(join("", "",$C72:$F72),O$1)=TRUE,""✓"",""✗"")"),"✗")</f>
        <v>✗</v>
      </c>
      <c r="P72" s="154" t="str">
        <f>IFERROR(__xludf.DUMMYFUNCTION("if(REGEXMATCH(join("", "",$C72:$F72),P$1)=TRUE,""✓"",""✗"")"),"✗")</f>
        <v>✗</v>
      </c>
      <c r="Q72" s="154" t="str">
        <f>IFERROR(__xludf.DUMMYFUNCTION("if(REGEXMATCH(join("", "",$C72:$F72),Q$1)=TRUE,""✓"",""✗"")"),"✗")</f>
        <v>✗</v>
      </c>
      <c r="R72" s="154" t="str">
        <f>IFERROR(__xludf.DUMMYFUNCTION("if(REGEXMATCH(join("", "",$C72:$F72),R$1)=TRUE,""✓"",""✗"")"),"✗")</f>
        <v>✗</v>
      </c>
      <c r="S72" s="154" t="str">
        <f>IFERROR(__xludf.DUMMYFUNCTION("if(REGEXMATCH(join("", "",$C72:$F72),S$1)=TRUE,""✓"",""✗"")"),"✗")</f>
        <v>✗</v>
      </c>
      <c r="T72" s="155"/>
      <c r="U72" s="155"/>
      <c r="V72" s="155"/>
      <c r="W72" s="155"/>
      <c r="X72" s="155"/>
      <c r="Y72" s="155"/>
      <c r="Z72" s="155"/>
      <c r="AA72" s="155"/>
      <c r="AB72" s="155"/>
    </row>
    <row r="73">
      <c r="A73" s="150">
        <v>72.0</v>
      </c>
      <c r="B73" s="151" t="str">
        <f t="shared" si="1"/>
        <v>Oneill et al., 1996</v>
      </c>
      <c r="C73" s="152" t="s">
        <v>321</v>
      </c>
      <c r="D73" s="156" t="s">
        <v>5105</v>
      </c>
      <c r="E73" s="152" t="s">
        <v>109</v>
      </c>
      <c r="F73" s="157" t="s">
        <v>345</v>
      </c>
      <c r="G73" s="154" t="str">
        <f>IFERROR(__xludf.DUMMYFUNCTION("if(REGEXMATCH(join("", "",$C73:$F73),G$1)=TRUE,""✓"",""✗"")"),"✓")</f>
        <v>✓</v>
      </c>
      <c r="H73" s="154" t="str">
        <f>IFERROR(__xludf.DUMMYFUNCTION("if(REGEXMATCH(join("", "",$C73:$F73),H$1)=TRUE,""✓"",""✗"")"),"✓")</f>
        <v>✓</v>
      </c>
      <c r="I73" s="154" t="str">
        <f>IFERROR(__xludf.DUMMYFUNCTION("if(REGEXMATCH(join("", "",$C73:$F73),I$1)=TRUE,""✓"",""✗"")"),"✗")</f>
        <v>✗</v>
      </c>
      <c r="J73" s="154" t="str">
        <f>IFERROR(__xludf.DUMMYFUNCTION("if(REGEXMATCH(join("", "",$C73:$F73),J$1)=TRUE,""✓"",""✗"")"),"✗")</f>
        <v>✗</v>
      </c>
      <c r="K73" s="154" t="str">
        <f>IFERROR(__xludf.DUMMYFUNCTION("if(REGEXMATCH(join("", "",$C73:$F73),K$1)=TRUE,""✓"",""✗"")"),"✗")</f>
        <v>✗</v>
      </c>
      <c r="L73" s="154" t="str">
        <f>IFERROR(__xludf.DUMMYFUNCTION("if(REGEXMATCH(join("", "",$C73:$F73),L$1)=TRUE,""✓"",""✗"")"),"✗")</f>
        <v>✗</v>
      </c>
      <c r="M73" s="154" t="str">
        <f>IFERROR(__xludf.DUMMYFUNCTION("if(REGEXMATCH(join("", "",$C73:$F73),M$1)=TRUE,""✓"",""✗"")"),"✓")</f>
        <v>✓</v>
      </c>
      <c r="N73" s="154" t="str">
        <f>IFERROR(__xludf.DUMMYFUNCTION("if(REGEXMATCH(join("", "",$C73:$F73),N$1)=TRUE,""✓"",""✗"")"),"✓")</f>
        <v>✓</v>
      </c>
      <c r="O73" s="154" t="str">
        <f>IFERROR(__xludf.DUMMYFUNCTION("if(REGEXMATCH(join("", "",$C73:$F73),O$1)=TRUE,""✓"",""✗"")"),"✗")</f>
        <v>✗</v>
      </c>
      <c r="P73" s="154" t="str">
        <f>IFERROR(__xludf.DUMMYFUNCTION("if(REGEXMATCH(join("", "",$C73:$F73),P$1)=TRUE,""✓"",""✗"")"),"✓")</f>
        <v>✓</v>
      </c>
      <c r="Q73" s="154" t="str">
        <f>IFERROR(__xludf.DUMMYFUNCTION("if(REGEXMATCH(join("", "",$C73:$F73),Q$1)=TRUE,""✓"",""✗"")"),"✗")</f>
        <v>✗</v>
      </c>
      <c r="R73" s="154" t="str">
        <f>IFERROR(__xludf.DUMMYFUNCTION("if(REGEXMATCH(join("", "",$C73:$F73),R$1)=TRUE,""✓"",""✗"")"),"✗")</f>
        <v>✗</v>
      </c>
      <c r="S73" s="154" t="str">
        <f>IFERROR(__xludf.DUMMYFUNCTION("if(REGEXMATCH(join("", "",$C73:$F73),S$1)=TRUE,""✓"",""✗"")"),"✗")</f>
        <v>✗</v>
      </c>
      <c r="T73" s="155"/>
      <c r="U73" s="155"/>
      <c r="V73" s="155"/>
      <c r="W73" s="155"/>
      <c r="X73" s="155"/>
      <c r="Y73" s="155"/>
      <c r="Z73" s="155"/>
      <c r="AA73" s="155"/>
      <c r="AB73" s="155"/>
    </row>
    <row r="74">
      <c r="A74" s="150">
        <v>73.0</v>
      </c>
      <c r="B74" s="151" t="str">
        <f t="shared" si="1"/>
        <v>Papalia et al., 2015</v>
      </c>
      <c r="C74" s="152" t="s">
        <v>321</v>
      </c>
      <c r="D74" s="156" t="s">
        <v>5108</v>
      </c>
      <c r="E74" s="152" t="s">
        <v>109</v>
      </c>
      <c r="F74" s="157" t="s">
        <v>349</v>
      </c>
      <c r="G74" s="154" t="str">
        <f>IFERROR(__xludf.DUMMYFUNCTION("if(REGEXMATCH(join("", "",$C74:$F74),G$1)=TRUE,""✓"",""✗"")"),"✓")</f>
        <v>✓</v>
      </c>
      <c r="H74" s="154" t="str">
        <f>IFERROR(__xludf.DUMMYFUNCTION("if(REGEXMATCH(join("", "",$C74:$F74),H$1)=TRUE,""✓"",""✗"")"),"✓")</f>
        <v>✓</v>
      </c>
      <c r="I74" s="154" t="str">
        <f>IFERROR(__xludf.DUMMYFUNCTION("if(REGEXMATCH(join("", "",$C74:$F74),I$1)=TRUE,""✓"",""✗"")"),"✗")</f>
        <v>✗</v>
      </c>
      <c r="J74" s="154" t="str">
        <f>IFERROR(__xludf.DUMMYFUNCTION("if(REGEXMATCH(join("", "",$C74:$F74),J$1)=TRUE,""✓"",""✗"")"),"✗")</f>
        <v>✗</v>
      </c>
      <c r="K74" s="154" t="str">
        <f>IFERROR(__xludf.DUMMYFUNCTION("if(REGEXMATCH(join("", "",$C74:$F74),K$1)=TRUE,""✓"",""✗"")"),"✗")</f>
        <v>✗</v>
      </c>
      <c r="L74" s="154" t="str">
        <f>IFERROR(__xludf.DUMMYFUNCTION("if(REGEXMATCH(join("", "",$C74:$F74),L$1)=TRUE,""✓"",""✗"")"),"✗")</f>
        <v>✗</v>
      </c>
      <c r="M74" s="154" t="str">
        <f>IFERROR(__xludf.DUMMYFUNCTION("if(REGEXMATCH(join("", "",$C74:$F74),M$1)=TRUE,""✓"",""✗"")"),"✓")</f>
        <v>✓</v>
      </c>
      <c r="N74" s="154" t="str">
        <f>IFERROR(__xludf.DUMMYFUNCTION("if(REGEXMATCH(join("", "",$C74:$F74),N$1)=TRUE,""✓"",""✗"")"),"✓")</f>
        <v>✓</v>
      </c>
      <c r="O74" s="154" t="str">
        <f>IFERROR(__xludf.DUMMYFUNCTION("if(REGEXMATCH(join("", "",$C74:$F74),O$1)=TRUE,""✓"",""✗"")"),"✗")</f>
        <v>✗</v>
      </c>
      <c r="P74" s="154" t="str">
        <f>IFERROR(__xludf.DUMMYFUNCTION("if(REGEXMATCH(join("", "",$C74:$F74),P$1)=TRUE,""✓"",""✗"")"),"✗")</f>
        <v>✗</v>
      </c>
      <c r="Q74" s="154" t="str">
        <f>IFERROR(__xludf.DUMMYFUNCTION("if(REGEXMATCH(join("", "",$C74:$F74),Q$1)=TRUE,""✓"",""✗"")"),"✗")</f>
        <v>✗</v>
      </c>
      <c r="R74" s="154" t="str">
        <f>IFERROR(__xludf.DUMMYFUNCTION("if(REGEXMATCH(join("", "",$C74:$F74),R$1)=TRUE,""✓"",""✗"")"),"✗")</f>
        <v>✗</v>
      </c>
      <c r="S74" s="154" t="str">
        <f>IFERROR(__xludf.DUMMYFUNCTION("if(REGEXMATCH(join("", "",$C74:$F74),S$1)=TRUE,""✓"",""✗"")"),"✗")</f>
        <v>✗</v>
      </c>
      <c r="T74" s="155"/>
      <c r="U74" s="155"/>
      <c r="V74" s="155"/>
      <c r="W74" s="155"/>
      <c r="X74" s="155"/>
      <c r="Y74" s="155"/>
      <c r="Z74" s="155"/>
      <c r="AA74" s="155"/>
      <c r="AB74" s="155"/>
    </row>
    <row r="75">
      <c r="A75" s="150">
        <v>74.0</v>
      </c>
      <c r="B75" s="151" t="str">
        <f t="shared" si="1"/>
        <v>Pässler et al., 2015</v>
      </c>
      <c r="C75" s="152"/>
      <c r="D75" s="156" t="s">
        <v>5111</v>
      </c>
      <c r="E75" s="152" t="s">
        <v>174</v>
      </c>
      <c r="F75" s="152" t="s">
        <v>4993</v>
      </c>
      <c r="G75" s="154" t="str">
        <f>IFERROR(__xludf.DUMMYFUNCTION("if(REGEXMATCH(join("", "",$C75:$F75),G$1)=TRUE,""✓"",""✗"")"),"✗")</f>
        <v>✗</v>
      </c>
      <c r="H75" s="154" t="str">
        <f>IFERROR(__xludf.DUMMYFUNCTION("if(REGEXMATCH(join("", "",$C75:$F75),H$1)=TRUE,""✓"",""✗"")"),"✗")</f>
        <v>✗</v>
      </c>
      <c r="I75" s="154" t="str">
        <f>IFERROR(__xludf.DUMMYFUNCTION("if(REGEXMATCH(join("", "",$C75:$F75),I$1)=TRUE,""✓"",""✗"")"),"✗")</f>
        <v>✗</v>
      </c>
      <c r="J75" s="154" t="str">
        <f>IFERROR(__xludf.DUMMYFUNCTION("if(REGEXMATCH(join("", "",$C75:$F75),J$1)=TRUE,""✓"",""✗"")"),"✗")</f>
        <v>✗</v>
      </c>
      <c r="K75" s="154" t="str">
        <f>IFERROR(__xludf.DUMMYFUNCTION("if(REGEXMATCH(join("", "",$C75:$F75),K$1)=TRUE,""✓"",""✗"")"),"✗")</f>
        <v>✗</v>
      </c>
      <c r="L75" s="154" t="str">
        <f>IFERROR(__xludf.DUMMYFUNCTION("if(REGEXMATCH(join("", "",$C75:$F75),L$1)=TRUE,""✓"",""✗"")"),"✗")</f>
        <v>✗</v>
      </c>
      <c r="M75" s="154" t="str">
        <f>IFERROR(__xludf.DUMMYFUNCTION("if(REGEXMATCH(join("", "",$C75:$F75),M$1)=TRUE,""✓"",""✗"")"),"✗")</f>
        <v>✗</v>
      </c>
      <c r="N75" s="154" t="str">
        <f>IFERROR(__xludf.DUMMYFUNCTION("if(REGEXMATCH(join("", "",$C75:$F75),N$1)=TRUE,""✓"",""✗"")"),"✗")</f>
        <v>✗</v>
      </c>
      <c r="O75" s="154" t="str">
        <f>IFERROR(__xludf.DUMMYFUNCTION("if(REGEXMATCH(join("", "",$C75:$F75),O$1)=TRUE,""✓"",""✗"")"),"✗")</f>
        <v>✗</v>
      </c>
      <c r="P75" s="154" t="str">
        <f>IFERROR(__xludf.DUMMYFUNCTION("if(REGEXMATCH(join("", "",$C75:$F75),P$1)=TRUE,""✓"",""✗"")"),"✗")</f>
        <v>✗</v>
      </c>
      <c r="Q75" s="154" t="str">
        <f>IFERROR(__xludf.DUMMYFUNCTION("if(REGEXMATCH(join("", "",$C75:$F75),Q$1)=TRUE,""✓"",""✗"")"),"✗")</f>
        <v>✗</v>
      </c>
      <c r="R75" s="154" t="str">
        <f>IFERROR(__xludf.DUMMYFUNCTION("if(REGEXMATCH(join("", "",$C75:$F75),R$1)=TRUE,""✓"",""✗"")"),"✗")</f>
        <v>✗</v>
      </c>
      <c r="S75" s="154" t="str">
        <f>IFERROR(__xludf.DUMMYFUNCTION("if(REGEXMATCH(join("", "",$C75:$F75),S$1)=TRUE,""✓"",""✗"")"),"✗")</f>
        <v>✗</v>
      </c>
      <c r="T75" s="155"/>
      <c r="U75" s="155"/>
      <c r="V75" s="155"/>
      <c r="W75" s="155"/>
      <c r="X75" s="155"/>
      <c r="Y75" s="155"/>
      <c r="Z75" s="155"/>
      <c r="AA75" s="155"/>
      <c r="AB75" s="155"/>
    </row>
    <row r="76">
      <c r="A76" s="150">
        <v>75.0</v>
      </c>
      <c r="B76" s="151" t="str">
        <f t="shared" si="1"/>
        <v>Pigozzi et al., 2004</v>
      </c>
      <c r="C76" s="157"/>
      <c r="D76" s="156" t="s">
        <v>5112</v>
      </c>
      <c r="E76" s="152" t="s">
        <v>174</v>
      </c>
      <c r="F76" s="152" t="s">
        <v>4980</v>
      </c>
      <c r="G76" s="154" t="str">
        <f>IFERROR(__xludf.DUMMYFUNCTION("if(REGEXMATCH(join("", "",$C76:$F76),G$1)=TRUE,""✓"",""✗"")"),"✗")</f>
        <v>✗</v>
      </c>
      <c r="H76" s="154" t="str">
        <f>IFERROR(__xludf.DUMMYFUNCTION("if(REGEXMATCH(join("", "",$C76:$F76),H$1)=TRUE,""✓"",""✗"")"),"✗")</f>
        <v>✗</v>
      </c>
      <c r="I76" s="154" t="str">
        <f>IFERROR(__xludf.DUMMYFUNCTION("if(REGEXMATCH(join("", "",$C76:$F76),I$1)=TRUE,""✓"",""✗"")"),"✗")</f>
        <v>✗</v>
      </c>
      <c r="J76" s="154" t="str">
        <f>IFERROR(__xludf.DUMMYFUNCTION("if(REGEXMATCH(join("", "",$C76:$F76),J$1)=TRUE,""✓"",""✗"")"),"✗")</f>
        <v>✗</v>
      </c>
      <c r="K76" s="154" t="str">
        <f>IFERROR(__xludf.DUMMYFUNCTION("if(REGEXMATCH(join("", "",$C76:$F76),K$1)=TRUE,""✓"",""✗"")"),"✗")</f>
        <v>✗</v>
      </c>
      <c r="L76" s="154" t="str">
        <f>IFERROR(__xludf.DUMMYFUNCTION("if(REGEXMATCH(join("", "",$C76:$F76),L$1)=TRUE,""✓"",""✗"")"),"✗")</f>
        <v>✗</v>
      </c>
      <c r="M76" s="154" t="str">
        <f>IFERROR(__xludf.DUMMYFUNCTION("if(REGEXMATCH(join("", "",$C76:$F76),M$1)=TRUE,""✓"",""✗"")"),"✗")</f>
        <v>✗</v>
      </c>
      <c r="N76" s="154" t="str">
        <f>IFERROR(__xludf.DUMMYFUNCTION("if(REGEXMATCH(join("", "",$C76:$F76),N$1)=TRUE,""✓"",""✗"")"),"✗")</f>
        <v>✗</v>
      </c>
      <c r="O76" s="154" t="str">
        <f>IFERROR(__xludf.DUMMYFUNCTION("if(REGEXMATCH(join("", "",$C76:$F76),O$1)=TRUE,""✓"",""✗"")"),"✗")</f>
        <v>✗</v>
      </c>
      <c r="P76" s="154" t="str">
        <f>IFERROR(__xludf.DUMMYFUNCTION("if(REGEXMATCH(join("", "",$C76:$F76),P$1)=TRUE,""✓"",""✗"")"),"✗")</f>
        <v>✗</v>
      </c>
      <c r="Q76" s="154" t="str">
        <f>IFERROR(__xludf.DUMMYFUNCTION("if(REGEXMATCH(join("", "",$C76:$F76),Q$1)=TRUE,""✓"",""✗"")"),"✗")</f>
        <v>✗</v>
      </c>
      <c r="R76" s="154" t="str">
        <f>IFERROR(__xludf.DUMMYFUNCTION("if(REGEXMATCH(join("", "",$C76:$F76),R$1)=TRUE,""✓"",""✗"")"),"✗")</f>
        <v>✗</v>
      </c>
      <c r="S76" s="154" t="str">
        <f>IFERROR(__xludf.DUMMYFUNCTION("if(REGEXMATCH(join("", "",$C76:$F76),S$1)=TRUE,""✓"",""✗"")"),"✗")</f>
        <v>✗</v>
      </c>
      <c r="T76" s="155"/>
      <c r="U76" s="155"/>
      <c r="V76" s="155"/>
      <c r="W76" s="155"/>
      <c r="X76" s="155"/>
      <c r="Y76" s="155"/>
      <c r="Z76" s="155"/>
      <c r="AA76" s="155"/>
      <c r="AB76" s="155"/>
    </row>
    <row r="77">
      <c r="A77" s="150">
        <v>76.0</v>
      </c>
      <c r="B77" s="151" t="str">
        <f t="shared" si="1"/>
        <v>Pinczewski et al., 2007</v>
      </c>
      <c r="C77" s="152" t="s">
        <v>321</v>
      </c>
      <c r="D77" s="156" t="s">
        <v>5113</v>
      </c>
      <c r="E77" s="152" t="s">
        <v>109</v>
      </c>
      <c r="F77" s="157" t="s">
        <v>326</v>
      </c>
      <c r="G77" s="154" t="str">
        <f>IFERROR(__xludf.DUMMYFUNCTION("if(REGEXMATCH(join("", "",$C77:$F77),G$1)=TRUE,""✓"",""✗"")"),"✓")</f>
        <v>✓</v>
      </c>
      <c r="H77" s="154" t="str">
        <f>IFERROR(__xludf.DUMMYFUNCTION("if(REGEXMATCH(join("", "",$C77:$F77),H$1)=TRUE,""✓"",""✗"")"),"✓")</f>
        <v>✓</v>
      </c>
      <c r="I77" s="154" t="str">
        <f>IFERROR(__xludf.DUMMYFUNCTION("if(REGEXMATCH(join("", "",$C77:$F77),I$1)=TRUE,""✓"",""✗"")"),"✗")</f>
        <v>✗</v>
      </c>
      <c r="J77" s="154" t="str">
        <f>IFERROR(__xludf.DUMMYFUNCTION("if(REGEXMATCH(join("", "",$C77:$F77),J$1)=TRUE,""✓"",""✗"")"),"✗")</f>
        <v>✗</v>
      </c>
      <c r="K77" s="154" t="str">
        <f>IFERROR(__xludf.DUMMYFUNCTION("if(REGEXMATCH(join("", "",$C77:$F77),K$1)=TRUE,""✓"",""✗"")"),"✗")</f>
        <v>✗</v>
      </c>
      <c r="L77" s="154" t="str">
        <f>IFERROR(__xludf.DUMMYFUNCTION("if(REGEXMATCH(join("", "",$C77:$F77),L$1)=TRUE,""✓"",""✗"")"),"✗")</f>
        <v>✗</v>
      </c>
      <c r="M77" s="154" t="str">
        <f>IFERROR(__xludf.DUMMYFUNCTION("if(REGEXMATCH(join("", "",$C77:$F77),M$1)=TRUE,""✓"",""✗"")"),"✓")</f>
        <v>✓</v>
      </c>
      <c r="N77" s="154" t="str">
        <f>IFERROR(__xludf.DUMMYFUNCTION("if(REGEXMATCH(join("", "",$C77:$F77),N$1)=TRUE,""✓"",""✗"")"),"✓")</f>
        <v>✓</v>
      </c>
      <c r="O77" s="154" t="str">
        <f>IFERROR(__xludf.DUMMYFUNCTION("if(REGEXMATCH(join("", "",$C77:$F77),O$1)=TRUE,""✓"",""✗"")"),"✗")</f>
        <v>✗</v>
      </c>
      <c r="P77" s="154" t="str">
        <f>IFERROR(__xludf.DUMMYFUNCTION("if(REGEXMATCH(join("", "",$C77:$F77),P$1)=TRUE,""✓"",""✗"")"),"✓")</f>
        <v>✓</v>
      </c>
      <c r="Q77" s="154" t="str">
        <f>IFERROR(__xludf.DUMMYFUNCTION("if(REGEXMATCH(join("", "",$C77:$F77),Q$1)=TRUE,""✓"",""✗"")"),"✓")</f>
        <v>✓</v>
      </c>
      <c r="R77" s="154" t="str">
        <f>IFERROR(__xludf.DUMMYFUNCTION("if(REGEXMATCH(join("", "",$C77:$F77),R$1)=TRUE,""✓"",""✗"")"),"✓")</f>
        <v>✓</v>
      </c>
      <c r="S77" s="154" t="str">
        <f>IFERROR(__xludf.DUMMYFUNCTION("if(REGEXMATCH(join("", "",$C77:$F77),S$1)=TRUE,""✓"",""✗"")"),"✗")</f>
        <v>✗</v>
      </c>
      <c r="T77" s="155"/>
      <c r="U77" s="155"/>
      <c r="V77" s="155"/>
      <c r="W77" s="155"/>
      <c r="X77" s="155"/>
      <c r="Y77" s="155"/>
      <c r="Z77" s="155"/>
      <c r="AA77" s="155"/>
      <c r="AB77" s="155"/>
    </row>
    <row r="78">
      <c r="A78" s="150">
        <v>77.0</v>
      </c>
      <c r="B78" s="151" t="str">
        <f t="shared" si="1"/>
        <v>Popovic et al., 2024</v>
      </c>
      <c r="C78" s="152" t="s">
        <v>321</v>
      </c>
      <c r="D78" s="156" t="s">
        <v>5114</v>
      </c>
      <c r="E78" s="152" t="s">
        <v>109</v>
      </c>
      <c r="F78" s="157" t="s">
        <v>364</v>
      </c>
      <c r="G78" s="154" t="str">
        <f>IFERROR(__xludf.DUMMYFUNCTION("if(REGEXMATCH(join("", "",$C78:$F78),G$1)=TRUE,""✓"",""✗"")"),"✓")</f>
        <v>✓</v>
      </c>
      <c r="H78" s="154" t="str">
        <f>IFERROR(__xludf.DUMMYFUNCTION("if(REGEXMATCH(join("", "",$C78:$F78),H$1)=TRUE,""✓"",""✗"")"),"✓")</f>
        <v>✓</v>
      </c>
      <c r="I78" s="154" t="str">
        <f>IFERROR(__xludf.DUMMYFUNCTION("if(REGEXMATCH(join("", "",$C78:$F78),I$1)=TRUE,""✓"",""✗"")"),"✗")</f>
        <v>✗</v>
      </c>
      <c r="J78" s="154" t="str">
        <f>IFERROR(__xludf.DUMMYFUNCTION("if(REGEXMATCH(join("", "",$C78:$F78),J$1)=TRUE,""✓"",""✗"")"),"✗")</f>
        <v>✗</v>
      </c>
      <c r="K78" s="154" t="str">
        <f>IFERROR(__xludf.DUMMYFUNCTION("if(REGEXMATCH(join("", "",$C78:$F78),K$1)=TRUE,""✓"",""✗"")"),"✗")</f>
        <v>✗</v>
      </c>
      <c r="L78" s="154" t="str">
        <f>IFERROR(__xludf.DUMMYFUNCTION("if(REGEXMATCH(join("", "",$C78:$F78),L$1)=TRUE,""✓"",""✗"")"),"✗")</f>
        <v>✗</v>
      </c>
      <c r="M78" s="154" t="str">
        <f>IFERROR(__xludf.DUMMYFUNCTION("if(REGEXMATCH(join("", "",$C78:$F78),M$1)=TRUE,""✓"",""✗"")"),"✗")</f>
        <v>✗</v>
      </c>
      <c r="N78" s="154" t="str">
        <f>IFERROR(__xludf.DUMMYFUNCTION("if(REGEXMATCH(join("", "",$C78:$F78),N$1)=TRUE,""✓"",""✗"")"),"✓")</f>
        <v>✓</v>
      </c>
      <c r="O78" s="154" t="str">
        <f>IFERROR(__xludf.DUMMYFUNCTION("if(REGEXMATCH(join("", "",$C78:$F78),O$1)=TRUE,""✓"",""✗"")"),"✓")</f>
        <v>✓</v>
      </c>
      <c r="P78" s="154" t="str">
        <f>IFERROR(__xludf.DUMMYFUNCTION("if(REGEXMATCH(join("", "",$C78:$F78),P$1)=TRUE,""✓"",""✗"")"),"✓")</f>
        <v>✓</v>
      </c>
      <c r="Q78" s="154" t="str">
        <f>IFERROR(__xludf.DUMMYFUNCTION("if(REGEXMATCH(join("", "",$C78:$F78),Q$1)=TRUE,""✓"",""✗"")"),"✓")</f>
        <v>✓</v>
      </c>
      <c r="R78" s="154" t="str">
        <f>IFERROR(__xludf.DUMMYFUNCTION("if(REGEXMATCH(join("", "",$C78:$F78),R$1)=TRUE,""✓"",""✗"")"),"✓")</f>
        <v>✓</v>
      </c>
      <c r="S78" s="154" t="str">
        <f>IFERROR(__xludf.DUMMYFUNCTION("if(REGEXMATCH(join("", "",$C78:$F78),S$1)=TRUE,""✓"",""✗"")"),"✗")</f>
        <v>✗</v>
      </c>
      <c r="T78" s="155"/>
      <c r="U78" s="155"/>
      <c r="V78" s="155"/>
      <c r="W78" s="155"/>
      <c r="X78" s="155"/>
      <c r="Y78" s="155"/>
      <c r="Z78" s="155"/>
      <c r="AA78" s="155"/>
      <c r="AB78" s="155"/>
    </row>
    <row r="79">
      <c r="A79" s="150">
        <v>78.0</v>
      </c>
      <c r="B79" s="151" t="str">
        <f t="shared" si="1"/>
        <v>Röpke et al., 2001</v>
      </c>
      <c r="C79" s="152"/>
      <c r="D79" s="156" t="s">
        <v>5115</v>
      </c>
      <c r="E79" s="152" t="s">
        <v>174</v>
      </c>
      <c r="F79" s="152" t="s">
        <v>4993</v>
      </c>
      <c r="G79" s="154" t="str">
        <f>IFERROR(__xludf.DUMMYFUNCTION("if(REGEXMATCH(join("", "",$C79:$F79),G$1)=TRUE,""✓"",""✗"")"),"✗")</f>
        <v>✗</v>
      </c>
      <c r="H79" s="154" t="str">
        <f>IFERROR(__xludf.DUMMYFUNCTION("if(REGEXMATCH(join("", "",$C79:$F79),H$1)=TRUE,""✓"",""✗"")"),"✗")</f>
        <v>✗</v>
      </c>
      <c r="I79" s="154" t="str">
        <f>IFERROR(__xludf.DUMMYFUNCTION("if(REGEXMATCH(join("", "",$C79:$F79),I$1)=TRUE,""✓"",""✗"")"),"✗")</f>
        <v>✗</v>
      </c>
      <c r="J79" s="154" t="str">
        <f>IFERROR(__xludf.DUMMYFUNCTION("if(REGEXMATCH(join("", "",$C79:$F79),J$1)=TRUE,""✓"",""✗"")"),"✗")</f>
        <v>✗</v>
      </c>
      <c r="K79" s="154" t="str">
        <f>IFERROR(__xludf.DUMMYFUNCTION("if(REGEXMATCH(join("", "",$C79:$F79),K$1)=TRUE,""✓"",""✗"")"),"✗")</f>
        <v>✗</v>
      </c>
      <c r="L79" s="154" t="str">
        <f>IFERROR(__xludf.DUMMYFUNCTION("if(REGEXMATCH(join("", "",$C79:$F79),L$1)=TRUE,""✓"",""✗"")"),"✗")</f>
        <v>✗</v>
      </c>
      <c r="M79" s="154" t="str">
        <f>IFERROR(__xludf.DUMMYFUNCTION("if(REGEXMATCH(join("", "",$C79:$F79),M$1)=TRUE,""✓"",""✗"")"),"✗")</f>
        <v>✗</v>
      </c>
      <c r="N79" s="154" t="str">
        <f>IFERROR(__xludf.DUMMYFUNCTION("if(REGEXMATCH(join("", "",$C79:$F79),N$1)=TRUE,""✓"",""✗"")"),"✗")</f>
        <v>✗</v>
      </c>
      <c r="O79" s="154" t="str">
        <f>IFERROR(__xludf.DUMMYFUNCTION("if(REGEXMATCH(join("", "",$C79:$F79),O$1)=TRUE,""✓"",""✗"")"),"✗")</f>
        <v>✗</v>
      </c>
      <c r="P79" s="154" t="str">
        <f>IFERROR(__xludf.DUMMYFUNCTION("if(REGEXMATCH(join("", "",$C79:$F79),P$1)=TRUE,""✓"",""✗"")"),"✗")</f>
        <v>✗</v>
      </c>
      <c r="Q79" s="154" t="str">
        <f>IFERROR(__xludf.DUMMYFUNCTION("if(REGEXMATCH(join("", "",$C79:$F79),Q$1)=TRUE,""✓"",""✗"")"),"✗")</f>
        <v>✗</v>
      </c>
      <c r="R79" s="154" t="str">
        <f>IFERROR(__xludf.DUMMYFUNCTION("if(REGEXMATCH(join("", "",$C79:$F79),R$1)=TRUE,""✓"",""✗"")"),"✗")</f>
        <v>✗</v>
      </c>
      <c r="S79" s="154" t="str">
        <f>IFERROR(__xludf.DUMMYFUNCTION("if(REGEXMATCH(join("", "",$C79:$F79),S$1)=TRUE,""✓"",""✗"")"),"✗")</f>
        <v>✗</v>
      </c>
      <c r="T79" s="155"/>
      <c r="U79" s="155"/>
      <c r="V79" s="155"/>
      <c r="W79" s="155"/>
      <c r="X79" s="155"/>
      <c r="Y79" s="155"/>
      <c r="Z79" s="155"/>
      <c r="AA79" s="155"/>
      <c r="AB79" s="155"/>
    </row>
    <row r="80" outlineLevel="1">
      <c r="A80" s="150">
        <v>79.0</v>
      </c>
      <c r="B80" s="151" t="str">
        <f t="shared" si="1"/>
        <v>Sajovic et al., 2006</v>
      </c>
      <c r="C80" s="152"/>
      <c r="D80" s="156" t="s">
        <v>5117</v>
      </c>
      <c r="E80" s="152" t="s">
        <v>174</v>
      </c>
      <c r="F80" s="152" t="s">
        <v>4973</v>
      </c>
      <c r="G80" s="154" t="str">
        <f>IFERROR(__xludf.DUMMYFUNCTION("if(REGEXMATCH(join("", "",$C80:$F80),G$1)=TRUE,""✓"",""✗"")"),"✗")</f>
        <v>✗</v>
      </c>
      <c r="H80" s="154" t="str">
        <f>IFERROR(__xludf.DUMMYFUNCTION("if(REGEXMATCH(join("", "",$C80:$F80),H$1)=TRUE,""✓"",""✗"")"),"✗")</f>
        <v>✗</v>
      </c>
      <c r="I80" s="154" t="str">
        <f>IFERROR(__xludf.DUMMYFUNCTION("if(REGEXMATCH(join("", "",$C80:$F80),I$1)=TRUE,""✓"",""✗"")"),"✗")</f>
        <v>✗</v>
      </c>
      <c r="J80" s="154" t="str">
        <f>IFERROR(__xludf.DUMMYFUNCTION("if(REGEXMATCH(join("", "",$C80:$F80),J$1)=TRUE,""✓"",""✗"")"),"✗")</f>
        <v>✗</v>
      </c>
      <c r="K80" s="154" t="str">
        <f>IFERROR(__xludf.DUMMYFUNCTION("if(REGEXMATCH(join("", "",$C80:$F80),K$1)=TRUE,""✓"",""✗"")"),"✗")</f>
        <v>✗</v>
      </c>
      <c r="L80" s="154" t="str">
        <f>IFERROR(__xludf.DUMMYFUNCTION("if(REGEXMATCH(join("", "",$C80:$F80),L$1)=TRUE,""✓"",""✗"")"),"✗")</f>
        <v>✗</v>
      </c>
      <c r="M80" s="154" t="str">
        <f>IFERROR(__xludf.DUMMYFUNCTION("if(REGEXMATCH(join("", "",$C80:$F80),M$1)=TRUE,""✓"",""✗"")"),"✗")</f>
        <v>✗</v>
      </c>
      <c r="N80" s="154" t="str">
        <f>IFERROR(__xludf.DUMMYFUNCTION("if(REGEXMATCH(join("", "",$C80:$F80),N$1)=TRUE,""✓"",""✗"")"),"✗")</f>
        <v>✗</v>
      </c>
      <c r="O80" s="154" t="str">
        <f>IFERROR(__xludf.DUMMYFUNCTION("if(REGEXMATCH(join("", "",$C80:$F80),O$1)=TRUE,""✓"",""✗"")"),"✗")</f>
        <v>✗</v>
      </c>
      <c r="P80" s="154" t="str">
        <f>IFERROR(__xludf.DUMMYFUNCTION("if(REGEXMATCH(join("", "",$C80:$F80),P$1)=TRUE,""✓"",""✗"")"),"✗")</f>
        <v>✗</v>
      </c>
      <c r="Q80" s="154" t="str">
        <f>IFERROR(__xludf.DUMMYFUNCTION("if(REGEXMATCH(join("", "",$C80:$F80),Q$1)=TRUE,""✓"",""✗"")"),"✗")</f>
        <v>✗</v>
      </c>
      <c r="R80" s="154" t="str">
        <f>IFERROR(__xludf.DUMMYFUNCTION("if(REGEXMATCH(join("", "",$C80:$F80),R$1)=TRUE,""✓"",""✗"")"),"✗")</f>
        <v>✗</v>
      </c>
      <c r="S80" s="154" t="str">
        <f>IFERROR(__xludf.DUMMYFUNCTION("if(REGEXMATCH(join("", "",$C80:$F80),S$1)=TRUE,""✓"",""✗"")"),"✗")</f>
        <v>✗</v>
      </c>
      <c r="T80" s="155"/>
      <c r="U80" s="155"/>
      <c r="V80" s="155"/>
      <c r="W80" s="155"/>
      <c r="X80" s="155"/>
      <c r="Y80" s="155"/>
      <c r="Z80" s="155"/>
      <c r="AA80" s="155"/>
      <c r="AB80" s="155"/>
    </row>
    <row r="81" outlineLevel="1">
      <c r="A81" s="150">
        <v>80.0</v>
      </c>
      <c r="B81" s="151" t="str">
        <f t="shared" si="1"/>
        <v>Sajovic et al., 2008</v>
      </c>
      <c r="C81" s="152"/>
      <c r="D81" s="156" t="s">
        <v>5118</v>
      </c>
      <c r="E81" s="152" t="s">
        <v>174</v>
      </c>
      <c r="F81" s="152" t="s">
        <v>4973</v>
      </c>
      <c r="G81" s="154" t="str">
        <f>IFERROR(__xludf.DUMMYFUNCTION("if(REGEXMATCH(join("", "",$C81:$F81),G$1)=TRUE,""✓"",""✗"")"),"✗")</f>
        <v>✗</v>
      </c>
      <c r="H81" s="154" t="str">
        <f>IFERROR(__xludf.DUMMYFUNCTION("if(REGEXMATCH(join("", "",$C81:$F81),H$1)=TRUE,""✓"",""✗"")"),"✗")</f>
        <v>✗</v>
      </c>
      <c r="I81" s="154" t="str">
        <f>IFERROR(__xludf.DUMMYFUNCTION("if(REGEXMATCH(join("", "",$C81:$F81),I$1)=TRUE,""✓"",""✗"")"),"✗")</f>
        <v>✗</v>
      </c>
      <c r="J81" s="154" t="str">
        <f>IFERROR(__xludf.DUMMYFUNCTION("if(REGEXMATCH(join("", "",$C81:$F81),J$1)=TRUE,""✓"",""✗"")"),"✗")</f>
        <v>✗</v>
      </c>
      <c r="K81" s="154" t="str">
        <f>IFERROR(__xludf.DUMMYFUNCTION("if(REGEXMATCH(join("", "",$C81:$F81),K$1)=TRUE,""✓"",""✗"")"),"✗")</f>
        <v>✗</v>
      </c>
      <c r="L81" s="154" t="str">
        <f>IFERROR(__xludf.DUMMYFUNCTION("if(REGEXMATCH(join("", "",$C81:$F81),L$1)=TRUE,""✓"",""✗"")"),"✗")</f>
        <v>✗</v>
      </c>
      <c r="M81" s="154" t="str">
        <f>IFERROR(__xludf.DUMMYFUNCTION("if(REGEXMATCH(join("", "",$C81:$F81),M$1)=TRUE,""✓"",""✗"")"),"✗")</f>
        <v>✗</v>
      </c>
      <c r="N81" s="154" t="str">
        <f>IFERROR(__xludf.DUMMYFUNCTION("if(REGEXMATCH(join("", "",$C81:$F81),N$1)=TRUE,""✓"",""✗"")"),"✗")</f>
        <v>✗</v>
      </c>
      <c r="O81" s="154" t="str">
        <f>IFERROR(__xludf.DUMMYFUNCTION("if(REGEXMATCH(join("", "",$C81:$F81),O$1)=TRUE,""✓"",""✗"")"),"✗")</f>
        <v>✗</v>
      </c>
      <c r="P81" s="154" t="str">
        <f>IFERROR(__xludf.DUMMYFUNCTION("if(REGEXMATCH(join("", "",$C81:$F81),P$1)=TRUE,""✓"",""✗"")"),"✗")</f>
        <v>✗</v>
      </c>
      <c r="Q81" s="154" t="str">
        <f>IFERROR(__xludf.DUMMYFUNCTION("if(REGEXMATCH(join("", "",$C81:$F81),Q$1)=TRUE,""✓"",""✗"")"),"✗")</f>
        <v>✗</v>
      </c>
      <c r="R81" s="154" t="str">
        <f>IFERROR(__xludf.DUMMYFUNCTION("if(REGEXMATCH(join("", "",$C81:$F81),R$1)=TRUE,""✓"",""✗"")"),"✗")</f>
        <v>✗</v>
      </c>
      <c r="S81" s="154" t="str">
        <f>IFERROR(__xludf.DUMMYFUNCTION("if(REGEXMATCH(join("", "",$C81:$F81),S$1)=TRUE,""✓"",""✗"")"),"✗")</f>
        <v>✗</v>
      </c>
      <c r="T81" s="155"/>
      <c r="U81" s="155"/>
      <c r="V81" s="155"/>
      <c r="W81" s="155"/>
      <c r="X81" s="155"/>
      <c r="Y81" s="155"/>
      <c r="Z81" s="155"/>
      <c r="AA81" s="155"/>
      <c r="AB81" s="155"/>
    </row>
    <row r="82" outlineLevel="1">
      <c r="A82" s="150">
        <v>81.0</v>
      </c>
      <c r="B82" s="151" t="str">
        <f t="shared" si="1"/>
        <v>Sajovic et al., 2011</v>
      </c>
      <c r="C82" s="152"/>
      <c r="D82" s="156" t="s">
        <v>5121</v>
      </c>
      <c r="E82" s="152" t="s">
        <v>174</v>
      </c>
      <c r="F82" s="152" t="s">
        <v>4973</v>
      </c>
      <c r="G82" s="154" t="str">
        <f>IFERROR(__xludf.DUMMYFUNCTION("if(REGEXMATCH(join("", "",$C82:$F82),G$1)=TRUE,""✓"",""✗"")"),"✗")</f>
        <v>✗</v>
      </c>
      <c r="H82" s="154" t="str">
        <f>IFERROR(__xludf.DUMMYFUNCTION("if(REGEXMATCH(join("", "",$C82:$F82),H$1)=TRUE,""✓"",""✗"")"),"✗")</f>
        <v>✗</v>
      </c>
      <c r="I82" s="154" t="str">
        <f>IFERROR(__xludf.DUMMYFUNCTION("if(REGEXMATCH(join("", "",$C82:$F82),I$1)=TRUE,""✓"",""✗"")"),"✗")</f>
        <v>✗</v>
      </c>
      <c r="J82" s="154" t="str">
        <f>IFERROR(__xludf.DUMMYFUNCTION("if(REGEXMATCH(join("", "",$C82:$F82),J$1)=TRUE,""✓"",""✗"")"),"✗")</f>
        <v>✗</v>
      </c>
      <c r="K82" s="154" t="str">
        <f>IFERROR(__xludf.DUMMYFUNCTION("if(REGEXMATCH(join("", "",$C82:$F82),K$1)=TRUE,""✓"",""✗"")"),"✗")</f>
        <v>✗</v>
      </c>
      <c r="L82" s="154" t="str">
        <f>IFERROR(__xludf.DUMMYFUNCTION("if(REGEXMATCH(join("", "",$C82:$F82),L$1)=TRUE,""✓"",""✗"")"),"✗")</f>
        <v>✗</v>
      </c>
      <c r="M82" s="154" t="str">
        <f>IFERROR(__xludf.DUMMYFUNCTION("if(REGEXMATCH(join("", "",$C82:$F82),M$1)=TRUE,""✓"",""✗"")"),"✗")</f>
        <v>✗</v>
      </c>
      <c r="N82" s="154" t="str">
        <f>IFERROR(__xludf.DUMMYFUNCTION("if(REGEXMATCH(join("", "",$C82:$F82),N$1)=TRUE,""✓"",""✗"")"),"✗")</f>
        <v>✗</v>
      </c>
      <c r="O82" s="154" t="str">
        <f>IFERROR(__xludf.DUMMYFUNCTION("if(REGEXMATCH(join("", "",$C82:$F82),O$1)=TRUE,""✓"",""✗"")"),"✗")</f>
        <v>✗</v>
      </c>
      <c r="P82" s="154" t="str">
        <f>IFERROR(__xludf.DUMMYFUNCTION("if(REGEXMATCH(join("", "",$C82:$F82),P$1)=TRUE,""✓"",""✗"")"),"✗")</f>
        <v>✗</v>
      </c>
      <c r="Q82" s="154" t="str">
        <f>IFERROR(__xludf.DUMMYFUNCTION("if(REGEXMATCH(join("", "",$C82:$F82),Q$1)=TRUE,""✓"",""✗"")"),"✗")</f>
        <v>✗</v>
      </c>
      <c r="R82" s="154" t="str">
        <f>IFERROR(__xludf.DUMMYFUNCTION("if(REGEXMATCH(join("", "",$C82:$F82),R$1)=TRUE,""✓"",""✗"")"),"✗")</f>
        <v>✗</v>
      </c>
      <c r="S82" s="154" t="str">
        <f>IFERROR(__xludf.DUMMYFUNCTION("if(REGEXMATCH(join("", "",$C82:$F82),S$1)=TRUE,""✓"",""✗"")"),"✗")</f>
        <v>✗</v>
      </c>
      <c r="T82" s="155"/>
      <c r="U82" s="155"/>
      <c r="V82" s="155"/>
      <c r="W82" s="155"/>
      <c r="X82" s="155"/>
      <c r="Y82" s="155"/>
      <c r="Z82" s="155"/>
      <c r="AA82" s="155"/>
      <c r="AB82" s="155"/>
    </row>
    <row r="83">
      <c r="A83" s="150">
        <v>82.0</v>
      </c>
      <c r="B83" s="151" t="str">
        <f t="shared" si="1"/>
        <v>Sajovic et al., 2018</v>
      </c>
      <c r="C83" s="152" t="s">
        <v>321</v>
      </c>
      <c r="D83" s="156" t="s">
        <v>5122</v>
      </c>
      <c r="E83" s="152" t="s">
        <v>109</v>
      </c>
      <c r="F83" s="157" t="s">
        <v>365</v>
      </c>
      <c r="G83" s="154" t="str">
        <f>IFERROR(__xludf.DUMMYFUNCTION("if(REGEXMATCH(join("", "",$C83:$F83),G$1)=TRUE,""✓"",""✗"")"),"✓")</f>
        <v>✓</v>
      </c>
      <c r="H83" s="154" t="str">
        <f>IFERROR(__xludf.DUMMYFUNCTION("if(REGEXMATCH(join("", "",$C83:$F83),H$1)=TRUE,""✓"",""✗"")"),"✓")</f>
        <v>✓</v>
      </c>
      <c r="I83" s="154" t="str">
        <f>IFERROR(__xludf.DUMMYFUNCTION("if(REGEXMATCH(join("", "",$C83:$F83),I$1)=TRUE,""✓"",""✗"")"),"✗")</f>
        <v>✗</v>
      </c>
      <c r="J83" s="154" t="str">
        <f>IFERROR(__xludf.DUMMYFUNCTION("if(REGEXMATCH(join("", "",$C83:$F83),J$1)=TRUE,""✓"",""✗"")"),"✗")</f>
        <v>✗</v>
      </c>
      <c r="K83" s="154" t="str">
        <f>IFERROR(__xludf.DUMMYFUNCTION("if(REGEXMATCH(join("", "",$C83:$F83),K$1)=TRUE,""✓"",""✗"")"),"✗")</f>
        <v>✗</v>
      </c>
      <c r="L83" s="154" t="str">
        <f>IFERROR(__xludf.DUMMYFUNCTION("if(REGEXMATCH(join("", "",$C83:$F83),L$1)=TRUE,""✓"",""✗"")"),"✗")</f>
        <v>✗</v>
      </c>
      <c r="M83" s="154" t="str">
        <f>IFERROR(__xludf.DUMMYFUNCTION("if(REGEXMATCH(join("", "",$C83:$F83),M$1)=TRUE,""✓"",""✗"")"),"✓")</f>
        <v>✓</v>
      </c>
      <c r="N83" s="154" t="str">
        <f>IFERROR(__xludf.DUMMYFUNCTION("if(REGEXMATCH(join("", "",$C83:$F83),N$1)=TRUE,""✓"",""✗"")"),"✓")</f>
        <v>✓</v>
      </c>
      <c r="O83" s="154" t="str">
        <f>IFERROR(__xludf.DUMMYFUNCTION("if(REGEXMATCH(join("", "",$C83:$F83),O$1)=TRUE,""✓"",""✗"")"),"✗")</f>
        <v>✗</v>
      </c>
      <c r="P83" s="154" t="str">
        <f>IFERROR(__xludf.DUMMYFUNCTION("if(REGEXMATCH(join("", "",$C83:$F83),P$1)=TRUE,""✓"",""✗"")"),"✓")</f>
        <v>✓</v>
      </c>
      <c r="Q83" s="154" t="str">
        <f>IFERROR(__xludf.DUMMYFUNCTION("if(REGEXMATCH(join("", "",$C83:$F83),Q$1)=TRUE,""✓"",""✗"")"),"✓")</f>
        <v>✓</v>
      </c>
      <c r="R83" s="154" t="str">
        <f>IFERROR(__xludf.DUMMYFUNCTION("if(REGEXMATCH(join("", "",$C83:$F83),R$1)=TRUE,""✓"",""✗"")"),"✓")</f>
        <v>✓</v>
      </c>
      <c r="S83" s="154" t="str">
        <f>IFERROR(__xludf.DUMMYFUNCTION("if(REGEXMATCH(join("", "",$C83:$F83),S$1)=TRUE,""✓"",""✗"")"),"✗")</f>
        <v>✗</v>
      </c>
      <c r="T83" s="155"/>
      <c r="U83" s="155"/>
      <c r="V83" s="155"/>
      <c r="W83" s="155"/>
      <c r="X83" s="155"/>
      <c r="Y83" s="155"/>
      <c r="Z83" s="155"/>
      <c r="AA83" s="155"/>
      <c r="AB83" s="155"/>
    </row>
    <row r="84">
      <c r="A84" s="150">
        <v>83.0</v>
      </c>
      <c r="B84" s="151" t="str">
        <f t="shared" si="1"/>
        <v>Sato et al., 2005</v>
      </c>
      <c r="C84" s="152"/>
      <c r="D84" s="156" t="s">
        <v>5125</v>
      </c>
      <c r="E84" s="152" t="s">
        <v>174</v>
      </c>
      <c r="F84" s="152" t="s">
        <v>4980</v>
      </c>
      <c r="G84" s="154" t="str">
        <f>IFERROR(__xludf.DUMMYFUNCTION("if(REGEXMATCH(join("", "",$C84:$F84),G$1)=TRUE,""✓"",""✗"")"),"✗")</f>
        <v>✗</v>
      </c>
      <c r="H84" s="154" t="str">
        <f>IFERROR(__xludf.DUMMYFUNCTION("if(REGEXMATCH(join("", "",$C84:$F84),H$1)=TRUE,""✓"",""✗"")"),"✗")</f>
        <v>✗</v>
      </c>
      <c r="I84" s="154" t="str">
        <f>IFERROR(__xludf.DUMMYFUNCTION("if(REGEXMATCH(join("", "",$C84:$F84),I$1)=TRUE,""✓"",""✗"")"),"✗")</f>
        <v>✗</v>
      </c>
      <c r="J84" s="154" t="str">
        <f>IFERROR(__xludf.DUMMYFUNCTION("if(REGEXMATCH(join("", "",$C84:$F84),J$1)=TRUE,""✓"",""✗"")"),"✗")</f>
        <v>✗</v>
      </c>
      <c r="K84" s="154" t="str">
        <f>IFERROR(__xludf.DUMMYFUNCTION("if(REGEXMATCH(join("", "",$C84:$F84),K$1)=TRUE,""✓"",""✗"")"),"✗")</f>
        <v>✗</v>
      </c>
      <c r="L84" s="154" t="str">
        <f>IFERROR(__xludf.DUMMYFUNCTION("if(REGEXMATCH(join("", "",$C84:$F84),L$1)=TRUE,""✓"",""✗"")"),"✗")</f>
        <v>✗</v>
      </c>
      <c r="M84" s="154" t="str">
        <f>IFERROR(__xludf.DUMMYFUNCTION("if(REGEXMATCH(join("", "",$C84:$F84),M$1)=TRUE,""✓"",""✗"")"),"✗")</f>
        <v>✗</v>
      </c>
      <c r="N84" s="154" t="str">
        <f>IFERROR(__xludf.DUMMYFUNCTION("if(REGEXMATCH(join("", "",$C84:$F84),N$1)=TRUE,""✓"",""✗"")"),"✗")</f>
        <v>✗</v>
      </c>
      <c r="O84" s="154" t="str">
        <f>IFERROR(__xludf.DUMMYFUNCTION("if(REGEXMATCH(join("", "",$C84:$F84),O$1)=TRUE,""✓"",""✗"")"),"✗")</f>
        <v>✗</v>
      </c>
      <c r="P84" s="154" t="str">
        <f>IFERROR(__xludf.DUMMYFUNCTION("if(REGEXMATCH(join("", "",$C84:$F84),P$1)=TRUE,""✓"",""✗"")"),"✗")</f>
        <v>✗</v>
      </c>
      <c r="Q84" s="154" t="str">
        <f>IFERROR(__xludf.DUMMYFUNCTION("if(REGEXMATCH(join("", "",$C84:$F84),Q$1)=TRUE,""✓"",""✗"")"),"✗")</f>
        <v>✗</v>
      </c>
      <c r="R84" s="154" t="str">
        <f>IFERROR(__xludf.DUMMYFUNCTION("if(REGEXMATCH(join("", "",$C84:$F84),R$1)=TRUE,""✓"",""✗"")"),"✗")</f>
        <v>✗</v>
      </c>
      <c r="S84" s="154" t="str">
        <f>IFERROR(__xludf.DUMMYFUNCTION("if(REGEXMATCH(join("", "",$C84:$F84),S$1)=TRUE,""✓"",""✗"")"),"✗")</f>
        <v>✗</v>
      </c>
      <c r="T84" s="155"/>
      <c r="U84" s="155"/>
      <c r="V84" s="155"/>
      <c r="W84" s="155"/>
      <c r="X84" s="155"/>
      <c r="Y84" s="155"/>
      <c r="Z84" s="155"/>
      <c r="AA84" s="155"/>
      <c r="AB84" s="155"/>
    </row>
    <row r="85">
      <c r="A85" s="150">
        <v>84.0</v>
      </c>
      <c r="B85" s="151" t="str">
        <f t="shared" si="1"/>
        <v>Sinding et al., 2020</v>
      </c>
      <c r="C85" s="157" t="s">
        <v>337</v>
      </c>
      <c r="D85" s="156" t="s">
        <v>5128</v>
      </c>
      <c r="E85" s="152" t="s">
        <v>109</v>
      </c>
      <c r="F85" s="157" t="s">
        <v>220</v>
      </c>
      <c r="G85" s="154" t="str">
        <f>IFERROR(__xludf.DUMMYFUNCTION("if(REGEXMATCH(join("", "",$C85:$F85),G$1)=TRUE,""✓"",""✗"")"),"✗")</f>
        <v>✗</v>
      </c>
      <c r="H85" s="154" t="str">
        <f>IFERROR(__xludf.DUMMYFUNCTION("if(REGEXMATCH(join("", "",$C85:$F85),H$1)=TRUE,""✓"",""✗"")"),"✓")</f>
        <v>✓</v>
      </c>
      <c r="I85" s="154" t="str">
        <f>IFERROR(__xludf.DUMMYFUNCTION("if(REGEXMATCH(join("", "",$C85:$F85),I$1)=TRUE,""✓"",""✗"")"),"✓")</f>
        <v>✓</v>
      </c>
      <c r="J85" s="154" t="str">
        <f>IFERROR(__xludf.DUMMYFUNCTION("if(REGEXMATCH(join("", "",$C85:$F85),J$1)=TRUE,""✓"",""✗"")"),"✗")</f>
        <v>✗</v>
      </c>
      <c r="K85" s="154" t="str">
        <f>IFERROR(__xludf.DUMMYFUNCTION("if(REGEXMATCH(join("", "",$C85:$F85),K$1)=TRUE,""✓"",""✗"")"),"✗")</f>
        <v>✗</v>
      </c>
      <c r="L85" s="154" t="str">
        <f>IFERROR(__xludf.DUMMYFUNCTION("if(REGEXMATCH(join("", "",$C85:$F85),L$1)=TRUE,""✓"",""✗"")"),"✗")</f>
        <v>✗</v>
      </c>
      <c r="M85" s="154" t="str">
        <f>IFERROR(__xludf.DUMMYFUNCTION("if(REGEXMATCH(join("", "",$C85:$F85),M$1)=TRUE,""✓"",""✗"")"),"✓")</f>
        <v>✓</v>
      </c>
      <c r="N85" s="154" t="str">
        <f>IFERROR(__xludf.DUMMYFUNCTION("if(REGEXMATCH(join("", "",$C85:$F85),N$1)=TRUE,""✓"",""✗"")"),"✗")</f>
        <v>✗</v>
      </c>
      <c r="O85" s="154" t="str">
        <f>IFERROR(__xludf.DUMMYFUNCTION("if(REGEXMATCH(join("", "",$C85:$F85),O$1)=TRUE,""✓"",""✗"")"),"✗")</f>
        <v>✗</v>
      </c>
      <c r="P85" s="154" t="str">
        <f>IFERROR(__xludf.DUMMYFUNCTION("if(REGEXMATCH(join("", "",$C85:$F85),P$1)=TRUE,""✓"",""✗"")"),"✗")</f>
        <v>✗</v>
      </c>
      <c r="Q85" s="154" t="str">
        <f>IFERROR(__xludf.DUMMYFUNCTION("if(REGEXMATCH(join("", "",$C85:$F85),Q$1)=TRUE,""✓"",""✗"")"),"✗")</f>
        <v>✗</v>
      </c>
      <c r="R85" s="154" t="str">
        <f>IFERROR(__xludf.DUMMYFUNCTION("if(REGEXMATCH(join("", "",$C85:$F85),R$1)=TRUE,""✓"",""✗"")"),"✗")</f>
        <v>✗</v>
      </c>
      <c r="S85" s="154" t="str">
        <f>IFERROR(__xludf.DUMMYFUNCTION("if(REGEXMATCH(join("", "",$C85:$F85),S$1)=TRUE,""✓"",""✗"")"),"✗")</f>
        <v>✗</v>
      </c>
      <c r="T85" s="155"/>
      <c r="U85" s="155"/>
      <c r="V85" s="155"/>
      <c r="W85" s="155"/>
      <c r="X85" s="155"/>
      <c r="Y85" s="155"/>
      <c r="Z85" s="155"/>
      <c r="AA85" s="155"/>
      <c r="AB85" s="155"/>
    </row>
    <row r="86">
      <c r="A86" s="150">
        <v>85.0</v>
      </c>
      <c r="B86" s="151" t="str">
        <f t="shared" si="1"/>
        <v>Smith et al., 2020</v>
      </c>
      <c r="C86" s="157" t="s">
        <v>5131</v>
      </c>
      <c r="D86" s="156" t="s">
        <v>5132</v>
      </c>
      <c r="E86" s="152" t="s">
        <v>109</v>
      </c>
      <c r="F86" s="157" t="s">
        <v>366</v>
      </c>
      <c r="G86" s="154" t="str">
        <f>IFERROR(__xludf.DUMMYFUNCTION("if(REGEXMATCH(join("", "",$C86:$F86),G$1)=TRUE,""✓"",""✗"")"),"✓")</f>
        <v>✓</v>
      </c>
      <c r="H86" s="154" t="str">
        <f>IFERROR(__xludf.DUMMYFUNCTION("if(REGEXMATCH(join("", "",$C86:$F86),H$1)=TRUE,""✓"",""✗"")"),"✓")</f>
        <v>✓</v>
      </c>
      <c r="I86" s="154" t="str">
        <f>IFERROR(__xludf.DUMMYFUNCTION("if(REGEXMATCH(join("", "",$C86:$F86),I$1)=TRUE,""✓"",""✗"")"),"✓")</f>
        <v>✓</v>
      </c>
      <c r="J86" s="154" t="str">
        <f>IFERROR(__xludf.DUMMYFUNCTION("if(REGEXMATCH(join("", "",$C86:$F86),J$1)=TRUE,""✓"",""✗"")"),"✗")</f>
        <v>✗</v>
      </c>
      <c r="K86" s="154" t="str">
        <f>IFERROR(__xludf.DUMMYFUNCTION("if(REGEXMATCH(join("", "",$C86:$F86),K$1)=TRUE,""✓"",""✗"")"),"✗")</f>
        <v>✗</v>
      </c>
      <c r="L86" s="154" t="str">
        <f>IFERROR(__xludf.DUMMYFUNCTION("if(REGEXMATCH(join("", "",$C86:$F86),L$1)=TRUE,""✓"",""✗"")"),"✗")</f>
        <v>✗</v>
      </c>
      <c r="M86" s="154" t="str">
        <f>IFERROR(__xludf.DUMMYFUNCTION("if(REGEXMATCH(join("", "",$C86:$F86),M$1)=TRUE,""✓"",""✗"")"),"✓")</f>
        <v>✓</v>
      </c>
      <c r="N86" s="154" t="str">
        <f>IFERROR(__xludf.DUMMYFUNCTION("if(REGEXMATCH(join("", "",$C86:$F86),N$1)=TRUE,""✓"",""✗"")"),"✗")</f>
        <v>✗</v>
      </c>
      <c r="O86" s="154" t="str">
        <f>IFERROR(__xludf.DUMMYFUNCTION("if(REGEXMATCH(join("", "",$C86:$F86),O$1)=TRUE,""✓"",""✗"")"),"✗")</f>
        <v>✗</v>
      </c>
      <c r="P86" s="154" t="str">
        <f>IFERROR(__xludf.DUMMYFUNCTION("if(REGEXMATCH(join("", "",$C86:$F86),P$1)=TRUE,""✓"",""✗"")"),"✓")</f>
        <v>✓</v>
      </c>
      <c r="Q86" s="154" t="str">
        <f>IFERROR(__xludf.DUMMYFUNCTION("if(REGEXMATCH(join("", "",$C86:$F86),Q$1)=TRUE,""✓"",""✗"")"),"✗")</f>
        <v>✗</v>
      </c>
      <c r="R86" s="154" t="str">
        <f>IFERROR(__xludf.DUMMYFUNCTION("if(REGEXMATCH(join("", "",$C86:$F86),R$1)=TRUE,""✓"",""✗"")"),"✗")</f>
        <v>✗</v>
      </c>
      <c r="S86" s="154" t="str">
        <f>IFERROR(__xludf.DUMMYFUNCTION("if(REGEXMATCH(join("", "",$C86:$F86),S$1)=TRUE,""✓"",""✗"")"),"✓")</f>
        <v>✓</v>
      </c>
      <c r="T86" s="155"/>
      <c r="U86" s="155"/>
      <c r="V86" s="155"/>
      <c r="W86" s="155"/>
      <c r="X86" s="155"/>
      <c r="Y86" s="155"/>
      <c r="Z86" s="155"/>
      <c r="AA86" s="155"/>
      <c r="AB86" s="155"/>
    </row>
    <row r="87">
      <c r="A87" s="150">
        <v>86.0</v>
      </c>
      <c r="B87" s="151" t="str">
        <f t="shared" si="1"/>
        <v>Sonnery-Cottet et al., 2020</v>
      </c>
      <c r="C87" s="157" t="s">
        <v>321</v>
      </c>
      <c r="D87" s="156" t="s">
        <v>5133</v>
      </c>
      <c r="E87" s="152" t="s">
        <v>174</v>
      </c>
      <c r="F87" s="152" t="s">
        <v>4973</v>
      </c>
      <c r="G87" s="154" t="str">
        <f>IFERROR(__xludf.DUMMYFUNCTION("if(REGEXMATCH(join("", "",$C87:$F87),G$1)=TRUE,""✓"",""✗"")"),"✓")</f>
        <v>✓</v>
      </c>
      <c r="H87" s="154" t="str">
        <f>IFERROR(__xludf.DUMMYFUNCTION("if(REGEXMATCH(join("", "",$C87:$F87),H$1)=TRUE,""✓"",""✗"")"),"✓")</f>
        <v>✓</v>
      </c>
      <c r="I87" s="154" t="str">
        <f>IFERROR(__xludf.DUMMYFUNCTION("if(REGEXMATCH(join("", "",$C87:$F87),I$1)=TRUE,""✓"",""✗"")"),"✗")</f>
        <v>✗</v>
      </c>
      <c r="J87" s="154" t="str">
        <f>IFERROR(__xludf.DUMMYFUNCTION("if(REGEXMATCH(join("", "",$C87:$F87),J$1)=TRUE,""✓"",""✗"")"),"✗")</f>
        <v>✗</v>
      </c>
      <c r="K87" s="154" t="str">
        <f>IFERROR(__xludf.DUMMYFUNCTION("if(REGEXMATCH(join("", "",$C87:$F87),K$1)=TRUE,""✓"",""✗"")"),"✗")</f>
        <v>✗</v>
      </c>
      <c r="L87" s="154" t="str">
        <f>IFERROR(__xludf.DUMMYFUNCTION("if(REGEXMATCH(join("", "",$C87:$F87),L$1)=TRUE,""✓"",""✗"")"),"✗")</f>
        <v>✗</v>
      </c>
      <c r="M87" s="154" t="str">
        <f>IFERROR(__xludf.DUMMYFUNCTION("if(REGEXMATCH(join("", "",$C87:$F87),M$1)=TRUE,""✓"",""✗"")"),"✗")</f>
        <v>✗</v>
      </c>
      <c r="N87" s="154" t="str">
        <f>IFERROR(__xludf.DUMMYFUNCTION("if(REGEXMATCH(join("", "",$C87:$F87),N$1)=TRUE,""✓"",""✗"")"),"✗")</f>
        <v>✗</v>
      </c>
      <c r="O87" s="154" t="str">
        <f>IFERROR(__xludf.DUMMYFUNCTION("if(REGEXMATCH(join("", "",$C87:$F87),O$1)=TRUE,""✓"",""✗"")"),"✗")</f>
        <v>✗</v>
      </c>
      <c r="P87" s="154" t="str">
        <f>IFERROR(__xludf.DUMMYFUNCTION("if(REGEXMATCH(join("", "",$C87:$F87),P$1)=TRUE,""✓"",""✗"")"),"✗")</f>
        <v>✗</v>
      </c>
      <c r="Q87" s="154" t="str">
        <f>IFERROR(__xludf.DUMMYFUNCTION("if(REGEXMATCH(join("", "",$C87:$F87),Q$1)=TRUE,""✓"",""✗"")"),"✗")</f>
        <v>✗</v>
      </c>
      <c r="R87" s="154" t="str">
        <f>IFERROR(__xludf.DUMMYFUNCTION("if(REGEXMATCH(join("", "",$C87:$F87),R$1)=TRUE,""✓"",""✗"")"),"✗")</f>
        <v>✗</v>
      </c>
      <c r="S87" s="154" t="str">
        <f>IFERROR(__xludf.DUMMYFUNCTION("if(REGEXMATCH(join("", "",$C87:$F87),S$1)=TRUE,""✓"",""✗"")"),"✗")</f>
        <v>✗</v>
      </c>
      <c r="T87" s="155"/>
      <c r="U87" s="155"/>
      <c r="V87" s="155"/>
      <c r="W87" s="155"/>
      <c r="X87" s="155"/>
      <c r="Y87" s="155"/>
      <c r="Z87" s="155"/>
      <c r="AA87" s="155"/>
      <c r="AB87" s="155"/>
    </row>
    <row r="88">
      <c r="A88" s="150">
        <v>87.0</v>
      </c>
      <c r="B88" s="151" t="str">
        <f t="shared" si="1"/>
        <v>Sonnery-Cottet et al., 2026</v>
      </c>
      <c r="C88" s="157" t="s">
        <v>321</v>
      </c>
      <c r="D88" s="156" t="s">
        <v>5136</v>
      </c>
      <c r="E88" s="152" t="s">
        <v>109</v>
      </c>
      <c r="F88" s="157" t="s">
        <v>355</v>
      </c>
      <c r="G88" s="154" t="str">
        <f>IFERROR(__xludf.DUMMYFUNCTION("if(REGEXMATCH(join("", "",$C88:$F88),G$1)=TRUE,""✓"",""✗"")"),"✓")</f>
        <v>✓</v>
      </c>
      <c r="H88" s="154" t="str">
        <f>IFERROR(__xludf.DUMMYFUNCTION("if(REGEXMATCH(join("", "",$C88:$F88),H$1)=TRUE,""✓"",""✗"")"),"✓")</f>
        <v>✓</v>
      </c>
      <c r="I88" s="154" t="str">
        <f>IFERROR(__xludf.DUMMYFUNCTION("if(REGEXMATCH(join("", "",$C88:$F88),I$1)=TRUE,""✓"",""✗"")"),"✗")</f>
        <v>✗</v>
      </c>
      <c r="J88" s="154" t="str">
        <f>IFERROR(__xludf.DUMMYFUNCTION("if(REGEXMATCH(join("", "",$C88:$F88),J$1)=TRUE,""✓"",""✗"")"),"✗")</f>
        <v>✗</v>
      </c>
      <c r="K88" s="154" t="str">
        <f>IFERROR(__xludf.DUMMYFUNCTION("if(REGEXMATCH(join("", "",$C88:$F88),K$1)=TRUE,""✓"",""✗"")"),"✗")</f>
        <v>✗</v>
      </c>
      <c r="L88" s="154" t="str">
        <f>IFERROR(__xludf.DUMMYFUNCTION("if(REGEXMATCH(join("", "",$C88:$F88),L$1)=TRUE,""✓"",""✗"")"),"✗")</f>
        <v>✗</v>
      </c>
      <c r="M88" s="154" t="str">
        <f>IFERROR(__xludf.DUMMYFUNCTION("if(REGEXMATCH(join("", "",$C88:$F88),M$1)=TRUE,""✓"",""✗"")"),"✓")</f>
        <v>✓</v>
      </c>
      <c r="N88" s="154" t="str">
        <f>IFERROR(__xludf.DUMMYFUNCTION("if(REGEXMATCH(join("", "",$C88:$F88),N$1)=TRUE,""✓"",""✗"")"),"✓")</f>
        <v>✓</v>
      </c>
      <c r="O88" s="154" t="str">
        <f>IFERROR(__xludf.DUMMYFUNCTION("if(REGEXMATCH(join("", "",$C88:$F88),O$1)=TRUE,""✓"",""✗"")"),"✓")</f>
        <v>✓</v>
      </c>
      <c r="P88" s="154" t="str">
        <f>IFERROR(__xludf.DUMMYFUNCTION("if(REGEXMATCH(join("", "",$C88:$F88),P$1)=TRUE,""✓"",""✗"")"),"✓")</f>
        <v>✓</v>
      </c>
      <c r="Q88" s="154" t="str">
        <f>IFERROR(__xludf.DUMMYFUNCTION("if(REGEXMATCH(join("", "",$C88:$F88),Q$1)=TRUE,""✓"",""✗"")"),"✓")</f>
        <v>✓</v>
      </c>
      <c r="R88" s="154" t="str">
        <f>IFERROR(__xludf.DUMMYFUNCTION("if(REGEXMATCH(join("", "",$C88:$F88),R$1)=TRUE,""✓"",""✗"")"),"✗")</f>
        <v>✗</v>
      </c>
      <c r="S88" s="154" t="str">
        <f>IFERROR(__xludf.DUMMYFUNCTION("if(REGEXMATCH(join("", "",$C88:$F88),S$1)=TRUE,""✓"",""✗"")"),"✓")</f>
        <v>✓</v>
      </c>
      <c r="T88" s="155"/>
      <c r="U88" s="155"/>
      <c r="V88" s="155"/>
      <c r="W88" s="155"/>
      <c r="X88" s="155"/>
      <c r="Y88" s="155"/>
      <c r="Z88" s="155"/>
      <c r="AA88" s="155"/>
      <c r="AB88" s="155"/>
    </row>
    <row r="89">
      <c r="A89" s="150">
        <v>88.0</v>
      </c>
      <c r="B89" s="151" t="str">
        <f t="shared" si="1"/>
        <v>Sumanont et al., 2024</v>
      </c>
      <c r="C89" s="157"/>
      <c r="D89" s="156" t="s">
        <v>5139</v>
      </c>
      <c r="E89" s="152" t="s">
        <v>174</v>
      </c>
      <c r="F89" s="152" t="s">
        <v>4980</v>
      </c>
      <c r="G89" s="154" t="str">
        <f>IFERROR(__xludf.DUMMYFUNCTION("if(REGEXMATCH(join("", "",$C89:$F89),G$1)=TRUE,""✓"",""✗"")"),"✗")</f>
        <v>✗</v>
      </c>
      <c r="H89" s="154" t="str">
        <f>IFERROR(__xludf.DUMMYFUNCTION("if(REGEXMATCH(join("", "",$C89:$F89),H$1)=TRUE,""✓"",""✗"")"),"✗")</f>
        <v>✗</v>
      </c>
      <c r="I89" s="154" t="str">
        <f>IFERROR(__xludf.DUMMYFUNCTION("if(REGEXMATCH(join("", "",$C89:$F89),I$1)=TRUE,""✓"",""✗"")"),"✗")</f>
        <v>✗</v>
      </c>
      <c r="J89" s="154" t="str">
        <f>IFERROR(__xludf.DUMMYFUNCTION("if(REGEXMATCH(join("", "",$C89:$F89),J$1)=TRUE,""✓"",""✗"")"),"✗")</f>
        <v>✗</v>
      </c>
      <c r="K89" s="154" t="str">
        <f>IFERROR(__xludf.DUMMYFUNCTION("if(REGEXMATCH(join("", "",$C89:$F89),K$1)=TRUE,""✓"",""✗"")"),"✗")</f>
        <v>✗</v>
      </c>
      <c r="L89" s="154" t="str">
        <f>IFERROR(__xludf.DUMMYFUNCTION("if(REGEXMATCH(join("", "",$C89:$F89),L$1)=TRUE,""✓"",""✗"")"),"✗")</f>
        <v>✗</v>
      </c>
      <c r="M89" s="154" t="str">
        <f>IFERROR(__xludf.DUMMYFUNCTION("if(REGEXMATCH(join("", "",$C89:$F89),M$1)=TRUE,""✓"",""✗"")"),"✗")</f>
        <v>✗</v>
      </c>
      <c r="N89" s="154" t="str">
        <f>IFERROR(__xludf.DUMMYFUNCTION("if(REGEXMATCH(join("", "",$C89:$F89),N$1)=TRUE,""✓"",""✗"")"),"✗")</f>
        <v>✗</v>
      </c>
      <c r="O89" s="154" t="str">
        <f>IFERROR(__xludf.DUMMYFUNCTION("if(REGEXMATCH(join("", "",$C89:$F89),O$1)=TRUE,""✓"",""✗"")"),"✗")</f>
        <v>✗</v>
      </c>
      <c r="P89" s="154" t="str">
        <f>IFERROR(__xludf.DUMMYFUNCTION("if(REGEXMATCH(join("", "",$C89:$F89),P$1)=TRUE,""✓"",""✗"")"),"✗")</f>
        <v>✗</v>
      </c>
      <c r="Q89" s="154" t="str">
        <f>IFERROR(__xludf.DUMMYFUNCTION("if(REGEXMATCH(join("", "",$C89:$F89),Q$1)=TRUE,""✓"",""✗"")"),"✗")</f>
        <v>✗</v>
      </c>
      <c r="R89" s="154" t="str">
        <f>IFERROR(__xludf.DUMMYFUNCTION("if(REGEXMATCH(join("", "",$C89:$F89),R$1)=TRUE,""✓"",""✗"")"),"✗")</f>
        <v>✗</v>
      </c>
      <c r="S89" s="154" t="str">
        <f>IFERROR(__xludf.DUMMYFUNCTION("if(REGEXMATCH(join("", "",$C89:$F89),S$1)=TRUE,""✓"",""✗"")"),"✗")</f>
        <v>✗</v>
      </c>
      <c r="T89" s="155"/>
      <c r="U89" s="155"/>
      <c r="V89" s="155"/>
      <c r="W89" s="155"/>
      <c r="X89" s="155"/>
      <c r="Y89" s="155"/>
      <c r="Z89" s="155"/>
      <c r="AA89" s="155"/>
      <c r="AB89" s="155"/>
    </row>
    <row r="90">
      <c r="A90" s="150">
        <v>89.0</v>
      </c>
      <c r="B90" s="151" t="str">
        <f t="shared" si="1"/>
        <v>Tang et al., 2023</v>
      </c>
      <c r="C90" s="157" t="s">
        <v>337</v>
      </c>
      <c r="D90" s="156" t="s">
        <v>5141</v>
      </c>
      <c r="E90" s="152" t="s">
        <v>109</v>
      </c>
      <c r="F90" s="157" t="s">
        <v>220</v>
      </c>
      <c r="G90" s="154" t="str">
        <f>IFERROR(__xludf.DUMMYFUNCTION("if(REGEXMATCH(join("", "",$C90:$F90),G$1)=TRUE,""✓"",""✗"")"),"✗")</f>
        <v>✗</v>
      </c>
      <c r="H90" s="154" t="str">
        <f>IFERROR(__xludf.DUMMYFUNCTION("if(REGEXMATCH(join("", "",$C90:$F90),H$1)=TRUE,""✓"",""✗"")"),"✓")</f>
        <v>✓</v>
      </c>
      <c r="I90" s="154" t="str">
        <f>IFERROR(__xludf.DUMMYFUNCTION("if(REGEXMATCH(join("", "",$C90:$F90),I$1)=TRUE,""✓"",""✗"")"),"✓")</f>
        <v>✓</v>
      </c>
      <c r="J90" s="154" t="str">
        <f>IFERROR(__xludf.DUMMYFUNCTION("if(REGEXMATCH(join("", "",$C90:$F90),J$1)=TRUE,""✓"",""✗"")"),"✗")</f>
        <v>✗</v>
      </c>
      <c r="K90" s="154" t="str">
        <f>IFERROR(__xludf.DUMMYFUNCTION("if(REGEXMATCH(join("", "",$C90:$F90),K$1)=TRUE,""✓"",""✗"")"),"✗")</f>
        <v>✗</v>
      </c>
      <c r="L90" s="154" t="str">
        <f>IFERROR(__xludf.DUMMYFUNCTION("if(REGEXMATCH(join("", "",$C90:$F90),L$1)=TRUE,""✓"",""✗"")"),"✗")</f>
        <v>✗</v>
      </c>
      <c r="M90" s="154" t="str">
        <f>IFERROR(__xludf.DUMMYFUNCTION("if(REGEXMATCH(join("", "",$C90:$F90),M$1)=TRUE,""✓"",""✗"")"),"✓")</f>
        <v>✓</v>
      </c>
      <c r="N90" s="154" t="str">
        <f>IFERROR(__xludf.DUMMYFUNCTION("if(REGEXMATCH(join("", "",$C90:$F90),N$1)=TRUE,""✓"",""✗"")"),"✗")</f>
        <v>✗</v>
      </c>
      <c r="O90" s="154" t="str">
        <f>IFERROR(__xludf.DUMMYFUNCTION("if(REGEXMATCH(join("", "",$C90:$F90),O$1)=TRUE,""✓"",""✗"")"),"✗")</f>
        <v>✗</v>
      </c>
      <c r="P90" s="154" t="str">
        <f>IFERROR(__xludf.DUMMYFUNCTION("if(REGEXMATCH(join("", "",$C90:$F90),P$1)=TRUE,""✓"",""✗"")"),"✗")</f>
        <v>✗</v>
      </c>
      <c r="Q90" s="154" t="str">
        <f>IFERROR(__xludf.DUMMYFUNCTION("if(REGEXMATCH(join("", "",$C90:$F90),Q$1)=TRUE,""✓"",""✗"")"),"✗")</f>
        <v>✗</v>
      </c>
      <c r="R90" s="154" t="str">
        <f>IFERROR(__xludf.DUMMYFUNCTION("if(REGEXMATCH(join("", "",$C90:$F90),R$1)=TRUE,""✓"",""✗"")"),"✗")</f>
        <v>✗</v>
      </c>
      <c r="S90" s="154" t="str">
        <f>IFERROR(__xludf.DUMMYFUNCTION("if(REGEXMATCH(join("", "",$C90:$F90),S$1)=TRUE,""✓"",""✗"")"),"✗")</f>
        <v>✗</v>
      </c>
      <c r="T90" s="155"/>
      <c r="U90" s="155"/>
      <c r="V90" s="155"/>
      <c r="W90" s="155"/>
      <c r="X90" s="155"/>
      <c r="Y90" s="155"/>
      <c r="Z90" s="155"/>
      <c r="AA90" s="155"/>
      <c r="AB90" s="155"/>
    </row>
    <row r="91">
      <c r="A91" s="150">
        <v>90.0</v>
      </c>
      <c r="B91" s="151" t="str">
        <f t="shared" si="1"/>
        <v>Taylor et al., 2009</v>
      </c>
      <c r="C91" s="157" t="s">
        <v>321</v>
      </c>
      <c r="D91" s="156" t="s">
        <v>5143</v>
      </c>
      <c r="E91" s="152" t="s">
        <v>109</v>
      </c>
      <c r="F91" s="157" t="s">
        <v>342</v>
      </c>
      <c r="G91" s="154" t="str">
        <f>IFERROR(__xludf.DUMMYFUNCTION("if(REGEXMATCH(join("", "",$C91:$F91),G$1)=TRUE,""✓"",""✗"")"),"✓")</f>
        <v>✓</v>
      </c>
      <c r="H91" s="154" t="str">
        <f>IFERROR(__xludf.DUMMYFUNCTION("if(REGEXMATCH(join("", "",$C91:$F91),H$1)=TRUE,""✓"",""✗"")"),"✓")</f>
        <v>✓</v>
      </c>
      <c r="I91" s="154" t="str">
        <f>IFERROR(__xludf.DUMMYFUNCTION("if(REGEXMATCH(join("", "",$C91:$F91),I$1)=TRUE,""✓"",""✗"")"),"✗")</f>
        <v>✗</v>
      </c>
      <c r="J91" s="154" t="str">
        <f>IFERROR(__xludf.DUMMYFUNCTION("if(REGEXMATCH(join("", "",$C91:$F91),J$1)=TRUE,""✓"",""✗"")"),"✗")</f>
        <v>✗</v>
      </c>
      <c r="K91" s="154" t="str">
        <f>IFERROR(__xludf.DUMMYFUNCTION("if(REGEXMATCH(join("", "",$C91:$F91),K$1)=TRUE,""✓"",""✗"")"),"✗")</f>
        <v>✗</v>
      </c>
      <c r="L91" s="154" t="str">
        <f>IFERROR(__xludf.DUMMYFUNCTION("if(REGEXMATCH(join("", "",$C91:$F91),L$1)=TRUE,""✓"",""✗"")"),"✗")</f>
        <v>✗</v>
      </c>
      <c r="M91" s="154" t="str">
        <f>IFERROR(__xludf.DUMMYFUNCTION("if(REGEXMATCH(join("", "",$C91:$F91),M$1)=TRUE,""✓"",""✗"")"),"✓")</f>
        <v>✓</v>
      </c>
      <c r="N91" s="154" t="str">
        <f>IFERROR(__xludf.DUMMYFUNCTION("if(REGEXMATCH(join("", "",$C91:$F91),N$1)=TRUE,""✓"",""✗"")"),"✓")</f>
        <v>✓</v>
      </c>
      <c r="O91" s="154" t="str">
        <f>IFERROR(__xludf.DUMMYFUNCTION("if(REGEXMATCH(join("", "",$C91:$F91),O$1)=TRUE,""✓"",""✗"")"),"✓")</f>
        <v>✓</v>
      </c>
      <c r="P91" s="154" t="str">
        <f>IFERROR(__xludf.DUMMYFUNCTION("if(REGEXMATCH(join("", "",$C91:$F91),P$1)=TRUE,""✓"",""✗"")"),"✓")</f>
        <v>✓</v>
      </c>
      <c r="Q91" s="154" t="str">
        <f>IFERROR(__xludf.DUMMYFUNCTION("if(REGEXMATCH(join("", "",$C91:$F91),Q$1)=TRUE,""✓"",""✗"")"),"✓")</f>
        <v>✓</v>
      </c>
      <c r="R91" s="154" t="str">
        <f>IFERROR(__xludf.DUMMYFUNCTION("if(REGEXMATCH(join("", "",$C91:$F91),R$1)=TRUE,""✓"",""✗"")"),"✗")</f>
        <v>✗</v>
      </c>
      <c r="S91" s="154" t="str">
        <f>IFERROR(__xludf.DUMMYFUNCTION("if(REGEXMATCH(join("", "",$C91:$F91),S$1)=TRUE,""✓"",""✗"")"),"✗")</f>
        <v>✗</v>
      </c>
      <c r="T91" s="155"/>
      <c r="U91" s="155"/>
      <c r="V91" s="155"/>
      <c r="W91" s="155"/>
      <c r="X91" s="155"/>
      <c r="Y91" s="155"/>
      <c r="Z91" s="155"/>
      <c r="AA91" s="155"/>
      <c r="AB91" s="155"/>
    </row>
    <row r="92">
      <c r="A92" s="150">
        <v>91.0</v>
      </c>
      <c r="B92" s="151" t="str">
        <f t="shared" si="1"/>
        <v>Tibesku et al., 2003</v>
      </c>
      <c r="C92" s="157"/>
      <c r="D92" s="156" t="s">
        <v>5146</v>
      </c>
      <c r="E92" s="152" t="s">
        <v>174</v>
      </c>
      <c r="F92" s="152" t="s">
        <v>4993</v>
      </c>
      <c r="G92" s="154" t="str">
        <f>IFERROR(__xludf.DUMMYFUNCTION("if(REGEXMATCH(join("", "",$C92:$F92),G$1)=TRUE,""✓"",""✗"")"),"✗")</f>
        <v>✗</v>
      </c>
      <c r="H92" s="154" t="str">
        <f>IFERROR(__xludf.DUMMYFUNCTION("if(REGEXMATCH(join("", "",$C92:$F92),H$1)=TRUE,""✓"",""✗"")"),"✗")</f>
        <v>✗</v>
      </c>
      <c r="I92" s="154" t="str">
        <f>IFERROR(__xludf.DUMMYFUNCTION("if(REGEXMATCH(join("", "",$C92:$F92),I$1)=TRUE,""✓"",""✗"")"),"✗")</f>
        <v>✗</v>
      </c>
      <c r="J92" s="154" t="str">
        <f>IFERROR(__xludf.DUMMYFUNCTION("if(REGEXMATCH(join("", "",$C92:$F92),J$1)=TRUE,""✓"",""✗"")"),"✗")</f>
        <v>✗</v>
      </c>
      <c r="K92" s="154" t="str">
        <f>IFERROR(__xludf.DUMMYFUNCTION("if(REGEXMATCH(join("", "",$C92:$F92),K$1)=TRUE,""✓"",""✗"")"),"✗")</f>
        <v>✗</v>
      </c>
      <c r="L92" s="154" t="str">
        <f>IFERROR(__xludf.DUMMYFUNCTION("if(REGEXMATCH(join("", "",$C92:$F92),L$1)=TRUE,""✓"",""✗"")"),"✗")</f>
        <v>✗</v>
      </c>
      <c r="M92" s="154" t="str">
        <f>IFERROR(__xludf.DUMMYFUNCTION("if(REGEXMATCH(join("", "",$C92:$F92),M$1)=TRUE,""✓"",""✗"")"),"✗")</f>
        <v>✗</v>
      </c>
      <c r="N92" s="154" t="str">
        <f>IFERROR(__xludf.DUMMYFUNCTION("if(REGEXMATCH(join("", "",$C92:$F92),N$1)=TRUE,""✓"",""✗"")"),"✗")</f>
        <v>✗</v>
      </c>
      <c r="O92" s="154" t="str">
        <f>IFERROR(__xludf.DUMMYFUNCTION("if(REGEXMATCH(join("", "",$C92:$F92),O$1)=TRUE,""✓"",""✗"")"),"✗")</f>
        <v>✗</v>
      </c>
      <c r="P92" s="154" t="str">
        <f>IFERROR(__xludf.DUMMYFUNCTION("if(REGEXMATCH(join("", "",$C92:$F92),P$1)=TRUE,""✓"",""✗"")"),"✗")</f>
        <v>✗</v>
      </c>
      <c r="Q92" s="154" t="str">
        <f>IFERROR(__xludf.DUMMYFUNCTION("if(REGEXMATCH(join("", "",$C92:$F92),Q$1)=TRUE,""✓"",""✗"")"),"✗")</f>
        <v>✗</v>
      </c>
      <c r="R92" s="154" t="str">
        <f>IFERROR(__xludf.DUMMYFUNCTION("if(REGEXMATCH(join("", "",$C92:$F92),R$1)=TRUE,""✓"",""✗"")"),"✗")</f>
        <v>✗</v>
      </c>
      <c r="S92" s="154" t="str">
        <f>IFERROR(__xludf.DUMMYFUNCTION("if(REGEXMATCH(join("", "",$C92:$F92),S$1)=TRUE,""✓"",""✗"")"),"✗")</f>
        <v>✗</v>
      </c>
      <c r="T92" s="155"/>
      <c r="U92" s="155"/>
      <c r="V92" s="155"/>
      <c r="W92" s="155"/>
      <c r="X92" s="155"/>
      <c r="Y92" s="155"/>
      <c r="Z92" s="155"/>
      <c r="AA92" s="155"/>
      <c r="AB92" s="155"/>
    </row>
    <row r="93">
      <c r="A93" s="150">
        <v>92.0</v>
      </c>
      <c r="B93" s="151" t="str">
        <f t="shared" si="1"/>
        <v>Vendrig et al., 2026</v>
      </c>
      <c r="C93" s="157"/>
      <c r="D93" s="153" t="s">
        <v>5149</v>
      </c>
      <c r="E93" s="152" t="s">
        <v>174</v>
      </c>
      <c r="F93" s="152" t="s">
        <v>4980</v>
      </c>
      <c r="G93" s="154" t="str">
        <f>IFERROR(__xludf.DUMMYFUNCTION("if(REGEXMATCH(join("", "",$C93:$F93),G$1)=TRUE,""✓"",""✗"")"),"✗")</f>
        <v>✗</v>
      </c>
      <c r="H93" s="154" t="str">
        <f>IFERROR(__xludf.DUMMYFUNCTION("if(REGEXMATCH(join("", "",$C93:$F93),H$1)=TRUE,""✓"",""✗"")"),"✗")</f>
        <v>✗</v>
      </c>
      <c r="I93" s="154" t="str">
        <f>IFERROR(__xludf.DUMMYFUNCTION("if(REGEXMATCH(join("", "",$C93:$F93),I$1)=TRUE,""✓"",""✗"")"),"✗")</f>
        <v>✗</v>
      </c>
      <c r="J93" s="154" t="str">
        <f>IFERROR(__xludf.DUMMYFUNCTION("if(REGEXMATCH(join("", "",$C93:$F93),J$1)=TRUE,""✓"",""✗"")"),"✗")</f>
        <v>✗</v>
      </c>
      <c r="K93" s="154" t="str">
        <f>IFERROR(__xludf.DUMMYFUNCTION("if(REGEXMATCH(join("", "",$C93:$F93),K$1)=TRUE,""✓"",""✗"")"),"✗")</f>
        <v>✗</v>
      </c>
      <c r="L93" s="154" t="str">
        <f>IFERROR(__xludf.DUMMYFUNCTION("if(REGEXMATCH(join("", "",$C93:$F93),L$1)=TRUE,""✓"",""✗"")"),"✗")</f>
        <v>✗</v>
      </c>
      <c r="M93" s="154" t="str">
        <f>IFERROR(__xludf.DUMMYFUNCTION("if(REGEXMATCH(join("", "",$C93:$F93),M$1)=TRUE,""✓"",""✗"")"),"✗")</f>
        <v>✗</v>
      </c>
      <c r="N93" s="154" t="str">
        <f>IFERROR(__xludf.DUMMYFUNCTION("if(REGEXMATCH(join("", "",$C93:$F93),N$1)=TRUE,""✓"",""✗"")"),"✗")</f>
        <v>✗</v>
      </c>
      <c r="O93" s="154" t="str">
        <f>IFERROR(__xludf.DUMMYFUNCTION("if(REGEXMATCH(join("", "",$C93:$F93),O$1)=TRUE,""✓"",""✗"")"),"✗")</f>
        <v>✗</v>
      </c>
      <c r="P93" s="154" t="str">
        <f>IFERROR(__xludf.DUMMYFUNCTION("if(REGEXMATCH(join("", "",$C93:$F93),P$1)=TRUE,""✓"",""✗"")"),"✗")</f>
        <v>✗</v>
      </c>
      <c r="Q93" s="154" t="str">
        <f>IFERROR(__xludf.DUMMYFUNCTION("if(REGEXMATCH(join("", "",$C93:$F93),Q$1)=TRUE,""✓"",""✗"")"),"✗")</f>
        <v>✗</v>
      </c>
      <c r="R93" s="154" t="str">
        <f>IFERROR(__xludf.DUMMYFUNCTION("if(REGEXMATCH(join("", "",$C93:$F93),R$1)=TRUE,""✓"",""✗"")"),"✗")</f>
        <v>✗</v>
      </c>
      <c r="S93" s="154" t="str">
        <f>IFERROR(__xludf.DUMMYFUNCTION("if(REGEXMATCH(join("", "",$C93:$F93),S$1)=TRUE,""✓"",""✗"")"),"✗")</f>
        <v>✗</v>
      </c>
      <c r="T93" s="155"/>
      <c r="U93" s="155"/>
      <c r="V93" s="155"/>
      <c r="W93" s="155"/>
      <c r="X93" s="155"/>
      <c r="Y93" s="155"/>
      <c r="Z93" s="155"/>
      <c r="AA93" s="155"/>
      <c r="AB93" s="155"/>
    </row>
    <row r="94">
      <c r="A94" s="150">
        <v>93.0</v>
      </c>
      <c r="B94" s="151" t="str">
        <f t="shared" si="1"/>
        <v>Vilchez-Cavazos et al., 2020</v>
      </c>
      <c r="C94" s="157" t="s">
        <v>328</v>
      </c>
      <c r="D94" s="153" t="s">
        <v>5155</v>
      </c>
      <c r="E94" s="152" t="s">
        <v>109</v>
      </c>
      <c r="F94" s="157" t="s">
        <v>352</v>
      </c>
      <c r="G94" s="154" t="str">
        <f>IFERROR(__xludf.DUMMYFUNCTION("if(REGEXMATCH(join("", "",$C94:$F94),G$1)=TRUE,""✓"",""✗"")"),"✓")</f>
        <v>✓</v>
      </c>
      <c r="H94" s="154" t="str">
        <f>IFERROR(__xludf.DUMMYFUNCTION("if(REGEXMATCH(join("", "",$C94:$F94),H$1)=TRUE,""✓"",""✗"")"),"✗")</f>
        <v>✗</v>
      </c>
      <c r="I94" s="154" t="str">
        <f>IFERROR(__xludf.DUMMYFUNCTION("if(REGEXMATCH(join("", "",$C94:$F94),I$1)=TRUE,""✓"",""✗"")"),"✓")</f>
        <v>✓</v>
      </c>
      <c r="J94" s="154" t="str">
        <f>IFERROR(__xludf.DUMMYFUNCTION("if(REGEXMATCH(join("", "",$C94:$F94),J$1)=TRUE,""✓"",""✗"")"),"✗")</f>
        <v>✗</v>
      </c>
      <c r="K94" s="154" t="str">
        <f>IFERROR(__xludf.DUMMYFUNCTION("if(REGEXMATCH(join("", "",$C94:$F94),K$1)=TRUE,""✓"",""✗"")"),"✗")</f>
        <v>✗</v>
      </c>
      <c r="L94" s="154" t="str">
        <f>IFERROR(__xludf.DUMMYFUNCTION("if(REGEXMATCH(join("", "",$C94:$F94),L$1)=TRUE,""✓"",""✗"")"),"✗")</f>
        <v>✗</v>
      </c>
      <c r="M94" s="154" t="str">
        <f>IFERROR(__xludf.DUMMYFUNCTION("if(REGEXMATCH(join("", "",$C94:$F94),M$1)=TRUE,""✓"",""✗"")"),"✓")</f>
        <v>✓</v>
      </c>
      <c r="N94" s="154" t="str">
        <f>IFERROR(__xludf.DUMMYFUNCTION("if(REGEXMATCH(join("", "",$C94:$F94),N$1)=TRUE,""✓"",""✗"")"),"✓")</f>
        <v>✓</v>
      </c>
      <c r="O94" s="154" t="str">
        <f>IFERROR(__xludf.DUMMYFUNCTION("if(REGEXMATCH(join("", "",$C94:$F94),O$1)=TRUE,""✓"",""✗"")"),"✓")</f>
        <v>✓</v>
      </c>
      <c r="P94" s="154" t="str">
        <f>IFERROR(__xludf.DUMMYFUNCTION("if(REGEXMATCH(join("", "",$C94:$F94),P$1)=TRUE,""✓"",""✗"")"),"✓")</f>
        <v>✓</v>
      </c>
      <c r="Q94" s="154" t="str">
        <f>IFERROR(__xludf.DUMMYFUNCTION("if(REGEXMATCH(join("", "",$C94:$F94),Q$1)=TRUE,""✓"",""✗"")"),"✗")</f>
        <v>✗</v>
      </c>
      <c r="R94" s="154" t="str">
        <f>IFERROR(__xludf.DUMMYFUNCTION("if(REGEXMATCH(join("", "",$C94:$F94),R$1)=TRUE,""✓"",""✗"")"),"✗")</f>
        <v>✗</v>
      </c>
      <c r="S94" s="154" t="str">
        <f>IFERROR(__xludf.DUMMYFUNCTION("if(REGEXMATCH(join("", "",$C94:$F94),S$1)=TRUE,""✓"",""✗"")"),"✗")</f>
        <v>✗</v>
      </c>
      <c r="T94" s="155"/>
      <c r="U94" s="155"/>
      <c r="V94" s="155"/>
      <c r="W94" s="155"/>
      <c r="X94" s="155"/>
      <c r="Y94" s="155"/>
      <c r="Z94" s="155"/>
      <c r="AA94" s="155"/>
      <c r="AB94" s="155"/>
    </row>
    <row r="95">
      <c r="A95" s="150">
        <v>94.0</v>
      </c>
      <c r="B95" s="151" t="str">
        <f t="shared" si="1"/>
        <v>Wasserman et al., 2017</v>
      </c>
      <c r="C95" s="157"/>
      <c r="D95" s="156" t="s">
        <v>5159</v>
      </c>
      <c r="E95" s="152" t="s">
        <v>174</v>
      </c>
      <c r="F95" s="152" t="s">
        <v>4980</v>
      </c>
      <c r="G95" s="154" t="str">
        <f>IFERROR(__xludf.DUMMYFUNCTION("if(REGEXMATCH(join("", "",$C95:$F95),G$1)=TRUE,""✓"",""✗"")"),"✗")</f>
        <v>✗</v>
      </c>
      <c r="H95" s="154" t="str">
        <f>IFERROR(__xludf.DUMMYFUNCTION("if(REGEXMATCH(join("", "",$C95:$F95),H$1)=TRUE,""✓"",""✗"")"),"✗")</f>
        <v>✗</v>
      </c>
      <c r="I95" s="154" t="str">
        <f>IFERROR(__xludf.DUMMYFUNCTION("if(REGEXMATCH(join("", "",$C95:$F95),I$1)=TRUE,""✓"",""✗"")"),"✗")</f>
        <v>✗</v>
      </c>
      <c r="J95" s="154" t="str">
        <f>IFERROR(__xludf.DUMMYFUNCTION("if(REGEXMATCH(join("", "",$C95:$F95),J$1)=TRUE,""✓"",""✗"")"),"✗")</f>
        <v>✗</v>
      </c>
      <c r="K95" s="154" t="str">
        <f>IFERROR(__xludf.DUMMYFUNCTION("if(REGEXMATCH(join("", "",$C95:$F95),K$1)=TRUE,""✓"",""✗"")"),"✗")</f>
        <v>✗</v>
      </c>
      <c r="L95" s="154" t="str">
        <f>IFERROR(__xludf.DUMMYFUNCTION("if(REGEXMATCH(join("", "",$C95:$F95),L$1)=TRUE,""✓"",""✗"")"),"✗")</f>
        <v>✗</v>
      </c>
      <c r="M95" s="154" t="str">
        <f>IFERROR(__xludf.DUMMYFUNCTION("if(REGEXMATCH(join("", "",$C95:$F95),M$1)=TRUE,""✓"",""✗"")"),"✗")</f>
        <v>✗</v>
      </c>
      <c r="N95" s="154" t="str">
        <f>IFERROR(__xludf.DUMMYFUNCTION("if(REGEXMATCH(join("", "",$C95:$F95),N$1)=TRUE,""✓"",""✗"")"),"✗")</f>
        <v>✗</v>
      </c>
      <c r="O95" s="154" t="str">
        <f>IFERROR(__xludf.DUMMYFUNCTION("if(REGEXMATCH(join("", "",$C95:$F95),O$1)=TRUE,""✓"",""✗"")"),"✗")</f>
        <v>✗</v>
      </c>
      <c r="P95" s="154" t="str">
        <f>IFERROR(__xludf.DUMMYFUNCTION("if(REGEXMATCH(join("", "",$C95:$F95),P$1)=TRUE,""✓"",""✗"")"),"✗")</f>
        <v>✗</v>
      </c>
      <c r="Q95" s="154" t="str">
        <f>IFERROR(__xludf.DUMMYFUNCTION("if(REGEXMATCH(join("", "",$C95:$F95),Q$1)=TRUE,""✓"",""✗"")"),"✗")</f>
        <v>✗</v>
      </c>
      <c r="R95" s="154" t="str">
        <f>IFERROR(__xludf.DUMMYFUNCTION("if(REGEXMATCH(join("", "",$C95:$F95),R$1)=TRUE,""✓"",""✗"")"),"✗")</f>
        <v>✗</v>
      </c>
      <c r="S95" s="154" t="str">
        <f>IFERROR(__xludf.DUMMYFUNCTION("if(REGEXMATCH(join("", "",$C95:$F95),S$1)=TRUE,""✓"",""✗"")"),"✗")</f>
        <v>✗</v>
      </c>
      <c r="T95" s="155"/>
      <c r="U95" s="155"/>
      <c r="V95" s="155"/>
      <c r="W95" s="155"/>
      <c r="X95" s="155"/>
      <c r="Y95" s="155"/>
      <c r="Z95" s="155"/>
      <c r="AA95" s="155"/>
      <c r="AB95" s="155"/>
    </row>
    <row r="96">
      <c r="A96" s="150">
        <v>95.0</v>
      </c>
      <c r="B96" s="151" t="str">
        <f t="shared" si="1"/>
        <v>Webster et al., 2001</v>
      </c>
      <c r="C96" s="157" t="s">
        <v>321</v>
      </c>
      <c r="D96" s="156" t="s">
        <v>5166</v>
      </c>
      <c r="E96" s="152" t="s">
        <v>109</v>
      </c>
      <c r="F96" s="157" t="s">
        <v>336</v>
      </c>
      <c r="G96" s="154" t="str">
        <f>IFERROR(__xludf.DUMMYFUNCTION("if(REGEXMATCH(join("", "",$C96:$F96),G$1)=TRUE,""✓"",""✗"")"),"✓")</f>
        <v>✓</v>
      </c>
      <c r="H96" s="154" t="str">
        <f>IFERROR(__xludf.DUMMYFUNCTION("if(REGEXMATCH(join("", "",$C96:$F96),H$1)=TRUE,""✓"",""✗"")"),"✓")</f>
        <v>✓</v>
      </c>
      <c r="I96" s="154" t="str">
        <f>IFERROR(__xludf.DUMMYFUNCTION("if(REGEXMATCH(join("", "",$C96:$F96),I$1)=TRUE,""✓"",""✗"")"),"✗")</f>
        <v>✗</v>
      </c>
      <c r="J96" s="154" t="str">
        <f>IFERROR(__xludf.DUMMYFUNCTION("if(REGEXMATCH(join("", "",$C96:$F96),J$1)=TRUE,""✓"",""✗"")"),"✗")</f>
        <v>✗</v>
      </c>
      <c r="K96" s="154" t="str">
        <f>IFERROR(__xludf.DUMMYFUNCTION("if(REGEXMATCH(join("", "",$C96:$F96),K$1)=TRUE,""✓"",""✗"")"),"✗")</f>
        <v>✗</v>
      </c>
      <c r="L96" s="154" t="str">
        <f>IFERROR(__xludf.DUMMYFUNCTION("if(REGEXMATCH(join("", "",$C96:$F96),L$1)=TRUE,""✓"",""✗"")"),"✗")</f>
        <v>✗</v>
      </c>
      <c r="M96" s="154" t="str">
        <f>IFERROR(__xludf.DUMMYFUNCTION("if(REGEXMATCH(join("", "",$C96:$F96),M$1)=TRUE,""✓"",""✗"")"),"✓")</f>
        <v>✓</v>
      </c>
      <c r="N96" s="154" t="str">
        <f>IFERROR(__xludf.DUMMYFUNCTION("if(REGEXMATCH(join("", "",$C96:$F96),N$1)=TRUE,""✓"",""✗"")"),"✗")</f>
        <v>✗</v>
      </c>
      <c r="O96" s="154" t="str">
        <f>IFERROR(__xludf.DUMMYFUNCTION("if(REGEXMATCH(join("", "",$C96:$F96),O$1)=TRUE,""✓"",""✗"")"),"✗")</f>
        <v>✗</v>
      </c>
      <c r="P96" s="154" t="str">
        <f>IFERROR(__xludf.DUMMYFUNCTION("if(REGEXMATCH(join("", "",$C96:$F96),P$1)=TRUE,""✓"",""✗"")"),"✓")</f>
        <v>✓</v>
      </c>
      <c r="Q96" s="154" t="str">
        <f>IFERROR(__xludf.DUMMYFUNCTION("if(REGEXMATCH(join("", "",$C96:$F96),Q$1)=TRUE,""✓"",""✗"")"),"✗")</f>
        <v>✗</v>
      </c>
      <c r="R96" s="154" t="str">
        <f>IFERROR(__xludf.DUMMYFUNCTION("if(REGEXMATCH(join("", "",$C96:$F96),R$1)=TRUE,""✓"",""✗"")"),"✗")</f>
        <v>✗</v>
      </c>
      <c r="S96" s="154" t="str">
        <f>IFERROR(__xludf.DUMMYFUNCTION("if(REGEXMATCH(join("", "",$C96:$F96),S$1)=TRUE,""✓"",""✗"")"),"✗")</f>
        <v>✗</v>
      </c>
      <c r="T96" s="155"/>
      <c r="U96" s="155"/>
      <c r="V96" s="155"/>
      <c r="W96" s="155"/>
      <c r="X96" s="155"/>
      <c r="Y96" s="155"/>
      <c r="Z96" s="155"/>
      <c r="AA96" s="155"/>
      <c r="AB96" s="155"/>
    </row>
    <row r="97">
      <c r="A97" s="150">
        <v>96.0</v>
      </c>
      <c r="B97" s="151" t="str">
        <f t="shared" si="1"/>
        <v>Wipfler et al., 2011</v>
      </c>
      <c r="C97" s="157" t="s">
        <v>321</v>
      </c>
      <c r="D97" s="156" t="s">
        <v>5168</v>
      </c>
      <c r="E97" s="152" t="s">
        <v>109</v>
      </c>
      <c r="F97" s="157" t="s">
        <v>367</v>
      </c>
      <c r="G97" s="154" t="str">
        <f>IFERROR(__xludf.DUMMYFUNCTION("if(REGEXMATCH(join("", "",$C97:$F97),G$1)=TRUE,""✓"",""✗"")"),"✓")</f>
        <v>✓</v>
      </c>
      <c r="H97" s="154" t="str">
        <f>IFERROR(__xludf.DUMMYFUNCTION("if(REGEXMATCH(join("", "",$C97:$F97),H$1)=TRUE,""✓"",""✗"")"),"✓")</f>
        <v>✓</v>
      </c>
      <c r="I97" s="154" t="str">
        <f>IFERROR(__xludf.DUMMYFUNCTION("if(REGEXMATCH(join("", "",$C97:$F97),I$1)=TRUE,""✓"",""✗"")"),"✗")</f>
        <v>✗</v>
      </c>
      <c r="J97" s="154" t="str">
        <f>IFERROR(__xludf.DUMMYFUNCTION("if(REGEXMATCH(join("", "",$C97:$F97),J$1)=TRUE,""✓"",""✗"")"),"✗")</f>
        <v>✗</v>
      </c>
      <c r="K97" s="154" t="str">
        <f>IFERROR(__xludf.DUMMYFUNCTION("if(REGEXMATCH(join("", "",$C97:$F97),K$1)=TRUE,""✓"",""✗"")"),"✗")</f>
        <v>✗</v>
      </c>
      <c r="L97" s="154" t="str">
        <f>IFERROR(__xludf.DUMMYFUNCTION("if(REGEXMATCH(join("", "",$C97:$F97),L$1)=TRUE,""✓"",""✗"")"),"✗")</f>
        <v>✗</v>
      </c>
      <c r="M97" s="154" t="str">
        <f>IFERROR(__xludf.DUMMYFUNCTION("if(REGEXMATCH(join("", "",$C97:$F97),M$1)=TRUE,""✓"",""✗"")"),"✓")</f>
        <v>✓</v>
      </c>
      <c r="N97" s="154" t="str">
        <f>IFERROR(__xludf.DUMMYFUNCTION("if(REGEXMATCH(join("", "",$C97:$F97),N$1)=TRUE,""✓"",""✗"")"),"✓")</f>
        <v>✓</v>
      </c>
      <c r="O97" s="154" t="str">
        <f>IFERROR(__xludf.DUMMYFUNCTION("if(REGEXMATCH(join("", "",$C97:$F97),O$1)=TRUE,""✓"",""✗"")"),"✓")</f>
        <v>✓</v>
      </c>
      <c r="P97" s="154" t="str">
        <f>IFERROR(__xludf.DUMMYFUNCTION("if(REGEXMATCH(join("", "",$C97:$F97),P$1)=TRUE,""✓"",""✗"")"),"✓")</f>
        <v>✓</v>
      </c>
      <c r="Q97" s="154" t="str">
        <f>IFERROR(__xludf.DUMMYFUNCTION("if(REGEXMATCH(join("", "",$C97:$F97),Q$1)=TRUE,""✓"",""✗"")"),"✓")</f>
        <v>✓</v>
      </c>
      <c r="R97" s="154" t="str">
        <f>IFERROR(__xludf.DUMMYFUNCTION("if(REGEXMATCH(join("", "",$C97:$F97),R$1)=TRUE,""✓"",""✗"")"),"✓")</f>
        <v>✓</v>
      </c>
      <c r="S97" s="154" t="str">
        <f>IFERROR(__xludf.DUMMYFUNCTION("if(REGEXMATCH(join("", "",$C97:$F97),S$1)=TRUE,""✓"",""✗"")"),"✓")</f>
        <v>✓</v>
      </c>
      <c r="T97" s="155"/>
      <c r="U97" s="155"/>
      <c r="V97" s="155"/>
      <c r="W97" s="155"/>
      <c r="X97" s="155"/>
      <c r="Y97" s="155"/>
      <c r="Z97" s="155"/>
      <c r="AA97" s="155"/>
      <c r="AB97" s="155"/>
    </row>
    <row r="98">
      <c r="A98" s="150">
        <v>97.0</v>
      </c>
      <c r="B98" s="151" t="str">
        <f t="shared" si="1"/>
        <v>Yadav et al., 2025</v>
      </c>
      <c r="C98" s="157" t="s">
        <v>337</v>
      </c>
      <c r="D98" s="156" t="s">
        <v>5172</v>
      </c>
      <c r="E98" s="152" t="s">
        <v>109</v>
      </c>
      <c r="F98" s="157" t="s">
        <v>368</v>
      </c>
      <c r="G98" s="154" t="str">
        <f>IFERROR(__xludf.DUMMYFUNCTION("if(REGEXMATCH(join("", "",$C98:$F98),G$1)=TRUE,""✓"",""✗"")"),"✗")</f>
        <v>✗</v>
      </c>
      <c r="H98" s="154" t="str">
        <f>IFERROR(__xludf.DUMMYFUNCTION("if(REGEXMATCH(join("", "",$C98:$F98),H$1)=TRUE,""✓"",""✗"")"),"✓")</f>
        <v>✓</v>
      </c>
      <c r="I98" s="154" t="str">
        <f>IFERROR(__xludf.DUMMYFUNCTION("if(REGEXMATCH(join("", "",$C98:$F98),I$1)=TRUE,""✓"",""✗"")"),"✓")</f>
        <v>✓</v>
      </c>
      <c r="J98" s="154" t="str">
        <f>IFERROR(__xludf.DUMMYFUNCTION("if(REGEXMATCH(join("", "",$C98:$F98),J$1)=TRUE,""✓"",""✗"")"),"✗")</f>
        <v>✗</v>
      </c>
      <c r="K98" s="154" t="str">
        <f>IFERROR(__xludf.DUMMYFUNCTION("if(REGEXMATCH(join("", "",$C98:$F98),K$1)=TRUE,""✓"",""✗"")"),"✗")</f>
        <v>✗</v>
      </c>
      <c r="L98" s="154" t="str">
        <f>IFERROR(__xludf.DUMMYFUNCTION("if(REGEXMATCH(join("", "",$C98:$F98),L$1)=TRUE,""✓"",""✗"")"),"✗")</f>
        <v>✗</v>
      </c>
      <c r="M98" s="154" t="str">
        <f>IFERROR(__xludf.DUMMYFUNCTION("if(REGEXMATCH(join("", "",$C98:$F98),M$1)=TRUE,""✓"",""✗"")"),"✗")</f>
        <v>✗</v>
      </c>
      <c r="N98" s="154" t="str">
        <f>IFERROR(__xludf.DUMMYFUNCTION("if(REGEXMATCH(join("", "",$C98:$F98),N$1)=TRUE,""✓"",""✗"")"),"✓")</f>
        <v>✓</v>
      </c>
      <c r="O98" s="154" t="str">
        <f>IFERROR(__xludf.DUMMYFUNCTION("if(REGEXMATCH(join("", "",$C98:$F98),O$1)=TRUE,""✓"",""✗"")"),"✗")</f>
        <v>✗</v>
      </c>
      <c r="P98" s="154" t="str">
        <f>IFERROR(__xludf.DUMMYFUNCTION("if(REGEXMATCH(join("", "",$C98:$F98),P$1)=TRUE,""✓"",""✗"")"),"✓")</f>
        <v>✓</v>
      </c>
      <c r="Q98" s="154" t="str">
        <f>IFERROR(__xludf.DUMMYFUNCTION("if(REGEXMATCH(join("", "",$C98:$F98),Q$1)=TRUE,""✓"",""✗"")"),"✓")</f>
        <v>✓</v>
      </c>
      <c r="R98" s="154" t="str">
        <f>IFERROR(__xludf.DUMMYFUNCTION("if(REGEXMATCH(join("", "",$C98:$F98),R$1)=TRUE,""✓"",""✗"")"),"✓")</f>
        <v>✓</v>
      </c>
      <c r="S98" s="154" t="str">
        <f>IFERROR(__xludf.DUMMYFUNCTION("if(REGEXMATCH(join("", "",$C98:$F98),S$1)=TRUE,""✓"",""✗"")"),"✗")</f>
        <v>✗</v>
      </c>
      <c r="T98" s="155"/>
      <c r="U98" s="155"/>
      <c r="V98" s="155"/>
      <c r="W98" s="155"/>
      <c r="X98" s="155"/>
      <c r="Y98" s="155"/>
      <c r="Z98" s="155"/>
      <c r="AA98" s="155"/>
      <c r="AB98" s="155"/>
    </row>
    <row r="99">
      <c r="A99" s="150">
        <v>98.0</v>
      </c>
      <c r="B99" s="151" t="str">
        <f t="shared" si="1"/>
        <v>Yoo et al., 2017</v>
      </c>
      <c r="C99" s="157" t="s">
        <v>334</v>
      </c>
      <c r="D99" s="156" t="s">
        <v>5175</v>
      </c>
      <c r="E99" s="152" t="s">
        <v>109</v>
      </c>
      <c r="F99" s="157" t="s">
        <v>369</v>
      </c>
      <c r="G99" s="154" t="str">
        <f>IFERROR(__xludf.DUMMYFUNCTION("if(REGEXMATCH(join("", "",$C99:$F99),G$1)=TRUE,""✓"",""✗"")"),"✗")</f>
        <v>✗</v>
      </c>
      <c r="H99" s="154" t="str">
        <f>IFERROR(__xludf.DUMMYFUNCTION("if(REGEXMATCH(join("", "",$C99:$F99),H$1)=TRUE,""✓"",""✗"")"),"✓")</f>
        <v>✓</v>
      </c>
      <c r="I99" s="154" t="str">
        <f>IFERROR(__xludf.DUMMYFUNCTION("if(REGEXMATCH(join("", "",$C99:$F99),I$1)=TRUE,""✓"",""✗"")"),"✗")</f>
        <v>✗</v>
      </c>
      <c r="J99" s="154" t="str">
        <f>IFERROR(__xludf.DUMMYFUNCTION("if(REGEXMATCH(join("", "",$C99:$F99),J$1)=TRUE,""✓"",""✗"")"),"✗")</f>
        <v>✗</v>
      </c>
      <c r="K99" s="154" t="str">
        <f>IFERROR(__xludf.DUMMYFUNCTION("if(REGEXMATCH(join("", "",$C99:$F99),K$1)=TRUE,""✓"",""✗"")"),"✗")</f>
        <v>✗</v>
      </c>
      <c r="L99" s="154" t="str">
        <f>IFERROR(__xludf.DUMMYFUNCTION("if(REGEXMATCH(join("", "",$C99:$F99),L$1)=TRUE,""✓"",""✗"")"),"✓")</f>
        <v>✓</v>
      </c>
      <c r="M99" s="154" t="str">
        <f>IFERROR(__xludf.DUMMYFUNCTION("if(REGEXMATCH(join("", "",$C99:$F99),M$1)=TRUE,""✓"",""✗"")"),"✗")</f>
        <v>✗</v>
      </c>
      <c r="N99" s="154" t="str">
        <f>IFERROR(__xludf.DUMMYFUNCTION("if(REGEXMATCH(join("", "",$C99:$F99),N$1)=TRUE,""✓"",""✗"")"),"✓")</f>
        <v>✓</v>
      </c>
      <c r="O99" s="154" t="str">
        <f>IFERROR(__xludf.DUMMYFUNCTION("if(REGEXMATCH(join("", "",$C99:$F99),O$1)=TRUE,""✓"",""✗"")"),"✓")</f>
        <v>✓</v>
      </c>
      <c r="P99" s="154" t="str">
        <f>IFERROR(__xludf.DUMMYFUNCTION("if(REGEXMATCH(join("", "",$C99:$F99),P$1)=TRUE,""✓"",""✗"")"),"✓")</f>
        <v>✓</v>
      </c>
      <c r="Q99" s="154" t="str">
        <f>IFERROR(__xludf.DUMMYFUNCTION("if(REGEXMATCH(join("", "",$C99:$F99),Q$1)=TRUE,""✓"",""✗"")"),"✓")</f>
        <v>✓</v>
      </c>
      <c r="R99" s="154" t="str">
        <f>IFERROR(__xludf.DUMMYFUNCTION("if(REGEXMATCH(join("", "",$C99:$F99),R$1)=TRUE,""✓"",""✗"")"),"✓")</f>
        <v>✓</v>
      </c>
      <c r="S99" s="154" t="str">
        <f>IFERROR(__xludf.DUMMYFUNCTION("if(REGEXMATCH(join("", "",$C99:$F99),S$1)=TRUE,""✓"",""✗"")"),"✗")</f>
        <v>✗</v>
      </c>
      <c r="T99" s="155"/>
      <c r="U99" s="155"/>
      <c r="V99" s="155"/>
      <c r="W99" s="155"/>
      <c r="X99" s="155"/>
      <c r="Y99" s="155"/>
      <c r="Z99" s="155"/>
      <c r="AA99" s="155"/>
      <c r="AB99" s="155"/>
    </row>
    <row r="100">
      <c r="A100" s="150">
        <v>99.0</v>
      </c>
      <c r="B100" s="151" t="str">
        <f t="shared" si="1"/>
        <v>Zaffagnini et al., 2006</v>
      </c>
      <c r="C100" s="157"/>
      <c r="D100" s="156" t="s">
        <v>5186</v>
      </c>
      <c r="E100" s="152" t="s">
        <v>174</v>
      </c>
      <c r="F100" s="152" t="s">
        <v>4973</v>
      </c>
      <c r="G100" s="154" t="str">
        <f>IFERROR(__xludf.DUMMYFUNCTION("if(REGEXMATCH(join("", "",$C100:$F100),G$1)=TRUE,""✓"",""✗"")"),"✗")</f>
        <v>✗</v>
      </c>
      <c r="H100" s="154" t="str">
        <f>IFERROR(__xludf.DUMMYFUNCTION("if(REGEXMATCH(join("", "",$C100:$F100),H$1)=TRUE,""✓"",""✗"")"),"✗")</f>
        <v>✗</v>
      </c>
      <c r="I100" s="154" t="str">
        <f>IFERROR(__xludf.DUMMYFUNCTION("if(REGEXMATCH(join("", "",$C100:$F100),I$1)=TRUE,""✓"",""✗"")"),"✗")</f>
        <v>✗</v>
      </c>
      <c r="J100" s="154" t="str">
        <f>IFERROR(__xludf.DUMMYFUNCTION("if(REGEXMATCH(join("", "",$C100:$F100),J$1)=TRUE,""✓"",""✗"")"),"✗")</f>
        <v>✗</v>
      </c>
      <c r="K100" s="154" t="str">
        <f>IFERROR(__xludf.DUMMYFUNCTION("if(REGEXMATCH(join("", "",$C100:$F100),K$1)=TRUE,""✓"",""✗"")"),"✗")</f>
        <v>✗</v>
      </c>
      <c r="L100" s="154" t="str">
        <f>IFERROR(__xludf.DUMMYFUNCTION("if(REGEXMATCH(join("", "",$C100:$F100),L$1)=TRUE,""✓"",""✗"")"),"✗")</f>
        <v>✗</v>
      </c>
      <c r="M100" s="154" t="str">
        <f>IFERROR(__xludf.DUMMYFUNCTION("if(REGEXMATCH(join("", "",$C100:$F100),M$1)=TRUE,""✓"",""✗"")"),"✗")</f>
        <v>✗</v>
      </c>
      <c r="N100" s="154" t="str">
        <f>IFERROR(__xludf.DUMMYFUNCTION("if(REGEXMATCH(join("", "",$C100:$F100),N$1)=TRUE,""✓"",""✗"")"),"✗")</f>
        <v>✗</v>
      </c>
      <c r="O100" s="154" t="str">
        <f>IFERROR(__xludf.DUMMYFUNCTION("if(REGEXMATCH(join("", "",$C100:$F100),O$1)=TRUE,""✓"",""✗"")"),"✗")</f>
        <v>✗</v>
      </c>
      <c r="P100" s="154" t="str">
        <f>IFERROR(__xludf.DUMMYFUNCTION("if(REGEXMATCH(join("", "",$C100:$F100),P$1)=TRUE,""✓"",""✗"")"),"✗")</f>
        <v>✗</v>
      </c>
      <c r="Q100" s="154" t="str">
        <f>IFERROR(__xludf.DUMMYFUNCTION("if(REGEXMATCH(join("", "",$C100:$F100),Q$1)=TRUE,""✓"",""✗"")"),"✗")</f>
        <v>✗</v>
      </c>
      <c r="R100" s="154" t="str">
        <f>IFERROR(__xludf.DUMMYFUNCTION("if(REGEXMATCH(join("", "",$C100:$F100),R$1)=TRUE,""✓"",""✗"")"),"✗")</f>
        <v>✗</v>
      </c>
      <c r="S100" s="154" t="str">
        <f>IFERROR(__xludf.DUMMYFUNCTION("if(REGEXMATCH(join("", "",$C100:$F100),S$1)=TRUE,""✓"",""✗"")"),"✗")</f>
        <v>✗</v>
      </c>
      <c r="T100" s="155"/>
      <c r="U100" s="155"/>
      <c r="V100" s="155"/>
      <c r="W100" s="155"/>
      <c r="X100" s="155"/>
      <c r="Y100" s="155"/>
      <c r="Z100" s="155"/>
      <c r="AA100" s="155"/>
      <c r="AB100" s="155"/>
    </row>
    <row r="101">
      <c r="A101" s="150">
        <v>100.0</v>
      </c>
      <c r="B101" s="151" t="str">
        <f t="shared" si="1"/>
        <v>Zaffagnini et al., 2011</v>
      </c>
      <c r="C101" s="157" t="s">
        <v>321</v>
      </c>
      <c r="D101" s="156" t="s">
        <v>5197</v>
      </c>
      <c r="E101" s="152" t="s">
        <v>109</v>
      </c>
      <c r="F101" s="157" t="s">
        <v>336</v>
      </c>
      <c r="G101" s="154" t="str">
        <f>IFERROR(__xludf.DUMMYFUNCTION("if(REGEXMATCH(join("", "",$C101:$F101),G$1)=TRUE,""✓"",""✗"")"),"✓")</f>
        <v>✓</v>
      </c>
      <c r="H101" s="154" t="str">
        <f>IFERROR(__xludf.DUMMYFUNCTION("if(REGEXMATCH(join("", "",$C101:$F101),H$1)=TRUE,""✓"",""✗"")"),"✓")</f>
        <v>✓</v>
      </c>
      <c r="I101" s="154" t="str">
        <f>IFERROR(__xludf.DUMMYFUNCTION("if(REGEXMATCH(join("", "",$C101:$F101),I$1)=TRUE,""✓"",""✗"")"),"✗")</f>
        <v>✗</v>
      </c>
      <c r="J101" s="154" t="str">
        <f>IFERROR(__xludf.DUMMYFUNCTION("if(REGEXMATCH(join("", "",$C101:$F101),J$1)=TRUE,""✓"",""✗"")"),"✗")</f>
        <v>✗</v>
      </c>
      <c r="K101" s="154" t="str">
        <f>IFERROR(__xludf.DUMMYFUNCTION("if(REGEXMATCH(join("", "",$C101:$F101),K$1)=TRUE,""✓"",""✗"")"),"✗")</f>
        <v>✗</v>
      </c>
      <c r="L101" s="154" t="str">
        <f>IFERROR(__xludf.DUMMYFUNCTION("if(REGEXMATCH(join("", "",$C101:$F101),L$1)=TRUE,""✓"",""✗"")"),"✗")</f>
        <v>✗</v>
      </c>
      <c r="M101" s="154" t="str">
        <f>IFERROR(__xludf.DUMMYFUNCTION("if(REGEXMATCH(join("", "",$C101:$F101),M$1)=TRUE,""✓"",""✗"")"),"✓")</f>
        <v>✓</v>
      </c>
      <c r="N101" s="154" t="str">
        <f>IFERROR(__xludf.DUMMYFUNCTION("if(REGEXMATCH(join("", "",$C101:$F101),N$1)=TRUE,""✓"",""✗"")"),"✗")</f>
        <v>✗</v>
      </c>
      <c r="O101" s="154" t="str">
        <f>IFERROR(__xludf.DUMMYFUNCTION("if(REGEXMATCH(join("", "",$C101:$F101),O$1)=TRUE,""✓"",""✗"")"),"✗")</f>
        <v>✗</v>
      </c>
      <c r="P101" s="154" t="str">
        <f>IFERROR(__xludf.DUMMYFUNCTION("if(REGEXMATCH(join("", "",$C101:$F101),P$1)=TRUE,""✓"",""✗"")"),"✓")</f>
        <v>✓</v>
      </c>
      <c r="Q101" s="154" t="str">
        <f>IFERROR(__xludf.DUMMYFUNCTION("if(REGEXMATCH(join("", "",$C101:$F101),Q$1)=TRUE,""✓"",""✗"")"),"✗")</f>
        <v>✗</v>
      </c>
      <c r="R101" s="154" t="str">
        <f>IFERROR(__xludf.DUMMYFUNCTION("if(REGEXMATCH(join("", "",$C101:$F101),R$1)=TRUE,""✓"",""✗"")"),"✗")</f>
        <v>✗</v>
      </c>
      <c r="S101" s="154" t="str">
        <f>IFERROR(__xludf.DUMMYFUNCTION("if(REGEXMATCH(join("", "",$C101:$F101),S$1)=TRUE,""✓"",""✗"")"),"✗")</f>
        <v>✗</v>
      </c>
      <c r="T101" s="155"/>
      <c r="U101" s="155"/>
      <c r="V101" s="155"/>
      <c r="W101" s="155"/>
      <c r="X101" s="155"/>
      <c r="Y101" s="155"/>
      <c r="Z101" s="155"/>
      <c r="AA101" s="155"/>
      <c r="AB101" s="155"/>
    </row>
  </sheetData>
  <conditionalFormatting sqref="G2:S101">
    <cfRule type="cellIs" dxfId="5" priority="1" operator="equal">
      <formula>"✓"</formula>
    </cfRule>
  </conditionalFormatting>
  <conditionalFormatting sqref="G2:S101">
    <cfRule type="cellIs" dxfId="0" priority="2" operator="equal">
      <formula>"✗"</formula>
    </cfRule>
  </conditionalFormatting>
  <conditionalFormatting sqref="A2:F101 G55">
    <cfRule type="expression" dxfId="0" priority="3">
      <formula>$E2="Excluded"</formula>
    </cfRule>
  </conditionalFormatting>
  <dataValidations>
    <dataValidation type="list" allowBlank="1" showErrorMessage="1" sqref="C2:C4 C6:C9 C11:C15 C17 C19:C20 C23:C24 C26:C27 C29 C31:C39 C42 C44:C48 C50:C59 C63 C67:C69 C71 C73:C74 C77:C78 C83 C85:C88 C90:C91 C94 C96:C99 C101">
      <formula1>"BPTB,HT,QT,PLT,AT,TA"</formula1>
    </dataValidation>
    <dataValidation type="list" allowBlank="1" showErrorMessage="1" sqref="E2:E101">
      <formula1>"Included,Excluded"</formula1>
    </dataValidation>
    <dataValidation type="list" allowBlank="1" showErrorMessage="1" sqref="F2:F9 F11:F15 F17 F19:F20 F23:F24 F26:F27 F29 F31:F39 F42 F44:F48 F50:F59 F63 F67:F69 F71 F73:F74 F77:F78 F83 F85:F86 F88 F90:F91 F94 F96:F99 F101">
      <formula1>"ikdc_subjective,tegner,lysholm,instrumented_laxity,pivot_shift,lachman,graft_failure"</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s>
  <drawing r:id="rId10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sheetData>
    <row r="1">
      <c r="A1" s="4" t="str">
        <f>HYPERLINK(https://github.com/d-wkim/network_meta-analysis/blob/main/data/pdf/ageberg_2009.pdf,"Ageberg et al., 2009")</f>
        <v>#ERROR!</v>
      </c>
    </row>
    <row r="2">
      <c r="A2" s="4" t="str">
        <f>HYPERLINK("https://github.com/d-wkim/network_meta-analysis/blob/main/data/pdf"/aglietti_2004.pdf",Aglietti et al., 2004)</f>
        <v>#ERROR!</v>
      </c>
    </row>
    <row r="3">
      <c r="A3" s="4" t="str">
        <f>HYPERLINK("https://github.com/d-wkim/network_meta-analysis/blob/main/data/pdf"/ahldén_2009.pdf",Ahldén et al., 2009)</f>
        <v>#ERROR!</v>
      </c>
    </row>
    <row r="4">
      <c r="A4" s="4" t="str">
        <f>HYPERLINK("https://github.com/d-wkim/network_meta-analysis/blob/main/data/pdf"/anderson_2001.pdf",Anderson et al., 2001)</f>
        <v>#ERROR!</v>
      </c>
    </row>
    <row r="5">
      <c r="A5" s="4" t="str">
        <f>HYPERLINK("https://github.com/d-wkim/network_meta-analysis/blob/main/data/pdf"/anz_2023.pdf",Anz et al., 2023)</f>
        <v>#ERROR!</v>
      </c>
    </row>
    <row r="6">
      <c r="A6" s="4" t="str">
        <f>HYPERLINK("https://github.com/d-wkim/network_meta-analysis/blob/main/data/pdf"/aune_2001.pdf",Aune et al., 2001)</f>
        <v>#ERROR!</v>
      </c>
    </row>
    <row r="7">
      <c r="A7" s="4" t="str">
        <f>HYPERLINK("https://github.com/d-wkim/network_meta-analysis/blob/main/data/pdf"/barenius_2010.pdf",Barenius et al., 2010)</f>
        <v>#ERROR!</v>
      </c>
    </row>
    <row r="8">
      <c r="A8" s="4" t="str">
        <f>HYPERLINK("https://github.com/d-wkim/network_meta-analysis/blob/main/data/pdf"/barié_2020.pdf",Barié et al., 2020)</f>
        <v>#ERROR!</v>
      </c>
    </row>
    <row r="9">
      <c r="A9" s="4" t="str">
        <f>HYPERLINK("https://github.com/d-wkim/network_meta-analysis/blob/main/data/pdf"/beynnon_2002.pdf",Barié et al., 2020)</f>
        <v>#ERROR!</v>
      </c>
    </row>
    <row r="10">
      <c r="A10" s="4" t="str">
        <f>HYPERLINK("https://github.com/d-wkim/network_meta-analysis/blob/main/data/pdf"/bi_2018.pdf",Bi et al., 2018)</f>
        <v>#ERROR!</v>
      </c>
    </row>
    <row r="11">
      <c r="A11" s="4" t="str">
        <f>HYPERLINK("https://github.com/d-wkim/network_meta-analysis/blob/main/data/pdf"/björnsson_2016.pdf",Björnsson et al., 2016)</f>
        <v>#ERROR!</v>
      </c>
    </row>
    <row r="12">
      <c r="A12" s="4" t="str">
        <f>HYPERLINK("https://github.com/d-wkim/network_meta-analysis/blob/main/data/pdf"/bottoni_2015.pdf",Bottoni et al., 2015)</f>
        <v>#ERROR!</v>
      </c>
    </row>
    <row r="13">
      <c r="A13" s="4" t="str">
        <f>HYPERLINK("https://github.com/d-wkim/network_meta-analysis/blob/main/data/pdf"/butt_2024.pdf",Butt et al., 2024)</f>
        <v>#ERROR!</v>
      </c>
    </row>
    <row r="14">
      <c r="A14" s="4" t="str">
        <f>HYPERLINK("https://github.com/d-wkim/network_meta-analysis/blob/main/data/pdf"/calvert_2025.pdf",Calvert et al., 2025)</f>
        <v>#ERROR!</v>
      </c>
    </row>
    <row r="15">
      <c r="A15" s="4" t="str">
        <f>HYPERLINK("https://github.com/d-wkim/network_meta-analysis/blob/main/data/pdf"/ejerhed_2003.pdf",Ejerhed et al., 2003)</f>
        <v>#ERROR!</v>
      </c>
    </row>
    <row r="16">
      <c r="A16" s="4" t="str">
        <f>HYPERLINK("https://github.com/d-wkim/network_meta-analysis/blob/main/data/pdf"/eriksson_2001.pdf",Eriksson et al., 2001)</f>
        <v>#ERROR!</v>
      </c>
    </row>
    <row r="17">
      <c r="A17" s="4" t="str">
        <f>HYPERLINK("https://github.com/d-wkim/network_meta-analysis/blob/main/data/pdf"/feller &amp; webster, 2003.pdf",Feller &amp; Webster, 2003)</f>
        <v>#ERROR!</v>
      </c>
    </row>
    <row r="18">
      <c r="A18" s="4" t="str">
        <f>HYPERLINK("https://github.com/d-wkim/network_meta-analysis/blob/main/data/pdf"/gifstad_2013.pdf",Gifstad et al., 2013)</f>
        <v>#ERROR!</v>
      </c>
    </row>
    <row r="19">
      <c r="A19" s="4" t="str">
        <f>HYPERLINK("https://github.com/d-wkim/network_meta-analysis/blob/main/data/pdf"/guglielmetti_2021.pdf",Guglielmetti et al., 2021)</f>
        <v>#ERROR!</v>
      </c>
    </row>
    <row r="20">
      <c r="A20" s="4" t="str">
        <f>HYPERLINK("https://github.com/d-wkim/network_meta-analysis/blob/main/data/pdf"/harilainen_2006.pdf",Harilainen et al., 2006)</f>
        <v>#ERROR!</v>
      </c>
    </row>
    <row r="21">
      <c r="A21" s="4" t="str">
        <f>HYPERLINK("https://github.com/d-wkim/network_meta-analysis/blob/main/data/pdf"/heijne &amp; werner, 2010.pdf",Heijne &amp; Werner, 2010)</f>
        <v>#ERROR!</v>
      </c>
    </row>
    <row r="22">
      <c r="A22" s="4" t="str">
        <f>HYPERLINK("https://github.com/d-wkim/network_meta-analysis/blob/main/data/pdf"/holm_2010.pdf",Holm et al., 2010)</f>
        <v>#ERROR!</v>
      </c>
    </row>
    <row r="23">
      <c r="A23" s="4" t="str">
        <f>HYPERLINK("https://github.com/d-wkim/network_meta-analysis/blob/main/data/pdf"/horstmann_2022.pdf",Horstmann et al., 2022)</f>
        <v>#ERROR!</v>
      </c>
    </row>
    <row r="24">
      <c r="A24" s="4" t="str">
        <f>HYPERLINK("https://github.com/d-wkim/network_meta-analysis/blob/main/data/pdf"/ibrahim_2005.pdf",Ibrahim et al., 2005)</f>
        <v>#ERROR!</v>
      </c>
    </row>
    <row r="25">
      <c r="A25" s="4" t="str">
        <f>HYPERLINK("https://github.com/d-wkim/network_meta-analysis/blob/main/data/pdf"/iliopoulos_2017.pdf",Iliopoulos et al., 2017)</f>
        <v>#ERROR!</v>
      </c>
    </row>
    <row r="26">
      <c r="A26" s="4" t="str">
        <f>HYPERLINK("https://github.com/d-wkim/network_meta-analysis/blob/main/data/pdf"/jansson_2003.pdf",Jansson et al., 2003)</f>
        <v>#ERROR!</v>
      </c>
    </row>
    <row r="27">
      <c r="A27" s="4" t="str">
        <f>HYPERLINK("https://github.com/d-wkim/network_meta-analysis/blob/main/data/pdf"/kautzner_2015.pdf",Kautzner et al., 2015)</f>
        <v>#ERROR!</v>
      </c>
    </row>
    <row r="28">
      <c r="A28" s="4" t="str">
        <f>HYPERLINK("https://github.com/d-wkim/network_meta-analysis/blob/main/data/pdf"/komzak_2022.pdf",Komzak et al., 2022)</f>
        <v>#ERROR!</v>
      </c>
    </row>
    <row r="29">
      <c r="A29" s="4" t="str">
        <f>HYPERLINK("https://github.com/d-wkim/network_meta-analysis/blob/main/data/pdf"/konrads_2016.pdf",Konrads et al., 2016)</f>
        <v>#ERROR!</v>
      </c>
    </row>
    <row r="30">
      <c r="A30" s="4" t="str">
        <f>HYPERLINK("https://github.com/d-wkim/network_meta-analysis/blob/main/data/pdf"/laoruengthana_2009.pdf",Laoruengthana et al., 2009)</f>
        <v>#ERROR!</v>
      </c>
    </row>
    <row r="31">
      <c r="A31" s="4" t="str">
        <f>HYPERLINK("https://github.com/d-wkim/network_meta-analysis/blob/main/data/pdf"/lawhorn_2012.pdf",Lawhorn et al., 2012)</f>
        <v>#ERROR!</v>
      </c>
    </row>
    <row r="32">
      <c r="A32" s="4" t="str">
        <f>HYPERLINK("https://github.com/d-wkim/network_meta-analysis/blob/main/data/pdf"/laxdal_2005.pdf",Laxdal et al., 2005)</f>
        <v>#ERROR!</v>
      </c>
    </row>
    <row r="33">
      <c r="A33" s="4" t="str">
        <f>HYPERLINK("https://github.com/d-wkim/network_meta-analysis/blob/main/data/pdf"/li_2015.pdf",Li et al., 2015)</f>
        <v>#ERROR!</v>
      </c>
    </row>
    <row r="34">
      <c r="A34" s="4" t="str">
        <f>HYPERLINK("https://github.com/d-wkim/network_meta-analysis/blob/main/data/pdf"/lidén_2007.pdf",Lidén et al., 2007)</f>
        <v>#ERROR!</v>
      </c>
    </row>
    <row r="35">
      <c r="A35" s="4" t="str">
        <f>HYPERLINK("https://github.com/d-wkim/network_meta-analysis/blob/main/data/pdf"/lind_2020.pdf",Lind et al., 2020)</f>
        <v>#ERROR!</v>
      </c>
    </row>
    <row r="36">
      <c r="A36" s="4" t="str">
        <f>HYPERLINK("https://github.com/d-wkim/network_meta-analysis/blob/main/data/pdf"/lucidi_2025.pdf",Lucidi et al., 2025)</f>
        <v>#ERROR!</v>
      </c>
    </row>
    <row r="37">
      <c r="A37" s="4" t="str">
        <f>HYPERLINK("https://github.com/d-wkim/network_meta-analysis/blob/main/data/pdf"/lui_2012.pdf",Lui et al., 2012)</f>
        <v>#ERROR!</v>
      </c>
    </row>
    <row r="38">
      <c r="A38" s="4" t="str">
        <f>HYPERLINK("https://github.com/d-wkim/network_meta-analysis/blob/main/data/pdf"/lund_2014.pdf",Lund et al., 2014)</f>
        <v>#ERROR!</v>
      </c>
    </row>
    <row r="39">
      <c r="A39" s="4" t="str">
        <f>HYPERLINK("https://github.com/d-wkim/network_meta-analysis/blob/main/data/pdf"/malik_2026.pdf",Malik et al., 2026)</f>
        <v>#ERROR!</v>
      </c>
    </row>
    <row r="40">
      <c r="A40" s="4" t="str">
        <f>HYPERLINK("https://github.com/d-wkim/network_meta-analysis/blob/main/data/pdf"/matsumoto_2006.pdf",Matsumoto et al., 2006)</f>
        <v>#ERROR!</v>
      </c>
    </row>
    <row r="41">
      <c r="A41" s="4" t="str">
        <f>HYPERLINK("https://github.com/d-wkim/network_meta-analysis/blob/main/data/pdf"/mohtadi_2016.pdf",Mohtadi et al., 2016)</f>
        <v>#ERROR!</v>
      </c>
    </row>
    <row r="42">
      <c r="A42" s="4" t="str">
        <f>HYPERLINK("https://github.com/d-wkim/network_meta-analysis/blob/main/data/pdf"/moraiti_2010.pdf",Moraiti et al., 2010)</f>
        <v>#ERROR!</v>
      </c>
    </row>
    <row r="43">
      <c r="A43" s="4" t="str">
        <f>HYPERLINK("https://github.com/d-wkim/network_meta-analysis/blob/main/data/pdf"/noh_2011.pdf",Noh et al., 2011)</f>
        <v>#ERROR!</v>
      </c>
    </row>
    <row r="44">
      <c r="A44" s="4" t="str">
        <f>HYPERLINK("https://github.com/d-wkim/network_meta-analysis/blob/main/data/pdf"/papalia_2015.pdf",Papalia et al., 2015)</f>
        <v>#ERROR!</v>
      </c>
    </row>
    <row r="45">
      <c r="A45" s="4" t="str">
        <f>HYPERLINK("https://github.com/d-wkim/network_meta-analysis/blob/main/data/pdf"/pinczewski_2007.pdf",Pinczewski et al., 2007)</f>
        <v>#ERROR!</v>
      </c>
    </row>
    <row r="46">
      <c r="A46" s="4" t="str">
        <f>HYPERLINK("https://github.com/d-wkim/network_meta-analysis/blob/main/data/pdf"/popovic_2024.pdf",Popovic et al., 2024)</f>
        <v>#ERROR!</v>
      </c>
    </row>
    <row r="47">
      <c r="A47" s="4" t="str">
        <f>HYPERLINK("https://github.com/d-wkim/network_meta-analysis/blob/main/data/pdf"/sajovic_2018.pdf",Sajovic et al., 2018)</f>
        <v>#ERROR!</v>
      </c>
    </row>
    <row r="48">
      <c r="A48" s="4" t="str">
        <f>HYPERLINK("https://github.com/d-wkim/network_meta-analysis/blob/main/data/pdf"/sinding_2020.pdf",Sinding et al., 2020)</f>
        <v>#ERROR!</v>
      </c>
    </row>
    <row r="49">
      <c r="A49" s="4" t="str">
        <f>HYPERLINK("https://github.com/d-wkim/network_meta-analysis/blob/main/data/pdf"/smith_2020.pdf",Smith et al., 2020)</f>
        <v>#ERROR!</v>
      </c>
    </row>
    <row r="50">
      <c r="A50" s="4" t="str">
        <f>HYPERLINK("https://github.com/d-wkim/network_meta-analysis/blob/main/data/pdf"/sonnery-cottet_2026.pdf",Sonnery-Cottet et al., 2026)</f>
        <v>#ERROR!</v>
      </c>
    </row>
    <row r="51">
      <c r="A51" s="4" t="str">
        <f>HYPERLINK("https://github.com/d-wkim/network_meta-analysis/blob/main/data/pdf"/tang_2023.pdf",Tang et al., 2023)</f>
        <v>#ERROR!</v>
      </c>
    </row>
    <row r="52">
      <c r="A52" s="4" t="str">
        <f>HYPERLINK("https://github.com/d-wkim/network_meta-analysis/blob/main/data/pdf"/taylor_2009.pdf",Taylor et al., 2009)</f>
        <v>#ERROR!</v>
      </c>
    </row>
    <row r="53">
      <c r="A53" s="4" t="str">
        <f>HYPERLINK("https://github.com/d-wkim/network_meta-analysis/blob/main/data/pdf"/vilchez-cavazos_2020.pdf",Vilchez-Cavazos et al., 2020)</f>
        <v>#ERROR!</v>
      </c>
    </row>
    <row r="54">
      <c r="A54" s="4" t="str">
        <f>HYPERLINK("https://github.com/d-wkim/network_meta-analysis/blob/main/data/pdf"/webster_2001.pdf",Webster et al., 2001)</f>
        <v>#ERROR!</v>
      </c>
    </row>
    <row r="55">
      <c r="A55" s="4" t="str">
        <f>HYPERLINK("https://github.com/d-wkim/network_meta-analysis/blob/main/data/pdf"/wipfler_2011.pdf",Wipfler et al., 2011)</f>
        <v>#ERROR!</v>
      </c>
    </row>
    <row r="56">
      <c r="A56" s="4" t="str">
        <f>HYPERLINK("https://github.com/d-wkim/network_meta-analysis/blob/main/data/pdf"/yadav_2025.pdf",Yadav et al., 2025)</f>
        <v>#ERROR!</v>
      </c>
    </row>
    <row r="57">
      <c r="A57" s="4" t="str">
        <f>HYPERLINK("https://github.com/d-wkim/network_meta-analysis/blob/main/data/pdf"/yoo_2017.pdf",Yoo et al., 2017)</f>
        <v>#ERROR!</v>
      </c>
    </row>
    <row r="58">
      <c r="A58" s="4" t="str">
        <f>HYPERLINK("https://github.com/d-wkim/network_meta-analysis/blob/main/data/pdf"/zaffagnini_2011.pdf",Zaffagnini et al., 2011)</f>
        <v>#ERROR!</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3.75"/>
    <col customWidth="1" min="2" max="2" width="21.63"/>
    <col customWidth="1" min="3" max="3" width="33.75"/>
    <col customWidth="1" min="4" max="4" width="21.0"/>
    <col customWidth="1" min="5" max="6" width="18.75"/>
    <col customWidth="1" min="7" max="7" width="27.0"/>
    <col customWidth="1" min="8" max="8" width="58.5"/>
    <col customWidth="1" min="9" max="21" width="3.0"/>
  </cols>
  <sheetData>
    <row r="1">
      <c r="A1" s="159"/>
      <c r="B1" s="159" t="s">
        <v>3</v>
      </c>
      <c r="C1" s="160" t="s">
        <v>5012</v>
      </c>
      <c r="D1" s="159" t="s">
        <v>4577</v>
      </c>
      <c r="E1" s="159"/>
      <c r="F1" s="159" t="s">
        <v>49</v>
      </c>
      <c r="G1" s="159" t="s">
        <v>4576</v>
      </c>
      <c r="H1" s="159" t="s">
        <v>318</v>
      </c>
      <c r="I1" s="148" t="s">
        <v>5013</v>
      </c>
      <c r="J1" s="148" t="s">
        <v>5014</v>
      </c>
      <c r="K1" s="148" t="s">
        <v>5015</v>
      </c>
      <c r="L1" s="148" t="s">
        <v>5016</v>
      </c>
      <c r="M1" s="148" t="s">
        <v>5017</v>
      </c>
      <c r="N1" s="148" t="s">
        <v>5018</v>
      </c>
      <c r="O1" s="148" t="s">
        <v>4441</v>
      </c>
      <c r="P1" s="148" t="s">
        <v>5019</v>
      </c>
      <c r="Q1" s="148" t="s">
        <v>4364</v>
      </c>
      <c r="R1" s="148" t="s">
        <v>317</v>
      </c>
      <c r="S1" s="148" t="s">
        <v>385</v>
      </c>
      <c r="T1" s="148" t="s">
        <v>5020</v>
      </c>
      <c r="U1" s="148" t="s">
        <v>4370</v>
      </c>
    </row>
    <row r="2">
      <c r="A2" s="159">
        <v>1.0</v>
      </c>
      <c r="B2" s="152" t="s">
        <v>5021</v>
      </c>
      <c r="C2" s="151" t="str">
        <f t="shared" ref="C2:C108" si="1">hyperlink("https://github.com/d-wkim/phd/blob/main/data/pdf/"&amp;D2&amp;".pdf",SUBSTITUTE(PROPER(D2),"_"," et al., "))</f>
        <v>Ageberg et al., 2009</v>
      </c>
      <c r="D2" s="153" t="s">
        <v>4660</v>
      </c>
      <c r="E2" s="152" t="str">
        <f t="shared" ref="E2:E108" si="2">"https://raw.githubusercontent.com/d-wkim/phd/refs/heads/main/data/pdf/"&amp;D2&amp;" .pdf"</f>
        <v>https://raw.githubusercontent.com/d-wkim/phd/refs/heads/main/data/pdf/ageberg_2009 .pdf</v>
      </c>
      <c r="F2" s="152" t="s">
        <v>109</v>
      </c>
      <c r="G2" s="152" t="s">
        <v>4362</v>
      </c>
      <c r="H2" s="152" t="s">
        <v>4364</v>
      </c>
      <c r="I2" s="154" t="str">
        <f>IFERROR(__xludf.DUMMYFUNCTION("if(REGEXMATCH(join("", "",$G2:$H2),I$1)=TRUE,""✓"",""✗"")"),"✓")</f>
        <v>✓</v>
      </c>
      <c r="J2" s="154" t="str">
        <f>IFERROR(__xludf.DUMMYFUNCTION("if(REGEXMATCH(join("", "",$G2:$H2),J$1)=TRUE,""✓"",""✗"")"),"✓")</f>
        <v>✓</v>
      </c>
      <c r="K2" s="154" t="str">
        <f>IFERROR(__xludf.DUMMYFUNCTION("if(REGEXMATCH(join("", "",$G2:$H2),K$1)=TRUE,""✓"",""✗"")"),"✗")</f>
        <v>✗</v>
      </c>
      <c r="L2" s="154" t="str">
        <f>IFERROR(__xludf.DUMMYFUNCTION("if(REGEXMATCH(join("", "",$G2:$H2),L$1)=TRUE,""✓"",""✗"")"),"✗")</f>
        <v>✗</v>
      </c>
      <c r="M2" s="154" t="str">
        <f>IFERROR(__xludf.DUMMYFUNCTION("if(REGEXMATCH(join("", "",$G2:$H2),M$1)=TRUE,""✓"",""✗"")"),"✗")</f>
        <v>✗</v>
      </c>
      <c r="N2" s="154" t="str">
        <f>IFERROR(__xludf.DUMMYFUNCTION("if(REGEXMATCH(join("", "",$G2:$H2),N$1)=TRUE,""✓"",""✗"")"),"✗")</f>
        <v>✗</v>
      </c>
      <c r="O2" s="154" t="str">
        <f>IFERROR(__xludf.DUMMYFUNCTION("if(REGEXMATCH(join("", "",$G2:$H2),O$1)=TRUE,""✓"",""✗"")"),"✗")</f>
        <v>✗</v>
      </c>
      <c r="P2" s="154" t="str">
        <f>IFERROR(__xludf.DUMMYFUNCTION("if(REGEXMATCH(join("", "",$G2:$H2),P$1)=TRUE,""✓"",""✗"")"),"✗")</f>
        <v>✗</v>
      </c>
      <c r="Q2" s="154" t="str">
        <f>IFERROR(__xludf.DUMMYFUNCTION("if(REGEXMATCH(join("", "",$G2:$H2),Q$1)=TRUE,""✓"",""✗"")"),"✓")</f>
        <v>✓</v>
      </c>
      <c r="R2" s="154" t="str">
        <f>IFERROR(__xludf.DUMMYFUNCTION("if(REGEXMATCH(join("", "",$G2:$H2),R$1)=TRUE,""✓"",""✗"")"),"✗")</f>
        <v>✗</v>
      </c>
      <c r="S2" s="154" t="str">
        <f>IFERROR(__xludf.DUMMYFUNCTION("if(REGEXMATCH(join("", "",$G2:$H2),S$1)=TRUE,""✓"",""✗"")"),"✗")</f>
        <v>✗</v>
      </c>
      <c r="T2" s="154" t="str">
        <f>IFERROR(__xludf.DUMMYFUNCTION("if(REGEXMATCH(join("", "",$G2:$H2),T$1)=TRUE,""✓"",""✗"")"),"✗")</f>
        <v>✗</v>
      </c>
      <c r="U2" s="154" t="str">
        <f>IFERROR(__xludf.DUMMYFUNCTION("if(REGEXMATCH(join("", "",$G2:$H2),U$1)=TRUE,""✓"",""✗"")"),"✗")</f>
        <v>✗</v>
      </c>
    </row>
    <row r="3">
      <c r="A3" s="159">
        <v>2.0</v>
      </c>
      <c r="B3" s="159" t="s">
        <v>5025</v>
      </c>
      <c r="C3" s="151" t="str">
        <f t="shared" si="1"/>
        <v>Aglietti et al., 2004</v>
      </c>
      <c r="D3" s="156" t="s">
        <v>5026</v>
      </c>
      <c r="E3" s="152" t="str">
        <f t="shared" si="2"/>
        <v>https://raw.githubusercontent.com/d-wkim/phd/refs/heads/main/data/pdf/aglietti_2004 .pdf</v>
      </c>
      <c r="F3" s="159" t="s">
        <v>109</v>
      </c>
      <c r="G3" s="159" t="s">
        <v>4362</v>
      </c>
      <c r="H3" s="159" t="s">
        <v>4367</v>
      </c>
      <c r="I3" s="154" t="str">
        <f>IFERROR(__xludf.DUMMYFUNCTION("if(REGEXMATCH(join("", "",$G3:$H3),I$1)=TRUE,""✓"",""✗"")"),"✓")</f>
        <v>✓</v>
      </c>
      <c r="J3" s="154" t="str">
        <f>IFERROR(__xludf.DUMMYFUNCTION("if(REGEXMATCH(join("", "",$G3:$H3),J$1)=TRUE,""✓"",""✗"")"),"✓")</f>
        <v>✓</v>
      </c>
      <c r="K3" s="154" t="str">
        <f>IFERROR(__xludf.DUMMYFUNCTION("if(REGEXMATCH(join("", "",$G3:$H3),K$1)=TRUE,""✓"",""✗"")"),"✗")</f>
        <v>✗</v>
      </c>
      <c r="L3" s="154" t="str">
        <f>IFERROR(__xludf.DUMMYFUNCTION("if(REGEXMATCH(join("", "",$G3:$H3),L$1)=TRUE,""✓"",""✗"")"),"✗")</f>
        <v>✗</v>
      </c>
      <c r="M3" s="154" t="str">
        <f>IFERROR(__xludf.DUMMYFUNCTION("if(REGEXMATCH(join("", "",$G3:$H3),M$1)=TRUE,""✓"",""✗"")"),"✗")</f>
        <v>✗</v>
      </c>
      <c r="N3" s="154" t="str">
        <f>IFERROR(__xludf.DUMMYFUNCTION("if(REGEXMATCH(join("", "",$G3:$H3),N$1)=TRUE,""✓"",""✗"")"),"✗")</f>
        <v>✗</v>
      </c>
      <c r="O3" s="154" t="str">
        <f>IFERROR(__xludf.DUMMYFUNCTION("if(REGEXMATCH(join("", "",$G3:$H3),O$1)=TRUE,""✓"",""✗"")"),"✗")</f>
        <v>✗</v>
      </c>
      <c r="P3" s="154" t="str">
        <f>IFERROR(__xludf.DUMMYFUNCTION("if(REGEXMATCH(join("", "",$G3:$H3),P$1)=TRUE,""✓"",""✗"")"),"✗")</f>
        <v>✗</v>
      </c>
      <c r="Q3" s="154" t="str">
        <f>IFERROR(__xludf.DUMMYFUNCTION("if(REGEXMATCH(join("", "",$G3:$H3),Q$1)=TRUE,""✓"",""✗"")"),"✗")</f>
        <v>✗</v>
      </c>
      <c r="R3" s="154" t="str">
        <f>IFERROR(__xludf.DUMMYFUNCTION("if(REGEXMATCH(join("", "",$G3:$H3),R$1)=TRUE,""✓"",""✗"")"),"✓")</f>
        <v>✓</v>
      </c>
      <c r="S3" s="154" t="str">
        <f>IFERROR(__xludf.DUMMYFUNCTION("if(REGEXMATCH(join("", "",$G3:$H3),S$1)=TRUE,""✓"",""✗"")"),"✓")</f>
        <v>✓</v>
      </c>
      <c r="T3" s="154" t="str">
        <f>IFERROR(__xludf.DUMMYFUNCTION("if(REGEXMATCH(join("", "",$G3:$H3),T$1)=TRUE,""✓"",""✗"")"),"✓")</f>
        <v>✓</v>
      </c>
      <c r="U3" s="154" t="str">
        <f>IFERROR(__xludf.DUMMYFUNCTION("if(REGEXMATCH(join("", "",$G3:$H3),U$1)=TRUE,""✓"",""✗"")"),"✗")</f>
        <v>✗</v>
      </c>
    </row>
    <row r="4">
      <c r="A4" s="159">
        <v>3.0</v>
      </c>
      <c r="B4" s="159" t="s">
        <v>5028</v>
      </c>
      <c r="C4" s="151" t="str">
        <f t="shared" si="1"/>
        <v>Ahldén et al., 2009</v>
      </c>
      <c r="D4" s="156" t="s">
        <v>5029</v>
      </c>
      <c r="E4" s="152" t="str">
        <f t="shared" si="2"/>
        <v>https://raw.githubusercontent.com/d-wkim/phd/refs/heads/main/data/pdf/ahldén_2009 .pdf</v>
      </c>
      <c r="F4" s="159" t="s">
        <v>109</v>
      </c>
      <c r="G4" s="159" t="s">
        <v>4362</v>
      </c>
      <c r="H4" s="159" t="s">
        <v>4368</v>
      </c>
      <c r="I4" s="154" t="str">
        <f>IFERROR(__xludf.DUMMYFUNCTION("if(REGEXMATCH(join("", "",$G4:$H4),I$1)=TRUE,""✓"",""✗"")"),"✓")</f>
        <v>✓</v>
      </c>
      <c r="J4" s="154" t="str">
        <f>IFERROR(__xludf.DUMMYFUNCTION("if(REGEXMATCH(join("", "",$G4:$H4),J$1)=TRUE,""✓"",""✗"")"),"✓")</f>
        <v>✓</v>
      </c>
      <c r="K4" s="154" t="str">
        <f>IFERROR(__xludf.DUMMYFUNCTION("if(REGEXMATCH(join("", "",$G4:$H4),K$1)=TRUE,""✓"",""✗"")"),"✗")</f>
        <v>✗</v>
      </c>
      <c r="L4" s="154" t="str">
        <f>IFERROR(__xludf.DUMMYFUNCTION("if(REGEXMATCH(join("", "",$G4:$H4),L$1)=TRUE,""✓"",""✗"")"),"✗")</f>
        <v>✗</v>
      </c>
      <c r="M4" s="154" t="str">
        <f>IFERROR(__xludf.DUMMYFUNCTION("if(REGEXMATCH(join("", "",$G4:$H4),M$1)=TRUE,""✓"",""✗"")"),"✗")</f>
        <v>✗</v>
      </c>
      <c r="N4" s="154" t="str">
        <f>IFERROR(__xludf.DUMMYFUNCTION("if(REGEXMATCH(join("", "",$G4:$H4),N$1)=TRUE,""✓"",""✗"")"),"✗")</f>
        <v>✗</v>
      </c>
      <c r="O4" s="154" t="str">
        <f>IFERROR(__xludf.DUMMYFUNCTION("if(REGEXMATCH(join("", "",$G4:$H4),O$1)=TRUE,""✓"",""✗"")"),"✗")</f>
        <v>✗</v>
      </c>
      <c r="P4" s="154" t="str">
        <f>IFERROR(__xludf.DUMMYFUNCTION("if(REGEXMATCH(join("", "",$G4:$H4),P$1)=TRUE,""✓"",""✗"")"),"✓")</f>
        <v>✓</v>
      </c>
      <c r="Q4" s="154" t="str">
        <f>IFERROR(__xludf.DUMMYFUNCTION("if(REGEXMATCH(join("", "",$G4:$H4),Q$1)=TRUE,""✓"",""✗"")"),"✓")</f>
        <v>✓</v>
      </c>
      <c r="R4" s="154" t="str">
        <f>IFERROR(__xludf.DUMMYFUNCTION("if(REGEXMATCH(join("", "",$G4:$H4),R$1)=TRUE,""✓"",""✗"")"),"✓")</f>
        <v>✓</v>
      </c>
      <c r="S4" s="154" t="str">
        <f>IFERROR(__xludf.DUMMYFUNCTION("if(REGEXMATCH(join("", "",$G4:$H4),S$1)=TRUE,""✓"",""✗"")"),"✗")</f>
        <v>✗</v>
      </c>
      <c r="T4" s="154" t="str">
        <f>IFERROR(__xludf.DUMMYFUNCTION("if(REGEXMATCH(join("", "",$G4:$H4),T$1)=TRUE,""✓"",""✗"")"),"✓")</f>
        <v>✓</v>
      </c>
      <c r="U4" s="154" t="str">
        <f>IFERROR(__xludf.DUMMYFUNCTION("if(REGEXMATCH(join("", "",$G4:$H4),U$1)=TRUE,""✓"",""✗"")"),"✗")</f>
        <v>✗</v>
      </c>
    </row>
    <row r="5">
      <c r="A5" s="159">
        <v>4.0</v>
      </c>
      <c r="B5" s="159" t="s">
        <v>5031</v>
      </c>
      <c r="C5" s="151" t="str">
        <f t="shared" si="1"/>
        <v>Akelman et al., 2016</v>
      </c>
      <c r="D5" s="156" t="s">
        <v>5032</v>
      </c>
      <c r="E5" s="152" t="str">
        <f t="shared" si="2"/>
        <v>https://raw.githubusercontent.com/d-wkim/phd/refs/heads/main/data/pdf/akelman_2016 .pdf</v>
      </c>
      <c r="F5" s="159" t="s">
        <v>174</v>
      </c>
      <c r="G5" s="159" t="s">
        <v>4362</v>
      </c>
      <c r="H5" s="159" t="s">
        <v>317</v>
      </c>
      <c r="I5" s="154" t="str">
        <f>IFERROR(__xludf.DUMMYFUNCTION("if(REGEXMATCH(join("", "",$G5:$H5),I$1)=TRUE,""✓"",""✗"")"),"✓")</f>
        <v>✓</v>
      </c>
      <c r="J5" s="154" t="str">
        <f>IFERROR(__xludf.DUMMYFUNCTION("if(REGEXMATCH(join("", "",$G5:$H5),J$1)=TRUE,""✓"",""✗"")"),"✓")</f>
        <v>✓</v>
      </c>
      <c r="K5" s="154" t="str">
        <f>IFERROR(__xludf.DUMMYFUNCTION("if(REGEXMATCH(join("", "",$G5:$H5),K$1)=TRUE,""✓"",""✗"")"),"✗")</f>
        <v>✗</v>
      </c>
      <c r="L5" s="154" t="str">
        <f>IFERROR(__xludf.DUMMYFUNCTION("if(REGEXMATCH(join("", "",$G5:$H5),L$1)=TRUE,""✓"",""✗"")"),"✗")</f>
        <v>✗</v>
      </c>
      <c r="M5" s="154" t="str">
        <f>IFERROR(__xludf.DUMMYFUNCTION("if(REGEXMATCH(join("", "",$G5:$H5),M$1)=TRUE,""✓"",""✗"")"),"✗")</f>
        <v>✗</v>
      </c>
      <c r="N5" s="154" t="str">
        <f>IFERROR(__xludf.DUMMYFUNCTION("if(REGEXMATCH(join("", "",$G5:$H5),N$1)=TRUE,""✓"",""✗"")"),"✗")</f>
        <v>✗</v>
      </c>
      <c r="O5" s="154" t="str">
        <f>IFERROR(__xludf.DUMMYFUNCTION("if(REGEXMATCH(join("", "",$G5:$H5),O$1)=TRUE,""✓"",""✗"")"),"✗")</f>
        <v>✗</v>
      </c>
      <c r="P5" s="154" t="str">
        <f>IFERROR(__xludf.DUMMYFUNCTION("if(REGEXMATCH(join("", "",$G5:$H5),P$1)=TRUE,""✓"",""✗"")"),"✗")</f>
        <v>✗</v>
      </c>
      <c r="Q5" s="154" t="str">
        <f>IFERROR(__xludf.DUMMYFUNCTION("if(REGEXMATCH(join("", "",$G5:$H5),Q$1)=TRUE,""✓"",""✗"")"),"✗")</f>
        <v>✗</v>
      </c>
      <c r="R5" s="154" t="str">
        <f>IFERROR(__xludf.DUMMYFUNCTION("if(REGEXMATCH(join("", "",$G5:$H5),R$1)=TRUE,""✓"",""✗"")"),"✓")</f>
        <v>✓</v>
      </c>
      <c r="S5" s="154" t="str">
        <f>IFERROR(__xludf.DUMMYFUNCTION("if(REGEXMATCH(join("", "",$G5:$H5),S$1)=TRUE,""✓"",""✗"")"),"✗")</f>
        <v>✗</v>
      </c>
      <c r="T5" s="154" t="str">
        <f>IFERROR(__xludf.DUMMYFUNCTION("if(REGEXMATCH(join("", "",$G5:$H5),T$1)=TRUE,""✓"",""✗"")"),"✗")</f>
        <v>✗</v>
      </c>
      <c r="U5" s="154" t="str">
        <f>IFERROR(__xludf.DUMMYFUNCTION("if(REGEXMATCH(join("", "",$G5:$H5),U$1)=TRUE,""✓"",""✗"")"),"✗")</f>
        <v>✗</v>
      </c>
    </row>
    <row r="6">
      <c r="A6" s="159">
        <v>5.0</v>
      </c>
      <c r="B6" s="159" t="s">
        <v>5034</v>
      </c>
      <c r="C6" s="151" t="str">
        <f t="shared" si="1"/>
        <v>Anderson et al., 2001</v>
      </c>
      <c r="D6" s="156" t="s">
        <v>5035</v>
      </c>
      <c r="E6" s="152" t="str">
        <f t="shared" si="2"/>
        <v>https://raw.githubusercontent.com/d-wkim/phd/refs/heads/main/data/pdf/anderson_2001 .pdf</v>
      </c>
      <c r="F6" s="159" t="s">
        <v>109</v>
      </c>
      <c r="G6" s="159" t="s">
        <v>4362</v>
      </c>
      <c r="H6" s="159" t="s">
        <v>4369</v>
      </c>
      <c r="I6" s="154" t="str">
        <f>IFERROR(__xludf.DUMMYFUNCTION("if(REGEXMATCH(join("", "",$G6:$H6),I$1)=TRUE,""✓"",""✗"")"),"✓")</f>
        <v>✓</v>
      </c>
      <c r="J6" s="154" t="str">
        <f>IFERROR(__xludf.DUMMYFUNCTION("if(REGEXMATCH(join("", "",$G6:$H6),J$1)=TRUE,""✓"",""✗"")"),"✓")</f>
        <v>✓</v>
      </c>
      <c r="K6" s="154" t="str">
        <f>IFERROR(__xludf.DUMMYFUNCTION("if(REGEXMATCH(join("", "",$G6:$H6),K$1)=TRUE,""✓"",""✗"")"),"✗")</f>
        <v>✗</v>
      </c>
      <c r="L6" s="154" t="str">
        <f>IFERROR(__xludf.DUMMYFUNCTION("if(REGEXMATCH(join("", "",$G6:$H6),L$1)=TRUE,""✓"",""✗"")"),"✗")</f>
        <v>✗</v>
      </c>
      <c r="M6" s="154" t="str">
        <f>IFERROR(__xludf.DUMMYFUNCTION("if(REGEXMATCH(join("", "",$G6:$H6),M$1)=TRUE,""✓"",""✗"")"),"✗")</f>
        <v>✗</v>
      </c>
      <c r="N6" s="154" t="str">
        <f>IFERROR(__xludf.DUMMYFUNCTION("if(REGEXMATCH(join("", "",$G6:$H6),N$1)=TRUE,""✓"",""✗"")"),"✗")</f>
        <v>✗</v>
      </c>
      <c r="O6" s="154" t="str">
        <f>IFERROR(__xludf.DUMMYFUNCTION("if(REGEXMATCH(join("", "",$G6:$H6),O$1)=TRUE,""✓"",""✗"")"),"✓")</f>
        <v>✓</v>
      </c>
      <c r="P6" s="154" t="str">
        <f>IFERROR(__xludf.DUMMYFUNCTION("if(REGEXMATCH(join("", "",$G6:$H6),P$1)=TRUE,""✓"",""✗"")"),"✗")</f>
        <v>✗</v>
      </c>
      <c r="Q6" s="154" t="str">
        <f>IFERROR(__xludf.DUMMYFUNCTION("if(REGEXMATCH(join("", "",$G6:$H6),Q$1)=TRUE,""✓"",""✗"")"),"✗")</f>
        <v>✗</v>
      </c>
      <c r="R6" s="154" t="str">
        <f>IFERROR(__xludf.DUMMYFUNCTION("if(REGEXMATCH(join("", "",$G6:$H6),R$1)=TRUE,""✓"",""✗"")"),"✓")</f>
        <v>✓</v>
      </c>
      <c r="S6" s="154" t="str">
        <f>IFERROR(__xludf.DUMMYFUNCTION("if(REGEXMATCH(join("", "",$G6:$H6),S$1)=TRUE,""✓"",""✗"")"),"✓")</f>
        <v>✓</v>
      </c>
      <c r="T6" s="154" t="str">
        <f>IFERROR(__xludf.DUMMYFUNCTION("if(REGEXMATCH(join("", "",$G6:$H6),T$1)=TRUE,""✓"",""✗"")"),"✗")</f>
        <v>✗</v>
      </c>
      <c r="U6" s="154" t="str">
        <f>IFERROR(__xludf.DUMMYFUNCTION("if(REGEXMATCH(join("", "",$G6:$H6),U$1)=TRUE,""✓"",""✗"")"),"✗")</f>
        <v>✗</v>
      </c>
    </row>
    <row r="7">
      <c r="A7" s="159">
        <v>6.0</v>
      </c>
      <c r="B7" s="159" t="s">
        <v>5038</v>
      </c>
      <c r="C7" s="151" t="str">
        <f t="shared" si="1"/>
        <v>Anz et al., 2023</v>
      </c>
      <c r="D7" s="156" t="s">
        <v>5039</v>
      </c>
      <c r="E7" s="152" t="str">
        <f t="shared" si="2"/>
        <v>https://raw.githubusercontent.com/d-wkim/phd/refs/heads/main/data/pdf/anz_2023 .pdf</v>
      </c>
      <c r="F7" s="159" t="s">
        <v>109</v>
      </c>
      <c r="G7" s="159" t="s">
        <v>4362</v>
      </c>
      <c r="H7" s="161" t="s">
        <v>4370</v>
      </c>
      <c r="I7" s="154" t="str">
        <f>IFERROR(__xludf.DUMMYFUNCTION("if(REGEXMATCH(join("", "",$G7:$H7),I$1)=TRUE,""✓"",""✗"")"),"✓")</f>
        <v>✓</v>
      </c>
      <c r="J7" s="154" t="str">
        <f>IFERROR(__xludf.DUMMYFUNCTION("if(REGEXMATCH(join("", "",$G7:$H7),J$1)=TRUE,""✓"",""✗"")"),"✓")</f>
        <v>✓</v>
      </c>
      <c r="K7" s="154" t="str">
        <f>IFERROR(__xludf.DUMMYFUNCTION("if(REGEXMATCH(join("", "",$G7:$H7),K$1)=TRUE,""✓"",""✗"")"),"✗")</f>
        <v>✗</v>
      </c>
      <c r="L7" s="154" t="str">
        <f>IFERROR(__xludf.DUMMYFUNCTION("if(REGEXMATCH(join("", "",$G7:$H7),L$1)=TRUE,""✓"",""✗"")"),"✗")</f>
        <v>✗</v>
      </c>
      <c r="M7" s="154" t="str">
        <f>IFERROR(__xludf.DUMMYFUNCTION("if(REGEXMATCH(join("", "",$G7:$H7),M$1)=TRUE,""✓"",""✗"")"),"✗")</f>
        <v>✗</v>
      </c>
      <c r="N7" s="154" t="str">
        <f>IFERROR(__xludf.DUMMYFUNCTION("if(REGEXMATCH(join("", "",$G7:$H7),N$1)=TRUE,""✓"",""✗"")"),"✗")</f>
        <v>✗</v>
      </c>
      <c r="O7" s="154" t="str">
        <f>IFERROR(__xludf.DUMMYFUNCTION("if(REGEXMATCH(join("", "",$G7:$H7),O$1)=TRUE,""✓"",""✗"")"),"✗")</f>
        <v>✗</v>
      </c>
      <c r="P7" s="154" t="str">
        <f>IFERROR(__xludf.DUMMYFUNCTION("if(REGEXMATCH(join("", "",$G7:$H7),P$1)=TRUE,""✓"",""✗"")"),"✗")</f>
        <v>✗</v>
      </c>
      <c r="Q7" s="154" t="str">
        <f>IFERROR(__xludf.DUMMYFUNCTION("if(REGEXMATCH(join("", "",$G7:$H7),Q$1)=TRUE,""✓"",""✗"")"),"✗")</f>
        <v>✗</v>
      </c>
      <c r="R7" s="154" t="str">
        <f>IFERROR(__xludf.DUMMYFUNCTION("if(REGEXMATCH(join("", "",$G7:$H7),R$1)=TRUE,""✓"",""✗"")"),"✗")</f>
        <v>✗</v>
      </c>
      <c r="S7" s="154" t="str">
        <f>IFERROR(__xludf.DUMMYFUNCTION("if(REGEXMATCH(join("", "",$G7:$H7),S$1)=TRUE,""✓"",""✗"")"),"✗")</f>
        <v>✗</v>
      </c>
      <c r="T7" s="154" t="str">
        <f>IFERROR(__xludf.DUMMYFUNCTION("if(REGEXMATCH(join("", "",$G7:$H7),T$1)=TRUE,""✓"",""✗"")"),"✗")</f>
        <v>✗</v>
      </c>
      <c r="U7" s="154" t="str">
        <f>IFERROR(__xludf.DUMMYFUNCTION("if(REGEXMATCH(join("", "",$G7:$H7),U$1)=TRUE,""✓"",""✗"")"),"✓")</f>
        <v>✓</v>
      </c>
    </row>
    <row r="8">
      <c r="A8" s="159">
        <v>7.0</v>
      </c>
      <c r="B8" s="159" t="s">
        <v>5040</v>
      </c>
      <c r="C8" s="151" t="str">
        <f t="shared" si="1"/>
        <v>Aune et al., 2001</v>
      </c>
      <c r="D8" s="156" t="s">
        <v>5041</v>
      </c>
      <c r="E8" s="152" t="str">
        <f t="shared" si="2"/>
        <v>https://raw.githubusercontent.com/d-wkim/phd/refs/heads/main/data/pdf/aune_2001 .pdf</v>
      </c>
      <c r="F8" s="159" t="s">
        <v>109</v>
      </c>
      <c r="G8" s="159" t="s">
        <v>4362</v>
      </c>
      <c r="H8" s="159" t="s">
        <v>317</v>
      </c>
      <c r="I8" s="154" t="str">
        <f>IFERROR(__xludf.DUMMYFUNCTION("if(REGEXMATCH(join("", "",$G8:$H8),I$1)=TRUE,""✓"",""✗"")"),"✓")</f>
        <v>✓</v>
      </c>
      <c r="J8" s="154" t="str">
        <f>IFERROR(__xludf.DUMMYFUNCTION("if(REGEXMATCH(join("", "",$G8:$H8),J$1)=TRUE,""✓"",""✗"")"),"✓")</f>
        <v>✓</v>
      </c>
      <c r="K8" s="154" t="str">
        <f>IFERROR(__xludf.DUMMYFUNCTION("if(REGEXMATCH(join("", "",$G8:$H8),K$1)=TRUE,""✓"",""✗"")"),"✗")</f>
        <v>✗</v>
      </c>
      <c r="L8" s="154" t="str">
        <f>IFERROR(__xludf.DUMMYFUNCTION("if(REGEXMATCH(join("", "",$G8:$H8),L$1)=TRUE,""✓"",""✗"")"),"✗")</f>
        <v>✗</v>
      </c>
      <c r="M8" s="154" t="str">
        <f>IFERROR(__xludf.DUMMYFUNCTION("if(REGEXMATCH(join("", "",$G8:$H8),M$1)=TRUE,""✓"",""✗"")"),"✗")</f>
        <v>✗</v>
      </c>
      <c r="N8" s="154" t="str">
        <f>IFERROR(__xludf.DUMMYFUNCTION("if(REGEXMATCH(join("", "",$G8:$H8),N$1)=TRUE,""✓"",""✗"")"),"✗")</f>
        <v>✗</v>
      </c>
      <c r="O8" s="154" t="str">
        <f>IFERROR(__xludf.DUMMYFUNCTION("if(REGEXMATCH(join("", "",$G8:$H8),O$1)=TRUE,""✓"",""✗"")"),"✗")</f>
        <v>✗</v>
      </c>
      <c r="P8" s="154" t="str">
        <f>IFERROR(__xludf.DUMMYFUNCTION("if(REGEXMATCH(join("", "",$G8:$H8),P$1)=TRUE,""✓"",""✗"")"),"✗")</f>
        <v>✗</v>
      </c>
      <c r="Q8" s="154" t="str">
        <f>IFERROR(__xludf.DUMMYFUNCTION("if(REGEXMATCH(join("", "",$G8:$H8),Q$1)=TRUE,""✓"",""✗"")"),"✗")</f>
        <v>✗</v>
      </c>
      <c r="R8" s="154" t="str">
        <f>IFERROR(__xludf.DUMMYFUNCTION("if(REGEXMATCH(join("", "",$G8:$H8),R$1)=TRUE,""✓"",""✗"")"),"✓")</f>
        <v>✓</v>
      </c>
      <c r="S8" s="154" t="str">
        <f>IFERROR(__xludf.DUMMYFUNCTION("if(REGEXMATCH(join("", "",$G8:$H8),S$1)=TRUE,""✓"",""✗"")"),"✗")</f>
        <v>✗</v>
      </c>
      <c r="T8" s="154" t="str">
        <f>IFERROR(__xludf.DUMMYFUNCTION("if(REGEXMATCH(join("", "",$G8:$H8),T$1)=TRUE,""✓"",""✗"")"),"✗")</f>
        <v>✗</v>
      </c>
      <c r="U8" s="154" t="str">
        <f>IFERROR(__xludf.DUMMYFUNCTION("if(REGEXMATCH(join("", "",$G8:$H8),U$1)=TRUE,""✓"",""✗"")"),"✗")</f>
        <v>✗</v>
      </c>
    </row>
    <row r="9">
      <c r="A9" s="159">
        <v>8.0</v>
      </c>
      <c r="B9" s="159" t="s">
        <v>5044</v>
      </c>
      <c r="C9" s="162" t="str">
        <f t="shared" si="1"/>
        <v>Barenius et al., 2010</v>
      </c>
      <c r="D9" s="159" t="s">
        <v>5045</v>
      </c>
      <c r="E9" s="152" t="str">
        <f t="shared" si="2"/>
        <v>https://raw.githubusercontent.com/d-wkim/phd/refs/heads/main/data/pdf/barenius_2010 .pdf</v>
      </c>
      <c r="F9" s="159" t="s">
        <v>109</v>
      </c>
      <c r="G9" s="159" t="s">
        <v>4362</v>
      </c>
      <c r="H9" s="159" t="s">
        <v>4375</v>
      </c>
      <c r="I9" s="154" t="str">
        <f>IFERROR(__xludf.DUMMYFUNCTION("if(REGEXMATCH(join("", "",$G9:$H9),I$1)=TRUE,""✓"",""✗"")"),"✓")</f>
        <v>✓</v>
      </c>
      <c r="J9" s="154" t="str">
        <f>IFERROR(__xludf.DUMMYFUNCTION("if(REGEXMATCH(join("", "",$G9:$H9),J$1)=TRUE,""✓"",""✗"")"),"✓")</f>
        <v>✓</v>
      </c>
      <c r="K9" s="154" t="str">
        <f>IFERROR(__xludf.DUMMYFUNCTION("if(REGEXMATCH(join("", "",$G9:$H9),K$1)=TRUE,""✓"",""✗"")"),"✗")</f>
        <v>✗</v>
      </c>
      <c r="L9" s="154" t="str">
        <f>IFERROR(__xludf.DUMMYFUNCTION("if(REGEXMATCH(join("", "",$G9:$H9),L$1)=TRUE,""✓"",""✗"")"),"✗")</f>
        <v>✗</v>
      </c>
      <c r="M9" s="154" t="str">
        <f>IFERROR(__xludf.DUMMYFUNCTION("if(REGEXMATCH(join("", "",$G9:$H9),M$1)=TRUE,""✓"",""✗"")"),"✗")</f>
        <v>✗</v>
      </c>
      <c r="N9" s="154" t="str">
        <f>IFERROR(__xludf.DUMMYFUNCTION("if(REGEXMATCH(join("", "",$G9:$H9),N$1)=TRUE,""✓"",""✗"")"),"✗")</f>
        <v>✗</v>
      </c>
      <c r="O9" s="154" t="str">
        <f>IFERROR(__xludf.DUMMYFUNCTION("if(REGEXMATCH(join("", "",$G9:$H9),O$1)=TRUE,""✓"",""✗"")"),"✓")</f>
        <v>✓</v>
      </c>
      <c r="P9" s="154" t="str">
        <f>IFERROR(__xludf.DUMMYFUNCTION("if(REGEXMATCH(join("", "",$G9:$H9),P$1)=TRUE,""✓"",""✗"")"),"✓")</f>
        <v>✓</v>
      </c>
      <c r="Q9" s="154" t="str">
        <f>IFERROR(__xludf.DUMMYFUNCTION("if(REGEXMATCH(join("", "",$G9:$H9),Q$1)=TRUE,""✓"",""✗"")"),"✗")</f>
        <v>✗</v>
      </c>
      <c r="R9" s="154" t="str">
        <f>IFERROR(__xludf.DUMMYFUNCTION("if(REGEXMATCH(join("", "",$G9:$H9),R$1)=TRUE,""✓"",""✗"")"),"✓")</f>
        <v>✓</v>
      </c>
      <c r="S9" s="154" t="str">
        <f>IFERROR(__xludf.DUMMYFUNCTION("if(REGEXMATCH(join("", "",$G9:$H9),S$1)=TRUE,""✓"",""✗"")"),"✓")</f>
        <v>✓</v>
      </c>
      <c r="T9" s="154" t="str">
        <f>IFERROR(__xludf.DUMMYFUNCTION("if(REGEXMATCH(join("", "",$G9:$H9),T$1)=TRUE,""✓"",""✗"")"),"✓")</f>
        <v>✓</v>
      </c>
      <c r="U9" s="154" t="str">
        <f>IFERROR(__xludf.DUMMYFUNCTION("if(REGEXMATCH(join("", "",$G9:$H9),U$1)=TRUE,""✓"",""✗"")"),"✗")</f>
        <v>✗</v>
      </c>
    </row>
    <row r="10">
      <c r="A10" s="159">
        <v>9.0</v>
      </c>
      <c r="B10" s="159" t="s">
        <v>5046</v>
      </c>
      <c r="C10" s="151" t="str">
        <f t="shared" si="1"/>
        <v>Barenius et al., 2014</v>
      </c>
      <c r="D10" s="156" t="s">
        <v>5047</v>
      </c>
      <c r="E10" s="152" t="str">
        <f t="shared" si="2"/>
        <v>https://raw.githubusercontent.com/d-wkim/phd/refs/heads/main/data/pdf/barenius_2014 .pdf</v>
      </c>
      <c r="F10" s="159" t="s">
        <v>174</v>
      </c>
      <c r="G10" s="159" t="s">
        <v>4362</v>
      </c>
      <c r="H10" s="159" t="s">
        <v>4364</v>
      </c>
      <c r="I10" s="154" t="str">
        <f>IFERROR(__xludf.DUMMYFUNCTION("if(REGEXMATCH(join("", "",$G10:$H10),I$1)=TRUE,""✓"",""✗"")"),"✓")</f>
        <v>✓</v>
      </c>
      <c r="J10" s="154" t="str">
        <f>IFERROR(__xludf.DUMMYFUNCTION("if(REGEXMATCH(join("", "",$G10:$H10),J$1)=TRUE,""✓"",""✗"")"),"✓")</f>
        <v>✓</v>
      </c>
      <c r="K10" s="154" t="str">
        <f>IFERROR(__xludf.DUMMYFUNCTION("if(REGEXMATCH(join("", "",$G10:$H10),K$1)=TRUE,""✓"",""✗"")"),"✗")</f>
        <v>✗</v>
      </c>
      <c r="L10" s="154" t="str">
        <f>IFERROR(__xludf.DUMMYFUNCTION("if(REGEXMATCH(join("", "",$G10:$H10),L$1)=TRUE,""✓"",""✗"")"),"✗")</f>
        <v>✗</v>
      </c>
      <c r="M10" s="154" t="str">
        <f>IFERROR(__xludf.DUMMYFUNCTION("if(REGEXMATCH(join("", "",$G10:$H10),M$1)=TRUE,""✓"",""✗"")"),"✗")</f>
        <v>✗</v>
      </c>
      <c r="N10" s="154" t="str">
        <f>IFERROR(__xludf.DUMMYFUNCTION("if(REGEXMATCH(join("", "",$G10:$H10),N$1)=TRUE,""✓"",""✗"")"),"✗")</f>
        <v>✗</v>
      </c>
      <c r="O10" s="154" t="str">
        <f>IFERROR(__xludf.DUMMYFUNCTION("if(REGEXMATCH(join("", "",$G10:$H10),O$1)=TRUE,""✓"",""✗"")"),"✗")</f>
        <v>✗</v>
      </c>
      <c r="P10" s="154" t="str">
        <f>IFERROR(__xludf.DUMMYFUNCTION("if(REGEXMATCH(join("", "",$G10:$H10),P$1)=TRUE,""✓"",""✗"")"),"✗")</f>
        <v>✗</v>
      </c>
      <c r="Q10" s="154" t="str">
        <f>IFERROR(__xludf.DUMMYFUNCTION("if(REGEXMATCH(join("", "",$G10:$H10),Q$1)=TRUE,""✓"",""✗"")"),"✓")</f>
        <v>✓</v>
      </c>
      <c r="R10" s="154" t="str">
        <f>IFERROR(__xludf.DUMMYFUNCTION("if(REGEXMATCH(join("", "",$G10:$H10),R$1)=TRUE,""✓"",""✗"")"),"✗")</f>
        <v>✗</v>
      </c>
      <c r="S10" s="154" t="str">
        <f>IFERROR(__xludf.DUMMYFUNCTION("if(REGEXMATCH(join("", "",$G10:$H10),S$1)=TRUE,""✓"",""✗"")"),"✗")</f>
        <v>✗</v>
      </c>
      <c r="T10" s="154" t="str">
        <f>IFERROR(__xludf.DUMMYFUNCTION("if(REGEXMATCH(join("", "",$G10:$H10),T$1)=TRUE,""✓"",""✗"")"),"✗")</f>
        <v>✗</v>
      </c>
      <c r="U10" s="154" t="str">
        <f>IFERROR(__xludf.DUMMYFUNCTION("if(REGEXMATCH(join("", "",$G10:$H10),U$1)=TRUE,""✓"",""✗"")"),"✗")</f>
        <v>✗</v>
      </c>
    </row>
    <row r="11">
      <c r="A11" s="159">
        <v>10.0</v>
      </c>
      <c r="B11" s="159" t="s">
        <v>5049</v>
      </c>
      <c r="C11" s="151" t="str">
        <f t="shared" si="1"/>
        <v>Barié et al., 2020</v>
      </c>
      <c r="D11" s="156" t="s">
        <v>5050</v>
      </c>
      <c r="E11" s="152" t="str">
        <f t="shared" si="2"/>
        <v>https://raw.githubusercontent.com/d-wkim/phd/refs/heads/main/data/pdf/barié_2020 .pdf</v>
      </c>
      <c r="F11" s="159" t="s">
        <v>109</v>
      </c>
      <c r="G11" s="161" t="s">
        <v>4376</v>
      </c>
      <c r="H11" s="159" t="s">
        <v>4378</v>
      </c>
      <c r="I11" s="154" t="str">
        <f>IFERROR(__xludf.DUMMYFUNCTION("if(REGEXMATCH(join("", "",$G11:$H11),I$1)=TRUE,""✓"",""✗"")"),"✓")</f>
        <v>✓</v>
      </c>
      <c r="J11" s="154" t="str">
        <f>IFERROR(__xludf.DUMMYFUNCTION("if(REGEXMATCH(join("", "",$G11:$H11),J$1)=TRUE,""✓"",""✗"")"),"✗")</f>
        <v>✗</v>
      </c>
      <c r="K11" s="154" t="str">
        <f>IFERROR(__xludf.DUMMYFUNCTION("if(REGEXMATCH(join("", "",$G11:$H11),K$1)=TRUE,""✓"",""✗"")"),"✓")</f>
        <v>✓</v>
      </c>
      <c r="L11" s="154" t="str">
        <f>IFERROR(__xludf.DUMMYFUNCTION("if(REGEXMATCH(join("", "",$G11:$H11),L$1)=TRUE,""✓"",""✗"")"),"✗")</f>
        <v>✗</v>
      </c>
      <c r="M11" s="154" t="str">
        <f>IFERROR(__xludf.DUMMYFUNCTION("if(REGEXMATCH(join("", "",$G11:$H11),M$1)=TRUE,""✓"",""✗"")"),"✗")</f>
        <v>✗</v>
      </c>
      <c r="N11" s="154" t="str">
        <f>IFERROR(__xludf.DUMMYFUNCTION("if(REGEXMATCH(join("", "",$G11:$H11),N$1)=TRUE,""✓"",""✗"")"),"✗")</f>
        <v>✗</v>
      </c>
      <c r="O11" s="154" t="str">
        <f>IFERROR(__xludf.DUMMYFUNCTION("if(REGEXMATCH(join("", "",$G11:$H11),O$1)=TRUE,""✓"",""✗"")"),"✓")</f>
        <v>✓</v>
      </c>
      <c r="P11" s="154" t="str">
        <f>IFERROR(__xludf.DUMMYFUNCTION("if(REGEXMATCH(join("", "",$G11:$H11),P$1)=TRUE,""✓"",""✗"")"),"✓")</f>
        <v>✓</v>
      </c>
      <c r="Q11" s="154" t="str">
        <f>IFERROR(__xludf.DUMMYFUNCTION("if(REGEXMATCH(join("", "",$G11:$H11),Q$1)=TRUE,""✓"",""✗"")"),"✓")</f>
        <v>✓</v>
      </c>
      <c r="R11" s="154" t="str">
        <f>IFERROR(__xludf.DUMMYFUNCTION("if(REGEXMATCH(join("", "",$G11:$H11),R$1)=TRUE,""✓"",""✗"")"),"✓")</f>
        <v>✓</v>
      </c>
      <c r="S11" s="154" t="str">
        <f>IFERROR(__xludf.DUMMYFUNCTION("if(REGEXMATCH(join("", "",$G11:$H11),S$1)=TRUE,""✓"",""✗"")"),"✗")</f>
        <v>✗</v>
      </c>
      <c r="T11" s="154" t="str">
        <f>IFERROR(__xludf.DUMMYFUNCTION("if(REGEXMATCH(join("", "",$G11:$H11),T$1)=TRUE,""✓"",""✗"")"),"✗")</f>
        <v>✗</v>
      </c>
      <c r="U11" s="154" t="str">
        <f>IFERROR(__xludf.DUMMYFUNCTION("if(REGEXMATCH(join("", "",$G11:$H11),U$1)=TRUE,""✓"",""✗"")"),"✓")</f>
        <v>✓</v>
      </c>
    </row>
    <row r="12">
      <c r="A12" s="159">
        <v>11.0</v>
      </c>
      <c r="B12" s="159" t="s">
        <v>5052</v>
      </c>
      <c r="C12" s="151" t="str">
        <f t="shared" si="1"/>
        <v>Beynnon et al., 2002</v>
      </c>
      <c r="D12" s="156" t="s">
        <v>5054</v>
      </c>
      <c r="E12" s="152" t="str">
        <f t="shared" si="2"/>
        <v>https://raw.githubusercontent.com/d-wkim/phd/refs/heads/main/data/pdf/beynnon_2002 .pdf</v>
      </c>
      <c r="F12" s="159" t="s">
        <v>109</v>
      </c>
      <c r="G12" s="159" t="s">
        <v>4362</v>
      </c>
      <c r="H12" s="159" t="s">
        <v>4379</v>
      </c>
      <c r="I12" s="154" t="str">
        <f>IFERROR(__xludf.DUMMYFUNCTION("if(REGEXMATCH(join("", "",$G12:$H12),I$1)=TRUE,""✓"",""✗"")"),"✓")</f>
        <v>✓</v>
      </c>
      <c r="J12" s="154" t="str">
        <f>IFERROR(__xludf.DUMMYFUNCTION("if(REGEXMATCH(join("", "",$G12:$H12),J$1)=TRUE,""✓"",""✗"")"),"✓")</f>
        <v>✓</v>
      </c>
      <c r="K12" s="154" t="str">
        <f>IFERROR(__xludf.DUMMYFUNCTION("if(REGEXMATCH(join("", "",$G12:$H12),K$1)=TRUE,""✓"",""✗"")"),"✗")</f>
        <v>✗</v>
      </c>
      <c r="L12" s="154" t="str">
        <f>IFERROR(__xludf.DUMMYFUNCTION("if(REGEXMATCH(join("", "",$G12:$H12),L$1)=TRUE,""✓"",""✗"")"),"✗")</f>
        <v>✗</v>
      </c>
      <c r="M12" s="154" t="str">
        <f>IFERROR(__xludf.DUMMYFUNCTION("if(REGEXMATCH(join("", "",$G12:$H12),M$1)=TRUE,""✓"",""✗"")"),"✗")</f>
        <v>✗</v>
      </c>
      <c r="N12" s="154" t="str">
        <f>IFERROR(__xludf.DUMMYFUNCTION("if(REGEXMATCH(join("", "",$G12:$H12),N$1)=TRUE,""✓"",""✗"")"),"✗")</f>
        <v>✗</v>
      </c>
      <c r="O12" s="154" t="str">
        <f>IFERROR(__xludf.DUMMYFUNCTION("if(REGEXMATCH(join("", "",$G12:$H12),O$1)=TRUE,""✓"",""✗"")"),"✓")</f>
        <v>✓</v>
      </c>
      <c r="P12" s="154" t="str">
        <f>IFERROR(__xludf.DUMMYFUNCTION("if(REGEXMATCH(join("", "",$G12:$H12),P$1)=TRUE,""✓"",""✗"")"),"✗")</f>
        <v>✗</v>
      </c>
      <c r="Q12" s="154" t="str">
        <f>IFERROR(__xludf.DUMMYFUNCTION("if(REGEXMATCH(join("", "",$G12:$H12),Q$1)=TRUE,""✓"",""✗"")"),"✓")</f>
        <v>✓</v>
      </c>
      <c r="R12" s="154" t="str">
        <f>IFERROR(__xludf.DUMMYFUNCTION("if(REGEXMATCH(join("", "",$G12:$H12),R$1)=TRUE,""✓"",""✗"")"),"✓")</f>
        <v>✓</v>
      </c>
      <c r="S12" s="154" t="str">
        <f>IFERROR(__xludf.DUMMYFUNCTION("if(REGEXMATCH(join("", "",$G12:$H12),S$1)=TRUE,""✓"",""✗"")"),"✓")</f>
        <v>✓</v>
      </c>
      <c r="T12" s="154" t="str">
        <f>IFERROR(__xludf.DUMMYFUNCTION("if(REGEXMATCH(join("", "",$G12:$H12),T$1)=TRUE,""✓"",""✗"")"),"✓")</f>
        <v>✓</v>
      </c>
      <c r="U12" s="154" t="str">
        <f>IFERROR(__xludf.DUMMYFUNCTION("if(REGEXMATCH(join("", "",$G12:$H12),U$1)=TRUE,""✓"",""✗"")"),"✗")</f>
        <v>✗</v>
      </c>
    </row>
    <row r="13">
      <c r="A13" s="159">
        <v>12.0</v>
      </c>
      <c r="B13" s="159" t="s">
        <v>5055</v>
      </c>
      <c r="C13" s="151" t="str">
        <f t="shared" si="1"/>
        <v>Bi et al., 2018</v>
      </c>
      <c r="D13" s="156" t="s">
        <v>5056</v>
      </c>
      <c r="E13" s="152" t="str">
        <f t="shared" si="2"/>
        <v>https://raw.githubusercontent.com/d-wkim/phd/refs/heads/main/data/pdf/bi_2018 .pdf</v>
      </c>
      <c r="F13" s="159" t="s">
        <v>109</v>
      </c>
      <c r="G13" s="161" t="s">
        <v>4381</v>
      </c>
      <c r="H13" s="159" t="s">
        <v>4382</v>
      </c>
      <c r="I13" s="154" t="str">
        <f>IFERROR(__xludf.DUMMYFUNCTION("if(REGEXMATCH(join("", "",$G13:$H13),I$1)=TRUE,""✓"",""✗"")"),"✗")</f>
        <v>✗</v>
      </c>
      <c r="J13" s="154" t="str">
        <f>IFERROR(__xludf.DUMMYFUNCTION("if(REGEXMATCH(join("", "",$G13:$H13),J$1)=TRUE,""✓"",""✗"")"),"✓")</f>
        <v>✓</v>
      </c>
      <c r="K13" s="154" t="str">
        <f>IFERROR(__xludf.DUMMYFUNCTION("if(REGEXMATCH(join("", "",$G13:$H13),K$1)=TRUE,""✓"",""✗"")"),"✗")</f>
        <v>✗</v>
      </c>
      <c r="L13" s="154" t="str">
        <f>IFERROR(__xludf.DUMMYFUNCTION("if(REGEXMATCH(join("", "",$G13:$H13),L$1)=TRUE,""✓"",""✗"")"),"✓")</f>
        <v>✓</v>
      </c>
      <c r="M13" s="154" t="str">
        <f>IFERROR(__xludf.DUMMYFUNCTION("if(REGEXMATCH(join("", "",$G13:$H13),M$1)=TRUE,""✓"",""✗"")"),"✗")</f>
        <v>✗</v>
      </c>
      <c r="N13" s="154" t="str">
        <f>IFERROR(__xludf.DUMMYFUNCTION("if(REGEXMATCH(join("", "",$G13:$H13),N$1)=TRUE,""✓"",""✗"")"),"✗")</f>
        <v>✗</v>
      </c>
      <c r="O13" s="154" t="str">
        <f>IFERROR(__xludf.DUMMYFUNCTION("if(REGEXMATCH(join("", "",$G13:$H13),O$1)=TRUE,""✓"",""✗"")"),"✓")</f>
        <v>✓</v>
      </c>
      <c r="P13" s="154" t="str">
        <f>IFERROR(__xludf.DUMMYFUNCTION("if(REGEXMATCH(join("", "",$G13:$H13),P$1)=TRUE,""✓"",""✗"")"),"✗")</f>
        <v>✗</v>
      </c>
      <c r="Q13" s="154" t="str">
        <f>IFERROR(__xludf.DUMMYFUNCTION("if(REGEXMATCH(join("", "",$G13:$H13),Q$1)=TRUE,""✓"",""✗"")"),"✗")</f>
        <v>✗</v>
      </c>
      <c r="R13" s="154" t="str">
        <f>IFERROR(__xludf.DUMMYFUNCTION("if(REGEXMATCH(join("", "",$G13:$H13),R$1)=TRUE,""✓"",""✗"")"),"✓")</f>
        <v>✓</v>
      </c>
      <c r="S13" s="154" t="str">
        <f>IFERROR(__xludf.DUMMYFUNCTION("if(REGEXMATCH(join("", "",$G13:$H13),S$1)=TRUE,""✓"",""✗"")"),"✓")</f>
        <v>✓</v>
      </c>
      <c r="T13" s="154" t="str">
        <f>IFERROR(__xludf.DUMMYFUNCTION("if(REGEXMATCH(join("", "",$G13:$H13),T$1)=TRUE,""✓"",""✗"")"),"✗")</f>
        <v>✗</v>
      </c>
      <c r="U13" s="154" t="str">
        <f>IFERROR(__xludf.DUMMYFUNCTION("if(REGEXMATCH(join("", "",$G13:$H13),U$1)=TRUE,""✓"",""✗"")"),"✓")</f>
        <v>✓</v>
      </c>
    </row>
    <row r="14">
      <c r="A14" s="159">
        <v>13.0</v>
      </c>
      <c r="B14" s="159" t="s">
        <v>5058</v>
      </c>
      <c r="C14" s="151" t="str">
        <f t="shared" si="1"/>
        <v>Björnsson et al., 2016</v>
      </c>
      <c r="D14" s="156" t="s">
        <v>5059</v>
      </c>
      <c r="E14" s="152" t="str">
        <f t="shared" si="2"/>
        <v>https://raw.githubusercontent.com/d-wkim/phd/refs/heads/main/data/pdf/björnsson_2016 .pdf</v>
      </c>
      <c r="F14" s="159" t="s">
        <v>109</v>
      </c>
      <c r="G14" s="159" t="s">
        <v>4362</v>
      </c>
      <c r="H14" s="159" t="s">
        <v>4383</v>
      </c>
      <c r="I14" s="154" t="str">
        <f>IFERROR(__xludf.DUMMYFUNCTION("if(REGEXMATCH(join("", "",$G14:$H14),I$1)=TRUE,""✓"",""✗"")"),"✓")</f>
        <v>✓</v>
      </c>
      <c r="J14" s="154" t="str">
        <f>IFERROR(__xludf.DUMMYFUNCTION("if(REGEXMATCH(join("", "",$G14:$H14),J$1)=TRUE,""✓"",""✗"")"),"✓")</f>
        <v>✓</v>
      </c>
      <c r="K14" s="154" t="str">
        <f>IFERROR(__xludf.DUMMYFUNCTION("if(REGEXMATCH(join("", "",$G14:$H14),K$1)=TRUE,""✓"",""✗"")"),"✗")</f>
        <v>✗</v>
      </c>
      <c r="L14" s="154" t="str">
        <f>IFERROR(__xludf.DUMMYFUNCTION("if(REGEXMATCH(join("", "",$G14:$H14),L$1)=TRUE,""✓"",""✗"")"),"✗")</f>
        <v>✗</v>
      </c>
      <c r="M14" s="154" t="str">
        <f>IFERROR(__xludf.DUMMYFUNCTION("if(REGEXMATCH(join("", "",$G14:$H14),M$1)=TRUE,""✓"",""✗"")"),"✗")</f>
        <v>✗</v>
      </c>
      <c r="N14" s="154" t="str">
        <f>IFERROR(__xludf.DUMMYFUNCTION("if(REGEXMATCH(join("", "",$G14:$H14),N$1)=TRUE,""✓"",""✗"")"),"✗")</f>
        <v>✗</v>
      </c>
      <c r="O14" s="154" t="str">
        <f>IFERROR(__xludf.DUMMYFUNCTION("if(REGEXMATCH(join("", "",$G14:$H14),O$1)=TRUE,""✓"",""✗"")"),"✓")</f>
        <v>✓</v>
      </c>
      <c r="P14" s="154" t="str">
        <f>IFERROR(__xludf.DUMMYFUNCTION("if(REGEXMATCH(join("", "",$G14:$H14),P$1)=TRUE,""✓"",""✗"")"),"✓")</f>
        <v>✓</v>
      </c>
      <c r="Q14" s="154" t="str">
        <f>IFERROR(__xludf.DUMMYFUNCTION("if(REGEXMATCH(join("", "",$G14:$H14),Q$1)=TRUE,""✓"",""✗"")"),"✓")</f>
        <v>✓</v>
      </c>
      <c r="R14" s="154" t="str">
        <f>IFERROR(__xludf.DUMMYFUNCTION("if(REGEXMATCH(join("", "",$G14:$H14),R$1)=TRUE,""✓"",""✗"")"),"✓")</f>
        <v>✓</v>
      </c>
      <c r="S14" s="154" t="str">
        <f>IFERROR(__xludf.DUMMYFUNCTION("if(REGEXMATCH(join("", "",$G14:$H14),S$1)=TRUE,""✓"",""✗"")"),"✗")</f>
        <v>✗</v>
      </c>
      <c r="T14" s="154" t="str">
        <f>IFERROR(__xludf.DUMMYFUNCTION("if(REGEXMATCH(join("", "",$G14:$H14),T$1)=TRUE,""✓"",""✗"")"),"✗")</f>
        <v>✗</v>
      </c>
      <c r="U14" s="154" t="str">
        <f>IFERROR(__xludf.DUMMYFUNCTION("if(REGEXMATCH(join("", "",$G14:$H14),U$1)=TRUE,""✓"",""✗"")"),"✗")</f>
        <v>✗</v>
      </c>
    </row>
    <row r="15">
      <c r="A15" s="159">
        <v>14.0</v>
      </c>
      <c r="B15" s="159" t="s">
        <v>5061</v>
      </c>
      <c r="C15" s="151" t="str">
        <f t="shared" si="1"/>
        <v>Bottoni et al., 2015</v>
      </c>
      <c r="D15" s="156" t="s">
        <v>5062</v>
      </c>
      <c r="E15" s="152" t="str">
        <f t="shared" si="2"/>
        <v>https://raw.githubusercontent.com/d-wkim/phd/refs/heads/main/data/pdf/bottoni_2015 .pdf</v>
      </c>
      <c r="F15" s="159" t="s">
        <v>109</v>
      </c>
      <c r="G15" s="161" t="s">
        <v>4385</v>
      </c>
      <c r="H15" s="161" t="s">
        <v>4387</v>
      </c>
      <c r="I15" s="154" t="str">
        <f>IFERROR(__xludf.DUMMYFUNCTION("if(REGEXMATCH(join("", "",$G15:$H15),I$1)=TRUE,""✓"",""✗"")"),"✗")</f>
        <v>✗</v>
      </c>
      <c r="J15" s="154" t="str">
        <f>IFERROR(__xludf.DUMMYFUNCTION("if(REGEXMATCH(join("", "",$G15:$H15),J$1)=TRUE,""✓"",""✗"")"),"✓")</f>
        <v>✓</v>
      </c>
      <c r="K15" s="154" t="str">
        <f>IFERROR(__xludf.DUMMYFUNCTION("if(REGEXMATCH(join("", "",$G15:$H15),K$1)=TRUE,""✓"",""✗"")"),"✗")</f>
        <v>✗</v>
      </c>
      <c r="L15" s="154" t="str">
        <f>IFERROR(__xludf.DUMMYFUNCTION("if(REGEXMATCH(join("", "",$G15:$H15),L$1)=TRUE,""✓"",""✗"")"),"✗")</f>
        <v>✗</v>
      </c>
      <c r="M15" s="154" t="str">
        <f>IFERROR(__xludf.DUMMYFUNCTION("if(REGEXMATCH(join("", "",$G15:$H15),M$1)=TRUE,""✓"",""✗"")"),"✗")</f>
        <v>✗</v>
      </c>
      <c r="N15" s="154" t="str">
        <f>IFERROR(__xludf.DUMMYFUNCTION("if(REGEXMATCH(join("", "",$G15:$H15),N$1)=TRUE,""✓"",""✗"")"),"✓")</f>
        <v>✓</v>
      </c>
      <c r="O15" s="154" t="str">
        <f>IFERROR(__xludf.DUMMYFUNCTION("if(REGEXMATCH(join("", "",$G15:$H15),O$1)=TRUE,""✓"",""✗"")"),"✓")</f>
        <v>✓</v>
      </c>
      <c r="P15" s="154" t="str">
        <f>IFERROR(__xludf.DUMMYFUNCTION("if(REGEXMATCH(join("", "",$G15:$H15),P$1)=TRUE,""✓"",""✗"")"),"✗")</f>
        <v>✗</v>
      </c>
      <c r="Q15" s="154" t="str">
        <f>IFERROR(__xludf.DUMMYFUNCTION("if(REGEXMATCH(join("", "",$G15:$H15),Q$1)=TRUE,""✓"",""✗"")"),"✓")</f>
        <v>✓</v>
      </c>
      <c r="R15" s="154" t="str">
        <f>IFERROR(__xludf.DUMMYFUNCTION("if(REGEXMATCH(join("", "",$G15:$H15),R$1)=TRUE,""✓"",""✗"")"),"✗")</f>
        <v>✗</v>
      </c>
      <c r="S15" s="154" t="str">
        <f>IFERROR(__xludf.DUMMYFUNCTION("if(REGEXMATCH(join("", "",$G15:$H15),S$1)=TRUE,""✓"",""✗"")"),"✗")</f>
        <v>✗</v>
      </c>
      <c r="T15" s="154" t="str">
        <f>IFERROR(__xludf.DUMMYFUNCTION("if(REGEXMATCH(join("", "",$G15:$H15),T$1)=TRUE,""✓"",""✗"")"),"✗")</f>
        <v>✗</v>
      </c>
      <c r="U15" s="154" t="str">
        <f>IFERROR(__xludf.DUMMYFUNCTION("if(REGEXMATCH(join("", "",$G15:$H15),U$1)=TRUE,""✓"",""✗"")"),"✗")</f>
        <v>✗</v>
      </c>
    </row>
    <row r="16">
      <c r="A16" s="159">
        <v>15.0</v>
      </c>
      <c r="B16" s="159" t="s">
        <v>5063</v>
      </c>
      <c r="C16" s="162" t="str">
        <f t="shared" si="1"/>
        <v>Brand et al., 2000</v>
      </c>
      <c r="D16" s="159" t="s">
        <v>5064</v>
      </c>
      <c r="E16" s="152" t="str">
        <f t="shared" si="2"/>
        <v>https://raw.githubusercontent.com/d-wkim/phd/refs/heads/main/data/pdf/brand_2000 .pdf</v>
      </c>
      <c r="F16" s="159" t="s">
        <v>174</v>
      </c>
      <c r="G16" s="161"/>
      <c r="H16" s="159" t="s">
        <v>4980</v>
      </c>
      <c r="I16" s="154" t="str">
        <f>IFERROR(__xludf.DUMMYFUNCTION("if(REGEXMATCH(join("", "",$G16:$H16),I$1)=TRUE,""✓"",""✗"")"),"✗")</f>
        <v>✗</v>
      </c>
      <c r="J16" s="154" t="str">
        <f>IFERROR(__xludf.DUMMYFUNCTION("if(REGEXMATCH(join("", "",$G16:$H16),J$1)=TRUE,""✓"",""✗"")"),"✗")</f>
        <v>✗</v>
      </c>
      <c r="K16" s="154" t="str">
        <f>IFERROR(__xludf.DUMMYFUNCTION("if(REGEXMATCH(join("", "",$G16:$H16),K$1)=TRUE,""✓"",""✗"")"),"✗")</f>
        <v>✗</v>
      </c>
      <c r="L16" s="154" t="str">
        <f>IFERROR(__xludf.DUMMYFUNCTION("if(REGEXMATCH(join("", "",$G16:$H16),L$1)=TRUE,""✓"",""✗"")"),"✗")</f>
        <v>✗</v>
      </c>
      <c r="M16" s="154" t="str">
        <f>IFERROR(__xludf.DUMMYFUNCTION("if(REGEXMATCH(join("", "",$G16:$H16),M$1)=TRUE,""✓"",""✗"")"),"✗")</f>
        <v>✗</v>
      </c>
      <c r="N16" s="154" t="str">
        <f>IFERROR(__xludf.DUMMYFUNCTION("if(REGEXMATCH(join("", "",$G16:$H16),N$1)=TRUE,""✓"",""✗"")"),"✗")</f>
        <v>✗</v>
      </c>
      <c r="O16" s="154" t="str">
        <f>IFERROR(__xludf.DUMMYFUNCTION("if(REGEXMATCH(join("", "",$G16:$H16),O$1)=TRUE,""✓"",""✗"")"),"✗")</f>
        <v>✗</v>
      </c>
      <c r="P16" s="154" t="str">
        <f>IFERROR(__xludf.DUMMYFUNCTION("if(REGEXMATCH(join("", "",$G16:$H16),P$1)=TRUE,""✓"",""✗"")"),"✗")</f>
        <v>✗</v>
      </c>
      <c r="Q16" s="154" t="str">
        <f>IFERROR(__xludf.DUMMYFUNCTION("if(REGEXMATCH(join("", "",$G16:$H16),Q$1)=TRUE,""✓"",""✗"")"),"✗")</f>
        <v>✗</v>
      </c>
      <c r="R16" s="154" t="str">
        <f>IFERROR(__xludf.DUMMYFUNCTION("if(REGEXMATCH(join("", "",$G16:$H16),R$1)=TRUE,""✓"",""✗"")"),"✗")</f>
        <v>✗</v>
      </c>
      <c r="S16" s="154" t="str">
        <f>IFERROR(__xludf.DUMMYFUNCTION("if(REGEXMATCH(join("", "",$G16:$H16),S$1)=TRUE,""✓"",""✗"")"),"✗")</f>
        <v>✗</v>
      </c>
      <c r="T16" s="154" t="str">
        <f>IFERROR(__xludf.DUMMYFUNCTION("if(REGEXMATCH(join("", "",$G16:$H16),T$1)=TRUE,""✓"",""✗"")"),"✗")</f>
        <v>✗</v>
      </c>
      <c r="U16" s="154" t="str">
        <f>IFERROR(__xludf.DUMMYFUNCTION("if(REGEXMATCH(join("", "",$G16:$H16),U$1)=TRUE,""✓"",""✗"")"),"✗")</f>
        <v>✗</v>
      </c>
    </row>
    <row r="17">
      <c r="A17" s="159">
        <v>16.0</v>
      </c>
      <c r="B17" s="159" t="s">
        <v>5066</v>
      </c>
      <c r="C17" s="151" t="str">
        <f t="shared" si="1"/>
        <v>Breker et al., 2025</v>
      </c>
      <c r="D17" s="156" t="s">
        <v>5067</v>
      </c>
      <c r="E17" s="152" t="str">
        <f t="shared" si="2"/>
        <v>https://raw.githubusercontent.com/d-wkim/phd/refs/heads/main/data/pdf/breker_2025 .pdf</v>
      </c>
      <c r="F17" s="159" t="s">
        <v>174</v>
      </c>
      <c r="G17" s="159" t="s">
        <v>4362</v>
      </c>
      <c r="H17" s="159" t="s">
        <v>317</v>
      </c>
      <c r="I17" s="154" t="str">
        <f>IFERROR(__xludf.DUMMYFUNCTION("if(REGEXMATCH(join("", "",$G17:$H17),I$1)=TRUE,""✓"",""✗"")"),"✓")</f>
        <v>✓</v>
      </c>
      <c r="J17" s="154" t="str">
        <f>IFERROR(__xludf.DUMMYFUNCTION("if(REGEXMATCH(join("", "",$G17:$H17),J$1)=TRUE,""✓"",""✗"")"),"✓")</f>
        <v>✓</v>
      </c>
      <c r="K17" s="154" t="str">
        <f>IFERROR(__xludf.DUMMYFUNCTION("if(REGEXMATCH(join("", "",$G17:$H17),K$1)=TRUE,""✓"",""✗"")"),"✗")</f>
        <v>✗</v>
      </c>
      <c r="L17" s="154" t="str">
        <f>IFERROR(__xludf.DUMMYFUNCTION("if(REGEXMATCH(join("", "",$G17:$H17),L$1)=TRUE,""✓"",""✗"")"),"✗")</f>
        <v>✗</v>
      </c>
      <c r="M17" s="154" t="str">
        <f>IFERROR(__xludf.DUMMYFUNCTION("if(REGEXMATCH(join("", "",$G17:$H17),M$1)=TRUE,""✓"",""✗"")"),"✗")</f>
        <v>✗</v>
      </c>
      <c r="N17" s="154" t="str">
        <f>IFERROR(__xludf.DUMMYFUNCTION("if(REGEXMATCH(join("", "",$G17:$H17),N$1)=TRUE,""✓"",""✗"")"),"✗")</f>
        <v>✗</v>
      </c>
      <c r="O17" s="154" t="str">
        <f>IFERROR(__xludf.DUMMYFUNCTION("if(REGEXMATCH(join("", "",$G17:$H17),O$1)=TRUE,""✓"",""✗"")"),"✗")</f>
        <v>✗</v>
      </c>
      <c r="P17" s="154" t="str">
        <f>IFERROR(__xludf.DUMMYFUNCTION("if(REGEXMATCH(join("", "",$G17:$H17),P$1)=TRUE,""✓"",""✗"")"),"✗")</f>
        <v>✗</v>
      </c>
      <c r="Q17" s="154" t="str">
        <f>IFERROR(__xludf.DUMMYFUNCTION("if(REGEXMATCH(join("", "",$G17:$H17),Q$1)=TRUE,""✓"",""✗"")"),"✗")</f>
        <v>✗</v>
      </c>
      <c r="R17" s="154" t="str">
        <f>IFERROR(__xludf.DUMMYFUNCTION("if(REGEXMATCH(join("", "",$G17:$H17),R$1)=TRUE,""✓"",""✗"")"),"✓")</f>
        <v>✓</v>
      </c>
      <c r="S17" s="154" t="str">
        <f>IFERROR(__xludf.DUMMYFUNCTION("if(REGEXMATCH(join("", "",$G17:$H17),S$1)=TRUE,""✓"",""✗"")"),"✗")</f>
        <v>✗</v>
      </c>
      <c r="T17" s="154" t="str">
        <f>IFERROR(__xludf.DUMMYFUNCTION("if(REGEXMATCH(join("", "",$G17:$H17),T$1)=TRUE,""✓"",""✗"")"),"✗")</f>
        <v>✗</v>
      </c>
      <c r="U17" s="154" t="str">
        <f>IFERROR(__xludf.DUMMYFUNCTION("if(REGEXMATCH(join("", "",$G17:$H17),U$1)=TRUE,""✓"",""✗"")"),"✗")</f>
        <v>✗</v>
      </c>
    </row>
    <row r="18">
      <c r="A18" s="159">
        <v>17.0</v>
      </c>
      <c r="B18" s="159" t="s">
        <v>5069</v>
      </c>
      <c r="C18" s="162" t="str">
        <f t="shared" si="1"/>
        <v>Buescu et al., 2017</v>
      </c>
      <c r="D18" s="159" t="s">
        <v>5070</v>
      </c>
      <c r="E18" s="152" t="str">
        <f t="shared" si="2"/>
        <v>https://raw.githubusercontent.com/d-wkim/phd/refs/heads/main/data/pdf/buescu_2017 .pdf</v>
      </c>
      <c r="F18" s="159" t="s">
        <v>174</v>
      </c>
      <c r="G18" s="161"/>
      <c r="H18" s="159" t="s">
        <v>4980</v>
      </c>
      <c r="I18" s="154" t="str">
        <f>IFERROR(__xludf.DUMMYFUNCTION("if(REGEXMATCH(join("", "",$G18:$H18),I$1)=TRUE,""✓"",""✗"")"),"✗")</f>
        <v>✗</v>
      </c>
      <c r="J18" s="154" t="str">
        <f>IFERROR(__xludf.DUMMYFUNCTION("if(REGEXMATCH(join("", "",$G18:$H18),J$1)=TRUE,""✓"",""✗"")"),"✗")</f>
        <v>✗</v>
      </c>
      <c r="K18" s="154" t="str">
        <f>IFERROR(__xludf.DUMMYFUNCTION("if(REGEXMATCH(join("", "",$G18:$H18),K$1)=TRUE,""✓"",""✗"")"),"✗")</f>
        <v>✗</v>
      </c>
      <c r="L18" s="154" t="str">
        <f>IFERROR(__xludf.DUMMYFUNCTION("if(REGEXMATCH(join("", "",$G18:$H18),L$1)=TRUE,""✓"",""✗"")"),"✗")</f>
        <v>✗</v>
      </c>
      <c r="M18" s="154" t="str">
        <f>IFERROR(__xludf.DUMMYFUNCTION("if(REGEXMATCH(join("", "",$G18:$H18),M$1)=TRUE,""✓"",""✗"")"),"✗")</f>
        <v>✗</v>
      </c>
      <c r="N18" s="154" t="str">
        <f>IFERROR(__xludf.DUMMYFUNCTION("if(REGEXMATCH(join("", "",$G18:$H18),N$1)=TRUE,""✓"",""✗"")"),"✗")</f>
        <v>✗</v>
      </c>
      <c r="O18" s="154" t="str">
        <f>IFERROR(__xludf.DUMMYFUNCTION("if(REGEXMATCH(join("", "",$G18:$H18),O$1)=TRUE,""✓"",""✗"")"),"✗")</f>
        <v>✗</v>
      </c>
      <c r="P18" s="154" t="str">
        <f>IFERROR(__xludf.DUMMYFUNCTION("if(REGEXMATCH(join("", "",$G18:$H18),P$1)=TRUE,""✓"",""✗"")"),"✗")</f>
        <v>✗</v>
      </c>
      <c r="Q18" s="154" t="str">
        <f>IFERROR(__xludf.DUMMYFUNCTION("if(REGEXMATCH(join("", "",$G18:$H18),Q$1)=TRUE,""✓"",""✗"")"),"✗")</f>
        <v>✗</v>
      </c>
      <c r="R18" s="154" t="str">
        <f>IFERROR(__xludf.DUMMYFUNCTION("if(REGEXMATCH(join("", "",$G18:$H18),R$1)=TRUE,""✓"",""✗"")"),"✗")</f>
        <v>✗</v>
      </c>
      <c r="S18" s="154" t="str">
        <f>IFERROR(__xludf.DUMMYFUNCTION("if(REGEXMATCH(join("", "",$G18:$H18),S$1)=TRUE,""✓"",""✗"")"),"✗")</f>
        <v>✗</v>
      </c>
      <c r="T18" s="154" t="str">
        <f>IFERROR(__xludf.DUMMYFUNCTION("if(REGEXMATCH(join("", "",$G18:$H18),T$1)=TRUE,""✓"",""✗"")"),"✗")</f>
        <v>✗</v>
      </c>
      <c r="U18" s="154" t="str">
        <f>IFERROR(__xludf.DUMMYFUNCTION("if(REGEXMATCH(join("", "",$G18:$H18),U$1)=TRUE,""✓"",""✗"")"),"✗")</f>
        <v>✗</v>
      </c>
    </row>
    <row r="19">
      <c r="A19" s="159">
        <v>18.0</v>
      </c>
      <c r="B19" s="159" t="s">
        <v>5072</v>
      </c>
      <c r="C19" s="151" t="str">
        <f t="shared" si="1"/>
        <v>Butt et al., 2024</v>
      </c>
      <c r="D19" s="156" t="s">
        <v>5073</v>
      </c>
      <c r="E19" s="152" t="str">
        <f t="shared" si="2"/>
        <v>https://raw.githubusercontent.com/d-wkim/phd/refs/heads/main/data/pdf/butt_2024 .pdf</v>
      </c>
      <c r="F19" s="159" t="s">
        <v>109</v>
      </c>
      <c r="G19" s="161" t="s">
        <v>4381</v>
      </c>
      <c r="H19" s="159" t="s">
        <v>4390</v>
      </c>
      <c r="I19" s="154" t="str">
        <f>IFERROR(__xludf.DUMMYFUNCTION("if(REGEXMATCH(join("", "",$G19:$H19),I$1)=TRUE,""✓"",""✗"")"),"✗")</f>
        <v>✗</v>
      </c>
      <c r="J19" s="154" t="str">
        <f>IFERROR(__xludf.DUMMYFUNCTION("if(REGEXMATCH(join("", "",$G19:$H19),J$1)=TRUE,""✓"",""✗"")"),"✓")</f>
        <v>✓</v>
      </c>
      <c r="K19" s="154" t="str">
        <f>IFERROR(__xludf.DUMMYFUNCTION("if(REGEXMATCH(join("", "",$G19:$H19),K$1)=TRUE,""✓"",""✗"")"),"✗")</f>
        <v>✗</v>
      </c>
      <c r="L19" s="154" t="str">
        <f>IFERROR(__xludf.DUMMYFUNCTION("if(REGEXMATCH(join("", "",$G19:$H19),L$1)=TRUE,""✓"",""✗"")"),"✓")</f>
        <v>✓</v>
      </c>
      <c r="M19" s="154" t="str">
        <f>IFERROR(__xludf.DUMMYFUNCTION("if(REGEXMATCH(join("", "",$G19:$H19),M$1)=TRUE,""✓"",""✗"")"),"✗")</f>
        <v>✗</v>
      </c>
      <c r="N19" s="154" t="str">
        <f>IFERROR(__xludf.DUMMYFUNCTION("if(REGEXMATCH(join("", "",$G19:$H19),N$1)=TRUE,""✓"",""✗"")"),"✗")</f>
        <v>✗</v>
      </c>
      <c r="O19" s="154" t="str">
        <f>IFERROR(__xludf.DUMMYFUNCTION("if(REGEXMATCH(join("", "",$G19:$H19),O$1)=TRUE,""✓"",""✗"")"),"✓")</f>
        <v>✓</v>
      </c>
      <c r="P19" s="154" t="str">
        <f>IFERROR(__xludf.DUMMYFUNCTION("if(REGEXMATCH(join("", "",$G19:$H19),P$1)=TRUE,""✓"",""✗"")"),"✓")</f>
        <v>✓</v>
      </c>
      <c r="Q19" s="154" t="str">
        <f>IFERROR(__xludf.DUMMYFUNCTION("if(REGEXMATCH(join("", "",$G19:$H19),Q$1)=TRUE,""✓"",""✗"")"),"✗")</f>
        <v>✗</v>
      </c>
      <c r="R19" s="154" t="str">
        <f>IFERROR(__xludf.DUMMYFUNCTION("if(REGEXMATCH(join("", "",$G19:$H19),R$1)=TRUE,""✓"",""✗"")"),"✗")</f>
        <v>✗</v>
      </c>
      <c r="S19" s="154" t="str">
        <f>IFERROR(__xludf.DUMMYFUNCTION("if(REGEXMATCH(join("", "",$G19:$H19),S$1)=TRUE,""✓"",""✗"")"),"✓")</f>
        <v>✓</v>
      </c>
      <c r="T19" s="154" t="str">
        <f>IFERROR(__xludf.DUMMYFUNCTION("if(REGEXMATCH(join("", "",$G19:$H19),T$1)=TRUE,""✓"",""✗"")"),"✓")</f>
        <v>✓</v>
      </c>
      <c r="U19" s="154" t="str">
        <f>IFERROR(__xludf.DUMMYFUNCTION("if(REGEXMATCH(join("", "",$G19:$H19),U$1)=TRUE,""✓"",""✗"")"),"✗")</f>
        <v>✗</v>
      </c>
    </row>
    <row r="20">
      <c r="A20" s="159">
        <v>19.0</v>
      </c>
      <c r="B20" s="159" t="s">
        <v>5075</v>
      </c>
      <c r="C20" s="151" t="str">
        <f t="shared" si="1"/>
        <v>Calvert et al., 2025</v>
      </c>
      <c r="D20" s="156" t="s">
        <v>5076</v>
      </c>
      <c r="E20" s="152" t="str">
        <f t="shared" si="2"/>
        <v>https://raw.githubusercontent.com/d-wkim/phd/refs/heads/main/data/pdf/calvert_2025 .pdf</v>
      </c>
      <c r="F20" s="159" t="s">
        <v>109</v>
      </c>
      <c r="G20" s="161" t="s">
        <v>4391</v>
      </c>
      <c r="H20" s="159" t="s">
        <v>4392</v>
      </c>
      <c r="I20" s="154" t="str">
        <f>IFERROR(__xludf.DUMMYFUNCTION("if(REGEXMATCH(join("", "",$G20:$H20),I$1)=TRUE,""✓"",""✗"")"),"✗")</f>
        <v>✗</v>
      </c>
      <c r="J20" s="154" t="str">
        <f>IFERROR(__xludf.DUMMYFUNCTION("if(REGEXMATCH(join("", "",$G20:$H20),J$1)=TRUE,""✓"",""✗"")"),"✓")</f>
        <v>✓</v>
      </c>
      <c r="K20" s="154" t="str">
        <f>IFERROR(__xludf.DUMMYFUNCTION("if(REGEXMATCH(join("", "",$G20:$H20),K$1)=TRUE,""✓"",""✗"")"),"✓")</f>
        <v>✓</v>
      </c>
      <c r="L20" s="154" t="str">
        <f>IFERROR(__xludf.DUMMYFUNCTION("if(REGEXMATCH(join("", "",$G20:$H20),L$1)=TRUE,""✓"",""✗"")"),"✗")</f>
        <v>✗</v>
      </c>
      <c r="M20" s="154" t="str">
        <f>IFERROR(__xludf.DUMMYFUNCTION("if(REGEXMATCH(join("", "",$G20:$H20),M$1)=TRUE,""✓"",""✗"")"),"✗")</f>
        <v>✗</v>
      </c>
      <c r="N20" s="154" t="str">
        <f>IFERROR(__xludf.DUMMYFUNCTION("if(REGEXMATCH(join("", "",$G20:$H20),N$1)=TRUE,""✓"",""✗"")"),"✗")</f>
        <v>✗</v>
      </c>
      <c r="O20" s="154" t="str">
        <f>IFERROR(__xludf.DUMMYFUNCTION("if(REGEXMATCH(join("", "",$G20:$H20),O$1)=TRUE,""✓"",""✗"")"),"✓")</f>
        <v>✓</v>
      </c>
      <c r="P20" s="154" t="str">
        <f>IFERROR(__xludf.DUMMYFUNCTION("if(REGEXMATCH(join("", "",$G20:$H20),P$1)=TRUE,""✓"",""✗"")"),"✗")</f>
        <v>✗</v>
      </c>
      <c r="Q20" s="154" t="str">
        <f>IFERROR(__xludf.DUMMYFUNCTION("if(REGEXMATCH(join("", "",$G20:$H20),Q$1)=TRUE,""✓"",""✗"")"),"✗")</f>
        <v>✗</v>
      </c>
      <c r="R20" s="154" t="str">
        <f>IFERROR(__xludf.DUMMYFUNCTION("if(REGEXMATCH(join("", "",$G20:$H20),R$1)=TRUE,""✓"",""✗"")"),"✓")</f>
        <v>✓</v>
      </c>
      <c r="S20" s="154" t="str">
        <f>IFERROR(__xludf.DUMMYFUNCTION("if(REGEXMATCH(join("", "",$G20:$H20),S$1)=TRUE,""✓"",""✗"")"),"✗")</f>
        <v>✗</v>
      </c>
      <c r="T20" s="154" t="str">
        <f>IFERROR(__xludf.DUMMYFUNCTION("if(REGEXMATCH(join("", "",$G20:$H20),T$1)=TRUE,""✓"",""✗"")"),"✗")</f>
        <v>✗</v>
      </c>
      <c r="U20" s="154" t="str">
        <f>IFERROR(__xludf.DUMMYFUNCTION("if(REGEXMATCH(join("", "",$G20:$H20),U$1)=TRUE,""✓"",""✗"")"),"✗")</f>
        <v>✗</v>
      </c>
    </row>
    <row r="21">
      <c r="A21" s="159">
        <v>20.0</v>
      </c>
      <c r="B21" s="159" t="s">
        <v>5078</v>
      </c>
      <c r="C21" s="162" t="str">
        <f t="shared" si="1"/>
        <v>Carter &amp; Edinger et al., 1999</v>
      </c>
      <c r="D21" s="159" t="s">
        <v>5079</v>
      </c>
      <c r="E21" s="152" t="str">
        <f t="shared" si="2"/>
        <v>https://raw.githubusercontent.com/d-wkim/phd/refs/heads/main/data/pdf/carter &amp; edinger_1999 .pdf</v>
      </c>
      <c r="F21" s="159" t="s">
        <v>174</v>
      </c>
      <c r="G21" s="159"/>
      <c r="H21" s="159" t="s">
        <v>4980</v>
      </c>
      <c r="I21" s="154" t="str">
        <f>IFERROR(__xludf.DUMMYFUNCTION("if(REGEXMATCH(join("", "",$G21:$H21),I$1)=TRUE,""✓"",""✗"")"),"✗")</f>
        <v>✗</v>
      </c>
      <c r="J21" s="154" t="str">
        <f>IFERROR(__xludf.DUMMYFUNCTION("if(REGEXMATCH(join("", "",$G21:$H21),J$1)=TRUE,""✓"",""✗"")"),"✗")</f>
        <v>✗</v>
      </c>
      <c r="K21" s="154" t="str">
        <f>IFERROR(__xludf.DUMMYFUNCTION("if(REGEXMATCH(join("", "",$G21:$H21),K$1)=TRUE,""✓"",""✗"")"),"✗")</f>
        <v>✗</v>
      </c>
      <c r="L21" s="154" t="str">
        <f>IFERROR(__xludf.DUMMYFUNCTION("if(REGEXMATCH(join("", "",$G21:$H21),L$1)=TRUE,""✓"",""✗"")"),"✗")</f>
        <v>✗</v>
      </c>
      <c r="M21" s="154" t="str">
        <f>IFERROR(__xludf.DUMMYFUNCTION("if(REGEXMATCH(join("", "",$G21:$H21),M$1)=TRUE,""✓"",""✗"")"),"✗")</f>
        <v>✗</v>
      </c>
      <c r="N21" s="154" t="str">
        <f>IFERROR(__xludf.DUMMYFUNCTION("if(REGEXMATCH(join("", "",$G21:$H21),N$1)=TRUE,""✓"",""✗"")"),"✗")</f>
        <v>✗</v>
      </c>
      <c r="O21" s="154" t="str">
        <f>IFERROR(__xludf.DUMMYFUNCTION("if(REGEXMATCH(join("", "",$G21:$H21),O$1)=TRUE,""✓"",""✗"")"),"✗")</f>
        <v>✗</v>
      </c>
      <c r="P21" s="154" t="str">
        <f>IFERROR(__xludf.DUMMYFUNCTION("if(REGEXMATCH(join("", "",$G21:$H21),P$1)=TRUE,""✓"",""✗"")"),"✗")</f>
        <v>✗</v>
      </c>
      <c r="Q21" s="154" t="str">
        <f>IFERROR(__xludf.DUMMYFUNCTION("if(REGEXMATCH(join("", "",$G21:$H21),Q$1)=TRUE,""✓"",""✗"")"),"✗")</f>
        <v>✗</v>
      </c>
      <c r="R21" s="154" t="str">
        <f>IFERROR(__xludf.DUMMYFUNCTION("if(REGEXMATCH(join("", "",$G21:$H21),R$1)=TRUE,""✓"",""✗"")"),"✗")</f>
        <v>✗</v>
      </c>
      <c r="S21" s="154" t="str">
        <f>IFERROR(__xludf.DUMMYFUNCTION("if(REGEXMATCH(join("", "",$G21:$H21),S$1)=TRUE,""✓"",""✗"")"),"✗")</f>
        <v>✗</v>
      </c>
      <c r="T21" s="154" t="str">
        <f>IFERROR(__xludf.DUMMYFUNCTION("if(REGEXMATCH(join("", "",$G21:$H21),T$1)=TRUE,""✓"",""✗"")"),"✗")</f>
        <v>✗</v>
      </c>
      <c r="U21" s="154" t="str">
        <f>IFERROR(__xludf.DUMMYFUNCTION("if(REGEXMATCH(join("", "",$G21:$H21),U$1)=TRUE,""✓"",""✗"")"),"✗")</f>
        <v>✗</v>
      </c>
    </row>
    <row r="22">
      <c r="A22" s="159">
        <v>21.0</v>
      </c>
      <c r="B22" s="159" t="s">
        <v>5082</v>
      </c>
      <c r="C22" s="162" t="str">
        <f t="shared" si="1"/>
        <v>Covey et al., 2018</v>
      </c>
      <c r="D22" s="159" t="s">
        <v>5083</v>
      </c>
      <c r="E22" s="152" t="str">
        <f t="shared" si="2"/>
        <v>https://raw.githubusercontent.com/d-wkim/phd/refs/heads/main/data/pdf/covey_2018 .pdf</v>
      </c>
      <c r="F22" s="159" t="s">
        <v>174</v>
      </c>
      <c r="G22" s="159"/>
      <c r="H22" s="159" t="s">
        <v>4980</v>
      </c>
      <c r="I22" s="154" t="str">
        <f>IFERROR(__xludf.DUMMYFUNCTION("if(REGEXMATCH(join("", "",$G22:$H22),I$1)=TRUE,""✓"",""✗"")"),"✗")</f>
        <v>✗</v>
      </c>
      <c r="J22" s="154" t="str">
        <f>IFERROR(__xludf.DUMMYFUNCTION("if(REGEXMATCH(join("", "",$G22:$H22),J$1)=TRUE,""✓"",""✗"")"),"✗")</f>
        <v>✗</v>
      </c>
      <c r="K22" s="154" t="str">
        <f>IFERROR(__xludf.DUMMYFUNCTION("if(REGEXMATCH(join("", "",$G22:$H22),K$1)=TRUE,""✓"",""✗"")"),"✗")</f>
        <v>✗</v>
      </c>
      <c r="L22" s="154" t="str">
        <f>IFERROR(__xludf.DUMMYFUNCTION("if(REGEXMATCH(join("", "",$G22:$H22),L$1)=TRUE,""✓"",""✗"")"),"✗")</f>
        <v>✗</v>
      </c>
      <c r="M22" s="154" t="str">
        <f>IFERROR(__xludf.DUMMYFUNCTION("if(REGEXMATCH(join("", "",$G22:$H22),M$1)=TRUE,""✓"",""✗"")"),"✗")</f>
        <v>✗</v>
      </c>
      <c r="N22" s="154" t="str">
        <f>IFERROR(__xludf.DUMMYFUNCTION("if(REGEXMATCH(join("", "",$G22:$H22),N$1)=TRUE,""✓"",""✗"")"),"✗")</f>
        <v>✗</v>
      </c>
      <c r="O22" s="154" t="str">
        <f>IFERROR(__xludf.DUMMYFUNCTION("if(REGEXMATCH(join("", "",$G22:$H22),O$1)=TRUE,""✓"",""✗"")"),"✗")</f>
        <v>✗</v>
      </c>
      <c r="P22" s="154" t="str">
        <f>IFERROR(__xludf.DUMMYFUNCTION("if(REGEXMATCH(join("", "",$G22:$H22),P$1)=TRUE,""✓"",""✗"")"),"✗")</f>
        <v>✗</v>
      </c>
      <c r="Q22" s="154" t="str">
        <f>IFERROR(__xludf.DUMMYFUNCTION("if(REGEXMATCH(join("", "",$G22:$H22),Q$1)=TRUE,""✓"",""✗"")"),"✗")</f>
        <v>✗</v>
      </c>
      <c r="R22" s="154" t="str">
        <f>IFERROR(__xludf.DUMMYFUNCTION("if(REGEXMATCH(join("", "",$G22:$H22),R$1)=TRUE,""✓"",""✗"")"),"✗")</f>
        <v>✗</v>
      </c>
      <c r="S22" s="154" t="str">
        <f>IFERROR(__xludf.DUMMYFUNCTION("if(REGEXMATCH(join("", "",$G22:$H22),S$1)=TRUE,""✓"",""✗"")"),"✗")</f>
        <v>✗</v>
      </c>
      <c r="T22" s="154" t="str">
        <f>IFERROR(__xludf.DUMMYFUNCTION("if(REGEXMATCH(join("", "",$G22:$H22),T$1)=TRUE,""✓"",""✗"")"),"✗")</f>
        <v>✗</v>
      </c>
      <c r="U22" s="154" t="str">
        <f>IFERROR(__xludf.DUMMYFUNCTION("if(REGEXMATCH(join("", "",$G22:$H22),U$1)=TRUE,""✓"",""✗"")"),"✗")</f>
        <v>✗</v>
      </c>
    </row>
    <row r="23">
      <c r="A23" s="159">
        <v>22.0</v>
      </c>
      <c r="B23" s="159" t="s">
        <v>5085</v>
      </c>
      <c r="C23" s="151" t="str">
        <f t="shared" si="1"/>
        <v>Cruz et al., 2022</v>
      </c>
      <c r="D23" s="156" t="s">
        <v>5086</v>
      </c>
      <c r="E23" s="152" t="str">
        <f t="shared" si="2"/>
        <v>https://raw.githubusercontent.com/d-wkim/phd/refs/heads/main/data/pdf/cruz_2022 .pdf</v>
      </c>
      <c r="F23" s="159" t="s">
        <v>174</v>
      </c>
      <c r="G23" s="161" t="s">
        <v>4385</v>
      </c>
      <c r="H23" s="161" t="s">
        <v>4370</v>
      </c>
      <c r="I23" s="154" t="str">
        <f>IFERROR(__xludf.DUMMYFUNCTION("if(REGEXMATCH(join("", "",$G23:$H23),I$1)=TRUE,""✓"",""✗"")"),"✗")</f>
        <v>✗</v>
      </c>
      <c r="J23" s="154" t="str">
        <f>IFERROR(__xludf.DUMMYFUNCTION("if(REGEXMATCH(join("", "",$G23:$H23),J$1)=TRUE,""✓"",""✗"")"),"✓")</f>
        <v>✓</v>
      </c>
      <c r="K23" s="154" t="str">
        <f>IFERROR(__xludf.DUMMYFUNCTION("if(REGEXMATCH(join("", "",$G23:$H23),K$1)=TRUE,""✓"",""✗"")"),"✗")</f>
        <v>✗</v>
      </c>
      <c r="L23" s="154" t="str">
        <f>IFERROR(__xludf.DUMMYFUNCTION("if(REGEXMATCH(join("", "",$G23:$H23),L$1)=TRUE,""✓"",""✗"")"),"✗")</f>
        <v>✗</v>
      </c>
      <c r="M23" s="154" t="str">
        <f>IFERROR(__xludf.DUMMYFUNCTION("if(REGEXMATCH(join("", "",$G23:$H23),M$1)=TRUE,""✓"",""✗"")"),"✗")</f>
        <v>✗</v>
      </c>
      <c r="N23" s="154" t="str">
        <f>IFERROR(__xludf.DUMMYFUNCTION("if(REGEXMATCH(join("", "",$G23:$H23),N$1)=TRUE,""✓"",""✗"")"),"✓")</f>
        <v>✓</v>
      </c>
      <c r="O23" s="154" t="str">
        <f>IFERROR(__xludf.DUMMYFUNCTION("if(REGEXMATCH(join("", "",$G23:$H23),O$1)=TRUE,""✓"",""✗"")"),"✗")</f>
        <v>✗</v>
      </c>
      <c r="P23" s="154" t="str">
        <f>IFERROR(__xludf.DUMMYFUNCTION("if(REGEXMATCH(join("", "",$G23:$H23),P$1)=TRUE,""✓"",""✗"")"),"✗")</f>
        <v>✗</v>
      </c>
      <c r="Q23" s="154" t="str">
        <f>IFERROR(__xludf.DUMMYFUNCTION("if(REGEXMATCH(join("", "",$G23:$H23),Q$1)=TRUE,""✓"",""✗"")"),"✗")</f>
        <v>✗</v>
      </c>
      <c r="R23" s="154" t="str">
        <f>IFERROR(__xludf.DUMMYFUNCTION("if(REGEXMATCH(join("", "",$G23:$H23),R$1)=TRUE,""✓"",""✗"")"),"✗")</f>
        <v>✗</v>
      </c>
      <c r="S23" s="154" t="str">
        <f>IFERROR(__xludf.DUMMYFUNCTION("if(REGEXMATCH(join("", "",$G23:$H23),S$1)=TRUE,""✓"",""✗"")"),"✗")</f>
        <v>✗</v>
      </c>
      <c r="T23" s="154" t="str">
        <f>IFERROR(__xludf.DUMMYFUNCTION("if(REGEXMATCH(join("", "",$G23:$H23),T$1)=TRUE,""✓"",""✗"")"),"✗")</f>
        <v>✗</v>
      </c>
      <c r="U23" s="154" t="str">
        <f>IFERROR(__xludf.DUMMYFUNCTION("if(REGEXMATCH(join("", "",$G23:$H23),U$1)=TRUE,""✓"",""✗"")"),"✓")</f>
        <v>✓</v>
      </c>
    </row>
    <row r="24">
      <c r="A24" s="159">
        <v>23.0</v>
      </c>
      <c r="B24" s="159" t="s">
        <v>5089</v>
      </c>
      <c r="C24" s="151" t="str">
        <f t="shared" si="1"/>
        <v>Ejerhed et al., 2003</v>
      </c>
      <c r="D24" s="156" t="s">
        <v>5091</v>
      </c>
      <c r="E24" s="152" t="str">
        <f t="shared" si="2"/>
        <v>https://raw.githubusercontent.com/d-wkim/phd/refs/heads/main/data/pdf/ejerhed_2003 .pdf</v>
      </c>
      <c r="F24" s="159" t="s">
        <v>109</v>
      </c>
      <c r="G24" s="161" t="s">
        <v>4362</v>
      </c>
      <c r="H24" s="159" t="s">
        <v>4394</v>
      </c>
      <c r="I24" s="154" t="str">
        <f>IFERROR(__xludf.DUMMYFUNCTION("if(REGEXMATCH(join("", "",$G24:$H24),I$1)=TRUE,""✓"",""✗"")"),"✓")</f>
        <v>✓</v>
      </c>
      <c r="J24" s="154" t="str">
        <f>IFERROR(__xludf.DUMMYFUNCTION("if(REGEXMATCH(join("", "",$G24:$H24),J$1)=TRUE,""✓"",""✗"")"),"✓")</f>
        <v>✓</v>
      </c>
      <c r="K24" s="154" t="str">
        <f>IFERROR(__xludf.DUMMYFUNCTION("if(REGEXMATCH(join("", "",$G24:$H24),K$1)=TRUE,""✓"",""✗"")"),"✗")</f>
        <v>✗</v>
      </c>
      <c r="L24" s="154" t="str">
        <f>IFERROR(__xludf.DUMMYFUNCTION("if(REGEXMATCH(join("", "",$G24:$H24),L$1)=TRUE,""✓"",""✗"")"),"✗")</f>
        <v>✗</v>
      </c>
      <c r="M24" s="154" t="str">
        <f>IFERROR(__xludf.DUMMYFUNCTION("if(REGEXMATCH(join("", "",$G24:$H24),M$1)=TRUE,""✓"",""✗"")"),"✗")</f>
        <v>✗</v>
      </c>
      <c r="N24" s="154" t="str">
        <f>IFERROR(__xludf.DUMMYFUNCTION("if(REGEXMATCH(join("", "",$G24:$H24),N$1)=TRUE,""✓"",""✗"")"),"✗")</f>
        <v>✗</v>
      </c>
      <c r="O24" s="154" t="str">
        <f>IFERROR(__xludf.DUMMYFUNCTION("if(REGEXMATCH(join("", "",$G24:$H24),O$1)=TRUE,""✓"",""✗"")"),"✗")</f>
        <v>✗</v>
      </c>
      <c r="P24" s="154" t="str">
        <f>IFERROR(__xludf.DUMMYFUNCTION("if(REGEXMATCH(join("", "",$G24:$H24),P$1)=TRUE,""✓"",""✗"")"),"✓")</f>
        <v>✓</v>
      </c>
      <c r="Q24" s="154" t="str">
        <f>IFERROR(__xludf.DUMMYFUNCTION("if(REGEXMATCH(join("", "",$G24:$H24),Q$1)=TRUE,""✓"",""✗"")"),"✓")</f>
        <v>✓</v>
      </c>
      <c r="R24" s="154" t="str">
        <f>IFERROR(__xludf.DUMMYFUNCTION("if(REGEXMATCH(join("", "",$G24:$H24),R$1)=TRUE,""✓"",""✗"")"),"✓")</f>
        <v>✓</v>
      </c>
      <c r="S24" s="154" t="str">
        <f>IFERROR(__xludf.DUMMYFUNCTION("if(REGEXMATCH(join("", "",$G24:$H24),S$1)=TRUE,""✓"",""✗"")"),"✗")</f>
        <v>✗</v>
      </c>
      <c r="T24" s="154" t="str">
        <f>IFERROR(__xludf.DUMMYFUNCTION("if(REGEXMATCH(join("", "",$G24:$H24),T$1)=TRUE,""✓"",""✗"")"),"✓")</f>
        <v>✓</v>
      </c>
      <c r="U24" s="154" t="str">
        <f>IFERROR(__xludf.DUMMYFUNCTION("if(REGEXMATCH(join("", "",$G24:$H24),U$1)=TRUE,""✓"",""✗"")"),"✗")</f>
        <v>✗</v>
      </c>
    </row>
    <row r="25">
      <c r="A25" s="159">
        <v>24.0</v>
      </c>
      <c r="B25" s="159" t="s">
        <v>5093</v>
      </c>
      <c r="C25" s="162" t="str">
        <f t="shared" si="1"/>
        <v>Eriksson et al., 2001</v>
      </c>
      <c r="D25" s="159" t="s">
        <v>5094</v>
      </c>
      <c r="E25" s="152" t="str">
        <f t="shared" si="2"/>
        <v>https://raw.githubusercontent.com/d-wkim/phd/refs/heads/main/data/pdf/eriksson_2001 .pdf</v>
      </c>
      <c r="F25" s="159" t="s">
        <v>174</v>
      </c>
      <c r="G25" s="161"/>
      <c r="H25" s="159" t="s">
        <v>4973</v>
      </c>
      <c r="I25" s="154" t="str">
        <f>IFERROR(__xludf.DUMMYFUNCTION("if(REGEXMATCH(join("", "",$G25:$H25),I$1)=TRUE,""✓"",""✗"")"),"✗")</f>
        <v>✗</v>
      </c>
      <c r="J25" s="154" t="str">
        <f>IFERROR(__xludf.DUMMYFUNCTION("if(REGEXMATCH(join("", "",$G25:$H25),J$1)=TRUE,""✓"",""✗"")"),"✗")</f>
        <v>✗</v>
      </c>
      <c r="K25" s="154" t="str">
        <f>IFERROR(__xludf.DUMMYFUNCTION("if(REGEXMATCH(join("", "",$G25:$H25),K$1)=TRUE,""✓"",""✗"")"),"✗")</f>
        <v>✗</v>
      </c>
      <c r="L25" s="154" t="str">
        <f>IFERROR(__xludf.DUMMYFUNCTION("if(REGEXMATCH(join("", "",$G25:$H25),L$1)=TRUE,""✓"",""✗"")"),"✗")</f>
        <v>✗</v>
      </c>
      <c r="M25" s="154" t="str">
        <f>IFERROR(__xludf.DUMMYFUNCTION("if(REGEXMATCH(join("", "",$G25:$H25),M$1)=TRUE,""✓"",""✗"")"),"✗")</f>
        <v>✗</v>
      </c>
      <c r="N25" s="154" t="str">
        <f>IFERROR(__xludf.DUMMYFUNCTION("if(REGEXMATCH(join("", "",$G25:$H25),N$1)=TRUE,""✓"",""✗"")"),"✗")</f>
        <v>✗</v>
      </c>
      <c r="O25" s="154" t="str">
        <f>IFERROR(__xludf.DUMMYFUNCTION("if(REGEXMATCH(join("", "",$G25:$H25),O$1)=TRUE,""✓"",""✗"")"),"✗")</f>
        <v>✗</v>
      </c>
      <c r="P25" s="154" t="str">
        <f>IFERROR(__xludf.DUMMYFUNCTION("if(REGEXMATCH(join("", "",$G25:$H25),P$1)=TRUE,""✓"",""✗"")"),"✗")</f>
        <v>✗</v>
      </c>
      <c r="Q25" s="154" t="str">
        <f>IFERROR(__xludf.DUMMYFUNCTION("if(REGEXMATCH(join("", "",$G25:$H25),Q$1)=TRUE,""✓"",""✗"")"),"✗")</f>
        <v>✗</v>
      </c>
      <c r="R25" s="154" t="str">
        <f>IFERROR(__xludf.DUMMYFUNCTION("if(REGEXMATCH(join("", "",$G25:$H25),R$1)=TRUE,""✓"",""✗"")"),"✗")</f>
        <v>✗</v>
      </c>
      <c r="S25" s="154" t="str">
        <f>IFERROR(__xludf.DUMMYFUNCTION("if(REGEXMATCH(join("", "",$G25:$H25),S$1)=TRUE,""✓"",""✗"")"),"✗")</f>
        <v>✗</v>
      </c>
      <c r="T25" s="154" t="str">
        <f>IFERROR(__xludf.DUMMYFUNCTION("if(REGEXMATCH(join("", "",$G25:$H25),T$1)=TRUE,""✓"",""✗"")"),"✗")</f>
        <v>✗</v>
      </c>
      <c r="U25" s="154" t="str">
        <f>IFERROR(__xludf.DUMMYFUNCTION("if(REGEXMATCH(join("", "",$G25:$H25),U$1)=TRUE,""✓"",""✗"")"),"✗")</f>
        <v>✗</v>
      </c>
    </row>
    <row r="26">
      <c r="A26" s="159">
        <v>25.0</v>
      </c>
      <c r="B26" s="159" t="s">
        <v>5095</v>
      </c>
      <c r="C26" s="151" t="str">
        <f t="shared" si="1"/>
        <v>Eriksson et al., 2006</v>
      </c>
      <c r="D26" s="156" t="s">
        <v>5097</v>
      </c>
      <c r="E26" s="152" t="str">
        <f t="shared" si="2"/>
        <v>https://raw.githubusercontent.com/d-wkim/phd/refs/heads/main/data/pdf/eriksson_2006 .pdf</v>
      </c>
      <c r="F26" s="159" t="s">
        <v>109</v>
      </c>
      <c r="G26" s="159" t="s">
        <v>4362</v>
      </c>
      <c r="H26" s="159" t="s">
        <v>339</v>
      </c>
      <c r="I26" s="154" t="str">
        <f>IFERROR(__xludf.DUMMYFUNCTION("if(REGEXMATCH(join("", "",$G26:$H26),I$1)=TRUE,""✓"",""✗"")"),"✓")</f>
        <v>✓</v>
      </c>
      <c r="J26" s="154" t="str">
        <f>IFERROR(__xludf.DUMMYFUNCTION("if(REGEXMATCH(join("", "",$G26:$H26),J$1)=TRUE,""✓"",""✗"")"),"✓")</f>
        <v>✓</v>
      </c>
      <c r="K26" s="154" t="str">
        <f>IFERROR(__xludf.DUMMYFUNCTION("if(REGEXMATCH(join("", "",$G26:$H26),K$1)=TRUE,""✓"",""✗"")"),"✗")</f>
        <v>✗</v>
      </c>
      <c r="L26" s="154" t="str">
        <f>IFERROR(__xludf.DUMMYFUNCTION("if(REGEXMATCH(join("", "",$G26:$H26),L$1)=TRUE,""✓"",""✗"")"),"✗")</f>
        <v>✗</v>
      </c>
      <c r="M26" s="154" t="str">
        <f>IFERROR(__xludf.DUMMYFUNCTION("if(REGEXMATCH(join("", "",$G26:$H26),M$1)=TRUE,""✓"",""✗"")"),"✗")</f>
        <v>✗</v>
      </c>
      <c r="N26" s="154" t="str">
        <f>IFERROR(__xludf.DUMMYFUNCTION("if(REGEXMATCH(join("", "",$G26:$H26),N$1)=TRUE,""✓"",""✗"")"),"✗")</f>
        <v>✗</v>
      </c>
      <c r="O26" s="154" t="str">
        <f>IFERROR(__xludf.DUMMYFUNCTION("if(REGEXMATCH(join("", "",$G26:$H26),O$1)=TRUE,""✓"",""✗"")"),"✗")</f>
        <v>✗</v>
      </c>
      <c r="P26" s="154" t="str">
        <f>IFERROR(__xludf.DUMMYFUNCTION("if(REGEXMATCH(join("", "",$G26:$H26),P$1)=TRUE,""✓"",""✗"")"),"✗")</f>
        <v>✗</v>
      </c>
      <c r="Q26" s="154" t="str">
        <f>IFERROR(__xludf.DUMMYFUNCTION("if(REGEXMATCH(join("", "",$G26:$H26),Q$1)=TRUE,""✓"",""✗"")"),"✗")</f>
        <v>✗</v>
      </c>
      <c r="R26" s="154" t="str">
        <f>IFERROR(__xludf.DUMMYFUNCTION("if(REGEXMATCH(join("", "",$G26:$H26),R$1)=TRUE,""✓"",""✗"")"),"✓")</f>
        <v>✓</v>
      </c>
      <c r="S26" s="154" t="str">
        <f>IFERROR(__xludf.DUMMYFUNCTION("if(REGEXMATCH(join("", "",$G26:$H26),S$1)=TRUE,""✓"",""✗"")"),"✓")</f>
        <v>✓</v>
      </c>
      <c r="T26" s="154" t="str">
        <f>IFERROR(__xludf.DUMMYFUNCTION("if(REGEXMATCH(join("", "",$G26:$H26),T$1)=TRUE,""✓"",""✗"")"),"✗")</f>
        <v>✗</v>
      </c>
      <c r="U26" s="154" t="str">
        <f>IFERROR(__xludf.DUMMYFUNCTION("if(REGEXMATCH(join("", "",$G26:$H26),U$1)=TRUE,""✓"",""✗"")"),"✗")</f>
        <v>✗</v>
      </c>
    </row>
    <row r="27">
      <c r="A27" s="159">
        <v>26.0</v>
      </c>
      <c r="B27" s="159" t="s">
        <v>5098</v>
      </c>
      <c r="C27" s="151" t="str">
        <f t="shared" si="1"/>
        <v>Feller et al., Webster et al., 2003</v>
      </c>
      <c r="D27" s="156" t="s">
        <v>5099</v>
      </c>
      <c r="E27" s="152" t="str">
        <f t="shared" si="2"/>
        <v>https://raw.githubusercontent.com/d-wkim/phd/refs/heads/main/data/pdf/feller_webster_2003 .pdf</v>
      </c>
      <c r="F27" s="159" t="s">
        <v>109</v>
      </c>
      <c r="G27" s="159" t="s">
        <v>4362</v>
      </c>
      <c r="H27" s="159" t="s">
        <v>4398</v>
      </c>
      <c r="I27" s="154" t="str">
        <f>IFERROR(__xludf.DUMMYFUNCTION("if(REGEXMATCH(join("", "",$G27:$H27),I$1)=TRUE,""✓"",""✗"")"),"✓")</f>
        <v>✓</v>
      </c>
      <c r="J27" s="154" t="str">
        <f>IFERROR(__xludf.DUMMYFUNCTION("if(REGEXMATCH(join("", "",$G27:$H27),J$1)=TRUE,""✓"",""✗"")"),"✓")</f>
        <v>✓</v>
      </c>
      <c r="K27" s="154" t="str">
        <f>IFERROR(__xludf.DUMMYFUNCTION("if(REGEXMATCH(join("", "",$G27:$H27),K$1)=TRUE,""✓"",""✗"")"),"✗")</f>
        <v>✗</v>
      </c>
      <c r="L27" s="154" t="str">
        <f>IFERROR(__xludf.DUMMYFUNCTION("if(REGEXMATCH(join("", "",$G27:$H27),L$1)=TRUE,""✓"",""✗"")"),"✗")</f>
        <v>✗</v>
      </c>
      <c r="M27" s="154" t="str">
        <f>IFERROR(__xludf.DUMMYFUNCTION("if(REGEXMATCH(join("", "",$G27:$H27),M$1)=TRUE,""✓"",""✗"")"),"✗")</f>
        <v>✗</v>
      </c>
      <c r="N27" s="154" t="str">
        <f>IFERROR(__xludf.DUMMYFUNCTION("if(REGEXMATCH(join("", "",$G27:$H27),N$1)=TRUE,""✓"",""✗"")"),"✗")</f>
        <v>✗</v>
      </c>
      <c r="O27" s="154" t="str">
        <f>IFERROR(__xludf.DUMMYFUNCTION("if(REGEXMATCH(join("", "",$G27:$H27),O$1)=TRUE,""✓"",""✗"")"),"✓")</f>
        <v>✓</v>
      </c>
      <c r="P27" s="154" t="str">
        <f>IFERROR(__xludf.DUMMYFUNCTION("if(REGEXMATCH(join("", "",$G27:$H27),P$1)=TRUE,""✓"",""✗"")"),"✗")</f>
        <v>✗</v>
      </c>
      <c r="Q27" s="154" t="str">
        <f>IFERROR(__xludf.DUMMYFUNCTION("if(REGEXMATCH(join("", "",$G27:$H27),Q$1)=TRUE,""✓"",""✗"")"),"✗")</f>
        <v>✗</v>
      </c>
      <c r="R27" s="154" t="str">
        <f>IFERROR(__xludf.DUMMYFUNCTION("if(REGEXMATCH(join("", "",$G27:$H27),R$1)=TRUE,""✓"",""✗"")"),"✓")</f>
        <v>✓</v>
      </c>
      <c r="S27" s="154" t="str">
        <f>IFERROR(__xludf.DUMMYFUNCTION("if(REGEXMATCH(join("", "",$G27:$H27),S$1)=TRUE,""✓"",""✗"")"),"✓")</f>
        <v>✓</v>
      </c>
      <c r="T27" s="154" t="str">
        <f>IFERROR(__xludf.DUMMYFUNCTION("if(REGEXMATCH(join("", "",$G27:$H27),T$1)=TRUE,""✓"",""✗"")"),"✓")</f>
        <v>✓</v>
      </c>
      <c r="U27" s="154" t="str">
        <f>IFERROR(__xludf.DUMMYFUNCTION("if(REGEXMATCH(join("", "",$G27:$H27),U$1)=TRUE,""✓"",""✗"")"),"✗")</f>
        <v>✗</v>
      </c>
    </row>
    <row r="28">
      <c r="A28" s="159">
        <v>27.0</v>
      </c>
      <c r="B28" s="159" t="s">
        <v>5101</v>
      </c>
      <c r="C28" s="162" t="str">
        <f t="shared" si="1"/>
        <v>Garcia-Linage et al., 2025</v>
      </c>
      <c r="D28" s="159" t="s">
        <v>5102</v>
      </c>
      <c r="E28" s="152" t="str">
        <f t="shared" si="2"/>
        <v>https://raw.githubusercontent.com/d-wkim/phd/refs/heads/main/data/pdf/garcia-linage_2025 .pdf</v>
      </c>
      <c r="F28" s="159" t="s">
        <v>174</v>
      </c>
      <c r="G28" s="161"/>
      <c r="H28" s="159" t="s">
        <v>4993</v>
      </c>
      <c r="I28" s="154" t="str">
        <f>IFERROR(__xludf.DUMMYFUNCTION("if(REGEXMATCH(join("", "",$G28:$H28),I$1)=TRUE,""✓"",""✗"")"),"✗")</f>
        <v>✗</v>
      </c>
      <c r="J28" s="154" t="str">
        <f>IFERROR(__xludf.DUMMYFUNCTION("if(REGEXMATCH(join("", "",$G28:$H28),J$1)=TRUE,""✓"",""✗"")"),"✗")</f>
        <v>✗</v>
      </c>
      <c r="K28" s="154" t="str">
        <f>IFERROR(__xludf.DUMMYFUNCTION("if(REGEXMATCH(join("", "",$G28:$H28),K$1)=TRUE,""✓"",""✗"")"),"✗")</f>
        <v>✗</v>
      </c>
      <c r="L28" s="154" t="str">
        <f>IFERROR(__xludf.DUMMYFUNCTION("if(REGEXMATCH(join("", "",$G28:$H28),L$1)=TRUE,""✓"",""✗"")"),"✗")</f>
        <v>✗</v>
      </c>
      <c r="M28" s="154" t="str">
        <f>IFERROR(__xludf.DUMMYFUNCTION("if(REGEXMATCH(join("", "",$G28:$H28),M$1)=TRUE,""✓"",""✗"")"),"✗")</f>
        <v>✗</v>
      </c>
      <c r="N28" s="154" t="str">
        <f>IFERROR(__xludf.DUMMYFUNCTION("if(REGEXMATCH(join("", "",$G28:$H28),N$1)=TRUE,""✓"",""✗"")"),"✗")</f>
        <v>✗</v>
      </c>
      <c r="O28" s="154" t="str">
        <f>IFERROR(__xludf.DUMMYFUNCTION("if(REGEXMATCH(join("", "",$G28:$H28),O$1)=TRUE,""✓"",""✗"")"),"✗")</f>
        <v>✗</v>
      </c>
      <c r="P28" s="154" t="str">
        <f>IFERROR(__xludf.DUMMYFUNCTION("if(REGEXMATCH(join("", "",$G28:$H28),P$1)=TRUE,""✓"",""✗"")"),"✗")</f>
        <v>✗</v>
      </c>
      <c r="Q28" s="154" t="str">
        <f>IFERROR(__xludf.DUMMYFUNCTION("if(REGEXMATCH(join("", "",$G28:$H28),Q$1)=TRUE,""✓"",""✗"")"),"✗")</f>
        <v>✗</v>
      </c>
      <c r="R28" s="154" t="str">
        <f>IFERROR(__xludf.DUMMYFUNCTION("if(REGEXMATCH(join("", "",$G28:$H28),R$1)=TRUE,""✓"",""✗"")"),"✗")</f>
        <v>✗</v>
      </c>
      <c r="S28" s="154" t="str">
        <f>IFERROR(__xludf.DUMMYFUNCTION("if(REGEXMATCH(join("", "",$G28:$H28),S$1)=TRUE,""✓"",""✗"")"),"✗")</f>
        <v>✗</v>
      </c>
      <c r="T28" s="154" t="str">
        <f>IFERROR(__xludf.DUMMYFUNCTION("if(REGEXMATCH(join("", "",$G28:$H28),T$1)=TRUE,""✓"",""✗"")"),"✗")</f>
        <v>✗</v>
      </c>
      <c r="U28" s="154" t="str">
        <f>IFERROR(__xludf.DUMMYFUNCTION("if(REGEXMATCH(join("", "",$G28:$H28),U$1)=TRUE,""✓"",""✗"")"),"✗")</f>
        <v>✗</v>
      </c>
    </row>
    <row r="29">
      <c r="A29" s="159">
        <v>28.0</v>
      </c>
      <c r="B29" s="159" t="s">
        <v>5103</v>
      </c>
      <c r="C29" s="151" t="str">
        <f t="shared" si="1"/>
        <v>Gerber et al., 2007</v>
      </c>
      <c r="D29" s="156" t="s">
        <v>5104</v>
      </c>
      <c r="E29" s="152" t="str">
        <f t="shared" si="2"/>
        <v>https://raw.githubusercontent.com/d-wkim/phd/refs/heads/main/data/pdf/gerber_2007 .pdf</v>
      </c>
      <c r="F29" s="159" t="s">
        <v>174</v>
      </c>
      <c r="G29" s="159" t="s">
        <v>4362</v>
      </c>
      <c r="H29" s="159" t="s">
        <v>317</v>
      </c>
      <c r="I29" s="154" t="str">
        <f>IFERROR(__xludf.DUMMYFUNCTION("if(REGEXMATCH(join("", "",$G29:$H29),I$1)=TRUE,""✓"",""✗"")"),"✓")</f>
        <v>✓</v>
      </c>
      <c r="J29" s="154" t="str">
        <f>IFERROR(__xludf.DUMMYFUNCTION("if(REGEXMATCH(join("", "",$G29:$H29),J$1)=TRUE,""✓"",""✗"")"),"✓")</f>
        <v>✓</v>
      </c>
      <c r="K29" s="154" t="str">
        <f>IFERROR(__xludf.DUMMYFUNCTION("if(REGEXMATCH(join("", "",$G29:$H29),K$1)=TRUE,""✓"",""✗"")"),"✗")</f>
        <v>✗</v>
      </c>
      <c r="L29" s="154" t="str">
        <f>IFERROR(__xludf.DUMMYFUNCTION("if(REGEXMATCH(join("", "",$G29:$H29),L$1)=TRUE,""✓"",""✗"")"),"✗")</f>
        <v>✗</v>
      </c>
      <c r="M29" s="154" t="str">
        <f>IFERROR(__xludf.DUMMYFUNCTION("if(REGEXMATCH(join("", "",$G29:$H29),M$1)=TRUE,""✓"",""✗"")"),"✗")</f>
        <v>✗</v>
      </c>
      <c r="N29" s="154" t="str">
        <f>IFERROR(__xludf.DUMMYFUNCTION("if(REGEXMATCH(join("", "",$G29:$H29),N$1)=TRUE,""✓"",""✗"")"),"✗")</f>
        <v>✗</v>
      </c>
      <c r="O29" s="154" t="str">
        <f>IFERROR(__xludf.DUMMYFUNCTION("if(REGEXMATCH(join("", "",$G29:$H29),O$1)=TRUE,""✓"",""✗"")"),"✗")</f>
        <v>✗</v>
      </c>
      <c r="P29" s="154" t="str">
        <f>IFERROR(__xludf.DUMMYFUNCTION("if(REGEXMATCH(join("", "",$G29:$H29),P$1)=TRUE,""✓"",""✗"")"),"✗")</f>
        <v>✗</v>
      </c>
      <c r="Q29" s="154" t="str">
        <f>IFERROR(__xludf.DUMMYFUNCTION("if(REGEXMATCH(join("", "",$G29:$H29),Q$1)=TRUE,""✓"",""✗"")"),"✗")</f>
        <v>✗</v>
      </c>
      <c r="R29" s="154" t="str">
        <f>IFERROR(__xludf.DUMMYFUNCTION("if(REGEXMATCH(join("", "",$G29:$H29),R$1)=TRUE,""✓"",""✗"")"),"✓")</f>
        <v>✓</v>
      </c>
      <c r="S29" s="154" t="str">
        <f>IFERROR(__xludf.DUMMYFUNCTION("if(REGEXMATCH(join("", "",$G29:$H29),S$1)=TRUE,""✓"",""✗"")"),"✗")</f>
        <v>✗</v>
      </c>
      <c r="T29" s="154" t="str">
        <f>IFERROR(__xludf.DUMMYFUNCTION("if(REGEXMATCH(join("", "",$G29:$H29),T$1)=TRUE,""✓"",""✗"")"),"✗")</f>
        <v>✗</v>
      </c>
      <c r="U29" s="154" t="str">
        <f>IFERROR(__xludf.DUMMYFUNCTION("if(REGEXMATCH(join("", "",$G29:$H29),U$1)=TRUE,""✓"",""✗"")"),"✗")</f>
        <v>✗</v>
      </c>
    </row>
    <row r="30">
      <c r="A30" s="159">
        <v>29.0</v>
      </c>
      <c r="B30" s="159" t="s">
        <v>5106</v>
      </c>
      <c r="C30" s="162" t="str">
        <f t="shared" si="1"/>
        <v>Ghalayini et al., 2010</v>
      </c>
      <c r="D30" s="159" t="s">
        <v>5107</v>
      </c>
      <c r="E30" s="152" t="str">
        <f t="shared" si="2"/>
        <v>https://raw.githubusercontent.com/d-wkim/phd/refs/heads/main/data/pdf/ghalayini_2010 .pdf</v>
      </c>
      <c r="F30" s="159" t="s">
        <v>174</v>
      </c>
      <c r="G30" s="161"/>
      <c r="H30" s="159" t="s">
        <v>4996</v>
      </c>
      <c r="I30" s="154" t="str">
        <f>IFERROR(__xludf.DUMMYFUNCTION("if(REGEXMATCH(join("", "",$G30:$H30),I$1)=TRUE,""✓"",""✗"")"),"✗")</f>
        <v>✗</v>
      </c>
      <c r="J30" s="154" t="str">
        <f>IFERROR(__xludf.DUMMYFUNCTION("if(REGEXMATCH(join("", "",$G30:$H30),J$1)=TRUE,""✓"",""✗"")"),"✗")</f>
        <v>✗</v>
      </c>
      <c r="K30" s="154" t="str">
        <f>IFERROR(__xludf.DUMMYFUNCTION("if(REGEXMATCH(join("", "",$G30:$H30),K$1)=TRUE,""✓"",""✗"")"),"✗")</f>
        <v>✗</v>
      </c>
      <c r="L30" s="154" t="str">
        <f>IFERROR(__xludf.DUMMYFUNCTION("if(REGEXMATCH(join("", "",$G30:$H30),L$1)=TRUE,""✓"",""✗"")"),"✗")</f>
        <v>✗</v>
      </c>
      <c r="M30" s="154" t="str">
        <f>IFERROR(__xludf.DUMMYFUNCTION("if(REGEXMATCH(join("", "",$G30:$H30),M$1)=TRUE,""✓"",""✗"")"),"✗")</f>
        <v>✗</v>
      </c>
      <c r="N30" s="154" t="str">
        <f>IFERROR(__xludf.DUMMYFUNCTION("if(REGEXMATCH(join("", "",$G30:$H30),N$1)=TRUE,""✓"",""✗"")"),"✗")</f>
        <v>✗</v>
      </c>
      <c r="O30" s="154" t="str">
        <f>IFERROR(__xludf.DUMMYFUNCTION("if(REGEXMATCH(join("", "",$G30:$H30),O$1)=TRUE,""✓"",""✗"")"),"✗")</f>
        <v>✗</v>
      </c>
      <c r="P30" s="154" t="str">
        <f>IFERROR(__xludf.DUMMYFUNCTION("if(REGEXMATCH(join("", "",$G30:$H30),P$1)=TRUE,""✓"",""✗"")"),"✗")</f>
        <v>✗</v>
      </c>
      <c r="Q30" s="154" t="str">
        <f>IFERROR(__xludf.DUMMYFUNCTION("if(REGEXMATCH(join("", "",$G30:$H30),Q$1)=TRUE,""✓"",""✗"")"),"✗")</f>
        <v>✗</v>
      </c>
      <c r="R30" s="154" t="str">
        <f>IFERROR(__xludf.DUMMYFUNCTION("if(REGEXMATCH(join("", "",$G30:$H30),R$1)=TRUE,""✓"",""✗"")"),"✗")</f>
        <v>✗</v>
      </c>
      <c r="S30" s="154" t="str">
        <f>IFERROR(__xludf.DUMMYFUNCTION("if(REGEXMATCH(join("", "",$G30:$H30),S$1)=TRUE,""✓"",""✗"")"),"✗")</f>
        <v>✗</v>
      </c>
      <c r="T30" s="154" t="str">
        <f>IFERROR(__xludf.DUMMYFUNCTION("if(REGEXMATCH(join("", "",$G30:$H30),T$1)=TRUE,""✓"",""✗"")"),"✗")</f>
        <v>✗</v>
      </c>
      <c r="U30" s="154" t="str">
        <f>IFERROR(__xludf.DUMMYFUNCTION("if(REGEXMATCH(join("", "",$G30:$H30),U$1)=TRUE,""✓"",""✗"")"),"✗")</f>
        <v>✗</v>
      </c>
    </row>
    <row r="31">
      <c r="A31" s="159">
        <v>30.0</v>
      </c>
      <c r="B31" s="159" t="s">
        <v>5109</v>
      </c>
      <c r="C31" s="151" t="str">
        <f t="shared" si="1"/>
        <v>Gifstad et al., 2013</v>
      </c>
      <c r="D31" s="156" t="s">
        <v>5110</v>
      </c>
      <c r="E31" s="152" t="str">
        <f t="shared" si="2"/>
        <v>https://raw.githubusercontent.com/d-wkim/phd/refs/heads/main/data/pdf/gifstad_2013 .pdf</v>
      </c>
      <c r="F31" s="159" t="s">
        <v>109</v>
      </c>
      <c r="G31" s="159" t="s">
        <v>4362</v>
      </c>
      <c r="H31" s="159" t="s">
        <v>4394</v>
      </c>
      <c r="I31" s="154" t="str">
        <f>IFERROR(__xludf.DUMMYFUNCTION("if(REGEXMATCH(join("", "",$G31:$H31),I$1)=TRUE,""✓"",""✗"")"),"✓")</f>
        <v>✓</v>
      </c>
      <c r="J31" s="154" t="str">
        <f>IFERROR(__xludf.DUMMYFUNCTION("if(REGEXMATCH(join("", "",$G31:$H31),J$1)=TRUE,""✓"",""✗"")"),"✓")</f>
        <v>✓</v>
      </c>
      <c r="K31" s="154" t="str">
        <f>IFERROR(__xludf.DUMMYFUNCTION("if(REGEXMATCH(join("", "",$G31:$H31),K$1)=TRUE,""✓"",""✗"")"),"✗")</f>
        <v>✗</v>
      </c>
      <c r="L31" s="154" t="str">
        <f>IFERROR(__xludf.DUMMYFUNCTION("if(REGEXMATCH(join("", "",$G31:$H31),L$1)=TRUE,""✓"",""✗"")"),"✗")</f>
        <v>✗</v>
      </c>
      <c r="M31" s="154" t="str">
        <f>IFERROR(__xludf.DUMMYFUNCTION("if(REGEXMATCH(join("", "",$G31:$H31),M$1)=TRUE,""✓"",""✗"")"),"✗")</f>
        <v>✗</v>
      </c>
      <c r="N31" s="154" t="str">
        <f>IFERROR(__xludf.DUMMYFUNCTION("if(REGEXMATCH(join("", "",$G31:$H31),N$1)=TRUE,""✓"",""✗"")"),"✗")</f>
        <v>✗</v>
      </c>
      <c r="O31" s="154" t="str">
        <f>IFERROR(__xludf.DUMMYFUNCTION("if(REGEXMATCH(join("", "",$G31:$H31),O$1)=TRUE,""✓"",""✗"")"),"✗")</f>
        <v>✗</v>
      </c>
      <c r="P31" s="154" t="str">
        <f>IFERROR(__xludf.DUMMYFUNCTION("if(REGEXMATCH(join("", "",$G31:$H31),P$1)=TRUE,""✓"",""✗"")"),"✓")</f>
        <v>✓</v>
      </c>
      <c r="Q31" s="154" t="str">
        <f>IFERROR(__xludf.DUMMYFUNCTION("if(REGEXMATCH(join("", "",$G31:$H31),Q$1)=TRUE,""✓"",""✗"")"),"✓")</f>
        <v>✓</v>
      </c>
      <c r="R31" s="154" t="str">
        <f>IFERROR(__xludf.DUMMYFUNCTION("if(REGEXMATCH(join("", "",$G31:$H31),R$1)=TRUE,""✓"",""✗"")"),"✓")</f>
        <v>✓</v>
      </c>
      <c r="S31" s="154" t="str">
        <f>IFERROR(__xludf.DUMMYFUNCTION("if(REGEXMATCH(join("", "",$G31:$H31),S$1)=TRUE,""✓"",""✗"")"),"✗")</f>
        <v>✗</v>
      </c>
      <c r="T31" s="154" t="str">
        <f>IFERROR(__xludf.DUMMYFUNCTION("if(REGEXMATCH(join("", "",$G31:$H31),T$1)=TRUE,""✓"",""✗"")"),"✓")</f>
        <v>✓</v>
      </c>
      <c r="U31" s="154" t="str">
        <f>IFERROR(__xludf.DUMMYFUNCTION("if(REGEXMATCH(join("", "",$G31:$H31),U$1)=TRUE,""✓"",""✗"")"),"✗")</f>
        <v>✗</v>
      </c>
    </row>
    <row r="32">
      <c r="A32" s="159">
        <v>31.0</v>
      </c>
      <c r="B32" s="159" t="s">
        <v>5116</v>
      </c>
      <c r="C32" s="151" t="str">
        <f t="shared" si="1"/>
        <v>Gobbi et al., Francisco et al., 2006</v>
      </c>
      <c r="D32" s="153" t="s">
        <v>4998</v>
      </c>
      <c r="E32" s="152" t="str">
        <f t="shared" si="2"/>
        <v>https://raw.githubusercontent.com/d-wkim/phd/refs/heads/main/data/pdf/gobbi_francisco_2006 .pdf</v>
      </c>
      <c r="F32" s="159" t="s">
        <v>174</v>
      </c>
      <c r="G32" s="159" t="s">
        <v>4362</v>
      </c>
      <c r="H32" s="159" t="s">
        <v>4416</v>
      </c>
      <c r="I32" s="154" t="str">
        <f>IFERROR(__xludf.DUMMYFUNCTION("if(REGEXMATCH(join("", "",$G32:$H32),I$1)=TRUE,""✓"",""✗"")"),"✓")</f>
        <v>✓</v>
      </c>
      <c r="J32" s="154" t="str">
        <f>IFERROR(__xludf.DUMMYFUNCTION("if(REGEXMATCH(join("", "",$G32:$H32),J$1)=TRUE,""✓"",""✗"")"),"✓")</f>
        <v>✓</v>
      </c>
      <c r="K32" s="154" t="str">
        <f>IFERROR(__xludf.DUMMYFUNCTION("if(REGEXMATCH(join("", "",$G32:$H32),K$1)=TRUE,""✓"",""✗"")"),"✗")</f>
        <v>✗</v>
      </c>
      <c r="L32" s="154" t="str">
        <f>IFERROR(__xludf.DUMMYFUNCTION("if(REGEXMATCH(join("", "",$G32:$H32),L$1)=TRUE,""✓"",""✗"")"),"✗")</f>
        <v>✗</v>
      </c>
      <c r="M32" s="154" t="str">
        <f>IFERROR(__xludf.DUMMYFUNCTION("if(REGEXMATCH(join("", "",$G32:$H32),M$1)=TRUE,""✓"",""✗"")"),"✗")</f>
        <v>✗</v>
      </c>
      <c r="N32" s="154" t="str">
        <f>IFERROR(__xludf.DUMMYFUNCTION("if(REGEXMATCH(join("", "",$G32:$H32),N$1)=TRUE,""✓"",""✗"")"),"✗")</f>
        <v>✗</v>
      </c>
      <c r="O32" s="154" t="str">
        <f>IFERROR(__xludf.DUMMYFUNCTION("if(REGEXMATCH(join("", "",$G32:$H32),O$1)=TRUE,""✓"",""✗"")"),"✓")</f>
        <v>✓</v>
      </c>
      <c r="P32" s="154" t="str">
        <f>IFERROR(__xludf.DUMMYFUNCTION("if(REGEXMATCH(join("", "",$G32:$H32),P$1)=TRUE,""✓"",""✗"")"),"✓")</f>
        <v>✓</v>
      </c>
      <c r="Q32" s="154" t="str">
        <f>IFERROR(__xludf.DUMMYFUNCTION("if(REGEXMATCH(join("", "",$G32:$H32),Q$1)=TRUE,""✓"",""✗"")"),"✓")</f>
        <v>✓</v>
      </c>
      <c r="R32" s="154" t="str">
        <f>IFERROR(__xludf.DUMMYFUNCTION("if(REGEXMATCH(join("", "",$G32:$H32),R$1)=TRUE,""✓"",""✗"")"),"✓")</f>
        <v>✓</v>
      </c>
      <c r="S32" s="154" t="str">
        <f>IFERROR(__xludf.DUMMYFUNCTION("if(REGEXMATCH(join("", "",$G32:$H32),S$1)=TRUE,""✓"",""✗"")"),"✗")</f>
        <v>✗</v>
      </c>
      <c r="T32" s="154" t="str">
        <f>IFERROR(__xludf.DUMMYFUNCTION("if(REGEXMATCH(join("", "",$G32:$H32),T$1)=TRUE,""✓"",""✗"")"),"✗")</f>
        <v>✗</v>
      </c>
      <c r="U32" s="154" t="str">
        <f>IFERROR(__xludf.DUMMYFUNCTION("if(REGEXMATCH(join("", "",$G32:$H32),U$1)=TRUE,""✓"",""✗"")"),"✗")</f>
        <v>✗</v>
      </c>
    </row>
    <row r="33">
      <c r="A33" s="159">
        <v>32.0</v>
      </c>
      <c r="B33" s="159" t="s">
        <v>5119</v>
      </c>
      <c r="C33" s="151" t="str">
        <f t="shared" si="1"/>
        <v>Guglielmetti et al., 2021</v>
      </c>
      <c r="D33" s="156" t="s">
        <v>5120</v>
      </c>
      <c r="E33" s="152" t="str">
        <f t="shared" si="2"/>
        <v>https://raw.githubusercontent.com/d-wkim/phd/refs/heads/main/data/pdf/guglielmetti_2021 .pdf</v>
      </c>
      <c r="F33" s="159" t="s">
        <v>109</v>
      </c>
      <c r="G33" s="159" t="s">
        <v>4362</v>
      </c>
      <c r="H33" s="159" t="s">
        <v>4401</v>
      </c>
      <c r="I33" s="154" t="str">
        <f>IFERROR(__xludf.DUMMYFUNCTION("if(REGEXMATCH(join("", "",$G33:$H33),I$1)=TRUE,""✓"",""✗"")"),"✓")</f>
        <v>✓</v>
      </c>
      <c r="J33" s="154" t="str">
        <f>IFERROR(__xludf.DUMMYFUNCTION("if(REGEXMATCH(join("", "",$G33:$H33),J$1)=TRUE,""✓"",""✗"")"),"✓")</f>
        <v>✓</v>
      </c>
      <c r="K33" s="154" t="str">
        <f>IFERROR(__xludf.DUMMYFUNCTION("if(REGEXMATCH(join("", "",$G33:$H33),K$1)=TRUE,""✓"",""✗"")"),"✗")</f>
        <v>✗</v>
      </c>
      <c r="L33" s="154" t="str">
        <f>IFERROR(__xludf.DUMMYFUNCTION("if(REGEXMATCH(join("", "",$G33:$H33),L$1)=TRUE,""✓"",""✗"")"),"✗")</f>
        <v>✗</v>
      </c>
      <c r="M33" s="154" t="str">
        <f>IFERROR(__xludf.DUMMYFUNCTION("if(REGEXMATCH(join("", "",$G33:$H33),M$1)=TRUE,""✓"",""✗"")"),"✗")</f>
        <v>✗</v>
      </c>
      <c r="N33" s="154" t="str">
        <f>IFERROR(__xludf.DUMMYFUNCTION("if(REGEXMATCH(join("", "",$G33:$H33),N$1)=TRUE,""✓"",""✗"")"),"✗")</f>
        <v>✗</v>
      </c>
      <c r="O33" s="154" t="str">
        <f>IFERROR(__xludf.DUMMYFUNCTION("if(REGEXMATCH(join("", "",$G33:$H33),O$1)=TRUE,""✓"",""✗"")"),"✓")</f>
        <v>✓</v>
      </c>
      <c r="P33" s="154" t="str">
        <f>IFERROR(__xludf.DUMMYFUNCTION("if(REGEXMATCH(join("", "",$G33:$H33),P$1)=TRUE,""✓"",""✗"")"),"✓")</f>
        <v>✓</v>
      </c>
      <c r="Q33" s="154" t="str">
        <f>IFERROR(__xludf.DUMMYFUNCTION("if(REGEXMATCH(join("", "",$G33:$H33),Q$1)=TRUE,""✓"",""✗"")"),"✗")</f>
        <v>✗</v>
      </c>
      <c r="R33" s="154" t="str">
        <f>IFERROR(__xludf.DUMMYFUNCTION("if(REGEXMATCH(join("", "",$G33:$H33),R$1)=TRUE,""✓"",""✗"")"),"✗")</f>
        <v>✗</v>
      </c>
      <c r="S33" s="154" t="str">
        <f>IFERROR(__xludf.DUMMYFUNCTION("if(REGEXMATCH(join("", "",$G33:$H33),S$1)=TRUE,""✓"",""✗"")"),"✓")</f>
        <v>✓</v>
      </c>
      <c r="T33" s="154" t="str">
        <f>IFERROR(__xludf.DUMMYFUNCTION("if(REGEXMATCH(join("", "",$G33:$H33),T$1)=TRUE,""✓"",""✗"")"),"✓")</f>
        <v>✓</v>
      </c>
      <c r="U33" s="154" t="str">
        <f>IFERROR(__xludf.DUMMYFUNCTION("if(REGEXMATCH(join("", "",$G33:$H33),U$1)=TRUE,""✓"",""✗"")"),"✗")</f>
        <v>✗</v>
      </c>
    </row>
    <row r="34">
      <c r="A34" s="159">
        <v>33.0</v>
      </c>
      <c r="B34" s="159" t="s">
        <v>5123</v>
      </c>
      <c r="C34" s="151" t="str">
        <f t="shared" si="1"/>
        <v>Harilainen et al., 2006</v>
      </c>
      <c r="D34" s="156" t="s">
        <v>5124</v>
      </c>
      <c r="E34" s="152" t="str">
        <f t="shared" si="2"/>
        <v>https://raw.githubusercontent.com/d-wkim/phd/refs/heads/main/data/pdf/harilainen_2006 .pdf</v>
      </c>
      <c r="F34" s="159" t="s">
        <v>109</v>
      </c>
      <c r="G34" s="159" t="s">
        <v>4362</v>
      </c>
      <c r="H34" s="159" t="s">
        <v>4402</v>
      </c>
      <c r="I34" s="154" t="str">
        <f>IFERROR(__xludf.DUMMYFUNCTION("if(REGEXMATCH(join("", "",$G34:$H34),I$1)=TRUE,""✓"",""✗"")"),"✓")</f>
        <v>✓</v>
      </c>
      <c r="J34" s="154" t="str">
        <f>IFERROR(__xludf.DUMMYFUNCTION("if(REGEXMATCH(join("", "",$G34:$H34),J$1)=TRUE,""✓"",""✗"")"),"✓")</f>
        <v>✓</v>
      </c>
      <c r="K34" s="154" t="str">
        <f>IFERROR(__xludf.DUMMYFUNCTION("if(REGEXMATCH(join("", "",$G34:$H34),K$1)=TRUE,""✓"",""✗"")"),"✗")</f>
        <v>✗</v>
      </c>
      <c r="L34" s="154" t="str">
        <f>IFERROR(__xludf.DUMMYFUNCTION("if(REGEXMATCH(join("", "",$G34:$H34),L$1)=TRUE,""✓"",""✗"")"),"✗")</f>
        <v>✗</v>
      </c>
      <c r="M34" s="154" t="str">
        <f>IFERROR(__xludf.DUMMYFUNCTION("if(REGEXMATCH(join("", "",$G34:$H34),M$1)=TRUE,""✓"",""✗"")"),"✗")</f>
        <v>✗</v>
      </c>
      <c r="N34" s="154" t="str">
        <f>IFERROR(__xludf.DUMMYFUNCTION("if(REGEXMATCH(join("", "",$G34:$H34),N$1)=TRUE,""✓"",""✗"")"),"✗")</f>
        <v>✗</v>
      </c>
      <c r="O34" s="154" t="str">
        <f>IFERROR(__xludf.DUMMYFUNCTION("if(REGEXMATCH(join("", "",$G34:$H34),O$1)=TRUE,""✓"",""✗"")"),"✓")</f>
        <v>✓</v>
      </c>
      <c r="P34" s="154" t="str">
        <f>IFERROR(__xludf.DUMMYFUNCTION("if(REGEXMATCH(join("", "",$G34:$H34),P$1)=TRUE,""✓"",""✗"")"),"✓")</f>
        <v>✓</v>
      </c>
      <c r="Q34" s="154" t="str">
        <f>IFERROR(__xludf.DUMMYFUNCTION("if(REGEXMATCH(join("", "",$G34:$H34),Q$1)=TRUE,""✓"",""✗"")"),"✓")</f>
        <v>✓</v>
      </c>
      <c r="R34" s="154" t="str">
        <f>IFERROR(__xludf.DUMMYFUNCTION("if(REGEXMATCH(join("", "",$G34:$H34),R$1)=TRUE,""✓"",""✗"")"),"✓")</f>
        <v>✓</v>
      </c>
      <c r="S34" s="154" t="str">
        <f>IFERROR(__xludf.DUMMYFUNCTION("if(REGEXMATCH(join("", "",$G34:$H34),S$1)=TRUE,""✓"",""✗"")"),"✓")</f>
        <v>✓</v>
      </c>
      <c r="T34" s="154" t="str">
        <f>IFERROR(__xludf.DUMMYFUNCTION("if(REGEXMATCH(join("", "",$G34:$H34),T$1)=TRUE,""✓"",""✗"")"),"✗")</f>
        <v>✗</v>
      </c>
      <c r="U34" s="154" t="str">
        <f>IFERROR(__xludf.DUMMYFUNCTION("if(REGEXMATCH(join("", "",$G34:$H34),U$1)=TRUE,""✓"",""✗"")"),"✗")</f>
        <v>✗</v>
      </c>
    </row>
    <row r="35">
      <c r="A35" s="159">
        <v>34.0</v>
      </c>
      <c r="B35" s="159" t="s">
        <v>5126</v>
      </c>
      <c r="C35" s="151" t="str">
        <f t="shared" si="1"/>
        <v>Heijne et al., Werner et al., 2010</v>
      </c>
      <c r="D35" s="156" t="s">
        <v>5127</v>
      </c>
      <c r="E35" s="152" t="str">
        <f t="shared" si="2"/>
        <v>https://raw.githubusercontent.com/d-wkim/phd/refs/heads/main/data/pdf/heijne_werner_2010 .pdf</v>
      </c>
      <c r="F35" s="159" t="s">
        <v>109</v>
      </c>
      <c r="G35" s="159" t="s">
        <v>4362</v>
      </c>
      <c r="H35" s="159" t="s">
        <v>4403</v>
      </c>
      <c r="I35" s="154" t="str">
        <f>IFERROR(__xludf.DUMMYFUNCTION("if(REGEXMATCH(join("", "",$G35:$H35),I$1)=TRUE,""✓"",""✗"")"),"✓")</f>
        <v>✓</v>
      </c>
      <c r="J35" s="154" t="str">
        <f>IFERROR(__xludf.DUMMYFUNCTION("if(REGEXMATCH(join("", "",$G35:$H35),J$1)=TRUE,""✓"",""✗"")"),"✓")</f>
        <v>✓</v>
      </c>
      <c r="K35" s="154" t="str">
        <f>IFERROR(__xludf.DUMMYFUNCTION("if(REGEXMATCH(join("", "",$G35:$H35),K$1)=TRUE,""✓"",""✗"")"),"✗")</f>
        <v>✗</v>
      </c>
      <c r="L35" s="154" t="str">
        <f>IFERROR(__xludf.DUMMYFUNCTION("if(REGEXMATCH(join("", "",$G35:$H35),L$1)=TRUE,""✓"",""✗"")"),"✗")</f>
        <v>✗</v>
      </c>
      <c r="M35" s="154" t="str">
        <f>IFERROR(__xludf.DUMMYFUNCTION("if(REGEXMATCH(join("", "",$G35:$H35),M$1)=TRUE,""✓"",""✗"")"),"✗")</f>
        <v>✗</v>
      </c>
      <c r="N35" s="154" t="str">
        <f>IFERROR(__xludf.DUMMYFUNCTION("if(REGEXMATCH(join("", "",$G35:$H35),N$1)=TRUE,""✓"",""✗"")"),"✗")</f>
        <v>✗</v>
      </c>
      <c r="O35" s="154" t="str">
        <f>IFERROR(__xludf.DUMMYFUNCTION("if(REGEXMATCH(join("", "",$G35:$H35),O$1)=TRUE,""✓"",""✗"")"),"✗")</f>
        <v>✗</v>
      </c>
      <c r="P35" s="154" t="str">
        <f>IFERROR(__xludf.DUMMYFUNCTION("if(REGEXMATCH(join("", "",$G35:$H35),P$1)=TRUE,""✓"",""✗"")"),"✗")</f>
        <v>✗</v>
      </c>
      <c r="Q35" s="154" t="str">
        <f>IFERROR(__xludf.DUMMYFUNCTION("if(REGEXMATCH(join("", "",$G35:$H35),Q$1)=TRUE,""✓"",""✗"")"),"✓")</f>
        <v>✓</v>
      </c>
      <c r="R35" s="154" t="str">
        <f>IFERROR(__xludf.DUMMYFUNCTION("if(REGEXMATCH(join("", "",$G35:$H35),R$1)=TRUE,""✓"",""✗"")"),"✓")</f>
        <v>✓</v>
      </c>
      <c r="S35" s="154" t="str">
        <f>IFERROR(__xludf.DUMMYFUNCTION("if(REGEXMATCH(join("", "",$G35:$H35),S$1)=TRUE,""✓"",""✗"")"),"✓")</f>
        <v>✓</v>
      </c>
      <c r="T35" s="154" t="str">
        <f>IFERROR(__xludf.DUMMYFUNCTION("if(REGEXMATCH(join("", "",$G35:$H35),T$1)=TRUE,""✓"",""✗"")"),"✗")</f>
        <v>✗</v>
      </c>
      <c r="U35" s="154" t="str">
        <f>IFERROR(__xludf.DUMMYFUNCTION("if(REGEXMATCH(join("", "",$G35:$H35),U$1)=TRUE,""✓"",""✗"")"),"✗")</f>
        <v>✗</v>
      </c>
    </row>
    <row r="36">
      <c r="A36" s="159">
        <v>35.0</v>
      </c>
      <c r="B36" s="159" t="s">
        <v>5129</v>
      </c>
      <c r="C36" s="151" t="str">
        <f t="shared" si="1"/>
        <v>Holm et al., 2010</v>
      </c>
      <c r="D36" s="156" t="s">
        <v>5130</v>
      </c>
      <c r="E36" s="152" t="str">
        <f t="shared" si="2"/>
        <v>https://raw.githubusercontent.com/d-wkim/phd/refs/heads/main/data/pdf/holm_2010 .pdf</v>
      </c>
      <c r="F36" s="159" t="s">
        <v>109</v>
      </c>
      <c r="G36" s="159" t="s">
        <v>4362</v>
      </c>
      <c r="H36" s="159" t="s">
        <v>4404</v>
      </c>
      <c r="I36" s="154" t="str">
        <f>IFERROR(__xludf.DUMMYFUNCTION("if(REGEXMATCH(join("", "",$G36:$H36),I$1)=TRUE,""✓"",""✗"")"),"✓")</f>
        <v>✓</v>
      </c>
      <c r="J36" s="154" t="str">
        <f>IFERROR(__xludf.DUMMYFUNCTION("if(REGEXMATCH(join("", "",$G36:$H36),J$1)=TRUE,""✓"",""✗"")"),"✓")</f>
        <v>✓</v>
      </c>
      <c r="K36" s="154" t="str">
        <f>IFERROR(__xludf.DUMMYFUNCTION("if(REGEXMATCH(join("", "",$G36:$H36),K$1)=TRUE,""✓"",""✗"")"),"✗")</f>
        <v>✗</v>
      </c>
      <c r="L36" s="154" t="str">
        <f>IFERROR(__xludf.DUMMYFUNCTION("if(REGEXMATCH(join("", "",$G36:$H36),L$1)=TRUE,""✓"",""✗"")"),"✗")</f>
        <v>✗</v>
      </c>
      <c r="M36" s="154" t="str">
        <f>IFERROR(__xludf.DUMMYFUNCTION("if(REGEXMATCH(join("", "",$G36:$H36),M$1)=TRUE,""✓"",""✗"")"),"✗")</f>
        <v>✗</v>
      </c>
      <c r="N36" s="154" t="str">
        <f>IFERROR(__xludf.DUMMYFUNCTION("if(REGEXMATCH(join("", "",$G36:$H36),N$1)=TRUE,""✓"",""✗"")"),"✗")</f>
        <v>✗</v>
      </c>
      <c r="O36" s="154" t="str">
        <f>IFERROR(__xludf.DUMMYFUNCTION("if(REGEXMATCH(join("", "",$G36:$H36),O$1)=TRUE,""✓"",""✗"")"),"✗")</f>
        <v>✗</v>
      </c>
      <c r="P36" s="154" t="str">
        <f>IFERROR(__xludf.DUMMYFUNCTION("if(REGEXMATCH(join("", "",$G36:$H36),P$1)=TRUE,""✓"",""✗"")"),"✗")</f>
        <v>✗</v>
      </c>
      <c r="Q36" s="154" t="str">
        <f>IFERROR(__xludf.DUMMYFUNCTION("if(REGEXMATCH(join("", "",$G36:$H36),Q$1)=TRUE,""✓"",""✗"")"),"✓")</f>
        <v>✓</v>
      </c>
      <c r="R36" s="154" t="str">
        <f>IFERROR(__xludf.DUMMYFUNCTION("if(REGEXMATCH(join("", "",$G36:$H36),R$1)=TRUE,""✓"",""✗"")"),"✓")</f>
        <v>✓</v>
      </c>
      <c r="S36" s="154" t="str">
        <f>IFERROR(__xludf.DUMMYFUNCTION("if(REGEXMATCH(join("", "",$G36:$H36),S$1)=TRUE,""✓"",""✗"")"),"✗")</f>
        <v>✗</v>
      </c>
      <c r="T36" s="154" t="str">
        <f>IFERROR(__xludf.DUMMYFUNCTION("if(REGEXMATCH(join("", "",$G36:$H36),T$1)=TRUE,""✓"",""✗"")"),"✗")</f>
        <v>✗</v>
      </c>
      <c r="U36" s="154" t="str">
        <f>IFERROR(__xludf.DUMMYFUNCTION("if(REGEXMATCH(join("", "",$G36:$H36),U$1)=TRUE,""✓"",""✗"")"),"✗")</f>
        <v>✗</v>
      </c>
    </row>
    <row r="37">
      <c r="A37" s="159">
        <v>36.0</v>
      </c>
      <c r="B37" s="159" t="s">
        <v>5134</v>
      </c>
      <c r="C37" s="151" t="str">
        <f t="shared" si="1"/>
        <v>Horstmann et al., 2022</v>
      </c>
      <c r="D37" s="156" t="s">
        <v>5135</v>
      </c>
      <c r="E37" s="152" t="str">
        <f t="shared" si="2"/>
        <v>https://raw.githubusercontent.com/d-wkim/phd/refs/heads/main/data/pdf/horstmann_2022 .pdf</v>
      </c>
      <c r="F37" s="159" t="s">
        <v>109</v>
      </c>
      <c r="G37" s="161" t="s">
        <v>4391</v>
      </c>
      <c r="H37" s="159" t="s">
        <v>4406</v>
      </c>
      <c r="I37" s="154" t="str">
        <f>IFERROR(__xludf.DUMMYFUNCTION("if(REGEXMATCH(join("", "",$G37:$H37),I$1)=TRUE,""✓"",""✗"")"),"✗")</f>
        <v>✗</v>
      </c>
      <c r="J37" s="154" t="str">
        <f>IFERROR(__xludf.DUMMYFUNCTION("if(REGEXMATCH(join("", "",$G37:$H37),J$1)=TRUE,""✓"",""✗"")"),"✓")</f>
        <v>✓</v>
      </c>
      <c r="K37" s="154" t="str">
        <f>IFERROR(__xludf.DUMMYFUNCTION("if(REGEXMATCH(join("", "",$G37:$H37),K$1)=TRUE,""✓"",""✗"")"),"✓")</f>
        <v>✓</v>
      </c>
      <c r="L37" s="154" t="str">
        <f>IFERROR(__xludf.DUMMYFUNCTION("if(REGEXMATCH(join("", "",$G37:$H37),L$1)=TRUE,""✓"",""✗"")"),"✗")</f>
        <v>✗</v>
      </c>
      <c r="M37" s="154" t="str">
        <f>IFERROR(__xludf.DUMMYFUNCTION("if(REGEXMATCH(join("", "",$G37:$H37),M$1)=TRUE,""✓"",""✗"")"),"✗")</f>
        <v>✗</v>
      </c>
      <c r="N37" s="154" t="str">
        <f>IFERROR(__xludf.DUMMYFUNCTION("if(REGEXMATCH(join("", "",$G37:$H37),N$1)=TRUE,""✓"",""✗"")"),"✗")</f>
        <v>✗</v>
      </c>
      <c r="O37" s="154" t="str">
        <f>IFERROR(__xludf.DUMMYFUNCTION("if(REGEXMATCH(join("", "",$G37:$H37),O$1)=TRUE,""✓"",""✗"")"),"✓")</f>
        <v>✓</v>
      </c>
      <c r="P37" s="154" t="str">
        <f>IFERROR(__xludf.DUMMYFUNCTION("if(REGEXMATCH(join("", "",$G37:$H37),P$1)=TRUE,""✓"",""✗"")"),"✓")</f>
        <v>✓</v>
      </c>
      <c r="Q37" s="154" t="str">
        <f>IFERROR(__xludf.DUMMYFUNCTION("if(REGEXMATCH(join("", "",$G37:$H37),Q$1)=TRUE,""✓"",""✗"")"),"✗")</f>
        <v>✗</v>
      </c>
      <c r="R37" s="154" t="str">
        <f>IFERROR(__xludf.DUMMYFUNCTION("if(REGEXMATCH(join("", "",$G37:$H37),R$1)=TRUE,""✓"",""✗"")"),"✓")</f>
        <v>✓</v>
      </c>
      <c r="S37" s="154" t="str">
        <f>IFERROR(__xludf.DUMMYFUNCTION("if(REGEXMATCH(join("", "",$G37:$H37),S$1)=TRUE,""✓"",""✗"")"),"✗")</f>
        <v>✗</v>
      </c>
      <c r="T37" s="154" t="str">
        <f>IFERROR(__xludf.DUMMYFUNCTION("if(REGEXMATCH(join("", "",$G37:$H37),T$1)=TRUE,""✓"",""✗"")"),"✗")</f>
        <v>✗</v>
      </c>
      <c r="U37" s="154" t="str">
        <f>IFERROR(__xludf.DUMMYFUNCTION("if(REGEXMATCH(join("", "",$G37:$H37),U$1)=TRUE,""✓"",""✗"")"),"✗")</f>
        <v>✗</v>
      </c>
    </row>
    <row r="38">
      <c r="A38" s="159">
        <v>37.0</v>
      </c>
      <c r="B38" s="159" t="s">
        <v>5137</v>
      </c>
      <c r="C38" s="151" t="str">
        <f t="shared" si="1"/>
        <v>Ibrahim et al., 2005</v>
      </c>
      <c r="D38" s="156" t="s">
        <v>5138</v>
      </c>
      <c r="E38" s="152" t="str">
        <f t="shared" si="2"/>
        <v>https://raw.githubusercontent.com/d-wkim/phd/refs/heads/main/data/pdf/ibrahim_2005 .pdf</v>
      </c>
      <c r="F38" s="159" t="s">
        <v>109</v>
      </c>
      <c r="G38" s="159" t="s">
        <v>4362</v>
      </c>
      <c r="H38" s="159" t="s">
        <v>4407</v>
      </c>
      <c r="I38" s="154" t="str">
        <f>IFERROR(__xludf.DUMMYFUNCTION("if(REGEXMATCH(join("", "",$G38:$H38),I$1)=TRUE,""✓"",""✗"")"),"✓")</f>
        <v>✓</v>
      </c>
      <c r="J38" s="154" t="str">
        <f>IFERROR(__xludf.DUMMYFUNCTION("if(REGEXMATCH(join("", "",$G38:$H38),J$1)=TRUE,""✓"",""✗"")"),"✓")</f>
        <v>✓</v>
      </c>
      <c r="K38" s="154" t="str">
        <f>IFERROR(__xludf.DUMMYFUNCTION("if(REGEXMATCH(join("", "",$G38:$H38),K$1)=TRUE,""✓"",""✗"")"),"✗")</f>
        <v>✗</v>
      </c>
      <c r="L38" s="154" t="str">
        <f>IFERROR(__xludf.DUMMYFUNCTION("if(REGEXMATCH(join("", "",$G38:$H38),L$1)=TRUE,""✓"",""✗"")"),"✗")</f>
        <v>✗</v>
      </c>
      <c r="M38" s="154" t="str">
        <f>IFERROR(__xludf.DUMMYFUNCTION("if(REGEXMATCH(join("", "",$G38:$H38),M$1)=TRUE,""✓"",""✗"")"),"✗")</f>
        <v>✗</v>
      </c>
      <c r="N38" s="154" t="str">
        <f>IFERROR(__xludf.DUMMYFUNCTION("if(REGEXMATCH(join("", "",$G38:$H38),N$1)=TRUE,""✓"",""✗"")"),"✗")</f>
        <v>✗</v>
      </c>
      <c r="O38" s="154" t="str">
        <f>IFERROR(__xludf.DUMMYFUNCTION("if(REGEXMATCH(join("", "",$G38:$H38),O$1)=TRUE,""✓"",""✗"")"),"✗")</f>
        <v>✗</v>
      </c>
      <c r="P38" s="154" t="str">
        <f>IFERROR(__xludf.DUMMYFUNCTION("if(REGEXMATCH(join("", "",$G38:$H38),P$1)=TRUE,""✓"",""✗"")"),"✓")</f>
        <v>✓</v>
      </c>
      <c r="Q38" s="154" t="str">
        <f>IFERROR(__xludf.DUMMYFUNCTION("if(REGEXMATCH(join("", "",$G38:$H38),Q$1)=TRUE,""✓"",""✗"")"),"✗")</f>
        <v>✗</v>
      </c>
      <c r="R38" s="154" t="str">
        <f>IFERROR(__xludf.DUMMYFUNCTION("if(REGEXMATCH(join("", "",$G38:$H38),R$1)=TRUE,""✓"",""✗"")"),"✓")</f>
        <v>✓</v>
      </c>
      <c r="S38" s="154" t="str">
        <f>IFERROR(__xludf.DUMMYFUNCTION("if(REGEXMATCH(join("", "",$G38:$H38),S$1)=TRUE,""✓"",""✗"")"),"✓")</f>
        <v>✓</v>
      </c>
      <c r="T38" s="154" t="str">
        <f>IFERROR(__xludf.DUMMYFUNCTION("if(REGEXMATCH(join("", "",$G38:$H38),T$1)=TRUE,""✓"",""✗"")"),"✓")</f>
        <v>✓</v>
      </c>
      <c r="U38" s="154" t="str">
        <f>IFERROR(__xludf.DUMMYFUNCTION("if(REGEXMATCH(join("", "",$G38:$H38),U$1)=TRUE,""✓"",""✗"")"),"✗")</f>
        <v>✗</v>
      </c>
    </row>
    <row r="39">
      <c r="A39" s="159">
        <v>38.0</v>
      </c>
      <c r="B39" s="159" t="s">
        <v>5140</v>
      </c>
      <c r="C39" s="151" t="str">
        <f t="shared" si="1"/>
        <v>Iliopoulos et al., 2017</v>
      </c>
      <c r="D39" s="156" t="s">
        <v>5142</v>
      </c>
      <c r="E39" s="152" t="str">
        <f t="shared" si="2"/>
        <v>https://raw.githubusercontent.com/d-wkim/phd/refs/heads/main/data/pdf/iliopoulos_2017 .pdf</v>
      </c>
      <c r="F39" s="159" t="s">
        <v>109</v>
      </c>
      <c r="G39" s="159" t="s">
        <v>4362</v>
      </c>
      <c r="H39" s="159" t="s">
        <v>4401</v>
      </c>
      <c r="I39" s="154" t="str">
        <f>IFERROR(__xludf.DUMMYFUNCTION("if(REGEXMATCH(join("", "",$G39:$H39),I$1)=TRUE,""✓"",""✗"")"),"✓")</f>
        <v>✓</v>
      </c>
      <c r="J39" s="154" t="str">
        <f>IFERROR(__xludf.DUMMYFUNCTION("if(REGEXMATCH(join("", "",$G39:$H39),J$1)=TRUE,""✓"",""✗"")"),"✓")</f>
        <v>✓</v>
      </c>
      <c r="K39" s="154" t="str">
        <f>IFERROR(__xludf.DUMMYFUNCTION("if(REGEXMATCH(join("", "",$G39:$H39),K$1)=TRUE,""✓"",""✗"")"),"✗")</f>
        <v>✗</v>
      </c>
      <c r="L39" s="154" t="str">
        <f>IFERROR(__xludf.DUMMYFUNCTION("if(REGEXMATCH(join("", "",$G39:$H39),L$1)=TRUE,""✓"",""✗"")"),"✗")</f>
        <v>✗</v>
      </c>
      <c r="M39" s="154" t="str">
        <f>IFERROR(__xludf.DUMMYFUNCTION("if(REGEXMATCH(join("", "",$G39:$H39),M$1)=TRUE,""✓"",""✗"")"),"✗")</f>
        <v>✗</v>
      </c>
      <c r="N39" s="154" t="str">
        <f>IFERROR(__xludf.DUMMYFUNCTION("if(REGEXMATCH(join("", "",$G39:$H39),N$1)=TRUE,""✓"",""✗"")"),"✗")</f>
        <v>✗</v>
      </c>
      <c r="O39" s="154" t="str">
        <f>IFERROR(__xludf.DUMMYFUNCTION("if(REGEXMATCH(join("", "",$G39:$H39),O$1)=TRUE,""✓"",""✗"")"),"✓")</f>
        <v>✓</v>
      </c>
      <c r="P39" s="154" t="str">
        <f>IFERROR(__xludf.DUMMYFUNCTION("if(REGEXMATCH(join("", "",$G39:$H39),P$1)=TRUE,""✓"",""✗"")"),"✓")</f>
        <v>✓</v>
      </c>
      <c r="Q39" s="154" t="str">
        <f>IFERROR(__xludf.DUMMYFUNCTION("if(REGEXMATCH(join("", "",$G39:$H39),Q$1)=TRUE,""✓"",""✗"")"),"✗")</f>
        <v>✗</v>
      </c>
      <c r="R39" s="154" t="str">
        <f>IFERROR(__xludf.DUMMYFUNCTION("if(REGEXMATCH(join("", "",$G39:$H39),R$1)=TRUE,""✓"",""✗"")"),"✗")</f>
        <v>✗</v>
      </c>
      <c r="S39" s="154" t="str">
        <f>IFERROR(__xludf.DUMMYFUNCTION("if(REGEXMATCH(join("", "",$G39:$H39),S$1)=TRUE,""✓"",""✗"")"),"✓")</f>
        <v>✓</v>
      </c>
      <c r="T39" s="154" t="str">
        <f>IFERROR(__xludf.DUMMYFUNCTION("if(REGEXMATCH(join("", "",$G39:$H39),T$1)=TRUE,""✓"",""✗"")"),"✓")</f>
        <v>✓</v>
      </c>
      <c r="U39" s="154" t="str">
        <f>IFERROR(__xludf.DUMMYFUNCTION("if(REGEXMATCH(join("", "",$G39:$H39),U$1)=TRUE,""✓"",""✗"")"),"✗")</f>
        <v>✗</v>
      </c>
    </row>
    <row r="40">
      <c r="A40" s="159">
        <v>39.0</v>
      </c>
      <c r="B40" s="159" t="s">
        <v>5144</v>
      </c>
      <c r="C40" s="162" t="str">
        <f t="shared" si="1"/>
        <v>Irrgang et al., 2021</v>
      </c>
      <c r="D40" s="159" t="s">
        <v>5145</v>
      </c>
      <c r="E40" s="152" t="str">
        <f t="shared" si="2"/>
        <v>https://raw.githubusercontent.com/d-wkim/phd/refs/heads/main/data/pdf/irrgang_2021 .pdf</v>
      </c>
      <c r="F40" s="159" t="s">
        <v>174</v>
      </c>
      <c r="G40" s="161"/>
      <c r="H40" s="159" t="s">
        <v>4996</v>
      </c>
      <c r="I40" s="154" t="str">
        <f>IFERROR(__xludf.DUMMYFUNCTION("if(REGEXMATCH(join("", "",$G40:$H40),I$1)=TRUE,""✓"",""✗"")"),"✗")</f>
        <v>✗</v>
      </c>
      <c r="J40" s="154" t="str">
        <f>IFERROR(__xludf.DUMMYFUNCTION("if(REGEXMATCH(join("", "",$G40:$H40),J$1)=TRUE,""✓"",""✗"")"),"✗")</f>
        <v>✗</v>
      </c>
      <c r="K40" s="154" t="str">
        <f>IFERROR(__xludf.DUMMYFUNCTION("if(REGEXMATCH(join("", "",$G40:$H40),K$1)=TRUE,""✓"",""✗"")"),"✗")</f>
        <v>✗</v>
      </c>
      <c r="L40" s="154" t="str">
        <f>IFERROR(__xludf.DUMMYFUNCTION("if(REGEXMATCH(join("", "",$G40:$H40),L$1)=TRUE,""✓"",""✗"")"),"✗")</f>
        <v>✗</v>
      </c>
      <c r="M40" s="154" t="str">
        <f>IFERROR(__xludf.DUMMYFUNCTION("if(REGEXMATCH(join("", "",$G40:$H40),M$1)=TRUE,""✓"",""✗"")"),"✗")</f>
        <v>✗</v>
      </c>
      <c r="N40" s="154" t="str">
        <f>IFERROR(__xludf.DUMMYFUNCTION("if(REGEXMATCH(join("", "",$G40:$H40),N$1)=TRUE,""✓"",""✗"")"),"✗")</f>
        <v>✗</v>
      </c>
      <c r="O40" s="154" t="str">
        <f>IFERROR(__xludf.DUMMYFUNCTION("if(REGEXMATCH(join("", "",$G40:$H40),O$1)=TRUE,""✓"",""✗"")"),"✗")</f>
        <v>✗</v>
      </c>
      <c r="P40" s="154" t="str">
        <f>IFERROR(__xludf.DUMMYFUNCTION("if(REGEXMATCH(join("", "",$G40:$H40),P$1)=TRUE,""✓"",""✗"")"),"✗")</f>
        <v>✗</v>
      </c>
      <c r="Q40" s="154" t="str">
        <f>IFERROR(__xludf.DUMMYFUNCTION("if(REGEXMATCH(join("", "",$G40:$H40),Q$1)=TRUE,""✓"",""✗"")"),"✗")</f>
        <v>✗</v>
      </c>
      <c r="R40" s="154" t="str">
        <f>IFERROR(__xludf.DUMMYFUNCTION("if(REGEXMATCH(join("", "",$G40:$H40),R$1)=TRUE,""✓"",""✗"")"),"✗")</f>
        <v>✗</v>
      </c>
      <c r="S40" s="154" t="str">
        <f>IFERROR(__xludf.DUMMYFUNCTION("if(REGEXMATCH(join("", "",$G40:$H40),S$1)=TRUE,""✓"",""✗"")"),"✗")</f>
        <v>✗</v>
      </c>
      <c r="T40" s="154" t="str">
        <f>IFERROR(__xludf.DUMMYFUNCTION("if(REGEXMATCH(join("", "",$G40:$H40),T$1)=TRUE,""✓"",""✗"")"),"✗")</f>
        <v>✗</v>
      </c>
      <c r="U40" s="154" t="str">
        <f>IFERROR(__xludf.DUMMYFUNCTION("if(REGEXMATCH(join("", "",$G40:$H40),U$1)=TRUE,""✓"",""✗"")"),"✗")</f>
        <v>✗</v>
      </c>
    </row>
    <row r="41">
      <c r="A41" s="159">
        <v>40.0</v>
      </c>
      <c r="B41" s="159" t="s">
        <v>5147</v>
      </c>
      <c r="C41" s="162" t="str">
        <f t="shared" si="1"/>
        <v>Jansson et al., 1999</v>
      </c>
      <c r="D41" s="159" t="s">
        <v>5148</v>
      </c>
      <c r="E41" s="152" t="str">
        <f t="shared" si="2"/>
        <v>https://raw.githubusercontent.com/d-wkim/phd/refs/heads/main/data/pdf/jansson_1999 .pdf</v>
      </c>
      <c r="F41" s="159" t="s">
        <v>174</v>
      </c>
      <c r="G41" s="159"/>
      <c r="H41" s="159" t="s">
        <v>4973</v>
      </c>
      <c r="I41" s="154" t="str">
        <f>IFERROR(__xludf.DUMMYFUNCTION("if(REGEXMATCH(join("", "",$G41:$H41),I$1)=TRUE,""✓"",""✗"")"),"✗")</f>
        <v>✗</v>
      </c>
      <c r="J41" s="154" t="str">
        <f>IFERROR(__xludf.DUMMYFUNCTION("if(REGEXMATCH(join("", "",$G41:$H41),J$1)=TRUE,""✓"",""✗"")"),"✗")</f>
        <v>✗</v>
      </c>
      <c r="K41" s="154" t="str">
        <f>IFERROR(__xludf.DUMMYFUNCTION("if(REGEXMATCH(join("", "",$G41:$H41),K$1)=TRUE,""✓"",""✗"")"),"✗")</f>
        <v>✗</v>
      </c>
      <c r="L41" s="154" t="str">
        <f>IFERROR(__xludf.DUMMYFUNCTION("if(REGEXMATCH(join("", "",$G41:$H41),L$1)=TRUE,""✓"",""✗"")"),"✗")</f>
        <v>✗</v>
      </c>
      <c r="M41" s="154" t="str">
        <f>IFERROR(__xludf.DUMMYFUNCTION("if(REGEXMATCH(join("", "",$G41:$H41),M$1)=TRUE,""✓"",""✗"")"),"✗")</f>
        <v>✗</v>
      </c>
      <c r="N41" s="154" t="str">
        <f>IFERROR(__xludf.DUMMYFUNCTION("if(REGEXMATCH(join("", "",$G41:$H41),N$1)=TRUE,""✓"",""✗"")"),"✗")</f>
        <v>✗</v>
      </c>
      <c r="O41" s="154" t="str">
        <f>IFERROR(__xludf.DUMMYFUNCTION("if(REGEXMATCH(join("", "",$G41:$H41),O$1)=TRUE,""✓"",""✗"")"),"✗")</f>
        <v>✗</v>
      </c>
      <c r="P41" s="154" t="str">
        <f>IFERROR(__xludf.DUMMYFUNCTION("if(REGEXMATCH(join("", "",$G41:$H41),P$1)=TRUE,""✓"",""✗"")"),"✗")</f>
        <v>✗</v>
      </c>
      <c r="Q41" s="154" t="str">
        <f>IFERROR(__xludf.DUMMYFUNCTION("if(REGEXMATCH(join("", "",$G41:$H41),Q$1)=TRUE,""✓"",""✗"")"),"✗")</f>
        <v>✗</v>
      </c>
      <c r="R41" s="154" t="str">
        <f>IFERROR(__xludf.DUMMYFUNCTION("if(REGEXMATCH(join("", "",$G41:$H41),R$1)=TRUE,""✓"",""✗"")"),"✗")</f>
        <v>✗</v>
      </c>
      <c r="S41" s="154" t="str">
        <f>IFERROR(__xludf.DUMMYFUNCTION("if(REGEXMATCH(join("", "",$G41:$H41),S$1)=TRUE,""✓"",""✗"")"),"✗")</f>
        <v>✗</v>
      </c>
      <c r="T41" s="154" t="str">
        <f>IFERROR(__xludf.DUMMYFUNCTION("if(REGEXMATCH(join("", "",$G41:$H41),T$1)=TRUE,""✓"",""✗"")"),"✗")</f>
        <v>✗</v>
      </c>
      <c r="U41" s="154" t="str">
        <f>IFERROR(__xludf.DUMMYFUNCTION("if(REGEXMATCH(join("", "",$G41:$H41),U$1)=TRUE,""✓"",""✗"")"),"✗")</f>
        <v>✗</v>
      </c>
    </row>
    <row r="42">
      <c r="A42" s="159">
        <v>41.0</v>
      </c>
      <c r="B42" s="159" t="s">
        <v>5152</v>
      </c>
      <c r="C42" s="151" t="str">
        <f t="shared" si="1"/>
        <v>Jansson et al., 2003</v>
      </c>
      <c r="D42" s="156" t="s">
        <v>5153</v>
      </c>
      <c r="E42" s="152" t="str">
        <f t="shared" si="2"/>
        <v>https://raw.githubusercontent.com/d-wkim/phd/refs/heads/main/data/pdf/jansson_2003 .pdf</v>
      </c>
      <c r="F42" s="159" t="s">
        <v>109</v>
      </c>
      <c r="G42" s="159" t="s">
        <v>4362</v>
      </c>
      <c r="H42" s="159" t="s">
        <v>4410</v>
      </c>
      <c r="I42" s="154" t="str">
        <f>IFERROR(__xludf.DUMMYFUNCTION("if(REGEXMATCH(join("", "",$G42:$H42),I$1)=TRUE,""✓"",""✗"")"),"✓")</f>
        <v>✓</v>
      </c>
      <c r="J42" s="154" t="str">
        <f>IFERROR(__xludf.DUMMYFUNCTION("if(REGEXMATCH(join("", "",$G42:$H42),J$1)=TRUE,""✓"",""✗"")"),"✓")</f>
        <v>✓</v>
      </c>
      <c r="K42" s="154" t="str">
        <f>IFERROR(__xludf.DUMMYFUNCTION("if(REGEXMATCH(join("", "",$G42:$H42),K$1)=TRUE,""✓"",""✗"")"),"✗")</f>
        <v>✗</v>
      </c>
      <c r="L42" s="154" t="str">
        <f>IFERROR(__xludf.DUMMYFUNCTION("if(REGEXMATCH(join("", "",$G42:$H42),L$1)=TRUE,""✓"",""✗"")"),"✗")</f>
        <v>✗</v>
      </c>
      <c r="M42" s="154" t="str">
        <f>IFERROR(__xludf.DUMMYFUNCTION("if(REGEXMATCH(join("", "",$G42:$H42),M$1)=TRUE,""✓"",""✗"")"),"✗")</f>
        <v>✗</v>
      </c>
      <c r="N42" s="154" t="str">
        <f>IFERROR(__xludf.DUMMYFUNCTION("if(REGEXMATCH(join("", "",$G42:$H42),N$1)=TRUE,""✓"",""✗"")"),"✗")</f>
        <v>✗</v>
      </c>
      <c r="O42" s="154" t="str">
        <f>IFERROR(__xludf.DUMMYFUNCTION("if(REGEXMATCH(join("", "",$G42:$H42),O$1)=TRUE,""✓"",""✗"")"),"✗")</f>
        <v>✗</v>
      </c>
      <c r="P42" s="154" t="str">
        <f>IFERROR(__xludf.DUMMYFUNCTION("if(REGEXMATCH(join("", "",$G42:$H42),P$1)=TRUE,""✓"",""✗"")"),"✓")</f>
        <v>✓</v>
      </c>
      <c r="Q42" s="154" t="str">
        <f>IFERROR(__xludf.DUMMYFUNCTION("if(REGEXMATCH(join("", "",$G42:$H42),Q$1)=TRUE,""✓"",""✗"")"),"✓")</f>
        <v>✓</v>
      </c>
      <c r="R42" s="154" t="str">
        <f>IFERROR(__xludf.DUMMYFUNCTION("if(REGEXMATCH(join("", "",$G42:$H42),R$1)=TRUE,""✓"",""✗"")"),"✓")</f>
        <v>✓</v>
      </c>
      <c r="S42" s="154" t="str">
        <f>IFERROR(__xludf.DUMMYFUNCTION("if(REGEXMATCH(join("", "",$G42:$H42),S$1)=TRUE,""✓"",""✗"")"),"✓")</f>
        <v>✓</v>
      </c>
      <c r="T42" s="154" t="str">
        <f>IFERROR(__xludf.DUMMYFUNCTION("if(REGEXMATCH(join("", "",$G42:$H42),T$1)=TRUE,""✓"",""✗"")"),"✓")</f>
        <v>✓</v>
      </c>
      <c r="U42" s="154" t="str">
        <f>IFERROR(__xludf.DUMMYFUNCTION("if(REGEXMATCH(join("", "",$G42:$H42),U$1)=TRUE,""✓"",""✗"")"),"✗")</f>
        <v>✗</v>
      </c>
    </row>
    <row r="43">
      <c r="A43" s="159">
        <v>42.0</v>
      </c>
      <c r="B43" s="159" t="s">
        <v>5156</v>
      </c>
      <c r="C43" s="162" t="str">
        <f t="shared" si="1"/>
        <v>Johns et al., 2026</v>
      </c>
      <c r="D43" s="159" t="s">
        <v>5157</v>
      </c>
      <c r="E43" s="152" t="str">
        <f t="shared" si="2"/>
        <v>https://raw.githubusercontent.com/d-wkim/phd/refs/heads/main/data/pdf/johns_2026 .pdf</v>
      </c>
      <c r="F43" s="159" t="s">
        <v>174</v>
      </c>
      <c r="G43" s="161"/>
      <c r="H43" s="159" t="s">
        <v>4980</v>
      </c>
      <c r="I43" s="154" t="str">
        <f>IFERROR(__xludf.DUMMYFUNCTION("if(REGEXMATCH(join("", "",$G43:$H43),I$1)=TRUE,""✓"",""✗"")"),"✗")</f>
        <v>✗</v>
      </c>
      <c r="J43" s="154" t="str">
        <f>IFERROR(__xludf.DUMMYFUNCTION("if(REGEXMATCH(join("", "",$G43:$H43),J$1)=TRUE,""✓"",""✗"")"),"✗")</f>
        <v>✗</v>
      </c>
      <c r="K43" s="154" t="str">
        <f>IFERROR(__xludf.DUMMYFUNCTION("if(REGEXMATCH(join("", "",$G43:$H43),K$1)=TRUE,""✓"",""✗"")"),"✗")</f>
        <v>✗</v>
      </c>
      <c r="L43" s="154" t="str">
        <f>IFERROR(__xludf.DUMMYFUNCTION("if(REGEXMATCH(join("", "",$G43:$H43),L$1)=TRUE,""✓"",""✗"")"),"✗")</f>
        <v>✗</v>
      </c>
      <c r="M43" s="154" t="str">
        <f>IFERROR(__xludf.DUMMYFUNCTION("if(REGEXMATCH(join("", "",$G43:$H43),M$1)=TRUE,""✓"",""✗"")"),"✗")</f>
        <v>✗</v>
      </c>
      <c r="N43" s="154" t="str">
        <f>IFERROR(__xludf.DUMMYFUNCTION("if(REGEXMATCH(join("", "",$G43:$H43),N$1)=TRUE,""✓"",""✗"")"),"✗")</f>
        <v>✗</v>
      </c>
      <c r="O43" s="154" t="str">
        <f>IFERROR(__xludf.DUMMYFUNCTION("if(REGEXMATCH(join("", "",$G43:$H43),O$1)=TRUE,""✓"",""✗"")"),"✗")</f>
        <v>✗</v>
      </c>
      <c r="P43" s="154" t="str">
        <f>IFERROR(__xludf.DUMMYFUNCTION("if(REGEXMATCH(join("", "",$G43:$H43),P$1)=TRUE,""✓"",""✗"")"),"✗")</f>
        <v>✗</v>
      </c>
      <c r="Q43" s="154" t="str">
        <f>IFERROR(__xludf.DUMMYFUNCTION("if(REGEXMATCH(join("", "",$G43:$H43),Q$1)=TRUE,""✓"",""✗"")"),"✗")</f>
        <v>✗</v>
      </c>
      <c r="R43" s="154" t="str">
        <f>IFERROR(__xludf.DUMMYFUNCTION("if(REGEXMATCH(join("", "",$G43:$H43),R$1)=TRUE,""✓"",""✗"")"),"✗")</f>
        <v>✗</v>
      </c>
      <c r="S43" s="154" t="str">
        <f>IFERROR(__xludf.DUMMYFUNCTION("if(REGEXMATCH(join("", "",$G43:$H43),S$1)=TRUE,""✓"",""✗"")"),"✗")</f>
        <v>✗</v>
      </c>
      <c r="T43" s="154" t="str">
        <f>IFERROR(__xludf.DUMMYFUNCTION("if(REGEXMATCH(join("", "",$G43:$H43),T$1)=TRUE,""✓"",""✗"")"),"✗")</f>
        <v>✗</v>
      </c>
      <c r="U43" s="154" t="str">
        <f>IFERROR(__xludf.DUMMYFUNCTION("if(REGEXMATCH(join("", "",$G43:$H43),U$1)=TRUE,""✓"",""✗"")"),"✗")</f>
        <v>✗</v>
      </c>
    </row>
    <row r="44">
      <c r="A44" s="159">
        <v>43.0</v>
      </c>
      <c r="B44" s="159" t="s">
        <v>5163</v>
      </c>
      <c r="C44" s="151" t="str">
        <f t="shared" si="1"/>
        <v>Kautzner et al., 2015</v>
      </c>
      <c r="D44" s="156" t="s">
        <v>5165</v>
      </c>
      <c r="E44" s="152" t="str">
        <f t="shared" si="2"/>
        <v>https://raw.githubusercontent.com/d-wkim/phd/refs/heads/main/data/pdf/kautzner_2015 .pdf</v>
      </c>
      <c r="F44" s="159" t="s">
        <v>109</v>
      </c>
      <c r="G44" s="159" t="s">
        <v>4362</v>
      </c>
      <c r="H44" s="159" t="s">
        <v>4412</v>
      </c>
      <c r="I44" s="154" t="str">
        <f>IFERROR(__xludf.DUMMYFUNCTION("if(REGEXMATCH(join("", "",$G44:$H44),I$1)=TRUE,""✓"",""✗"")"),"✓")</f>
        <v>✓</v>
      </c>
      <c r="J44" s="154" t="str">
        <f>IFERROR(__xludf.DUMMYFUNCTION("if(REGEXMATCH(join("", "",$G44:$H44),J$1)=TRUE,""✓"",""✗"")"),"✓")</f>
        <v>✓</v>
      </c>
      <c r="K44" s="154" t="str">
        <f>IFERROR(__xludf.DUMMYFUNCTION("if(REGEXMATCH(join("", "",$G44:$H44),K$1)=TRUE,""✓"",""✗"")"),"✗")</f>
        <v>✗</v>
      </c>
      <c r="L44" s="154" t="str">
        <f>IFERROR(__xludf.DUMMYFUNCTION("if(REGEXMATCH(join("", "",$G44:$H44),L$1)=TRUE,""✓"",""✗"")"),"✗")</f>
        <v>✗</v>
      </c>
      <c r="M44" s="154" t="str">
        <f>IFERROR(__xludf.DUMMYFUNCTION("if(REGEXMATCH(join("", "",$G44:$H44),M$1)=TRUE,""✓"",""✗"")"),"✗")</f>
        <v>✗</v>
      </c>
      <c r="N44" s="154" t="str">
        <f>IFERROR(__xludf.DUMMYFUNCTION("if(REGEXMATCH(join("", "",$G44:$H44),N$1)=TRUE,""✓"",""✗"")"),"✗")</f>
        <v>✗</v>
      </c>
      <c r="O44" s="154" t="str">
        <f>IFERROR(__xludf.DUMMYFUNCTION("if(REGEXMATCH(join("", "",$G44:$H44),O$1)=TRUE,""✓"",""✗"")"),"✗")</f>
        <v>✗</v>
      </c>
      <c r="P44" s="154" t="str">
        <f>IFERROR(__xludf.DUMMYFUNCTION("if(REGEXMATCH(join("", "",$G44:$H44),P$1)=TRUE,""✓"",""✗"")"),"✓")</f>
        <v>✓</v>
      </c>
      <c r="Q44" s="154" t="str">
        <f>IFERROR(__xludf.DUMMYFUNCTION("if(REGEXMATCH(join("", "",$G44:$H44),Q$1)=TRUE,""✓"",""✗"")"),"✗")</f>
        <v>✗</v>
      </c>
      <c r="R44" s="154" t="str">
        <f>IFERROR(__xludf.DUMMYFUNCTION("if(REGEXMATCH(join("", "",$G44:$H44),R$1)=TRUE,""✓"",""✗"")"),"✓")</f>
        <v>✓</v>
      </c>
      <c r="S44" s="154" t="str">
        <f>IFERROR(__xludf.DUMMYFUNCTION("if(REGEXMATCH(join("", "",$G44:$H44),S$1)=TRUE,""✓"",""✗"")"),"✗")</f>
        <v>✗</v>
      </c>
      <c r="T44" s="154" t="str">
        <f>IFERROR(__xludf.DUMMYFUNCTION("if(REGEXMATCH(join("", "",$G44:$H44),T$1)=TRUE,""✓"",""✗"")"),"✗")</f>
        <v>✗</v>
      </c>
      <c r="U44" s="154" t="str">
        <f>IFERROR(__xludf.DUMMYFUNCTION("if(REGEXMATCH(join("", "",$G44:$H44),U$1)=TRUE,""✓"",""✗"")"),"✗")</f>
        <v>✗</v>
      </c>
    </row>
    <row r="45">
      <c r="A45" s="159">
        <v>44.0</v>
      </c>
      <c r="B45" s="159" t="s">
        <v>5169</v>
      </c>
      <c r="C45" s="151" t="str">
        <f t="shared" si="1"/>
        <v>Komzak et al., 2022</v>
      </c>
      <c r="D45" s="156" t="s">
        <v>5170</v>
      </c>
      <c r="E45" s="152" t="str">
        <f t="shared" si="2"/>
        <v>https://raw.githubusercontent.com/d-wkim/phd/refs/heads/main/data/pdf/komzak_2022 .pdf</v>
      </c>
      <c r="F45" s="159" t="s">
        <v>109</v>
      </c>
      <c r="G45" s="161" t="s">
        <v>4376</v>
      </c>
      <c r="H45" s="161" t="s">
        <v>4413</v>
      </c>
      <c r="I45" s="154" t="str">
        <f>IFERROR(__xludf.DUMMYFUNCTION("if(REGEXMATCH(join("", "",$G45:$H45),I$1)=TRUE,""✓"",""✗"")"),"✓")</f>
        <v>✓</v>
      </c>
      <c r="J45" s="154" t="str">
        <f>IFERROR(__xludf.DUMMYFUNCTION("if(REGEXMATCH(join("", "",$G45:$H45),J$1)=TRUE,""✓"",""✗"")"),"✗")</f>
        <v>✗</v>
      </c>
      <c r="K45" s="154" t="str">
        <f>IFERROR(__xludf.DUMMYFUNCTION("if(REGEXMATCH(join("", "",$G45:$H45),K$1)=TRUE,""✓"",""✗"")"),"✓")</f>
        <v>✓</v>
      </c>
      <c r="L45" s="154" t="str">
        <f>IFERROR(__xludf.DUMMYFUNCTION("if(REGEXMATCH(join("", "",$G45:$H45),L$1)=TRUE,""✓"",""✗"")"),"✗")</f>
        <v>✗</v>
      </c>
      <c r="M45" s="154" t="str">
        <f>IFERROR(__xludf.DUMMYFUNCTION("if(REGEXMATCH(join("", "",$G45:$H45),M$1)=TRUE,""✓"",""✗"")"),"✗")</f>
        <v>✗</v>
      </c>
      <c r="N45" s="154" t="str">
        <f>IFERROR(__xludf.DUMMYFUNCTION("if(REGEXMATCH(join("", "",$G45:$H45),N$1)=TRUE,""✓"",""✗"")"),"✗")</f>
        <v>✗</v>
      </c>
      <c r="O45" s="154" t="str">
        <f>IFERROR(__xludf.DUMMYFUNCTION("if(REGEXMATCH(join("", "",$G45:$H45),O$1)=TRUE,""✓"",""✗"")"),"✓")</f>
        <v>✓</v>
      </c>
      <c r="P45" s="154" t="str">
        <f>IFERROR(__xludf.DUMMYFUNCTION("if(REGEXMATCH(join("", "",$G45:$H45),P$1)=TRUE,""✓"",""✗"")"),"✓")</f>
        <v>✓</v>
      </c>
      <c r="Q45" s="154" t="str">
        <f>IFERROR(__xludf.DUMMYFUNCTION("if(REGEXMATCH(join("", "",$G45:$H45),Q$1)=TRUE,""✓"",""✗"")"),"✗")</f>
        <v>✗</v>
      </c>
      <c r="R45" s="154" t="str">
        <f>IFERROR(__xludf.DUMMYFUNCTION("if(REGEXMATCH(join("", "",$G45:$H45),R$1)=TRUE,""✓"",""✗"")"),"✗")</f>
        <v>✗</v>
      </c>
      <c r="S45" s="154" t="str">
        <f>IFERROR(__xludf.DUMMYFUNCTION("if(REGEXMATCH(join("", "",$G45:$H45),S$1)=TRUE,""✓"",""✗"")"),"✗")</f>
        <v>✗</v>
      </c>
      <c r="T45" s="154" t="str">
        <f>IFERROR(__xludf.DUMMYFUNCTION("if(REGEXMATCH(join("", "",$G45:$H45),T$1)=TRUE,""✓"",""✗"")"),"✗")</f>
        <v>✗</v>
      </c>
      <c r="U45" s="154" t="str">
        <f>IFERROR(__xludf.DUMMYFUNCTION("if(REGEXMATCH(join("", "",$G45:$H45),U$1)=TRUE,""✓"",""✗"")"),"✗")</f>
        <v>✗</v>
      </c>
    </row>
    <row r="46">
      <c r="A46" s="159">
        <v>45.0</v>
      </c>
      <c r="B46" s="159" t="s">
        <v>5174</v>
      </c>
      <c r="C46" s="151" t="str">
        <f t="shared" si="1"/>
        <v>Konrads et al., 2016</v>
      </c>
      <c r="D46" s="156" t="s">
        <v>5176</v>
      </c>
      <c r="E46" s="152" t="str">
        <f t="shared" si="2"/>
        <v>https://raw.githubusercontent.com/d-wkim/phd/refs/heads/main/data/pdf/konrads_2016 .pdf</v>
      </c>
      <c r="F46" s="159" t="s">
        <v>109</v>
      </c>
      <c r="G46" s="159" t="s">
        <v>4362</v>
      </c>
      <c r="H46" s="159" t="s">
        <v>4414</v>
      </c>
      <c r="I46" s="154" t="str">
        <f>IFERROR(__xludf.DUMMYFUNCTION("if(REGEXMATCH(join("", "",$G46:$H46),I$1)=TRUE,""✓"",""✗"")"),"✓")</f>
        <v>✓</v>
      </c>
      <c r="J46" s="154" t="str">
        <f>IFERROR(__xludf.DUMMYFUNCTION("if(REGEXMATCH(join("", "",$G46:$H46),J$1)=TRUE,""✓"",""✗"")"),"✓")</f>
        <v>✓</v>
      </c>
      <c r="K46" s="154" t="str">
        <f>IFERROR(__xludf.DUMMYFUNCTION("if(REGEXMATCH(join("", "",$G46:$H46),K$1)=TRUE,""✓"",""✗"")"),"✗")</f>
        <v>✗</v>
      </c>
      <c r="L46" s="154" t="str">
        <f>IFERROR(__xludf.DUMMYFUNCTION("if(REGEXMATCH(join("", "",$G46:$H46),L$1)=TRUE,""✓"",""✗"")"),"✗")</f>
        <v>✗</v>
      </c>
      <c r="M46" s="154" t="str">
        <f>IFERROR(__xludf.DUMMYFUNCTION("if(REGEXMATCH(join("", "",$G46:$H46),M$1)=TRUE,""✓"",""✗"")"),"✗")</f>
        <v>✗</v>
      </c>
      <c r="N46" s="154" t="str">
        <f>IFERROR(__xludf.DUMMYFUNCTION("if(REGEXMATCH(join("", "",$G46:$H46),N$1)=TRUE,""✓"",""✗"")"),"✗")</f>
        <v>✗</v>
      </c>
      <c r="O46" s="154" t="str">
        <f>IFERROR(__xludf.DUMMYFUNCTION("if(REGEXMATCH(join("", "",$G46:$H46),O$1)=TRUE,""✓"",""✗"")"),"✓")</f>
        <v>✓</v>
      </c>
      <c r="P46" s="154" t="str">
        <f>IFERROR(__xludf.DUMMYFUNCTION("if(REGEXMATCH(join("", "",$G46:$H46),P$1)=TRUE,""✓"",""✗"")"),"✓")</f>
        <v>✓</v>
      </c>
      <c r="Q46" s="154" t="str">
        <f>IFERROR(__xludf.DUMMYFUNCTION("if(REGEXMATCH(join("", "",$G46:$H46),Q$1)=TRUE,""✓"",""✗"")"),"✓")</f>
        <v>✓</v>
      </c>
      <c r="R46" s="154" t="str">
        <f>IFERROR(__xludf.DUMMYFUNCTION("if(REGEXMATCH(join("", "",$G46:$H46),R$1)=TRUE,""✓"",""✗"")"),"✓")</f>
        <v>✓</v>
      </c>
      <c r="S46" s="154" t="str">
        <f>IFERROR(__xludf.DUMMYFUNCTION("if(REGEXMATCH(join("", "",$G46:$H46),S$1)=TRUE,""✓"",""✗"")"),"✓")</f>
        <v>✓</v>
      </c>
      <c r="T46" s="154" t="str">
        <f>IFERROR(__xludf.DUMMYFUNCTION("if(REGEXMATCH(join("", "",$G46:$H46),T$1)=TRUE,""✓"",""✗"")"),"✓")</f>
        <v>✓</v>
      </c>
      <c r="U46" s="154" t="str">
        <f>IFERROR(__xludf.DUMMYFUNCTION("if(REGEXMATCH(join("", "",$G46:$H46),U$1)=TRUE,""✓"",""✗"")"),"✗")</f>
        <v>✗</v>
      </c>
    </row>
    <row r="47">
      <c r="A47" s="159">
        <v>46.0</v>
      </c>
      <c r="B47" s="159" t="s">
        <v>5178</v>
      </c>
      <c r="C47" s="151" t="str">
        <f t="shared" si="1"/>
        <v>Laoruengthana et al., 2009</v>
      </c>
      <c r="D47" s="156" t="s">
        <v>5188</v>
      </c>
      <c r="E47" s="152" t="str">
        <f t="shared" si="2"/>
        <v>https://raw.githubusercontent.com/d-wkim/phd/refs/heads/main/data/pdf/laoruengthana_2009 .pdf</v>
      </c>
      <c r="F47" s="159" t="s">
        <v>109</v>
      </c>
      <c r="G47" s="159" t="s">
        <v>4362</v>
      </c>
      <c r="H47" s="159" t="s">
        <v>4415</v>
      </c>
      <c r="I47" s="154" t="str">
        <f>IFERROR(__xludf.DUMMYFUNCTION("if(REGEXMATCH(join("", "",$G47:$H47),I$1)=TRUE,""✓"",""✗"")"),"✓")</f>
        <v>✓</v>
      </c>
      <c r="J47" s="154" t="str">
        <f>IFERROR(__xludf.DUMMYFUNCTION("if(REGEXMATCH(join("", "",$G47:$H47),J$1)=TRUE,""✓"",""✗"")"),"✓")</f>
        <v>✓</v>
      </c>
      <c r="K47" s="154" t="str">
        <f>IFERROR(__xludf.DUMMYFUNCTION("if(REGEXMATCH(join("", "",$G47:$H47),K$1)=TRUE,""✓"",""✗"")"),"✗")</f>
        <v>✗</v>
      </c>
      <c r="L47" s="154" t="str">
        <f>IFERROR(__xludf.DUMMYFUNCTION("if(REGEXMATCH(join("", "",$G47:$H47),L$1)=TRUE,""✓"",""✗"")"),"✗")</f>
        <v>✗</v>
      </c>
      <c r="M47" s="154" t="str">
        <f>IFERROR(__xludf.DUMMYFUNCTION("if(REGEXMATCH(join("", "",$G47:$H47),M$1)=TRUE,""✓"",""✗"")"),"✗")</f>
        <v>✗</v>
      </c>
      <c r="N47" s="154" t="str">
        <f>IFERROR(__xludf.DUMMYFUNCTION("if(REGEXMATCH(join("", "",$G47:$H47),N$1)=TRUE,""✓"",""✗"")"),"✗")</f>
        <v>✗</v>
      </c>
      <c r="O47" s="154" t="str">
        <f>IFERROR(__xludf.DUMMYFUNCTION("if(REGEXMATCH(join("", "",$G47:$H47),O$1)=TRUE,""✓"",""✗"")"),"✓")</f>
        <v>✓</v>
      </c>
      <c r="P47" s="154" t="str">
        <f>IFERROR(__xludf.DUMMYFUNCTION("if(REGEXMATCH(join("", "",$G47:$H47),P$1)=TRUE,""✓"",""✗"")"),"✓")</f>
        <v>✓</v>
      </c>
      <c r="Q47" s="154" t="str">
        <f>IFERROR(__xludf.DUMMYFUNCTION("if(REGEXMATCH(join("", "",$G47:$H47),Q$1)=TRUE,""✓"",""✗"")"),"✗")</f>
        <v>✗</v>
      </c>
      <c r="R47" s="154" t="str">
        <f>IFERROR(__xludf.DUMMYFUNCTION("if(REGEXMATCH(join("", "",$G47:$H47),R$1)=TRUE,""✓"",""✗"")"),"✓")</f>
        <v>✓</v>
      </c>
      <c r="S47" s="154" t="str">
        <f>IFERROR(__xludf.DUMMYFUNCTION("if(REGEXMATCH(join("", "",$G47:$H47),S$1)=TRUE,""✓"",""✗"")"),"✓")</f>
        <v>✓</v>
      </c>
      <c r="T47" s="154" t="str">
        <f>IFERROR(__xludf.DUMMYFUNCTION("if(REGEXMATCH(join("", "",$G47:$H47),T$1)=TRUE,""✓"",""✗"")"),"✗")</f>
        <v>✗</v>
      </c>
      <c r="U47" s="154" t="str">
        <f>IFERROR(__xludf.DUMMYFUNCTION("if(REGEXMATCH(join("", "",$G47:$H47),U$1)=TRUE,""✓"",""✗"")"),"✗")</f>
        <v>✗</v>
      </c>
    </row>
    <row r="48">
      <c r="A48" s="159">
        <v>47.0</v>
      </c>
      <c r="B48" s="159" t="s">
        <v>5179</v>
      </c>
      <c r="C48" s="151" t="str">
        <f t="shared" si="1"/>
        <v>Lawhorn et al., 2012</v>
      </c>
      <c r="D48" s="156" t="s">
        <v>5211</v>
      </c>
      <c r="E48" s="152" t="str">
        <f t="shared" si="2"/>
        <v>https://raw.githubusercontent.com/d-wkim/phd/refs/heads/main/data/pdf/lawhorn_2012 .pdf</v>
      </c>
      <c r="F48" s="159" t="s">
        <v>109</v>
      </c>
      <c r="G48" s="161" t="s">
        <v>4385</v>
      </c>
      <c r="H48" s="159" t="s">
        <v>4369</v>
      </c>
      <c r="I48" s="154" t="str">
        <f>IFERROR(__xludf.DUMMYFUNCTION("if(REGEXMATCH(join("", "",$G48:$H48),I$1)=TRUE,""✓"",""✗"")"),"✗")</f>
        <v>✗</v>
      </c>
      <c r="J48" s="154" t="str">
        <f>IFERROR(__xludf.DUMMYFUNCTION("if(REGEXMATCH(join("", "",$G48:$H48),J$1)=TRUE,""✓"",""✗"")"),"✓")</f>
        <v>✓</v>
      </c>
      <c r="K48" s="154" t="str">
        <f>IFERROR(__xludf.DUMMYFUNCTION("if(REGEXMATCH(join("", "",$G48:$H48),K$1)=TRUE,""✓"",""✗"")"),"✗")</f>
        <v>✗</v>
      </c>
      <c r="L48" s="154" t="str">
        <f>IFERROR(__xludf.DUMMYFUNCTION("if(REGEXMATCH(join("", "",$G48:$H48),L$1)=TRUE,""✓"",""✗"")"),"✗")</f>
        <v>✗</v>
      </c>
      <c r="M48" s="154" t="str">
        <f>IFERROR(__xludf.DUMMYFUNCTION("if(REGEXMATCH(join("", "",$G48:$H48),M$1)=TRUE,""✓"",""✗"")"),"✗")</f>
        <v>✗</v>
      </c>
      <c r="N48" s="154" t="str">
        <f>IFERROR(__xludf.DUMMYFUNCTION("if(REGEXMATCH(join("", "",$G48:$H48),N$1)=TRUE,""✓"",""✗"")"),"✓")</f>
        <v>✓</v>
      </c>
      <c r="O48" s="154" t="str">
        <f>IFERROR(__xludf.DUMMYFUNCTION("if(REGEXMATCH(join("", "",$G48:$H48),O$1)=TRUE,""✓"",""✗"")"),"✓")</f>
        <v>✓</v>
      </c>
      <c r="P48" s="154" t="str">
        <f>IFERROR(__xludf.DUMMYFUNCTION("if(REGEXMATCH(join("", "",$G48:$H48),P$1)=TRUE,""✓"",""✗"")"),"✗")</f>
        <v>✗</v>
      </c>
      <c r="Q48" s="154" t="str">
        <f>IFERROR(__xludf.DUMMYFUNCTION("if(REGEXMATCH(join("", "",$G48:$H48),Q$1)=TRUE,""✓"",""✗"")"),"✗")</f>
        <v>✗</v>
      </c>
      <c r="R48" s="154" t="str">
        <f>IFERROR(__xludf.DUMMYFUNCTION("if(REGEXMATCH(join("", "",$G48:$H48),R$1)=TRUE,""✓"",""✗"")"),"✓")</f>
        <v>✓</v>
      </c>
      <c r="S48" s="154" t="str">
        <f>IFERROR(__xludf.DUMMYFUNCTION("if(REGEXMATCH(join("", "",$G48:$H48),S$1)=TRUE,""✓"",""✗"")"),"✓")</f>
        <v>✓</v>
      </c>
      <c r="T48" s="154" t="str">
        <f>IFERROR(__xludf.DUMMYFUNCTION("if(REGEXMATCH(join("", "",$G48:$H48),T$1)=TRUE,""✓"",""✗"")"),"✗")</f>
        <v>✗</v>
      </c>
      <c r="U48" s="154" t="str">
        <f>IFERROR(__xludf.DUMMYFUNCTION("if(REGEXMATCH(join("", "",$G48:$H48),U$1)=TRUE,""✓"",""✗"")"),"✗")</f>
        <v>✗</v>
      </c>
    </row>
    <row r="49">
      <c r="A49" s="159">
        <v>48.0</v>
      </c>
      <c r="B49" s="159" t="s">
        <v>5226</v>
      </c>
      <c r="C49" s="162" t="str">
        <f t="shared" si="1"/>
        <v>Laxdal et al., 2004</v>
      </c>
      <c r="D49" s="159" t="s">
        <v>5228</v>
      </c>
      <c r="E49" s="152" t="str">
        <f t="shared" si="2"/>
        <v>https://raw.githubusercontent.com/d-wkim/phd/refs/heads/main/data/pdf/laxdal_2004 .pdf</v>
      </c>
      <c r="F49" s="159" t="s">
        <v>174</v>
      </c>
      <c r="G49" s="159"/>
      <c r="H49" s="159" t="s">
        <v>4973</v>
      </c>
      <c r="I49" s="154" t="str">
        <f>IFERROR(__xludf.DUMMYFUNCTION("if(REGEXMATCH(join("", "",$G49:$H49),I$1)=TRUE,""✓"",""✗"")"),"✗")</f>
        <v>✗</v>
      </c>
      <c r="J49" s="154" t="str">
        <f>IFERROR(__xludf.DUMMYFUNCTION("if(REGEXMATCH(join("", "",$G49:$H49),J$1)=TRUE,""✓"",""✗"")"),"✗")</f>
        <v>✗</v>
      </c>
      <c r="K49" s="154" t="str">
        <f>IFERROR(__xludf.DUMMYFUNCTION("if(REGEXMATCH(join("", "",$G49:$H49),K$1)=TRUE,""✓"",""✗"")"),"✗")</f>
        <v>✗</v>
      </c>
      <c r="L49" s="154" t="str">
        <f>IFERROR(__xludf.DUMMYFUNCTION("if(REGEXMATCH(join("", "",$G49:$H49),L$1)=TRUE,""✓"",""✗"")"),"✗")</f>
        <v>✗</v>
      </c>
      <c r="M49" s="154" t="str">
        <f>IFERROR(__xludf.DUMMYFUNCTION("if(REGEXMATCH(join("", "",$G49:$H49),M$1)=TRUE,""✓"",""✗"")"),"✗")</f>
        <v>✗</v>
      </c>
      <c r="N49" s="154" t="str">
        <f>IFERROR(__xludf.DUMMYFUNCTION("if(REGEXMATCH(join("", "",$G49:$H49),N$1)=TRUE,""✓"",""✗"")"),"✗")</f>
        <v>✗</v>
      </c>
      <c r="O49" s="154" t="str">
        <f>IFERROR(__xludf.DUMMYFUNCTION("if(REGEXMATCH(join("", "",$G49:$H49),O$1)=TRUE,""✓"",""✗"")"),"✗")</f>
        <v>✗</v>
      </c>
      <c r="P49" s="154" t="str">
        <f>IFERROR(__xludf.DUMMYFUNCTION("if(REGEXMATCH(join("", "",$G49:$H49),P$1)=TRUE,""✓"",""✗"")"),"✗")</f>
        <v>✗</v>
      </c>
      <c r="Q49" s="154" t="str">
        <f>IFERROR(__xludf.DUMMYFUNCTION("if(REGEXMATCH(join("", "",$G49:$H49),Q$1)=TRUE,""✓"",""✗"")"),"✗")</f>
        <v>✗</v>
      </c>
      <c r="R49" s="154" t="str">
        <f>IFERROR(__xludf.DUMMYFUNCTION("if(REGEXMATCH(join("", "",$G49:$H49),R$1)=TRUE,""✓"",""✗"")"),"✗")</f>
        <v>✗</v>
      </c>
      <c r="S49" s="154" t="str">
        <f>IFERROR(__xludf.DUMMYFUNCTION("if(REGEXMATCH(join("", "",$G49:$H49),S$1)=TRUE,""✓"",""✗"")"),"✗")</f>
        <v>✗</v>
      </c>
      <c r="T49" s="154" t="str">
        <f>IFERROR(__xludf.DUMMYFUNCTION("if(REGEXMATCH(join("", "",$G49:$H49),T$1)=TRUE,""✓"",""✗"")"),"✗")</f>
        <v>✗</v>
      </c>
      <c r="U49" s="154" t="str">
        <f>IFERROR(__xludf.DUMMYFUNCTION("if(REGEXMATCH(join("", "",$G49:$H49),U$1)=TRUE,""✓"",""✗"")"),"✗")</f>
        <v>✗</v>
      </c>
    </row>
    <row r="50">
      <c r="A50" s="159">
        <v>49.0</v>
      </c>
      <c r="B50" s="159" t="s">
        <v>5180</v>
      </c>
      <c r="C50" s="151" t="str">
        <f t="shared" si="1"/>
        <v>Laxdal et al., 2005</v>
      </c>
      <c r="D50" s="156" t="s">
        <v>5245</v>
      </c>
      <c r="E50" s="152" t="str">
        <f t="shared" si="2"/>
        <v>https://raw.githubusercontent.com/d-wkim/phd/refs/heads/main/data/pdf/laxdal_2005 .pdf</v>
      </c>
      <c r="F50" s="159" t="s">
        <v>109</v>
      </c>
      <c r="G50" s="159" t="s">
        <v>4362</v>
      </c>
      <c r="H50" s="159" t="s">
        <v>4416</v>
      </c>
      <c r="I50" s="154" t="str">
        <f>IFERROR(__xludf.DUMMYFUNCTION("if(REGEXMATCH(join("", "",$G50:$H50),I$1)=TRUE,""✓"",""✗"")"),"✓")</f>
        <v>✓</v>
      </c>
      <c r="J50" s="154" t="str">
        <f>IFERROR(__xludf.DUMMYFUNCTION("if(REGEXMATCH(join("", "",$G50:$H50),J$1)=TRUE,""✓"",""✗"")"),"✓")</f>
        <v>✓</v>
      </c>
      <c r="K50" s="154" t="str">
        <f>IFERROR(__xludf.DUMMYFUNCTION("if(REGEXMATCH(join("", "",$G50:$H50),K$1)=TRUE,""✓"",""✗"")"),"✗")</f>
        <v>✗</v>
      </c>
      <c r="L50" s="154" t="str">
        <f>IFERROR(__xludf.DUMMYFUNCTION("if(REGEXMATCH(join("", "",$G50:$H50),L$1)=TRUE,""✓"",""✗"")"),"✗")</f>
        <v>✗</v>
      </c>
      <c r="M50" s="154" t="str">
        <f>IFERROR(__xludf.DUMMYFUNCTION("if(REGEXMATCH(join("", "",$G50:$H50),M$1)=TRUE,""✓"",""✗"")"),"✗")</f>
        <v>✗</v>
      </c>
      <c r="N50" s="154" t="str">
        <f>IFERROR(__xludf.DUMMYFUNCTION("if(REGEXMATCH(join("", "",$G50:$H50),N$1)=TRUE,""✓"",""✗"")"),"✗")</f>
        <v>✗</v>
      </c>
      <c r="O50" s="154" t="str">
        <f>IFERROR(__xludf.DUMMYFUNCTION("if(REGEXMATCH(join("", "",$G50:$H50),O$1)=TRUE,""✓"",""✗"")"),"✓")</f>
        <v>✓</v>
      </c>
      <c r="P50" s="154" t="str">
        <f>IFERROR(__xludf.DUMMYFUNCTION("if(REGEXMATCH(join("", "",$G50:$H50),P$1)=TRUE,""✓"",""✗"")"),"✓")</f>
        <v>✓</v>
      </c>
      <c r="Q50" s="154" t="str">
        <f>IFERROR(__xludf.DUMMYFUNCTION("if(REGEXMATCH(join("", "",$G50:$H50),Q$1)=TRUE,""✓"",""✗"")"),"✓")</f>
        <v>✓</v>
      </c>
      <c r="R50" s="154" t="str">
        <f>IFERROR(__xludf.DUMMYFUNCTION("if(REGEXMATCH(join("", "",$G50:$H50),R$1)=TRUE,""✓"",""✗"")"),"✓")</f>
        <v>✓</v>
      </c>
      <c r="S50" s="154" t="str">
        <f>IFERROR(__xludf.DUMMYFUNCTION("if(REGEXMATCH(join("", "",$G50:$H50),S$1)=TRUE,""✓"",""✗"")"),"✗")</f>
        <v>✗</v>
      </c>
      <c r="T50" s="154" t="str">
        <f>IFERROR(__xludf.DUMMYFUNCTION("if(REGEXMATCH(join("", "",$G50:$H50),T$1)=TRUE,""✓"",""✗"")"),"✗")</f>
        <v>✗</v>
      </c>
      <c r="U50" s="154" t="str">
        <f>IFERROR(__xludf.DUMMYFUNCTION("if(REGEXMATCH(join("", "",$G50:$H50),U$1)=TRUE,""✓"",""✗"")"),"✗")</f>
        <v>✗</v>
      </c>
    </row>
    <row r="51">
      <c r="A51" s="159">
        <v>50.0</v>
      </c>
      <c r="B51" s="159" t="s">
        <v>5181</v>
      </c>
      <c r="C51" s="151" t="str">
        <f t="shared" si="1"/>
        <v>Leitgeb et al., 2014</v>
      </c>
      <c r="D51" s="156" t="s">
        <v>5252</v>
      </c>
      <c r="E51" s="152" t="str">
        <f t="shared" si="2"/>
        <v>https://raw.githubusercontent.com/d-wkim/phd/refs/heads/main/data/pdf/leitgeb_2014 .pdf</v>
      </c>
      <c r="F51" s="159" t="s">
        <v>174</v>
      </c>
      <c r="G51" s="159" t="s">
        <v>4362</v>
      </c>
      <c r="H51" s="159" t="s">
        <v>5182</v>
      </c>
      <c r="I51" s="154" t="str">
        <f>IFERROR(__xludf.DUMMYFUNCTION("if(REGEXMATCH(join("", "",$G51:$H51),I$1)=TRUE,""✓"",""✗"")"),"✓")</f>
        <v>✓</v>
      </c>
      <c r="J51" s="154" t="str">
        <f>IFERROR(__xludf.DUMMYFUNCTION("if(REGEXMATCH(join("", "",$G51:$H51),J$1)=TRUE,""✓"",""✗"")"),"✓")</f>
        <v>✓</v>
      </c>
      <c r="K51" s="154" t="str">
        <f>IFERROR(__xludf.DUMMYFUNCTION("if(REGEXMATCH(join("", "",$G51:$H51),K$1)=TRUE,""✓"",""✗"")"),"✗")</f>
        <v>✗</v>
      </c>
      <c r="L51" s="154" t="str">
        <f>IFERROR(__xludf.DUMMYFUNCTION("if(REGEXMATCH(join("", "",$G51:$H51),L$1)=TRUE,""✓"",""✗"")"),"✗")</f>
        <v>✗</v>
      </c>
      <c r="M51" s="154" t="str">
        <f>IFERROR(__xludf.DUMMYFUNCTION("if(REGEXMATCH(join("", "",$G51:$H51),M$1)=TRUE,""✓"",""✗"")"),"✗")</f>
        <v>✗</v>
      </c>
      <c r="N51" s="154" t="str">
        <f>IFERROR(__xludf.DUMMYFUNCTION("if(REGEXMATCH(join("", "",$G51:$H51),N$1)=TRUE,""✓"",""✗"")"),"✗")</f>
        <v>✗</v>
      </c>
      <c r="O51" s="154" t="str">
        <f>IFERROR(__xludf.DUMMYFUNCTION("if(REGEXMATCH(join("", "",$G51:$H51),O$1)=TRUE,""✓"",""✗"")"),"✗")</f>
        <v>✗</v>
      </c>
      <c r="P51" s="154" t="str">
        <f>IFERROR(__xludf.DUMMYFUNCTION("if(REGEXMATCH(join("", "",$G51:$H51),P$1)=TRUE,""✓"",""✗"")"),"✗")</f>
        <v>✗</v>
      </c>
      <c r="Q51" s="154" t="str">
        <f>IFERROR(__xludf.DUMMYFUNCTION("if(REGEXMATCH(join("", "",$G51:$H51),Q$1)=TRUE,""✓"",""✗"")"),"✗")</f>
        <v>✗</v>
      </c>
      <c r="R51" s="154" t="str">
        <f>IFERROR(__xludf.DUMMYFUNCTION("if(REGEXMATCH(join("", "",$G51:$H51),R$1)=TRUE,""✓"",""✗"")"),"✓")</f>
        <v>✓</v>
      </c>
      <c r="S51" s="154" t="str">
        <f>IFERROR(__xludf.DUMMYFUNCTION("if(REGEXMATCH(join("", "",$G51:$H51),S$1)=TRUE,""✓"",""✗"")"),"✗")</f>
        <v>✗</v>
      </c>
      <c r="T51" s="154" t="str">
        <f>IFERROR(__xludf.DUMMYFUNCTION("if(REGEXMATCH(join("", "",$G51:$H51),T$1)=TRUE,""✓"",""✗"")"),"✓")</f>
        <v>✓</v>
      </c>
      <c r="U51" s="154" t="str">
        <f>IFERROR(__xludf.DUMMYFUNCTION("if(REGEXMATCH(join("", "",$G51:$H51),U$1)=TRUE,""✓"",""✗"")"),"✗")</f>
        <v>✗</v>
      </c>
    </row>
    <row r="52">
      <c r="A52" s="159">
        <v>51.0</v>
      </c>
      <c r="B52" s="159" t="s">
        <v>5184</v>
      </c>
      <c r="C52" s="151" t="str">
        <f t="shared" si="1"/>
        <v>Li et al., 2015</v>
      </c>
      <c r="D52" s="156" t="s">
        <v>5261</v>
      </c>
      <c r="E52" s="152" t="str">
        <f t="shared" si="2"/>
        <v>https://raw.githubusercontent.com/d-wkim/phd/refs/heads/main/data/pdf/li_2015 .pdf</v>
      </c>
      <c r="F52" s="159" t="s">
        <v>109</v>
      </c>
      <c r="G52" s="161" t="s">
        <v>4385</v>
      </c>
      <c r="H52" s="159" t="s">
        <v>4414</v>
      </c>
      <c r="I52" s="154" t="str">
        <f>IFERROR(__xludf.DUMMYFUNCTION("if(REGEXMATCH(join("", "",$G52:$H52),I$1)=TRUE,""✓"",""✗"")"),"✗")</f>
        <v>✗</v>
      </c>
      <c r="J52" s="154" t="str">
        <f>IFERROR(__xludf.DUMMYFUNCTION("if(REGEXMATCH(join("", "",$G52:$H52),J$1)=TRUE,""✓"",""✗"")"),"✓")</f>
        <v>✓</v>
      </c>
      <c r="K52" s="154" t="str">
        <f>IFERROR(__xludf.DUMMYFUNCTION("if(REGEXMATCH(join("", "",$G52:$H52),K$1)=TRUE,""✓"",""✗"")"),"✗")</f>
        <v>✗</v>
      </c>
      <c r="L52" s="154" t="str">
        <f>IFERROR(__xludf.DUMMYFUNCTION("if(REGEXMATCH(join("", "",$G52:$H52),L$1)=TRUE,""✓"",""✗"")"),"✗")</f>
        <v>✗</v>
      </c>
      <c r="M52" s="154" t="str">
        <f>IFERROR(__xludf.DUMMYFUNCTION("if(REGEXMATCH(join("", "",$G52:$H52),M$1)=TRUE,""✓"",""✗"")"),"✗")</f>
        <v>✗</v>
      </c>
      <c r="N52" s="154" t="str">
        <f>IFERROR(__xludf.DUMMYFUNCTION("if(REGEXMATCH(join("", "",$G52:$H52),N$1)=TRUE,""✓"",""✗"")"),"✓")</f>
        <v>✓</v>
      </c>
      <c r="O52" s="154" t="str">
        <f>IFERROR(__xludf.DUMMYFUNCTION("if(REGEXMATCH(join("", "",$G52:$H52),O$1)=TRUE,""✓"",""✗"")"),"✓")</f>
        <v>✓</v>
      </c>
      <c r="P52" s="154" t="str">
        <f>IFERROR(__xludf.DUMMYFUNCTION("if(REGEXMATCH(join("", "",$G52:$H52),P$1)=TRUE,""✓"",""✗"")"),"✓")</f>
        <v>✓</v>
      </c>
      <c r="Q52" s="154" t="str">
        <f>IFERROR(__xludf.DUMMYFUNCTION("if(REGEXMATCH(join("", "",$G52:$H52),Q$1)=TRUE,""✓"",""✗"")"),"✓")</f>
        <v>✓</v>
      </c>
      <c r="R52" s="154" t="str">
        <f>IFERROR(__xludf.DUMMYFUNCTION("if(REGEXMATCH(join("", "",$G52:$H52),R$1)=TRUE,""✓"",""✗"")"),"✓")</f>
        <v>✓</v>
      </c>
      <c r="S52" s="154" t="str">
        <f>IFERROR(__xludf.DUMMYFUNCTION("if(REGEXMATCH(join("", "",$G52:$H52),S$1)=TRUE,""✓"",""✗"")"),"✓")</f>
        <v>✓</v>
      </c>
      <c r="T52" s="154" t="str">
        <f>IFERROR(__xludf.DUMMYFUNCTION("if(REGEXMATCH(join("", "",$G52:$H52),T$1)=TRUE,""✓"",""✗"")"),"✓")</f>
        <v>✓</v>
      </c>
      <c r="U52" s="154" t="str">
        <f>IFERROR(__xludf.DUMMYFUNCTION("if(REGEXMATCH(join("", "",$G52:$H52),U$1)=TRUE,""✓"",""✗"")"),"✗")</f>
        <v>✗</v>
      </c>
    </row>
    <row r="53">
      <c r="A53" s="159">
        <v>52.0</v>
      </c>
      <c r="B53" s="159" t="s">
        <v>5185</v>
      </c>
      <c r="C53" s="151" t="str">
        <f t="shared" si="1"/>
        <v>Lidén et al., 2007</v>
      </c>
      <c r="D53" s="156" t="s">
        <v>5264</v>
      </c>
      <c r="E53" s="152" t="str">
        <f t="shared" si="2"/>
        <v>https://raw.githubusercontent.com/d-wkim/phd/refs/heads/main/data/pdf/lidén_2007 .pdf</v>
      </c>
      <c r="F53" s="159" t="s">
        <v>109</v>
      </c>
      <c r="G53" s="159" t="s">
        <v>4362</v>
      </c>
      <c r="H53" s="159" t="s">
        <v>4417</v>
      </c>
      <c r="I53" s="154" t="str">
        <f>IFERROR(__xludf.DUMMYFUNCTION("if(REGEXMATCH(join("", "",$G53:$H53),I$1)=TRUE,""✓"",""✗"")"),"✓")</f>
        <v>✓</v>
      </c>
      <c r="J53" s="154" t="str">
        <f>IFERROR(__xludf.DUMMYFUNCTION("if(REGEXMATCH(join("", "",$G53:$H53),J$1)=TRUE,""✓"",""✗"")"),"✓")</f>
        <v>✓</v>
      </c>
      <c r="K53" s="154" t="str">
        <f>IFERROR(__xludf.DUMMYFUNCTION("if(REGEXMATCH(join("", "",$G53:$H53),K$1)=TRUE,""✓"",""✗"")"),"✗")</f>
        <v>✗</v>
      </c>
      <c r="L53" s="154" t="str">
        <f>IFERROR(__xludf.DUMMYFUNCTION("if(REGEXMATCH(join("", "",$G53:$H53),L$1)=TRUE,""✓"",""✗"")"),"✗")</f>
        <v>✗</v>
      </c>
      <c r="M53" s="154" t="str">
        <f>IFERROR(__xludf.DUMMYFUNCTION("if(REGEXMATCH(join("", "",$G53:$H53),M$1)=TRUE,""✓"",""✗"")"),"✗")</f>
        <v>✗</v>
      </c>
      <c r="N53" s="154" t="str">
        <f>IFERROR(__xludf.DUMMYFUNCTION("if(REGEXMATCH(join("", "",$G53:$H53),N$1)=TRUE,""✓"",""✗"")"),"✗")</f>
        <v>✗</v>
      </c>
      <c r="O53" s="154" t="str">
        <f>IFERROR(__xludf.DUMMYFUNCTION("if(REGEXMATCH(join("", "",$G53:$H53),O$1)=TRUE,""✓"",""✗"")"),"✓")</f>
        <v>✓</v>
      </c>
      <c r="P53" s="154" t="str">
        <f>IFERROR(__xludf.DUMMYFUNCTION("if(REGEXMATCH(join("", "",$G53:$H53),P$1)=TRUE,""✓"",""✗"")"),"✓")</f>
        <v>✓</v>
      </c>
      <c r="Q53" s="154" t="str">
        <f>IFERROR(__xludf.DUMMYFUNCTION("if(REGEXMATCH(join("", "",$G53:$H53),Q$1)=TRUE,""✓"",""✗"")"),"✓")</f>
        <v>✓</v>
      </c>
      <c r="R53" s="154" t="str">
        <f>IFERROR(__xludf.DUMMYFUNCTION("if(REGEXMATCH(join("", "",$G53:$H53),R$1)=TRUE,""✓"",""✗"")"),"✓")</f>
        <v>✓</v>
      </c>
      <c r="S53" s="154" t="str">
        <f>IFERROR(__xludf.DUMMYFUNCTION("if(REGEXMATCH(join("", "",$G53:$H53),S$1)=TRUE,""✓"",""✗"")"),"✗")</f>
        <v>✗</v>
      </c>
      <c r="T53" s="154" t="str">
        <f>IFERROR(__xludf.DUMMYFUNCTION("if(REGEXMATCH(join("", "",$G53:$H53),T$1)=TRUE,""✓"",""✗"")"),"✓")</f>
        <v>✓</v>
      </c>
      <c r="U53" s="154" t="str">
        <f>IFERROR(__xludf.DUMMYFUNCTION("if(REGEXMATCH(join("", "",$G53:$H53),U$1)=TRUE,""✓"",""✗"")"),"✗")</f>
        <v>✗</v>
      </c>
    </row>
    <row r="54">
      <c r="A54" s="159">
        <v>53.0</v>
      </c>
      <c r="B54" s="159" t="s">
        <v>5189</v>
      </c>
      <c r="C54" s="151" t="str">
        <f t="shared" si="1"/>
        <v>Lind et al., 2020</v>
      </c>
      <c r="D54" s="156" t="s">
        <v>5267</v>
      </c>
      <c r="E54" s="152" t="str">
        <f t="shared" si="2"/>
        <v>https://raw.githubusercontent.com/d-wkim/phd/refs/heads/main/data/pdf/lind_2020 .pdf</v>
      </c>
      <c r="F54" s="159" t="s">
        <v>109</v>
      </c>
      <c r="G54" s="161" t="s">
        <v>4391</v>
      </c>
      <c r="H54" s="159" t="s">
        <v>4419</v>
      </c>
      <c r="I54" s="154" t="str">
        <f>IFERROR(__xludf.DUMMYFUNCTION("if(REGEXMATCH(join("", "",$G54:$H54),I$1)=TRUE,""✓"",""✗"")"),"✗")</f>
        <v>✗</v>
      </c>
      <c r="J54" s="154" t="str">
        <f>IFERROR(__xludf.DUMMYFUNCTION("if(REGEXMATCH(join("", "",$G54:$H54),J$1)=TRUE,""✓"",""✗"")"),"✓")</f>
        <v>✓</v>
      </c>
      <c r="K54" s="154" t="str">
        <f>IFERROR(__xludf.DUMMYFUNCTION("if(REGEXMATCH(join("", "",$G54:$H54),K$1)=TRUE,""✓"",""✗"")"),"✓")</f>
        <v>✓</v>
      </c>
      <c r="L54" s="154" t="str">
        <f>IFERROR(__xludf.DUMMYFUNCTION("if(REGEXMATCH(join("", "",$G54:$H54),L$1)=TRUE,""✓"",""✗"")"),"✗")</f>
        <v>✗</v>
      </c>
      <c r="M54" s="154" t="str">
        <f>IFERROR(__xludf.DUMMYFUNCTION("if(REGEXMATCH(join("", "",$G54:$H54),M$1)=TRUE,""✓"",""✗"")"),"✗")</f>
        <v>✗</v>
      </c>
      <c r="N54" s="154" t="str">
        <f>IFERROR(__xludf.DUMMYFUNCTION("if(REGEXMATCH(join("", "",$G54:$H54),N$1)=TRUE,""✓"",""✗"")"),"✗")</f>
        <v>✗</v>
      </c>
      <c r="O54" s="154" t="str">
        <f>IFERROR(__xludf.DUMMYFUNCTION("if(REGEXMATCH(join("", "",$G54:$H54),O$1)=TRUE,""✓"",""✗"")"),"✓")</f>
        <v>✓</v>
      </c>
      <c r="P54" s="154" t="str">
        <f>IFERROR(__xludf.DUMMYFUNCTION("if(REGEXMATCH(join("", "",$G54:$H54),P$1)=TRUE,""✓"",""✗"")"),"✗")</f>
        <v>✗</v>
      </c>
      <c r="Q54" s="154" t="str">
        <f>IFERROR(__xludf.DUMMYFUNCTION("if(REGEXMATCH(join("", "",$G54:$H54),Q$1)=TRUE,""✓"",""✗"")"),"✓")</f>
        <v>✓</v>
      </c>
      <c r="R54" s="154" t="str">
        <f>IFERROR(__xludf.DUMMYFUNCTION("if(REGEXMATCH(join("", "",$G54:$H54),R$1)=TRUE,""✓"",""✗"")"),"✓")</f>
        <v>✓</v>
      </c>
      <c r="S54" s="154" t="str">
        <f>IFERROR(__xludf.DUMMYFUNCTION("if(REGEXMATCH(join("", "",$G54:$H54),S$1)=TRUE,""✓"",""✗"")"),"✓")</f>
        <v>✓</v>
      </c>
      <c r="T54" s="154" t="str">
        <f>IFERROR(__xludf.DUMMYFUNCTION("if(REGEXMATCH(join("", "",$G54:$H54),T$1)=TRUE,""✓"",""✗"")"),"✗")</f>
        <v>✗</v>
      </c>
      <c r="U54" s="154" t="str">
        <f>IFERROR(__xludf.DUMMYFUNCTION("if(REGEXMATCH(join("", "",$G54:$H54),U$1)=TRUE,""✓"",""✗"")"),"✗")</f>
        <v>✗</v>
      </c>
    </row>
    <row r="55">
      <c r="A55" s="159">
        <v>54.0</v>
      </c>
      <c r="B55" s="159" t="s">
        <v>5191</v>
      </c>
      <c r="C55" s="151" t="str">
        <f t="shared" si="1"/>
        <v>Lucidi et al., 2025</v>
      </c>
      <c r="D55" s="156" t="s">
        <v>5273</v>
      </c>
      <c r="E55" s="152" t="str">
        <f t="shared" si="2"/>
        <v>https://raw.githubusercontent.com/d-wkim/phd/refs/heads/main/data/pdf/lucidi_2025 .pdf</v>
      </c>
      <c r="F55" s="159" t="s">
        <v>109</v>
      </c>
      <c r="G55" s="159" t="s">
        <v>4362</v>
      </c>
      <c r="H55" s="159" t="s">
        <v>4420</v>
      </c>
      <c r="I55" s="154" t="str">
        <f>IFERROR(__xludf.DUMMYFUNCTION("if(REGEXMATCH(join("", "",$G55:$H55),I$1)=TRUE,""✓"",""✗"")"),"✓")</f>
        <v>✓</v>
      </c>
      <c r="J55" s="154" t="str">
        <f>IFERROR(__xludf.DUMMYFUNCTION("if(REGEXMATCH(join("", "",$G55:$H55),J$1)=TRUE,""✓"",""✗"")"),"✓")</f>
        <v>✓</v>
      </c>
      <c r="K55" s="154" t="str">
        <f>IFERROR(__xludf.DUMMYFUNCTION("if(REGEXMATCH(join("", "",$G55:$H55),K$1)=TRUE,""✓"",""✗"")"),"✗")</f>
        <v>✗</v>
      </c>
      <c r="L55" s="154" t="str">
        <f>IFERROR(__xludf.DUMMYFUNCTION("if(REGEXMATCH(join("", "",$G55:$H55),L$1)=TRUE,""✓"",""✗"")"),"✗")</f>
        <v>✗</v>
      </c>
      <c r="M55" s="154" t="str">
        <f>IFERROR(__xludf.DUMMYFUNCTION("if(REGEXMATCH(join("", "",$G55:$H55),M$1)=TRUE,""✓"",""✗"")"),"✗")</f>
        <v>✗</v>
      </c>
      <c r="N55" s="154" t="str">
        <f>IFERROR(__xludf.DUMMYFUNCTION("if(REGEXMATCH(join("", "",$G55:$H55),N$1)=TRUE,""✓"",""✗"")"),"✗")</f>
        <v>✗</v>
      </c>
      <c r="O55" s="154" t="str">
        <f>IFERROR(__xludf.DUMMYFUNCTION("if(REGEXMATCH(join("", "",$G55:$H55),O$1)=TRUE,""✓"",""✗"")"),"✓")</f>
        <v>✓</v>
      </c>
      <c r="P55" s="154" t="str">
        <f>IFERROR(__xludf.DUMMYFUNCTION("if(REGEXMATCH(join("", "",$G55:$H55),P$1)=TRUE,""✓"",""✗"")"),"✓")</f>
        <v>✓</v>
      </c>
      <c r="Q55" s="154" t="str">
        <f>IFERROR(__xludf.DUMMYFUNCTION("if(REGEXMATCH(join("", "",$G55:$H55),Q$1)=TRUE,""✓"",""✗"")"),"✓")</f>
        <v>✓</v>
      </c>
      <c r="R55" s="154" t="str">
        <f>IFERROR(__xludf.DUMMYFUNCTION("if(REGEXMATCH(join("", "",$G55:$H55),R$1)=TRUE,""✓"",""✗"")"),"✓")</f>
        <v>✓</v>
      </c>
      <c r="S55" s="154" t="str">
        <f>IFERROR(__xludf.DUMMYFUNCTION("if(REGEXMATCH(join("", "",$G55:$H55),S$1)=TRUE,""✓"",""✗"")"),"✓")</f>
        <v>✓</v>
      </c>
      <c r="T55" s="154" t="str">
        <f>IFERROR(__xludf.DUMMYFUNCTION("if(REGEXMATCH(join("", "",$G55:$H55),T$1)=TRUE,""✓"",""✗"")"),"✗")</f>
        <v>✗</v>
      </c>
      <c r="U55" s="154" t="str">
        <f>IFERROR(__xludf.DUMMYFUNCTION("if(REGEXMATCH(join("", "",$G55:$H55),U$1)=TRUE,""✓"",""✗"")"),"✓")</f>
        <v>✓</v>
      </c>
    </row>
    <row r="56">
      <c r="A56" s="159">
        <v>55.0</v>
      </c>
      <c r="B56" s="159" t="s">
        <v>5192</v>
      </c>
      <c r="C56" s="151" t="str">
        <f t="shared" si="1"/>
        <v>Lui et al., 2012</v>
      </c>
      <c r="D56" s="156" t="s">
        <v>5276</v>
      </c>
      <c r="E56" s="152" t="str">
        <f t="shared" si="2"/>
        <v>https://raw.githubusercontent.com/d-wkim/phd/refs/heads/main/data/pdf/lui_2012 .pdf</v>
      </c>
      <c r="F56" s="159" t="s">
        <v>109</v>
      </c>
      <c r="G56" s="159" t="s">
        <v>4362</v>
      </c>
      <c r="H56" s="159" t="s">
        <v>4423</v>
      </c>
      <c r="I56" s="154" t="str">
        <f>IFERROR(__xludf.DUMMYFUNCTION("if(REGEXMATCH(join("", "",$G56:$H56),I$1)=TRUE,""✓"",""✗"")"),"✓")</f>
        <v>✓</v>
      </c>
      <c r="J56" s="154" t="str">
        <f>IFERROR(__xludf.DUMMYFUNCTION("if(REGEXMATCH(join("", "",$G56:$H56),J$1)=TRUE,""✓"",""✗"")"),"✓")</f>
        <v>✓</v>
      </c>
      <c r="K56" s="154" t="str">
        <f>IFERROR(__xludf.DUMMYFUNCTION("if(REGEXMATCH(join("", "",$G56:$H56),K$1)=TRUE,""✓"",""✗"")"),"✗")</f>
        <v>✗</v>
      </c>
      <c r="L56" s="154" t="str">
        <f>IFERROR(__xludf.DUMMYFUNCTION("if(REGEXMATCH(join("", "",$G56:$H56),L$1)=TRUE,""✓"",""✗"")"),"✗")</f>
        <v>✗</v>
      </c>
      <c r="M56" s="154" t="str">
        <f>IFERROR(__xludf.DUMMYFUNCTION("if(REGEXMATCH(join("", "",$G56:$H56),M$1)=TRUE,""✓"",""✗"")"),"✗")</f>
        <v>✗</v>
      </c>
      <c r="N56" s="154" t="str">
        <f>IFERROR(__xludf.DUMMYFUNCTION("if(REGEXMATCH(join("", "",$G56:$H56),N$1)=TRUE,""✓"",""✗"")"),"✗")</f>
        <v>✗</v>
      </c>
      <c r="O56" s="154" t="str">
        <f>IFERROR(__xludf.DUMMYFUNCTION("if(REGEXMATCH(join("", "",$G56:$H56),O$1)=TRUE,""✓"",""✗"")"),"✓")</f>
        <v>✓</v>
      </c>
      <c r="P56" s="154" t="str">
        <f>IFERROR(__xludf.DUMMYFUNCTION("if(REGEXMATCH(join("", "",$G56:$H56),P$1)=TRUE,""✓"",""✗"")"),"✓")</f>
        <v>✓</v>
      </c>
      <c r="Q56" s="154" t="str">
        <f>IFERROR(__xludf.DUMMYFUNCTION("if(REGEXMATCH(join("", "",$G56:$H56),Q$1)=TRUE,""✓"",""✗"")"),"✗")</f>
        <v>✗</v>
      </c>
      <c r="R56" s="154" t="str">
        <f>IFERROR(__xludf.DUMMYFUNCTION("if(REGEXMATCH(join("", "",$G56:$H56),R$1)=TRUE,""✓"",""✗"")"),"✓")</f>
        <v>✓</v>
      </c>
      <c r="S56" s="154" t="str">
        <f>IFERROR(__xludf.DUMMYFUNCTION("if(REGEXMATCH(join("", "",$G56:$H56),S$1)=TRUE,""✓"",""✗"")"),"✗")</f>
        <v>✗</v>
      </c>
      <c r="T56" s="154" t="str">
        <f>IFERROR(__xludf.DUMMYFUNCTION("if(REGEXMATCH(join("", "",$G56:$H56),T$1)=TRUE,""✓"",""✗"")"),"✓")</f>
        <v>✓</v>
      </c>
      <c r="U56" s="154" t="str">
        <f>IFERROR(__xludf.DUMMYFUNCTION("if(REGEXMATCH(join("", "",$G56:$H56),U$1)=TRUE,""✓"",""✗"")"),"✗")</f>
        <v>✗</v>
      </c>
    </row>
    <row r="57">
      <c r="A57" s="159">
        <v>56.0</v>
      </c>
      <c r="B57" s="159" t="s">
        <v>5193</v>
      </c>
      <c r="C57" s="151" t="str">
        <f t="shared" si="1"/>
        <v>Lund et al., 2014</v>
      </c>
      <c r="D57" s="156" t="s">
        <v>5279</v>
      </c>
      <c r="E57" s="152" t="str">
        <f t="shared" si="2"/>
        <v>https://raw.githubusercontent.com/d-wkim/phd/refs/heads/main/data/pdf/lund_2014 .pdf</v>
      </c>
      <c r="F57" s="159" t="s">
        <v>109</v>
      </c>
      <c r="G57" s="161" t="s">
        <v>4376</v>
      </c>
      <c r="H57" s="159" t="s">
        <v>4425</v>
      </c>
      <c r="I57" s="154" t="str">
        <f>IFERROR(__xludf.DUMMYFUNCTION("if(REGEXMATCH(join("", "",$G57:$H57),I$1)=TRUE,""✓"",""✗"")"),"✓")</f>
        <v>✓</v>
      </c>
      <c r="J57" s="154" t="str">
        <f>IFERROR(__xludf.DUMMYFUNCTION("if(REGEXMATCH(join("", "",$G57:$H57),J$1)=TRUE,""✓"",""✗"")"),"✗")</f>
        <v>✗</v>
      </c>
      <c r="K57" s="154" t="str">
        <f>IFERROR(__xludf.DUMMYFUNCTION("if(REGEXMATCH(join("", "",$G57:$H57),K$1)=TRUE,""✓"",""✗"")"),"✓")</f>
        <v>✓</v>
      </c>
      <c r="L57" s="154" t="str">
        <f>IFERROR(__xludf.DUMMYFUNCTION("if(REGEXMATCH(join("", "",$G57:$H57),L$1)=TRUE,""✓"",""✗"")"),"✗")</f>
        <v>✗</v>
      </c>
      <c r="M57" s="154" t="str">
        <f>IFERROR(__xludf.DUMMYFUNCTION("if(REGEXMATCH(join("", "",$G57:$H57),M$1)=TRUE,""✓"",""✗"")"),"✗")</f>
        <v>✗</v>
      </c>
      <c r="N57" s="154" t="str">
        <f>IFERROR(__xludf.DUMMYFUNCTION("if(REGEXMATCH(join("", "",$G57:$H57),N$1)=TRUE,""✓"",""✗"")"),"✗")</f>
        <v>✗</v>
      </c>
      <c r="O57" s="154" t="str">
        <f>IFERROR(__xludf.DUMMYFUNCTION("if(REGEXMATCH(join("", "",$G57:$H57),O$1)=TRUE,""✓"",""✗"")"),"✓")</f>
        <v>✓</v>
      </c>
      <c r="P57" s="154" t="str">
        <f>IFERROR(__xludf.DUMMYFUNCTION("if(REGEXMATCH(join("", "",$G57:$H57),P$1)=TRUE,""✓"",""✗"")"),"✗")</f>
        <v>✗</v>
      </c>
      <c r="Q57" s="154" t="str">
        <f>IFERROR(__xludf.DUMMYFUNCTION("if(REGEXMATCH(join("", "",$G57:$H57),Q$1)=TRUE,""✓"",""✗"")"),"✗")</f>
        <v>✗</v>
      </c>
      <c r="R57" s="154" t="str">
        <f>IFERROR(__xludf.DUMMYFUNCTION("if(REGEXMATCH(join("", "",$G57:$H57),R$1)=TRUE,""✓"",""✗"")"),"✓")</f>
        <v>✓</v>
      </c>
      <c r="S57" s="154" t="str">
        <f>IFERROR(__xludf.DUMMYFUNCTION("if(REGEXMATCH(join("", "",$G57:$H57),S$1)=TRUE,""✓"",""✗"")"),"✗")</f>
        <v>✗</v>
      </c>
      <c r="T57" s="154" t="str">
        <f>IFERROR(__xludf.DUMMYFUNCTION("if(REGEXMATCH(join("", "",$G57:$H57),T$1)=TRUE,""✓"",""✗"")"),"✗")</f>
        <v>✗</v>
      </c>
      <c r="U57" s="154" t="str">
        <f>IFERROR(__xludf.DUMMYFUNCTION("if(REGEXMATCH(join("", "",$G57:$H57),U$1)=TRUE,""✓"",""✗"")"),"✗")</f>
        <v>✗</v>
      </c>
    </row>
    <row r="58">
      <c r="A58" s="159">
        <v>57.0</v>
      </c>
      <c r="B58" s="159" t="s">
        <v>5194</v>
      </c>
      <c r="C58" s="151" t="str">
        <f t="shared" si="1"/>
        <v>Maletis et al., 2007</v>
      </c>
      <c r="D58" s="156" t="s">
        <v>5283</v>
      </c>
      <c r="E58" s="152" t="str">
        <f t="shared" si="2"/>
        <v>https://raw.githubusercontent.com/d-wkim/phd/refs/heads/main/data/pdf/maletis_2007 .pdf</v>
      </c>
      <c r="F58" s="159" t="s">
        <v>174</v>
      </c>
      <c r="G58" s="159" t="s">
        <v>4362</v>
      </c>
      <c r="H58" s="159" t="s">
        <v>4416</v>
      </c>
      <c r="I58" s="154" t="str">
        <f>IFERROR(__xludf.DUMMYFUNCTION("if(REGEXMATCH(join("", "",$G58:$H58),I$1)=TRUE,""✓"",""✗"")"),"✓")</f>
        <v>✓</v>
      </c>
      <c r="J58" s="154" t="str">
        <f>IFERROR(__xludf.DUMMYFUNCTION("if(REGEXMATCH(join("", "",$G58:$H58),J$1)=TRUE,""✓"",""✗"")"),"✓")</f>
        <v>✓</v>
      </c>
      <c r="K58" s="154" t="str">
        <f>IFERROR(__xludf.DUMMYFUNCTION("if(REGEXMATCH(join("", "",$G58:$H58),K$1)=TRUE,""✓"",""✗"")"),"✗")</f>
        <v>✗</v>
      </c>
      <c r="L58" s="154" t="str">
        <f>IFERROR(__xludf.DUMMYFUNCTION("if(REGEXMATCH(join("", "",$G58:$H58),L$1)=TRUE,""✓"",""✗"")"),"✗")</f>
        <v>✗</v>
      </c>
      <c r="M58" s="154" t="str">
        <f>IFERROR(__xludf.DUMMYFUNCTION("if(REGEXMATCH(join("", "",$G58:$H58),M$1)=TRUE,""✓"",""✗"")"),"✗")</f>
        <v>✗</v>
      </c>
      <c r="N58" s="154" t="str">
        <f>IFERROR(__xludf.DUMMYFUNCTION("if(REGEXMATCH(join("", "",$G58:$H58),N$1)=TRUE,""✓"",""✗"")"),"✗")</f>
        <v>✗</v>
      </c>
      <c r="O58" s="154" t="str">
        <f>IFERROR(__xludf.DUMMYFUNCTION("if(REGEXMATCH(join("", "",$G58:$H58),O$1)=TRUE,""✓"",""✗"")"),"✓")</f>
        <v>✓</v>
      </c>
      <c r="P58" s="154" t="str">
        <f>IFERROR(__xludf.DUMMYFUNCTION("if(REGEXMATCH(join("", "",$G58:$H58),P$1)=TRUE,""✓"",""✗"")"),"✓")</f>
        <v>✓</v>
      </c>
      <c r="Q58" s="154" t="str">
        <f>IFERROR(__xludf.DUMMYFUNCTION("if(REGEXMATCH(join("", "",$G58:$H58),Q$1)=TRUE,""✓"",""✗"")"),"✓")</f>
        <v>✓</v>
      </c>
      <c r="R58" s="154" t="str">
        <f>IFERROR(__xludf.DUMMYFUNCTION("if(REGEXMATCH(join("", "",$G58:$H58),R$1)=TRUE,""✓"",""✗"")"),"✓")</f>
        <v>✓</v>
      </c>
      <c r="S58" s="154" t="str">
        <f>IFERROR(__xludf.DUMMYFUNCTION("if(REGEXMATCH(join("", "",$G58:$H58),S$1)=TRUE,""✓"",""✗"")"),"✗")</f>
        <v>✗</v>
      </c>
      <c r="T58" s="154" t="str">
        <f>IFERROR(__xludf.DUMMYFUNCTION("if(REGEXMATCH(join("", "",$G58:$H58),T$1)=TRUE,""✓"",""✗"")"),"✗")</f>
        <v>✗</v>
      </c>
      <c r="U58" s="154" t="str">
        <f>IFERROR(__xludf.DUMMYFUNCTION("if(REGEXMATCH(join("", "",$G58:$H58),U$1)=TRUE,""✓"",""✗"")"),"✗")</f>
        <v>✗</v>
      </c>
    </row>
    <row r="59">
      <c r="A59" s="159">
        <v>58.0</v>
      </c>
      <c r="B59" s="159" t="s">
        <v>5196</v>
      </c>
      <c r="C59" s="151" t="str">
        <f t="shared" si="1"/>
        <v>Malik et al., 2026</v>
      </c>
      <c r="D59" s="156" t="s">
        <v>5288</v>
      </c>
      <c r="E59" s="152" t="str">
        <f t="shared" si="2"/>
        <v>https://raw.githubusercontent.com/d-wkim/phd/refs/heads/main/data/pdf/malik_2026 .pdf</v>
      </c>
      <c r="F59" s="159" t="s">
        <v>109</v>
      </c>
      <c r="G59" s="161" t="s">
        <v>4381</v>
      </c>
      <c r="H59" s="159" t="s">
        <v>4428</v>
      </c>
      <c r="I59" s="154" t="str">
        <f>IFERROR(__xludf.DUMMYFUNCTION("if(REGEXMATCH(join("", "",$G59:$H59),I$1)=TRUE,""✓"",""✗"")"),"✗")</f>
        <v>✗</v>
      </c>
      <c r="J59" s="154" t="str">
        <f>IFERROR(__xludf.DUMMYFUNCTION("if(REGEXMATCH(join("", "",$G59:$H59),J$1)=TRUE,""✓"",""✗"")"),"✓")</f>
        <v>✓</v>
      </c>
      <c r="K59" s="154" t="str">
        <f>IFERROR(__xludf.DUMMYFUNCTION("if(REGEXMATCH(join("", "",$G59:$H59),K$1)=TRUE,""✓"",""✗"")"),"✗")</f>
        <v>✗</v>
      </c>
      <c r="L59" s="154" t="str">
        <f>IFERROR(__xludf.DUMMYFUNCTION("if(REGEXMATCH(join("", "",$G59:$H59),L$1)=TRUE,""✓"",""✗"")"),"✓")</f>
        <v>✓</v>
      </c>
      <c r="M59" s="154" t="str">
        <f>IFERROR(__xludf.DUMMYFUNCTION("if(REGEXMATCH(join("", "",$G59:$H59),M$1)=TRUE,""✓"",""✗"")"),"✗")</f>
        <v>✗</v>
      </c>
      <c r="N59" s="154" t="str">
        <f>IFERROR(__xludf.DUMMYFUNCTION("if(REGEXMATCH(join("", "",$G59:$H59),N$1)=TRUE,""✓"",""✗"")"),"✗")</f>
        <v>✗</v>
      </c>
      <c r="O59" s="154" t="str">
        <f>IFERROR(__xludf.DUMMYFUNCTION("if(REGEXMATCH(join("", "",$G59:$H59),O$1)=TRUE,""✓"",""✗"")"),"✓")</f>
        <v>✓</v>
      </c>
      <c r="P59" s="154" t="str">
        <f>IFERROR(__xludf.DUMMYFUNCTION("if(REGEXMATCH(join("", "",$G59:$H59),P$1)=TRUE,""✓"",""✗"")"),"✓")</f>
        <v>✓</v>
      </c>
      <c r="Q59" s="154" t="str">
        <f>IFERROR(__xludf.DUMMYFUNCTION("if(REGEXMATCH(join("", "",$G59:$H59),Q$1)=TRUE,""✓"",""✗"")"),"✓")</f>
        <v>✓</v>
      </c>
      <c r="R59" s="154" t="str">
        <f>IFERROR(__xludf.DUMMYFUNCTION("if(REGEXMATCH(join("", "",$G59:$H59),R$1)=TRUE,""✓"",""✗"")"),"✓")</f>
        <v>✓</v>
      </c>
      <c r="S59" s="154" t="str">
        <f>IFERROR(__xludf.DUMMYFUNCTION("if(REGEXMATCH(join("", "",$G59:$H59),S$1)=TRUE,""✓"",""✗"")"),"✓")</f>
        <v>✓</v>
      </c>
      <c r="T59" s="154" t="str">
        <f>IFERROR(__xludf.DUMMYFUNCTION("if(REGEXMATCH(join("", "",$G59:$H59),T$1)=TRUE,""✓"",""✗"")"),"✓")</f>
        <v>✓</v>
      </c>
      <c r="U59" s="154" t="str">
        <f>IFERROR(__xludf.DUMMYFUNCTION("if(REGEXMATCH(join("", "",$G59:$H59),U$1)=TRUE,""✓"",""✗"")"),"✗")</f>
        <v>✗</v>
      </c>
    </row>
    <row r="60">
      <c r="A60" s="159">
        <v>59.0</v>
      </c>
      <c r="B60" s="159" t="s">
        <v>5290</v>
      </c>
      <c r="C60" s="162" t="str">
        <f t="shared" si="1"/>
        <v>Martin et al., 2024</v>
      </c>
      <c r="D60" s="159" t="s">
        <v>5292</v>
      </c>
      <c r="E60" s="152" t="str">
        <f t="shared" si="2"/>
        <v>https://raw.githubusercontent.com/d-wkim/phd/refs/heads/main/data/pdf/martin_2024 .pdf</v>
      </c>
      <c r="F60" s="159" t="s">
        <v>174</v>
      </c>
      <c r="G60" s="159"/>
      <c r="H60" s="159" t="s">
        <v>4980</v>
      </c>
      <c r="I60" s="154" t="str">
        <f>IFERROR(__xludf.DUMMYFUNCTION("if(REGEXMATCH(join("", "",$G60:$H60),I$1)=TRUE,""✓"",""✗"")"),"✗")</f>
        <v>✗</v>
      </c>
      <c r="J60" s="154" t="str">
        <f>IFERROR(__xludf.DUMMYFUNCTION("if(REGEXMATCH(join("", "",$G60:$H60),J$1)=TRUE,""✓"",""✗"")"),"✗")</f>
        <v>✗</v>
      </c>
      <c r="K60" s="154" t="str">
        <f>IFERROR(__xludf.DUMMYFUNCTION("if(REGEXMATCH(join("", "",$G60:$H60),K$1)=TRUE,""✓"",""✗"")"),"✗")</f>
        <v>✗</v>
      </c>
      <c r="L60" s="154" t="str">
        <f>IFERROR(__xludf.DUMMYFUNCTION("if(REGEXMATCH(join("", "",$G60:$H60),L$1)=TRUE,""✓"",""✗"")"),"✗")</f>
        <v>✗</v>
      </c>
      <c r="M60" s="154" t="str">
        <f>IFERROR(__xludf.DUMMYFUNCTION("if(REGEXMATCH(join("", "",$G60:$H60),M$1)=TRUE,""✓"",""✗"")"),"✗")</f>
        <v>✗</v>
      </c>
      <c r="N60" s="154" t="str">
        <f>IFERROR(__xludf.DUMMYFUNCTION("if(REGEXMATCH(join("", "",$G60:$H60),N$1)=TRUE,""✓"",""✗"")"),"✗")</f>
        <v>✗</v>
      </c>
      <c r="O60" s="154" t="str">
        <f>IFERROR(__xludf.DUMMYFUNCTION("if(REGEXMATCH(join("", "",$G60:$H60),O$1)=TRUE,""✓"",""✗"")"),"✗")</f>
        <v>✗</v>
      </c>
      <c r="P60" s="154" t="str">
        <f>IFERROR(__xludf.DUMMYFUNCTION("if(REGEXMATCH(join("", "",$G60:$H60),P$1)=TRUE,""✓"",""✗"")"),"✗")</f>
        <v>✗</v>
      </c>
      <c r="Q60" s="154" t="str">
        <f>IFERROR(__xludf.DUMMYFUNCTION("if(REGEXMATCH(join("", "",$G60:$H60),Q$1)=TRUE,""✓"",""✗"")"),"✗")</f>
        <v>✗</v>
      </c>
      <c r="R60" s="154" t="str">
        <f>IFERROR(__xludf.DUMMYFUNCTION("if(REGEXMATCH(join("", "",$G60:$H60),R$1)=TRUE,""✓"",""✗"")"),"✗")</f>
        <v>✗</v>
      </c>
      <c r="S60" s="154" t="str">
        <f>IFERROR(__xludf.DUMMYFUNCTION("if(REGEXMATCH(join("", "",$G60:$H60),S$1)=TRUE,""✓"",""✗"")"),"✗")</f>
        <v>✗</v>
      </c>
      <c r="T60" s="154" t="str">
        <f>IFERROR(__xludf.DUMMYFUNCTION("if(REGEXMATCH(join("", "",$G60:$H60),T$1)=TRUE,""✓"",""✗"")"),"✗")</f>
        <v>✗</v>
      </c>
      <c r="U60" s="154" t="str">
        <f>IFERROR(__xludf.DUMMYFUNCTION("if(REGEXMATCH(join("", "",$G60:$H60),U$1)=TRUE,""✓"",""✗"")"),"✗")</f>
        <v>✗</v>
      </c>
    </row>
    <row r="61">
      <c r="A61" s="159">
        <v>60.0</v>
      </c>
      <c r="B61" s="159" t="s">
        <v>5294</v>
      </c>
      <c r="C61" s="162" t="str">
        <f t="shared" si="1"/>
        <v>Martin-Alguacil et al., 2018</v>
      </c>
      <c r="D61" s="159" t="s">
        <v>5068</v>
      </c>
      <c r="E61" s="152" t="str">
        <f t="shared" si="2"/>
        <v>https://raw.githubusercontent.com/d-wkim/phd/refs/heads/main/data/pdf/martin-alguacil_2018 .pdf</v>
      </c>
      <c r="F61" s="159" t="s">
        <v>174</v>
      </c>
      <c r="G61" s="161"/>
      <c r="H61" s="159" t="s">
        <v>4973</v>
      </c>
      <c r="I61" s="154" t="str">
        <f>IFERROR(__xludf.DUMMYFUNCTION("if(REGEXMATCH(join("", "",$G61:$H61),I$1)=TRUE,""✓"",""✗"")"),"✗")</f>
        <v>✗</v>
      </c>
      <c r="J61" s="154" t="str">
        <f>IFERROR(__xludf.DUMMYFUNCTION("if(REGEXMATCH(join("", "",$G61:$H61),J$1)=TRUE,""✓"",""✗"")"),"✗")</f>
        <v>✗</v>
      </c>
      <c r="K61" s="154" t="str">
        <f>IFERROR(__xludf.DUMMYFUNCTION("if(REGEXMATCH(join("", "",$G61:$H61),K$1)=TRUE,""✓"",""✗"")"),"✗")</f>
        <v>✗</v>
      </c>
      <c r="L61" s="154" t="str">
        <f>IFERROR(__xludf.DUMMYFUNCTION("if(REGEXMATCH(join("", "",$G61:$H61),L$1)=TRUE,""✓"",""✗"")"),"✗")</f>
        <v>✗</v>
      </c>
      <c r="M61" s="154" t="str">
        <f>IFERROR(__xludf.DUMMYFUNCTION("if(REGEXMATCH(join("", "",$G61:$H61),M$1)=TRUE,""✓"",""✗"")"),"✗")</f>
        <v>✗</v>
      </c>
      <c r="N61" s="154" t="str">
        <f>IFERROR(__xludf.DUMMYFUNCTION("if(REGEXMATCH(join("", "",$G61:$H61),N$1)=TRUE,""✓"",""✗"")"),"✗")</f>
        <v>✗</v>
      </c>
      <c r="O61" s="154" t="str">
        <f>IFERROR(__xludf.DUMMYFUNCTION("if(REGEXMATCH(join("", "",$G61:$H61),O$1)=TRUE,""✓"",""✗"")"),"✗")</f>
        <v>✗</v>
      </c>
      <c r="P61" s="154" t="str">
        <f>IFERROR(__xludf.DUMMYFUNCTION("if(REGEXMATCH(join("", "",$G61:$H61),P$1)=TRUE,""✓"",""✗"")"),"✗")</f>
        <v>✗</v>
      </c>
      <c r="Q61" s="154" t="str">
        <f>IFERROR(__xludf.DUMMYFUNCTION("if(REGEXMATCH(join("", "",$G61:$H61),Q$1)=TRUE,""✓"",""✗"")"),"✗")</f>
        <v>✗</v>
      </c>
      <c r="R61" s="154" t="str">
        <f>IFERROR(__xludf.DUMMYFUNCTION("if(REGEXMATCH(join("", "",$G61:$H61),R$1)=TRUE,""✓"",""✗"")"),"✗")</f>
        <v>✗</v>
      </c>
      <c r="S61" s="154" t="str">
        <f>IFERROR(__xludf.DUMMYFUNCTION("if(REGEXMATCH(join("", "",$G61:$H61),S$1)=TRUE,""✓"",""✗"")"),"✗")</f>
        <v>✗</v>
      </c>
      <c r="T61" s="154" t="str">
        <f>IFERROR(__xludf.DUMMYFUNCTION("if(REGEXMATCH(join("", "",$G61:$H61),T$1)=TRUE,""✓"",""✗"")"),"✗")</f>
        <v>✗</v>
      </c>
      <c r="U61" s="154" t="str">
        <f>IFERROR(__xludf.DUMMYFUNCTION("if(REGEXMATCH(join("", "",$G61:$H61),U$1)=TRUE,""✓"",""✗"")"),"✗")</f>
        <v>✗</v>
      </c>
    </row>
    <row r="62">
      <c r="A62" s="159">
        <v>61.0</v>
      </c>
      <c r="B62" s="159" t="s">
        <v>5298</v>
      </c>
      <c r="C62" s="162" t="str">
        <f t="shared" si="1"/>
        <v>Martin-Alguacil et al., 2019</v>
      </c>
      <c r="D62" s="159" t="s">
        <v>5071</v>
      </c>
      <c r="E62" s="152" t="str">
        <f t="shared" si="2"/>
        <v>https://raw.githubusercontent.com/d-wkim/phd/refs/heads/main/data/pdf/martin-alguacil_2019 .pdf</v>
      </c>
      <c r="F62" s="159" t="s">
        <v>174</v>
      </c>
      <c r="G62" s="161"/>
      <c r="H62" s="159" t="s">
        <v>4980</v>
      </c>
      <c r="I62" s="154" t="str">
        <f>IFERROR(__xludf.DUMMYFUNCTION("if(REGEXMATCH(join("", "",$G62:$H62),I$1)=TRUE,""✓"",""✗"")"),"✗")</f>
        <v>✗</v>
      </c>
      <c r="J62" s="154" t="str">
        <f>IFERROR(__xludf.DUMMYFUNCTION("if(REGEXMATCH(join("", "",$G62:$H62),J$1)=TRUE,""✓"",""✗"")"),"✗")</f>
        <v>✗</v>
      </c>
      <c r="K62" s="154" t="str">
        <f>IFERROR(__xludf.DUMMYFUNCTION("if(REGEXMATCH(join("", "",$G62:$H62),K$1)=TRUE,""✓"",""✗"")"),"✗")</f>
        <v>✗</v>
      </c>
      <c r="L62" s="154" t="str">
        <f>IFERROR(__xludf.DUMMYFUNCTION("if(REGEXMATCH(join("", "",$G62:$H62),L$1)=TRUE,""✓"",""✗"")"),"✗")</f>
        <v>✗</v>
      </c>
      <c r="M62" s="154" t="str">
        <f>IFERROR(__xludf.DUMMYFUNCTION("if(REGEXMATCH(join("", "",$G62:$H62),M$1)=TRUE,""✓"",""✗"")"),"✗")</f>
        <v>✗</v>
      </c>
      <c r="N62" s="154" t="str">
        <f>IFERROR(__xludf.DUMMYFUNCTION("if(REGEXMATCH(join("", "",$G62:$H62),N$1)=TRUE,""✓"",""✗"")"),"✗")</f>
        <v>✗</v>
      </c>
      <c r="O62" s="154" t="str">
        <f>IFERROR(__xludf.DUMMYFUNCTION("if(REGEXMATCH(join("", "",$G62:$H62),O$1)=TRUE,""✓"",""✗"")"),"✗")</f>
        <v>✗</v>
      </c>
      <c r="P62" s="154" t="str">
        <f>IFERROR(__xludf.DUMMYFUNCTION("if(REGEXMATCH(join("", "",$G62:$H62),P$1)=TRUE,""✓"",""✗"")"),"✗")</f>
        <v>✗</v>
      </c>
      <c r="Q62" s="154" t="str">
        <f>IFERROR(__xludf.DUMMYFUNCTION("if(REGEXMATCH(join("", "",$G62:$H62),Q$1)=TRUE,""✓"",""✗"")"),"✗")</f>
        <v>✗</v>
      </c>
      <c r="R62" s="154" t="str">
        <f>IFERROR(__xludf.DUMMYFUNCTION("if(REGEXMATCH(join("", "",$G62:$H62),R$1)=TRUE,""✓"",""✗"")"),"✗")</f>
        <v>✗</v>
      </c>
      <c r="S62" s="154" t="str">
        <f>IFERROR(__xludf.DUMMYFUNCTION("if(REGEXMATCH(join("", "",$G62:$H62),S$1)=TRUE,""✓"",""✗"")"),"✗")</f>
        <v>✗</v>
      </c>
      <c r="T62" s="154" t="str">
        <f>IFERROR(__xludf.DUMMYFUNCTION("if(REGEXMATCH(join("", "",$G62:$H62),T$1)=TRUE,""✓"",""✗"")"),"✗")</f>
        <v>✗</v>
      </c>
      <c r="U62" s="154" t="str">
        <f>IFERROR(__xludf.DUMMYFUNCTION("if(REGEXMATCH(join("", "",$G62:$H62),U$1)=TRUE,""✓"",""✗"")"),"✗")</f>
        <v>✗</v>
      </c>
    </row>
    <row r="63">
      <c r="A63" s="159">
        <v>62.0</v>
      </c>
      <c r="B63" s="159" t="s">
        <v>5198</v>
      </c>
      <c r="C63" s="151" t="str">
        <f t="shared" si="1"/>
        <v>Matsumoto et al., 2006</v>
      </c>
      <c r="D63" s="156" t="s">
        <v>5300</v>
      </c>
      <c r="E63" s="152" t="str">
        <f t="shared" si="2"/>
        <v>https://raw.githubusercontent.com/d-wkim/phd/refs/heads/main/data/pdf/matsumoto_2006 .pdf</v>
      </c>
      <c r="F63" s="159" t="s">
        <v>109</v>
      </c>
      <c r="G63" s="159" t="s">
        <v>4362</v>
      </c>
      <c r="H63" s="159" t="s">
        <v>4392</v>
      </c>
      <c r="I63" s="154" t="str">
        <f>IFERROR(__xludf.DUMMYFUNCTION("if(REGEXMATCH(join("", "",$G63:$H63),I$1)=TRUE,""✓"",""✗"")"),"✓")</f>
        <v>✓</v>
      </c>
      <c r="J63" s="154" t="str">
        <f>IFERROR(__xludf.DUMMYFUNCTION("if(REGEXMATCH(join("", "",$G63:$H63),J$1)=TRUE,""✓"",""✗"")"),"✓")</f>
        <v>✓</v>
      </c>
      <c r="K63" s="154" t="str">
        <f>IFERROR(__xludf.DUMMYFUNCTION("if(REGEXMATCH(join("", "",$G63:$H63),K$1)=TRUE,""✓"",""✗"")"),"✗")</f>
        <v>✗</v>
      </c>
      <c r="L63" s="154" t="str">
        <f>IFERROR(__xludf.DUMMYFUNCTION("if(REGEXMATCH(join("", "",$G63:$H63),L$1)=TRUE,""✓"",""✗"")"),"✗")</f>
        <v>✗</v>
      </c>
      <c r="M63" s="154" t="str">
        <f>IFERROR(__xludf.DUMMYFUNCTION("if(REGEXMATCH(join("", "",$G63:$H63),M$1)=TRUE,""✓"",""✗"")"),"✗")</f>
        <v>✗</v>
      </c>
      <c r="N63" s="154" t="str">
        <f>IFERROR(__xludf.DUMMYFUNCTION("if(REGEXMATCH(join("", "",$G63:$H63),N$1)=TRUE,""✓"",""✗"")"),"✗")</f>
        <v>✗</v>
      </c>
      <c r="O63" s="154" t="str">
        <f>IFERROR(__xludf.DUMMYFUNCTION("if(REGEXMATCH(join("", "",$G63:$H63),O$1)=TRUE,""✓"",""✗"")"),"✓")</f>
        <v>✓</v>
      </c>
      <c r="P63" s="154" t="str">
        <f>IFERROR(__xludf.DUMMYFUNCTION("if(REGEXMATCH(join("", "",$G63:$H63),P$1)=TRUE,""✓"",""✗"")"),"✗")</f>
        <v>✗</v>
      </c>
      <c r="Q63" s="154" t="str">
        <f>IFERROR(__xludf.DUMMYFUNCTION("if(REGEXMATCH(join("", "",$G63:$H63),Q$1)=TRUE,""✓"",""✗"")"),"✗")</f>
        <v>✗</v>
      </c>
      <c r="R63" s="154" t="str">
        <f>IFERROR(__xludf.DUMMYFUNCTION("if(REGEXMATCH(join("", "",$G63:$H63),R$1)=TRUE,""✓"",""✗"")"),"✓")</f>
        <v>✓</v>
      </c>
      <c r="S63" s="154" t="str">
        <f>IFERROR(__xludf.DUMMYFUNCTION("if(REGEXMATCH(join("", "",$G63:$H63),S$1)=TRUE,""✓"",""✗"")"),"✗")</f>
        <v>✗</v>
      </c>
      <c r="T63" s="154" t="str">
        <f>IFERROR(__xludf.DUMMYFUNCTION("if(REGEXMATCH(join("", "",$G63:$H63),T$1)=TRUE,""✓"",""✗"")"),"✗")</f>
        <v>✗</v>
      </c>
      <c r="U63" s="154" t="str">
        <f>IFERROR(__xludf.DUMMYFUNCTION("if(REGEXMATCH(join("", "",$G63:$H63),U$1)=TRUE,""✓"",""✗"")"),"✗")</f>
        <v>✗</v>
      </c>
    </row>
    <row r="64">
      <c r="A64" s="159">
        <v>63.0</v>
      </c>
      <c r="B64" s="159" t="s">
        <v>5303</v>
      </c>
      <c r="C64" s="162" t="str">
        <f t="shared" si="1"/>
        <v>Mccormack et al., 2006</v>
      </c>
      <c r="D64" s="159" t="s">
        <v>5304</v>
      </c>
      <c r="E64" s="152" t="str">
        <f t="shared" si="2"/>
        <v>https://raw.githubusercontent.com/d-wkim/phd/refs/heads/main/data/pdf/mccormack_2006 .pdf</v>
      </c>
      <c r="F64" s="159" t="s">
        <v>174</v>
      </c>
      <c r="G64" s="169"/>
      <c r="H64" s="159" t="s">
        <v>4980</v>
      </c>
      <c r="I64" s="154" t="str">
        <f>IFERROR(__xludf.DUMMYFUNCTION("if(REGEXMATCH(join("", "",$G64:$H64),I$1)=TRUE,""✓"",""✗"")"),"✗")</f>
        <v>✗</v>
      </c>
      <c r="J64" s="154" t="str">
        <f>IFERROR(__xludf.DUMMYFUNCTION("if(REGEXMATCH(join("", "",$G64:$H64),J$1)=TRUE,""✓"",""✗"")"),"✗")</f>
        <v>✗</v>
      </c>
      <c r="K64" s="154" t="str">
        <f>IFERROR(__xludf.DUMMYFUNCTION("if(REGEXMATCH(join("", "",$G64:$H64),K$1)=TRUE,""✓"",""✗"")"),"✗")</f>
        <v>✗</v>
      </c>
      <c r="L64" s="154" t="str">
        <f>IFERROR(__xludf.DUMMYFUNCTION("if(REGEXMATCH(join("", "",$G64:$H64),L$1)=TRUE,""✓"",""✗"")"),"✗")</f>
        <v>✗</v>
      </c>
      <c r="M64" s="154" t="str">
        <f>IFERROR(__xludf.DUMMYFUNCTION("if(REGEXMATCH(join("", "",$G64:$H64),M$1)=TRUE,""✓"",""✗"")"),"✗")</f>
        <v>✗</v>
      </c>
      <c r="N64" s="154" t="str">
        <f>IFERROR(__xludf.DUMMYFUNCTION("if(REGEXMATCH(join("", "",$G64:$H64),N$1)=TRUE,""✓"",""✗"")"),"✗")</f>
        <v>✗</v>
      </c>
      <c r="O64" s="154" t="str">
        <f>IFERROR(__xludf.DUMMYFUNCTION("if(REGEXMATCH(join("", "",$G64:$H64),O$1)=TRUE,""✓"",""✗"")"),"✗")</f>
        <v>✗</v>
      </c>
      <c r="P64" s="154" t="str">
        <f>IFERROR(__xludf.DUMMYFUNCTION("if(REGEXMATCH(join("", "",$G64:$H64),P$1)=TRUE,""✓"",""✗"")"),"✗")</f>
        <v>✗</v>
      </c>
      <c r="Q64" s="154" t="str">
        <f>IFERROR(__xludf.DUMMYFUNCTION("if(REGEXMATCH(join("", "",$G64:$H64),Q$1)=TRUE,""✓"",""✗"")"),"✗")</f>
        <v>✗</v>
      </c>
      <c r="R64" s="154" t="str">
        <f>IFERROR(__xludf.DUMMYFUNCTION("if(REGEXMATCH(join("", "",$G64:$H64),R$1)=TRUE,""✓"",""✗"")"),"✗")</f>
        <v>✗</v>
      </c>
      <c r="S64" s="154" t="str">
        <f>IFERROR(__xludf.DUMMYFUNCTION("if(REGEXMATCH(join("", "",$G64:$H64),S$1)=TRUE,""✓"",""✗"")"),"✗")</f>
        <v>✗</v>
      </c>
      <c r="T64" s="154" t="str">
        <f>IFERROR(__xludf.DUMMYFUNCTION("if(REGEXMATCH(join("", "",$G64:$H64),T$1)=TRUE,""✓"",""✗"")"),"✗")</f>
        <v>✗</v>
      </c>
      <c r="U64" s="154" t="str">
        <f>IFERROR(__xludf.DUMMYFUNCTION("if(REGEXMATCH(join("", "",$G64:$H64),U$1)=TRUE,""✓"",""✗"")"),"✗")</f>
        <v>✗</v>
      </c>
    </row>
    <row r="65">
      <c r="A65" s="159">
        <v>64.0</v>
      </c>
      <c r="B65" s="159" t="s">
        <v>5305</v>
      </c>
      <c r="C65" s="162" t="str">
        <f t="shared" si="1"/>
        <v>Mohammadi et al., 2013</v>
      </c>
      <c r="D65" s="159" t="s">
        <v>5306</v>
      </c>
      <c r="E65" s="152" t="str">
        <f t="shared" si="2"/>
        <v>https://raw.githubusercontent.com/d-wkim/phd/refs/heads/main/data/pdf/mohammadi_2013 .pdf</v>
      </c>
      <c r="F65" s="159" t="s">
        <v>174</v>
      </c>
      <c r="G65" s="159"/>
      <c r="H65" s="159" t="s">
        <v>4980</v>
      </c>
      <c r="I65" s="154" t="str">
        <f>IFERROR(__xludf.DUMMYFUNCTION("if(REGEXMATCH(join("", "",$G65:$H65),I$1)=TRUE,""✓"",""✗"")"),"✗")</f>
        <v>✗</v>
      </c>
      <c r="J65" s="154" t="str">
        <f>IFERROR(__xludf.DUMMYFUNCTION("if(REGEXMATCH(join("", "",$G65:$H65),J$1)=TRUE,""✓"",""✗"")"),"✗")</f>
        <v>✗</v>
      </c>
      <c r="K65" s="154" t="str">
        <f>IFERROR(__xludf.DUMMYFUNCTION("if(REGEXMATCH(join("", "",$G65:$H65),K$1)=TRUE,""✓"",""✗"")"),"✗")</f>
        <v>✗</v>
      </c>
      <c r="L65" s="154" t="str">
        <f>IFERROR(__xludf.DUMMYFUNCTION("if(REGEXMATCH(join("", "",$G65:$H65),L$1)=TRUE,""✓"",""✗"")"),"✗")</f>
        <v>✗</v>
      </c>
      <c r="M65" s="154" t="str">
        <f>IFERROR(__xludf.DUMMYFUNCTION("if(REGEXMATCH(join("", "",$G65:$H65),M$1)=TRUE,""✓"",""✗"")"),"✗")</f>
        <v>✗</v>
      </c>
      <c r="N65" s="154" t="str">
        <f>IFERROR(__xludf.DUMMYFUNCTION("if(REGEXMATCH(join("", "",$G65:$H65),N$1)=TRUE,""✓"",""✗"")"),"✗")</f>
        <v>✗</v>
      </c>
      <c r="O65" s="154" t="str">
        <f>IFERROR(__xludf.DUMMYFUNCTION("if(REGEXMATCH(join("", "",$G65:$H65),O$1)=TRUE,""✓"",""✗"")"),"✗")</f>
        <v>✗</v>
      </c>
      <c r="P65" s="154" t="str">
        <f>IFERROR(__xludf.DUMMYFUNCTION("if(REGEXMATCH(join("", "",$G65:$H65),P$1)=TRUE,""✓"",""✗"")"),"✗")</f>
        <v>✗</v>
      </c>
      <c r="Q65" s="154" t="str">
        <f>IFERROR(__xludf.DUMMYFUNCTION("if(REGEXMATCH(join("", "",$G65:$H65),Q$1)=TRUE,""✓"",""✗"")"),"✗")</f>
        <v>✗</v>
      </c>
      <c r="R65" s="154" t="str">
        <f>IFERROR(__xludf.DUMMYFUNCTION("if(REGEXMATCH(join("", "",$G65:$H65),R$1)=TRUE,""✓"",""✗"")"),"✗")</f>
        <v>✗</v>
      </c>
      <c r="S65" s="154" t="str">
        <f>IFERROR(__xludf.DUMMYFUNCTION("if(REGEXMATCH(join("", "",$G65:$H65),S$1)=TRUE,""✓"",""✗"")"),"✗")</f>
        <v>✗</v>
      </c>
      <c r="T65" s="154" t="str">
        <f>IFERROR(__xludf.DUMMYFUNCTION("if(REGEXMATCH(join("", "",$G65:$H65),T$1)=TRUE,""✓"",""✗"")"),"✗")</f>
        <v>✗</v>
      </c>
      <c r="U65" s="154" t="str">
        <f>IFERROR(__xludf.DUMMYFUNCTION("if(REGEXMATCH(join("", "",$G65:$H65),U$1)=TRUE,""✓"",""✗"")"),"✗")</f>
        <v>✗</v>
      </c>
    </row>
    <row r="66">
      <c r="A66" s="159">
        <v>65.0</v>
      </c>
      <c r="B66" s="159" t="s">
        <v>5307</v>
      </c>
      <c r="C66" s="162" t="str">
        <f t="shared" si="1"/>
        <v>Mohtadi et al., 2016A</v>
      </c>
      <c r="D66" s="159" t="s">
        <v>5308</v>
      </c>
      <c r="E66" s="152" t="str">
        <f t="shared" si="2"/>
        <v>https://raw.githubusercontent.com/d-wkim/phd/refs/heads/main/data/pdf/mohtadi_2016a .pdf</v>
      </c>
      <c r="F66" s="159" t="s">
        <v>174</v>
      </c>
      <c r="G66" s="159"/>
      <c r="H66" s="159" t="s">
        <v>4973</v>
      </c>
      <c r="I66" s="154" t="str">
        <f>IFERROR(__xludf.DUMMYFUNCTION("if(REGEXMATCH(join("", "",$G66:$H66),I$1)=TRUE,""✓"",""✗"")"),"✗")</f>
        <v>✗</v>
      </c>
      <c r="J66" s="154" t="str">
        <f>IFERROR(__xludf.DUMMYFUNCTION("if(REGEXMATCH(join("", "",$G66:$H66),J$1)=TRUE,""✓"",""✗"")"),"✗")</f>
        <v>✗</v>
      </c>
      <c r="K66" s="154" t="str">
        <f>IFERROR(__xludf.DUMMYFUNCTION("if(REGEXMATCH(join("", "",$G66:$H66),K$1)=TRUE,""✓"",""✗"")"),"✗")</f>
        <v>✗</v>
      </c>
      <c r="L66" s="154" t="str">
        <f>IFERROR(__xludf.DUMMYFUNCTION("if(REGEXMATCH(join("", "",$G66:$H66),L$1)=TRUE,""✓"",""✗"")"),"✗")</f>
        <v>✗</v>
      </c>
      <c r="M66" s="154" t="str">
        <f>IFERROR(__xludf.DUMMYFUNCTION("if(REGEXMATCH(join("", "",$G66:$H66),M$1)=TRUE,""✓"",""✗"")"),"✗")</f>
        <v>✗</v>
      </c>
      <c r="N66" s="154" t="str">
        <f>IFERROR(__xludf.DUMMYFUNCTION("if(REGEXMATCH(join("", "",$G66:$H66),N$1)=TRUE,""✓"",""✗"")"),"✗")</f>
        <v>✗</v>
      </c>
      <c r="O66" s="154" t="str">
        <f>IFERROR(__xludf.DUMMYFUNCTION("if(REGEXMATCH(join("", "",$G66:$H66),O$1)=TRUE,""✓"",""✗"")"),"✗")</f>
        <v>✗</v>
      </c>
      <c r="P66" s="154" t="str">
        <f>IFERROR(__xludf.DUMMYFUNCTION("if(REGEXMATCH(join("", "",$G66:$H66),P$1)=TRUE,""✓"",""✗"")"),"✗")</f>
        <v>✗</v>
      </c>
      <c r="Q66" s="154" t="str">
        <f>IFERROR(__xludf.DUMMYFUNCTION("if(REGEXMATCH(join("", "",$G66:$H66),Q$1)=TRUE,""✓"",""✗"")"),"✗")</f>
        <v>✗</v>
      </c>
      <c r="R66" s="154" t="str">
        <f>IFERROR(__xludf.DUMMYFUNCTION("if(REGEXMATCH(join("", "",$G66:$H66),R$1)=TRUE,""✓"",""✗"")"),"✗")</f>
        <v>✗</v>
      </c>
      <c r="S66" s="154" t="str">
        <f>IFERROR(__xludf.DUMMYFUNCTION("if(REGEXMATCH(join("", "",$G66:$H66),S$1)=TRUE,""✓"",""✗"")"),"✗")</f>
        <v>✗</v>
      </c>
      <c r="T66" s="154" t="str">
        <f>IFERROR(__xludf.DUMMYFUNCTION("if(REGEXMATCH(join("", "",$G66:$H66),T$1)=TRUE,""✓"",""✗"")"),"✗")</f>
        <v>✗</v>
      </c>
      <c r="U66" s="154" t="str">
        <f>IFERROR(__xludf.DUMMYFUNCTION("if(REGEXMATCH(join("", "",$G66:$H66),U$1)=TRUE,""✓"",""✗"")"),"✗")</f>
        <v>✗</v>
      </c>
    </row>
    <row r="67">
      <c r="A67" s="159">
        <v>66.0</v>
      </c>
      <c r="B67" s="159" t="s">
        <v>5200</v>
      </c>
      <c r="C67" s="151" t="str">
        <f t="shared" si="1"/>
        <v>Mohtadi et al., 2016B</v>
      </c>
      <c r="D67" s="156" t="s">
        <v>5309</v>
      </c>
      <c r="E67" s="152" t="str">
        <f t="shared" si="2"/>
        <v>https://raw.githubusercontent.com/d-wkim/phd/refs/heads/main/data/pdf/mohtadi_2016b .pdf</v>
      </c>
      <c r="F67" s="159" t="s">
        <v>109</v>
      </c>
      <c r="G67" s="159" t="s">
        <v>4362</v>
      </c>
      <c r="H67" s="159" t="s">
        <v>4430</v>
      </c>
      <c r="I67" s="154" t="str">
        <f>IFERROR(__xludf.DUMMYFUNCTION("if(REGEXMATCH(join("", "",$G67:$H67),I$1)=TRUE,""✓"",""✗"")"),"✓")</f>
        <v>✓</v>
      </c>
      <c r="J67" s="154" t="str">
        <f>IFERROR(__xludf.DUMMYFUNCTION("if(REGEXMATCH(join("", "",$G67:$H67),J$1)=TRUE,""✓"",""✗"")"),"✓")</f>
        <v>✓</v>
      </c>
      <c r="K67" s="154" t="str">
        <f>IFERROR(__xludf.DUMMYFUNCTION("if(REGEXMATCH(join("", "",$G67:$H67),K$1)=TRUE,""✓"",""✗"")"),"✗")</f>
        <v>✗</v>
      </c>
      <c r="L67" s="154" t="str">
        <f>IFERROR(__xludf.DUMMYFUNCTION("if(REGEXMATCH(join("", "",$G67:$H67),L$1)=TRUE,""✓"",""✗"")"),"✗")</f>
        <v>✗</v>
      </c>
      <c r="M67" s="154" t="str">
        <f>IFERROR(__xludf.DUMMYFUNCTION("if(REGEXMATCH(join("", "",$G67:$H67),M$1)=TRUE,""✓"",""✗"")"),"✗")</f>
        <v>✗</v>
      </c>
      <c r="N67" s="154" t="str">
        <f>IFERROR(__xludf.DUMMYFUNCTION("if(REGEXMATCH(join("", "",$G67:$H67),N$1)=TRUE,""✓"",""✗"")"),"✗")</f>
        <v>✗</v>
      </c>
      <c r="O67" s="154" t="str">
        <f>IFERROR(__xludf.DUMMYFUNCTION("if(REGEXMATCH(join("", "",$G67:$H67),O$1)=TRUE,""✓"",""✗"")"),"✗")</f>
        <v>✗</v>
      </c>
      <c r="P67" s="154" t="str">
        <f>IFERROR(__xludf.DUMMYFUNCTION("if(REGEXMATCH(join("", "",$G67:$H67),P$1)=TRUE,""✓"",""✗"")"),"✗")</f>
        <v>✗</v>
      </c>
      <c r="Q67" s="154" t="str">
        <f>IFERROR(__xludf.DUMMYFUNCTION("if(REGEXMATCH(join("", "",$G67:$H67),Q$1)=TRUE,""✓"",""✗"")"),"✗")</f>
        <v>✗</v>
      </c>
      <c r="R67" s="154" t="str">
        <f>IFERROR(__xludf.DUMMYFUNCTION("if(REGEXMATCH(join("", "",$G67:$H67),R$1)=TRUE,""✓"",""✗"")"),"✓")</f>
        <v>✓</v>
      </c>
      <c r="S67" s="154" t="str">
        <f>IFERROR(__xludf.DUMMYFUNCTION("if(REGEXMATCH(join("", "",$G67:$H67),S$1)=TRUE,""✓"",""✗"")"),"✗")</f>
        <v>✗</v>
      </c>
      <c r="T67" s="154" t="str">
        <f>IFERROR(__xludf.DUMMYFUNCTION("if(REGEXMATCH(join("", "",$G67:$H67),T$1)=TRUE,""✓"",""✗"")"),"✓")</f>
        <v>✓</v>
      </c>
      <c r="U67" s="154" t="str">
        <f>IFERROR(__xludf.DUMMYFUNCTION("if(REGEXMATCH(join("", "",$G67:$H67),U$1)=TRUE,""✓"",""✗"")"),"✓")</f>
        <v>✓</v>
      </c>
    </row>
    <row r="68">
      <c r="A68" s="159">
        <v>67.0</v>
      </c>
      <c r="B68" s="159" t="s">
        <v>5202</v>
      </c>
      <c r="C68" s="151" t="str">
        <f t="shared" si="1"/>
        <v>Mohtadi et al., Chan et al., 2019</v>
      </c>
      <c r="D68" s="156" t="s">
        <v>5310</v>
      </c>
      <c r="E68" s="152" t="str">
        <f t="shared" si="2"/>
        <v>https://raw.githubusercontent.com/d-wkim/phd/refs/heads/main/data/pdf/mohtadi_chan_2019 .pdf</v>
      </c>
      <c r="F68" s="159" t="s">
        <v>174</v>
      </c>
      <c r="G68" s="159" t="s">
        <v>4362</v>
      </c>
      <c r="H68" s="159" t="s">
        <v>5203</v>
      </c>
      <c r="I68" s="154" t="str">
        <f>IFERROR(__xludf.DUMMYFUNCTION("if(REGEXMATCH(join("", "",$G68:$H68),I$1)=TRUE,""✓"",""✗"")"),"✓")</f>
        <v>✓</v>
      </c>
      <c r="J68" s="154" t="str">
        <f>IFERROR(__xludf.DUMMYFUNCTION("if(REGEXMATCH(join("", "",$G68:$H68),J$1)=TRUE,""✓"",""✗"")"),"✓")</f>
        <v>✓</v>
      </c>
      <c r="K68" s="154" t="str">
        <f>IFERROR(__xludf.DUMMYFUNCTION("if(REGEXMATCH(join("", "",$G68:$H68),K$1)=TRUE,""✓"",""✗"")"),"✗")</f>
        <v>✗</v>
      </c>
      <c r="L68" s="154" t="str">
        <f>IFERROR(__xludf.DUMMYFUNCTION("if(REGEXMATCH(join("", "",$G68:$H68),L$1)=TRUE,""✓"",""✗"")"),"✗")</f>
        <v>✗</v>
      </c>
      <c r="M68" s="154" t="str">
        <f>IFERROR(__xludf.DUMMYFUNCTION("if(REGEXMATCH(join("", "",$G68:$H68),M$1)=TRUE,""✓"",""✗"")"),"✗")</f>
        <v>✗</v>
      </c>
      <c r="N68" s="154" t="str">
        <f>IFERROR(__xludf.DUMMYFUNCTION("if(REGEXMATCH(join("", "",$G68:$H68),N$1)=TRUE,""✓"",""✗"")"),"✗")</f>
        <v>✗</v>
      </c>
      <c r="O68" s="154" t="str">
        <f>IFERROR(__xludf.DUMMYFUNCTION("if(REGEXMATCH(join("", "",$G68:$H68),O$1)=TRUE,""✓"",""✗"")"),"✓")</f>
        <v>✓</v>
      </c>
      <c r="P68" s="154" t="str">
        <f>IFERROR(__xludf.DUMMYFUNCTION("if(REGEXMATCH(join("", "",$G68:$H68),P$1)=TRUE,""✓"",""✗"")"),"✗")</f>
        <v>✗</v>
      </c>
      <c r="Q68" s="154" t="str">
        <f>IFERROR(__xludf.DUMMYFUNCTION("if(REGEXMATCH(join("", "",$G68:$H68),Q$1)=TRUE,""✓"",""✗"")"),"✗")</f>
        <v>✗</v>
      </c>
      <c r="R68" s="154" t="str">
        <f>IFERROR(__xludf.DUMMYFUNCTION("if(REGEXMATCH(join("", "",$G68:$H68),R$1)=TRUE,""✓"",""✗"")"),"✓")</f>
        <v>✓</v>
      </c>
      <c r="S68" s="154" t="str">
        <f>IFERROR(__xludf.DUMMYFUNCTION("if(REGEXMATCH(join("", "",$G68:$H68),S$1)=TRUE,""✓"",""✗"")"),"✓")</f>
        <v>✓</v>
      </c>
      <c r="T68" s="154" t="str">
        <f>IFERROR(__xludf.DUMMYFUNCTION("if(REGEXMATCH(join("", "",$G68:$H68),T$1)=TRUE,""✓"",""✗"")"),"✓")</f>
        <v>✓</v>
      </c>
      <c r="U68" s="154" t="str">
        <f>IFERROR(__xludf.DUMMYFUNCTION("if(REGEXMATCH(join("", "",$G68:$H68),U$1)=TRUE,""✓"",""✗"")"),"✓")</f>
        <v>✓</v>
      </c>
    </row>
    <row r="69">
      <c r="A69" s="159">
        <v>68.0</v>
      </c>
      <c r="B69" s="159" t="s">
        <v>5204</v>
      </c>
      <c r="C69" s="151" t="str">
        <f t="shared" si="1"/>
        <v>Moraiti et al., 2010</v>
      </c>
      <c r="D69" s="156" t="s">
        <v>5311</v>
      </c>
      <c r="E69" s="152" t="str">
        <f t="shared" si="2"/>
        <v>https://raw.githubusercontent.com/d-wkim/phd/refs/heads/main/data/pdf/moraiti_2010 .pdf</v>
      </c>
      <c r="F69" s="159" t="s">
        <v>109</v>
      </c>
      <c r="G69" s="159" t="s">
        <v>4362</v>
      </c>
      <c r="H69" s="159" t="s">
        <v>4432</v>
      </c>
      <c r="I69" s="154" t="str">
        <f>IFERROR(__xludf.DUMMYFUNCTION("if(REGEXMATCH(join("", "",$G69:$H69),I$1)=TRUE,""✓"",""✗"")"),"✓")</f>
        <v>✓</v>
      </c>
      <c r="J69" s="154" t="str">
        <f>IFERROR(__xludf.DUMMYFUNCTION("if(REGEXMATCH(join("", "",$G69:$H69),J$1)=TRUE,""✓"",""✗"")"),"✓")</f>
        <v>✓</v>
      </c>
      <c r="K69" s="154" t="str">
        <f>IFERROR(__xludf.DUMMYFUNCTION("if(REGEXMATCH(join("", "",$G69:$H69),K$1)=TRUE,""✓"",""✗"")"),"✗")</f>
        <v>✗</v>
      </c>
      <c r="L69" s="154" t="str">
        <f>IFERROR(__xludf.DUMMYFUNCTION("if(REGEXMATCH(join("", "",$G69:$H69),L$1)=TRUE,""✓"",""✗"")"),"✗")</f>
        <v>✗</v>
      </c>
      <c r="M69" s="154" t="str">
        <f>IFERROR(__xludf.DUMMYFUNCTION("if(REGEXMATCH(join("", "",$G69:$H69),M$1)=TRUE,""✓"",""✗"")"),"✗")</f>
        <v>✗</v>
      </c>
      <c r="N69" s="154" t="str">
        <f>IFERROR(__xludf.DUMMYFUNCTION("if(REGEXMATCH(join("", "",$G69:$H69),N$1)=TRUE,""✓"",""✗"")"),"✗")</f>
        <v>✗</v>
      </c>
      <c r="O69" s="154" t="str">
        <f>IFERROR(__xludf.DUMMYFUNCTION("if(REGEXMATCH(join("", "",$G69:$H69),O$1)=TRUE,""✓"",""✗"")"),"✓")</f>
        <v>✓</v>
      </c>
      <c r="P69" s="154" t="str">
        <f>IFERROR(__xludf.DUMMYFUNCTION("if(REGEXMATCH(join("", "",$G69:$H69),P$1)=TRUE,""✓"",""✗"")"),"✓")</f>
        <v>✓</v>
      </c>
      <c r="Q69" s="154" t="str">
        <f>IFERROR(__xludf.DUMMYFUNCTION("if(REGEXMATCH(join("", "",$G69:$H69),Q$1)=TRUE,""✓"",""✗"")"),"✓")</f>
        <v>✓</v>
      </c>
      <c r="R69" s="154" t="str">
        <f>IFERROR(__xludf.DUMMYFUNCTION("if(REGEXMATCH(join("", "",$G69:$H69),R$1)=TRUE,""✓"",""✗"")"),"✓")</f>
        <v>✓</v>
      </c>
      <c r="S69" s="154" t="str">
        <f>IFERROR(__xludf.DUMMYFUNCTION("if(REGEXMATCH(join("", "",$G69:$H69),S$1)=TRUE,""✓"",""✗"")"),"✗")</f>
        <v>✗</v>
      </c>
      <c r="T69" s="154" t="str">
        <f>IFERROR(__xludf.DUMMYFUNCTION("if(REGEXMATCH(join("", "",$G69:$H69),T$1)=TRUE,""✓"",""✗"")"),"✓")</f>
        <v>✓</v>
      </c>
      <c r="U69" s="154" t="str">
        <f>IFERROR(__xludf.DUMMYFUNCTION("if(REGEXMATCH(join("", "",$G69:$H69),U$1)=TRUE,""✓"",""✗"")"),"✓")</f>
        <v>✓</v>
      </c>
    </row>
    <row r="70">
      <c r="A70" s="159">
        <v>69.0</v>
      </c>
      <c r="B70" s="159" t="s">
        <v>5312</v>
      </c>
      <c r="C70" s="162" t="str">
        <f t="shared" si="1"/>
        <v>Mouzopoulos et al., 2015</v>
      </c>
      <c r="D70" s="159" t="s">
        <v>5313</v>
      </c>
      <c r="E70" s="152" t="str">
        <f t="shared" si="2"/>
        <v>https://raw.githubusercontent.com/d-wkim/phd/refs/heads/main/data/pdf/mouzopoulos_2015 .pdf</v>
      </c>
      <c r="F70" s="159" t="s">
        <v>174</v>
      </c>
      <c r="G70" s="159"/>
      <c r="H70" s="159" t="s">
        <v>4980</v>
      </c>
      <c r="I70" s="154" t="str">
        <f>IFERROR(__xludf.DUMMYFUNCTION("if(REGEXMATCH(join("", "",$G70:$H70),I$1)=TRUE,""✓"",""✗"")"),"✗")</f>
        <v>✗</v>
      </c>
      <c r="J70" s="154" t="str">
        <f>IFERROR(__xludf.DUMMYFUNCTION("if(REGEXMATCH(join("", "",$G70:$H70),J$1)=TRUE,""✓"",""✗"")"),"✗")</f>
        <v>✗</v>
      </c>
      <c r="K70" s="154" t="str">
        <f>IFERROR(__xludf.DUMMYFUNCTION("if(REGEXMATCH(join("", "",$G70:$H70),K$1)=TRUE,""✓"",""✗"")"),"✗")</f>
        <v>✗</v>
      </c>
      <c r="L70" s="154" t="str">
        <f>IFERROR(__xludf.DUMMYFUNCTION("if(REGEXMATCH(join("", "",$G70:$H70),L$1)=TRUE,""✓"",""✗"")"),"✗")</f>
        <v>✗</v>
      </c>
      <c r="M70" s="154" t="str">
        <f>IFERROR(__xludf.DUMMYFUNCTION("if(REGEXMATCH(join("", "",$G70:$H70),M$1)=TRUE,""✓"",""✗"")"),"✗")</f>
        <v>✗</v>
      </c>
      <c r="N70" s="154" t="str">
        <f>IFERROR(__xludf.DUMMYFUNCTION("if(REGEXMATCH(join("", "",$G70:$H70),N$1)=TRUE,""✓"",""✗"")"),"✗")</f>
        <v>✗</v>
      </c>
      <c r="O70" s="154" t="str">
        <f>IFERROR(__xludf.DUMMYFUNCTION("if(REGEXMATCH(join("", "",$G70:$H70),O$1)=TRUE,""✓"",""✗"")"),"✗")</f>
        <v>✗</v>
      </c>
      <c r="P70" s="154" t="str">
        <f>IFERROR(__xludf.DUMMYFUNCTION("if(REGEXMATCH(join("", "",$G70:$H70),P$1)=TRUE,""✓"",""✗"")"),"✗")</f>
        <v>✗</v>
      </c>
      <c r="Q70" s="154" t="str">
        <f>IFERROR(__xludf.DUMMYFUNCTION("if(REGEXMATCH(join("", "",$G70:$H70),Q$1)=TRUE,""✓"",""✗"")"),"✗")</f>
        <v>✗</v>
      </c>
      <c r="R70" s="154" t="str">
        <f>IFERROR(__xludf.DUMMYFUNCTION("if(REGEXMATCH(join("", "",$G70:$H70),R$1)=TRUE,""✓"",""✗"")"),"✗")</f>
        <v>✗</v>
      </c>
      <c r="S70" s="154" t="str">
        <f>IFERROR(__xludf.DUMMYFUNCTION("if(REGEXMATCH(join("", "",$G70:$H70),S$1)=TRUE,""✓"",""✗"")"),"✗")</f>
        <v>✗</v>
      </c>
      <c r="T70" s="154" t="str">
        <f>IFERROR(__xludf.DUMMYFUNCTION("if(REGEXMATCH(join("", "",$G70:$H70),T$1)=TRUE,""✓"",""✗"")"),"✗")</f>
        <v>✗</v>
      </c>
      <c r="U70" s="154" t="str">
        <f>IFERROR(__xludf.DUMMYFUNCTION("if(REGEXMATCH(join("", "",$G70:$H70),U$1)=TRUE,""✓"",""✗"")"),"✗")</f>
        <v>✗</v>
      </c>
    </row>
    <row r="71">
      <c r="A71" s="159">
        <v>70.0</v>
      </c>
      <c r="B71" s="159" t="s">
        <v>5205</v>
      </c>
      <c r="C71" s="151" t="str">
        <f t="shared" si="1"/>
        <v>Noh et al., 2011</v>
      </c>
      <c r="D71" s="156" t="s">
        <v>5314</v>
      </c>
      <c r="E71" s="152" t="str">
        <f t="shared" si="2"/>
        <v>https://raw.githubusercontent.com/d-wkim/phd/refs/heads/main/data/pdf/noh_2011 .pdf</v>
      </c>
      <c r="F71" s="159" t="s">
        <v>109</v>
      </c>
      <c r="G71" s="161" t="s">
        <v>4433</v>
      </c>
      <c r="H71" s="159" t="s">
        <v>4434</v>
      </c>
      <c r="I71" s="154" t="str">
        <f>IFERROR(__xludf.DUMMYFUNCTION("if(REGEXMATCH(join("", "",$G71:$H71),I$1)=TRUE,""✓"",""✗"")"),"✗")</f>
        <v>✗</v>
      </c>
      <c r="J71" s="154" t="str">
        <f>IFERROR(__xludf.DUMMYFUNCTION("if(REGEXMATCH(join("", "",$G71:$H71),J$1)=TRUE,""✓"",""✗"")"),"✓")</f>
        <v>✓</v>
      </c>
      <c r="K71" s="154" t="str">
        <f>IFERROR(__xludf.DUMMYFUNCTION("if(REGEXMATCH(join("", "",$G71:$H71),K$1)=TRUE,""✓"",""✗"")"),"✗")</f>
        <v>✗</v>
      </c>
      <c r="L71" s="154" t="str">
        <f>IFERROR(__xludf.DUMMYFUNCTION("if(REGEXMATCH(join("", "",$G71:$H71),L$1)=TRUE,""✓"",""✗"")"),"✗")</f>
        <v>✗</v>
      </c>
      <c r="M71" s="154" t="str">
        <f>IFERROR(__xludf.DUMMYFUNCTION("if(REGEXMATCH(join("", "",$G71:$H71),M$1)=TRUE,""✓"",""✗"")"),"✓")</f>
        <v>✓</v>
      </c>
      <c r="N71" s="154" t="str">
        <f>IFERROR(__xludf.DUMMYFUNCTION("if(REGEXMATCH(join("", "",$G71:$H71),N$1)=TRUE,""✓"",""✗"")"),"✗")</f>
        <v>✗</v>
      </c>
      <c r="O71" s="154" t="str">
        <f>IFERROR(__xludf.DUMMYFUNCTION("if(REGEXMATCH(join("", "",$G71:$H71),O$1)=TRUE,""✓"",""✗"")"),"✓")</f>
        <v>✓</v>
      </c>
      <c r="P71" s="154" t="str">
        <f>IFERROR(__xludf.DUMMYFUNCTION("if(REGEXMATCH(join("", "",$G71:$H71),P$1)=TRUE,""✓"",""✗"")"),"✓")</f>
        <v>✓</v>
      </c>
      <c r="Q71" s="154" t="str">
        <f>IFERROR(__xludf.DUMMYFUNCTION("if(REGEXMATCH(join("", "",$G71:$H71),Q$1)=TRUE,""✓"",""✗"")"),"✓")</f>
        <v>✓</v>
      </c>
      <c r="R71" s="154" t="str">
        <f>IFERROR(__xludf.DUMMYFUNCTION("if(REGEXMATCH(join("", "",$G71:$H71),R$1)=TRUE,""✓"",""✗"")"),"✓")</f>
        <v>✓</v>
      </c>
      <c r="S71" s="154" t="str">
        <f>IFERROR(__xludf.DUMMYFUNCTION("if(REGEXMATCH(join("", "",$G71:$H71),S$1)=TRUE,""✓"",""✗"")"),"✓")</f>
        <v>✓</v>
      </c>
      <c r="T71" s="154" t="str">
        <f>IFERROR(__xludf.DUMMYFUNCTION("if(REGEXMATCH(join("", "",$G71:$H71),T$1)=TRUE,""✓"",""✗"")"),"✓")</f>
        <v>✓</v>
      </c>
      <c r="U71" s="154" t="str">
        <f>IFERROR(__xludf.DUMMYFUNCTION("if(REGEXMATCH(join("", "",$G71:$H71),U$1)=TRUE,""✓"",""✗"")"),"✓")</f>
        <v>✓</v>
      </c>
    </row>
    <row r="72">
      <c r="A72" s="159">
        <v>71.0</v>
      </c>
      <c r="B72" s="159" t="s">
        <v>5315</v>
      </c>
      <c r="C72" s="162" t="str">
        <f t="shared" si="1"/>
        <v>Nurmi et al., 2004</v>
      </c>
      <c r="D72" s="159" t="s">
        <v>5316</v>
      </c>
      <c r="E72" s="152" t="str">
        <f t="shared" si="2"/>
        <v>https://raw.githubusercontent.com/d-wkim/phd/refs/heads/main/data/pdf/nurmi_2004 .pdf</v>
      </c>
      <c r="F72" s="159" t="s">
        <v>174</v>
      </c>
      <c r="G72" s="161"/>
      <c r="H72" s="159" t="s">
        <v>4980</v>
      </c>
      <c r="I72" s="154" t="str">
        <f>IFERROR(__xludf.DUMMYFUNCTION("if(REGEXMATCH(join("", "",$G72:$H72),I$1)=TRUE,""✓"",""✗"")"),"✗")</f>
        <v>✗</v>
      </c>
      <c r="J72" s="154" t="str">
        <f>IFERROR(__xludf.DUMMYFUNCTION("if(REGEXMATCH(join("", "",$G72:$H72),J$1)=TRUE,""✓"",""✗"")"),"✗")</f>
        <v>✗</v>
      </c>
      <c r="K72" s="154" t="str">
        <f>IFERROR(__xludf.DUMMYFUNCTION("if(REGEXMATCH(join("", "",$G72:$H72),K$1)=TRUE,""✓"",""✗"")"),"✗")</f>
        <v>✗</v>
      </c>
      <c r="L72" s="154" t="str">
        <f>IFERROR(__xludf.DUMMYFUNCTION("if(REGEXMATCH(join("", "",$G72:$H72),L$1)=TRUE,""✓"",""✗"")"),"✗")</f>
        <v>✗</v>
      </c>
      <c r="M72" s="154" t="str">
        <f>IFERROR(__xludf.DUMMYFUNCTION("if(REGEXMATCH(join("", "",$G72:$H72),M$1)=TRUE,""✓"",""✗"")"),"✗")</f>
        <v>✗</v>
      </c>
      <c r="N72" s="154" t="str">
        <f>IFERROR(__xludf.DUMMYFUNCTION("if(REGEXMATCH(join("", "",$G72:$H72),N$1)=TRUE,""✓"",""✗"")"),"✗")</f>
        <v>✗</v>
      </c>
      <c r="O72" s="154" t="str">
        <f>IFERROR(__xludf.DUMMYFUNCTION("if(REGEXMATCH(join("", "",$G72:$H72),O$1)=TRUE,""✓"",""✗"")"),"✗")</f>
        <v>✗</v>
      </c>
      <c r="P72" s="154" t="str">
        <f>IFERROR(__xludf.DUMMYFUNCTION("if(REGEXMATCH(join("", "",$G72:$H72),P$1)=TRUE,""✓"",""✗"")"),"✗")</f>
        <v>✗</v>
      </c>
      <c r="Q72" s="154" t="str">
        <f>IFERROR(__xludf.DUMMYFUNCTION("if(REGEXMATCH(join("", "",$G72:$H72),Q$1)=TRUE,""✓"",""✗"")"),"✗")</f>
        <v>✗</v>
      </c>
      <c r="R72" s="154" t="str">
        <f>IFERROR(__xludf.DUMMYFUNCTION("if(REGEXMATCH(join("", "",$G72:$H72),R$1)=TRUE,""✓"",""✗"")"),"✗")</f>
        <v>✗</v>
      </c>
      <c r="S72" s="154" t="str">
        <f>IFERROR(__xludf.DUMMYFUNCTION("if(REGEXMATCH(join("", "",$G72:$H72),S$1)=TRUE,""✓"",""✗"")"),"✗")</f>
        <v>✗</v>
      </c>
      <c r="T72" s="154" t="str">
        <f>IFERROR(__xludf.DUMMYFUNCTION("if(REGEXMATCH(join("", "",$G72:$H72),T$1)=TRUE,""✓"",""✗"")"),"✗")</f>
        <v>✗</v>
      </c>
      <c r="U72" s="154" t="str">
        <f>IFERROR(__xludf.DUMMYFUNCTION("if(REGEXMATCH(join("", "",$G72:$H72),U$1)=TRUE,""✓"",""✗"")"),"✗")</f>
        <v>✗</v>
      </c>
    </row>
    <row r="73">
      <c r="A73" s="159">
        <v>72.0</v>
      </c>
      <c r="B73" s="159" t="s">
        <v>5206</v>
      </c>
      <c r="C73" s="151" t="str">
        <f t="shared" si="1"/>
        <v>Oneill et al., 1996</v>
      </c>
      <c r="D73" s="156" t="s">
        <v>5336</v>
      </c>
      <c r="E73" s="152" t="str">
        <f t="shared" si="2"/>
        <v>https://raw.githubusercontent.com/d-wkim/phd/refs/heads/main/data/pdf/oneill_1996 .pdf</v>
      </c>
      <c r="F73" s="159" t="s">
        <v>174</v>
      </c>
      <c r="G73" s="159" t="s">
        <v>4362</v>
      </c>
      <c r="H73" s="159" t="s">
        <v>4406</v>
      </c>
      <c r="I73" s="154" t="str">
        <f>IFERROR(__xludf.DUMMYFUNCTION("if(REGEXMATCH(join("", "",$G73:$H73),I$1)=TRUE,""✓"",""✗"")"),"✓")</f>
        <v>✓</v>
      </c>
      <c r="J73" s="154" t="str">
        <f>IFERROR(__xludf.DUMMYFUNCTION("if(REGEXMATCH(join("", "",$G73:$H73),J$1)=TRUE,""✓"",""✗"")"),"✓")</f>
        <v>✓</v>
      </c>
      <c r="K73" s="154" t="str">
        <f>IFERROR(__xludf.DUMMYFUNCTION("if(REGEXMATCH(join("", "",$G73:$H73),K$1)=TRUE,""✓"",""✗"")"),"✗")</f>
        <v>✗</v>
      </c>
      <c r="L73" s="154" t="str">
        <f>IFERROR(__xludf.DUMMYFUNCTION("if(REGEXMATCH(join("", "",$G73:$H73),L$1)=TRUE,""✓"",""✗"")"),"✗")</f>
        <v>✗</v>
      </c>
      <c r="M73" s="154" t="str">
        <f>IFERROR(__xludf.DUMMYFUNCTION("if(REGEXMATCH(join("", "",$G73:$H73),M$1)=TRUE,""✓"",""✗"")"),"✗")</f>
        <v>✗</v>
      </c>
      <c r="N73" s="154" t="str">
        <f>IFERROR(__xludf.DUMMYFUNCTION("if(REGEXMATCH(join("", "",$G73:$H73),N$1)=TRUE,""✓"",""✗"")"),"✗")</f>
        <v>✗</v>
      </c>
      <c r="O73" s="154" t="str">
        <f>IFERROR(__xludf.DUMMYFUNCTION("if(REGEXMATCH(join("", "",$G73:$H73),O$1)=TRUE,""✓"",""✗"")"),"✓")</f>
        <v>✓</v>
      </c>
      <c r="P73" s="154" t="str">
        <f>IFERROR(__xludf.DUMMYFUNCTION("if(REGEXMATCH(join("", "",$G73:$H73),P$1)=TRUE,""✓"",""✗"")"),"✓")</f>
        <v>✓</v>
      </c>
      <c r="Q73" s="154" t="str">
        <f>IFERROR(__xludf.DUMMYFUNCTION("if(REGEXMATCH(join("", "",$G73:$H73),Q$1)=TRUE,""✓"",""✗"")"),"✗")</f>
        <v>✗</v>
      </c>
      <c r="R73" s="154" t="str">
        <f>IFERROR(__xludf.DUMMYFUNCTION("if(REGEXMATCH(join("", "",$G73:$H73),R$1)=TRUE,""✓"",""✗"")"),"✓")</f>
        <v>✓</v>
      </c>
      <c r="S73" s="154" t="str">
        <f>IFERROR(__xludf.DUMMYFUNCTION("if(REGEXMATCH(join("", "",$G73:$H73),S$1)=TRUE,""✓"",""✗"")"),"✗")</f>
        <v>✗</v>
      </c>
      <c r="T73" s="154" t="str">
        <f>IFERROR(__xludf.DUMMYFUNCTION("if(REGEXMATCH(join("", "",$G73:$H73),T$1)=TRUE,""✓"",""✗"")"),"✗")</f>
        <v>✗</v>
      </c>
      <c r="U73" s="154" t="str">
        <f>IFERROR(__xludf.DUMMYFUNCTION("if(REGEXMATCH(join("", "",$G73:$H73),U$1)=TRUE,""✓"",""✗"")"),"✗")</f>
        <v>✗</v>
      </c>
    </row>
    <row r="74">
      <c r="A74" s="159">
        <v>73.0</v>
      </c>
      <c r="B74" s="159" t="s">
        <v>5208</v>
      </c>
      <c r="C74" s="151" t="str">
        <f t="shared" si="1"/>
        <v>Papalia et al., 2015</v>
      </c>
      <c r="D74" s="156" t="s">
        <v>5337</v>
      </c>
      <c r="E74" s="152" t="str">
        <f t="shared" si="2"/>
        <v>https://raw.githubusercontent.com/d-wkim/phd/refs/heads/main/data/pdf/papalia_2015 .pdf</v>
      </c>
      <c r="F74" s="159" t="s">
        <v>109</v>
      </c>
      <c r="G74" s="159" t="s">
        <v>4362</v>
      </c>
      <c r="H74" s="161" t="s">
        <v>4413</v>
      </c>
      <c r="I74" s="154" t="str">
        <f>IFERROR(__xludf.DUMMYFUNCTION("if(REGEXMATCH(join("", "",$G74:$H74),I$1)=TRUE,""✓"",""✗"")"),"✓")</f>
        <v>✓</v>
      </c>
      <c r="J74" s="154" t="str">
        <f>IFERROR(__xludf.DUMMYFUNCTION("if(REGEXMATCH(join("", "",$G74:$H74),J$1)=TRUE,""✓"",""✗"")"),"✓")</f>
        <v>✓</v>
      </c>
      <c r="K74" s="154" t="str">
        <f>IFERROR(__xludf.DUMMYFUNCTION("if(REGEXMATCH(join("", "",$G74:$H74),K$1)=TRUE,""✓"",""✗"")"),"✗")</f>
        <v>✗</v>
      </c>
      <c r="L74" s="154" t="str">
        <f>IFERROR(__xludf.DUMMYFUNCTION("if(REGEXMATCH(join("", "",$G74:$H74),L$1)=TRUE,""✓"",""✗"")"),"✗")</f>
        <v>✗</v>
      </c>
      <c r="M74" s="154" t="str">
        <f>IFERROR(__xludf.DUMMYFUNCTION("if(REGEXMATCH(join("", "",$G74:$H74),M$1)=TRUE,""✓"",""✗"")"),"✗")</f>
        <v>✗</v>
      </c>
      <c r="N74" s="154" t="str">
        <f>IFERROR(__xludf.DUMMYFUNCTION("if(REGEXMATCH(join("", "",$G74:$H74),N$1)=TRUE,""✓"",""✗"")"),"✗")</f>
        <v>✗</v>
      </c>
      <c r="O74" s="154" t="str">
        <f>IFERROR(__xludf.DUMMYFUNCTION("if(REGEXMATCH(join("", "",$G74:$H74),O$1)=TRUE,""✓"",""✗"")"),"✓")</f>
        <v>✓</v>
      </c>
      <c r="P74" s="154" t="str">
        <f>IFERROR(__xludf.DUMMYFUNCTION("if(REGEXMATCH(join("", "",$G74:$H74),P$1)=TRUE,""✓"",""✗"")"),"✓")</f>
        <v>✓</v>
      </c>
      <c r="Q74" s="154" t="str">
        <f>IFERROR(__xludf.DUMMYFUNCTION("if(REGEXMATCH(join("", "",$G74:$H74),Q$1)=TRUE,""✓"",""✗"")"),"✗")</f>
        <v>✗</v>
      </c>
      <c r="R74" s="154" t="str">
        <f>IFERROR(__xludf.DUMMYFUNCTION("if(REGEXMATCH(join("", "",$G74:$H74),R$1)=TRUE,""✓"",""✗"")"),"✗")</f>
        <v>✗</v>
      </c>
      <c r="S74" s="154" t="str">
        <f>IFERROR(__xludf.DUMMYFUNCTION("if(REGEXMATCH(join("", "",$G74:$H74),S$1)=TRUE,""✓"",""✗"")"),"✗")</f>
        <v>✗</v>
      </c>
      <c r="T74" s="154" t="str">
        <f>IFERROR(__xludf.DUMMYFUNCTION("if(REGEXMATCH(join("", "",$G74:$H74),T$1)=TRUE,""✓"",""✗"")"),"✗")</f>
        <v>✗</v>
      </c>
      <c r="U74" s="154" t="str">
        <f>IFERROR(__xludf.DUMMYFUNCTION("if(REGEXMATCH(join("", "",$G74:$H74),U$1)=TRUE,""✓"",""✗"")"),"✗")</f>
        <v>✗</v>
      </c>
    </row>
    <row r="75">
      <c r="A75" s="159">
        <v>74.0</v>
      </c>
      <c r="B75" s="159" t="s">
        <v>5338</v>
      </c>
      <c r="C75" s="162" t="str">
        <f t="shared" si="1"/>
        <v>Pässler et al., 2015</v>
      </c>
      <c r="D75" s="159" t="s">
        <v>5339</v>
      </c>
      <c r="E75" s="152" t="str">
        <f t="shared" si="2"/>
        <v>https://raw.githubusercontent.com/d-wkim/phd/refs/heads/main/data/pdf/pässler_2015 .pdf</v>
      </c>
      <c r="F75" s="159" t="s">
        <v>174</v>
      </c>
      <c r="G75" s="159"/>
      <c r="H75" s="159" t="s">
        <v>4993</v>
      </c>
      <c r="I75" s="154" t="str">
        <f>IFERROR(__xludf.DUMMYFUNCTION("if(REGEXMATCH(join("", "",$G75:$H75),I$1)=TRUE,""✓"",""✗"")"),"✗")</f>
        <v>✗</v>
      </c>
      <c r="J75" s="154" t="str">
        <f>IFERROR(__xludf.DUMMYFUNCTION("if(REGEXMATCH(join("", "",$G75:$H75),J$1)=TRUE,""✓"",""✗"")"),"✗")</f>
        <v>✗</v>
      </c>
      <c r="K75" s="154" t="str">
        <f>IFERROR(__xludf.DUMMYFUNCTION("if(REGEXMATCH(join("", "",$G75:$H75),K$1)=TRUE,""✓"",""✗"")"),"✗")</f>
        <v>✗</v>
      </c>
      <c r="L75" s="154" t="str">
        <f>IFERROR(__xludf.DUMMYFUNCTION("if(REGEXMATCH(join("", "",$G75:$H75),L$1)=TRUE,""✓"",""✗"")"),"✗")</f>
        <v>✗</v>
      </c>
      <c r="M75" s="154" t="str">
        <f>IFERROR(__xludf.DUMMYFUNCTION("if(REGEXMATCH(join("", "",$G75:$H75),M$1)=TRUE,""✓"",""✗"")"),"✗")</f>
        <v>✗</v>
      </c>
      <c r="N75" s="154" t="str">
        <f>IFERROR(__xludf.DUMMYFUNCTION("if(REGEXMATCH(join("", "",$G75:$H75),N$1)=TRUE,""✓"",""✗"")"),"✗")</f>
        <v>✗</v>
      </c>
      <c r="O75" s="154" t="str">
        <f>IFERROR(__xludf.DUMMYFUNCTION("if(REGEXMATCH(join("", "",$G75:$H75),O$1)=TRUE,""✓"",""✗"")"),"✗")</f>
        <v>✗</v>
      </c>
      <c r="P75" s="154" t="str">
        <f>IFERROR(__xludf.DUMMYFUNCTION("if(REGEXMATCH(join("", "",$G75:$H75),P$1)=TRUE,""✓"",""✗"")"),"✗")</f>
        <v>✗</v>
      </c>
      <c r="Q75" s="154" t="str">
        <f>IFERROR(__xludf.DUMMYFUNCTION("if(REGEXMATCH(join("", "",$G75:$H75),Q$1)=TRUE,""✓"",""✗"")"),"✗")</f>
        <v>✗</v>
      </c>
      <c r="R75" s="154" t="str">
        <f>IFERROR(__xludf.DUMMYFUNCTION("if(REGEXMATCH(join("", "",$G75:$H75),R$1)=TRUE,""✓"",""✗"")"),"✗")</f>
        <v>✗</v>
      </c>
      <c r="S75" s="154" t="str">
        <f>IFERROR(__xludf.DUMMYFUNCTION("if(REGEXMATCH(join("", "",$G75:$H75),S$1)=TRUE,""✓"",""✗"")"),"✗")</f>
        <v>✗</v>
      </c>
      <c r="T75" s="154" t="str">
        <f>IFERROR(__xludf.DUMMYFUNCTION("if(REGEXMATCH(join("", "",$G75:$H75),T$1)=TRUE,""✓"",""✗"")"),"✗")</f>
        <v>✗</v>
      </c>
      <c r="U75" s="154" t="str">
        <f>IFERROR(__xludf.DUMMYFUNCTION("if(REGEXMATCH(join("", "",$G75:$H75),U$1)=TRUE,""✓"",""✗"")"),"✗")</f>
        <v>✗</v>
      </c>
    </row>
    <row r="76">
      <c r="A76" s="159">
        <v>75.0</v>
      </c>
      <c r="B76" s="159" t="s">
        <v>5340</v>
      </c>
      <c r="C76" s="162" t="str">
        <f t="shared" si="1"/>
        <v>Pigozzi et al., 2004</v>
      </c>
      <c r="D76" s="159" t="s">
        <v>5341</v>
      </c>
      <c r="E76" s="152" t="str">
        <f t="shared" si="2"/>
        <v>https://raw.githubusercontent.com/d-wkim/phd/refs/heads/main/data/pdf/pigozzi_2004 .pdf</v>
      </c>
      <c r="F76" s="159" t="s">
        <v>174</v>
      </c>
      <c r="G76" s="161"/>
      <c r="H76" s="159" t="s">
        <v>4980</v>
      </c>
      <c r="I76" s="154" t="str">
        <f>IFERROR(__xludf.DUMMYFUNCTION("if(REGEXMATCH(join("", "",$G76:$H76),I$1)=TRUE,""✓"",""✗"")"),"✗")</f>
        <v>✗</v>
      </c>
      <c r="J76" s="154" t="str">
        <f>IFERROR(__xludf.DUMMYFUNCTION("if(REGEXMATCH(join("", "",$G76:$H76),J$1)=TRUE,""✓"",""✗"")"),"✗")</f>
        <v>✗</v>
      </c>
      <c r="K76" s="154" t="str">
        <f>IFERROR(__xludf.DUMMYFUNCTION("if(REGEXMATCH(join("", "",$G76:$H76),K$1)=TRUE,""✓"",""✗"")"),"✗")</f>
        <v>✗</v>
      </c>
      <c r="L76" s="154" t="str">
        <f>IFERROR(__xludf.DUMMYFUNCTION("if(REGEXMATCH(join("", "",$G76:$H76),L$1)=TRUE,""✓"",""✗"")"),"✗")</f>
        <v>✗</v>
      </c>
      <c r="M76" s="154" t="str">
        <f>IFERROR(__xludf.DUMMYFUNCTION("if(REGEXMATCH(join("", "",$G76:$H76),M$1)=TRUE,""✓"",""✗"")"),"✗")</f>
        <v>✗</v>
      </c>
      <c r="N76" s="154" t="str">
        <f>IFERROR(__xludf.DUMMYFUNCTION("if(REGEXMATCH(join("", "",$G76:$H76),N$1)=TRUE,""✓"",""✗"")"),"✗")</f>
        <v>✗</v>
      </c>
      <c r="O76" s="154" t="str">
        <f>IFERROR(__xludf.DUMMYFUNCTION("if(REGEXMATCH(join("", "",$G76:$H76),O$1)=TRUE,""✓"",""✗"")"),"✗")</f>
        <v>✗</v>
      </c>
      <c r="P76" s="154" t="str">
        <f>IFERROR(__xludf.DUMMYFUNCTION("if(REGEXMATCH(join("", "",$G76:$H76),P$1)=TRUE,""✓"",""✗"")"),"✗")</f>
        <v>✗</v>
      </c>
      <c r="Q76" s="154" t="str">
        <f>IFERROR(__xludf.DUMMYFUNCTION("if(REGEXMATCH(join("", "",$G76:$H76),Q$1)=TRUE,""✓"",""✗"")"),"✗")</f>
        <v>✗</v>
      </c>
      <c r="R76" s="154" t="str">
        <f>IFERROR(__xludf.DUMMYFUNCTION("if(REGEXMATCH(join("", "",$G76:$H76),R$1)=TRUE,""✓"",""✗"")"),"✗")</f>
        <v>✗</v>
      </c>
      <c r="S76" s="154" t="str">
        <f>IFERROR(__xludf.DUMMYFUNCTION("if(REGEXMATCH(join("", "",$G76:$H76),S$1)=TRUE,""✓"",""✗"")"),"✗")</f>
        <v>✗</v>
      </c>
      <c r="T76" s="154" t="str">
        <f>IFERROR(__xludf.DUMMYFUNCTION("if(REGEXMATCH(join("", "",$G76:$H76),T$1)=TRUE,""✓"",""✗"")"),"✗")</f>
        <v>✗</v>
      </c>
      <c r="U76" s="154" t="str">
        <f>IFERROR(__xludf.DUMMYFUNCTION("if(REGEXMATCH(join("", "",$G76:$H76),U$1)=TRUE,""✓"",""✗"")"),"✗")</f>
        <v>✗</v>
      </c>
    </row>
    <row r="77">
      <c r="A77" s="159">
        <v>76.0</v>
      </c>
      <c r="B77" s="159" t="s">
        <v>5209</v>
      </c>
      <c r="C77" s="151" t="str">
        <f t="shared" si="1"/>
        <v>Pinczewski et al., 2007</v>
      </c>
      <c r="D77" s="156" t="s">
        <v>5342</v>
      </c>
      <c r="E77" s="152" t="str">
        <f t="shared" si="2"/>
        <v>https://raw.githubusercontent.com/d-wkim/phd/refs/heads/main/data/pdf/pinczewski_2007 .pdf</v>
      </c>
      <c r="F77" s="159" t="s">
        <v>109</v>
      </c>
      <c r="G77" s="159" t="s">
        <v>4362</v>
      </c>
      <c r="H77" s="159" t="s">
        <v>4375</v>
      </c>
      <c r="I77" s="154" t="str">
        <f>IFERROR(__xludf.DUMMYFUNCTION("if(REGEXMATCH(join("", "",$G77:$H77),I$1)=TRUE,""✓"",""✗"")"),"✓")</f>
        <v>✓</v>
      </c>
      <c r="J77" s="154" t="str">
        <f>IFERROR(__xludf.DUMMYFUNCTION("if(REGEXMATCH(join("", "",$G77:$H77),J$1)=TRUE,""✓"",""✗"")"),"✓")</f>
        <v>✓</v>
      </c>
      <c r="K77" s="154" t="str">
        <f>IFERROR(__xludf.DUMMYFUNCTION("if(REGEXMATCH(join("", "",$G77:$H77),K$1)=TRUE,""✓"",""✗"")"),"✗")</f>
        <v>✗</v>
      </c>
      <c r="L77" s="154" t="str">
        <f>IFERROR(__xludf.DUMMYFUNCTION("if(REGEXMATCH(join("", "",$G77:$H77),L$1)=TRUE,""✓"",""✗"")"),"✗")</f>
        <v>✗</v>
      </c>
      <c r="M77" s="154" t="str">
        <f>IFERROR(__xludf.DUMMYFUNCTION("if(REGEXMATCH(join("", "",$G77:$H77),M$1)=TRUE,""✓"",""✗"")"),"✗")</f>
        <v>✗</v>
      </c>
      <c r="N77" s="154" t="str">
        <f>IFERROR(__xludf.DUMMYFUNCTION("if(REGEXMATCH(join("", "",$G77:$H77),N$1)=TRUE,""✓"",""✗"")"),"✗")</f>
        <v>✗</v>
      </c>
      <c r="O77" s="154" t="str">
        <f>IFERROR(__xludf.DUMMYFUNCTION("if(REGEXMATCH(join("", "",$G77:$H77),O$1)=TRUE,""✓"",""✗"")"),"✓")</f>
        <v>✓</v>
      </c>
      <c r="P77" s="154" t="str">
        <f>IFERROR(__xludf.DUMMYFUNCTION("if(REGEXMATCH(join("", "",$G77:$H77),P$1)=TRUE,""✓"",""✗"")"),"✓")</f>
        <v>✓</v>
      </c>
      <c r="Q77" s="154" t="str">
        <f>IFERROR(__xludf.DUMMYFUNCTION("if(REGEXMATCH(join("", "",$G77:$H77),Q$1)=TRUE,""✓"",""✗"")"),"✗")</f>
        <v>✗</v>
      </c>
      <c r="R77" s="154" t="str">
        <f>IFERROR(__xludf.DUMMYFUNCTION("if(REGEXMATCH(join("", "",$G77:$H77),R$1)=TRUE,""✓"",""✗"")"),"✓")</f>
        <v>✓</v>
      </c>
      <c r="S77" s="154" t="str">
        <f>IFERROR(__xludf.DUMMYFUNCTION("if(REGEXMATCH(join("", "",$G77:$H77),S$1)=TRUE,""✓"",""✗"")"),"✓")</f>
        <v>✓</v>
      </c>
      <c r="T77" s="154" t="str">
        <f>IFERROR(__xludf.DUMMYFUNCTION("if(REGEXMATCH(join("", "",$G77:$H77),T$1)=TRUE,""✓"",""✗"")"),"✓")</f>
        <v>✓</v>
      </c>
      <c r="U77" s="154" t="str">
        <f>IFERROR(__xludf.DUMMYFUNCTION("if(REGEXMATCH(join("", "",$G77:$H77),U$1)=TRUE,""✓"",""✗"")"),"✗")</f>
        <v>✗</v>
      </c>
    </row>
    <row r="78">
      <c r="A78" s="159">
        <v>77.0</v>
      </c>
      <c r="B78" s="159" t="s">
        <v>5212</v>
      </c>
      <c r="C78" s="151" t="str">
        <f t="shared" si="1"/>
        <v>Popovic et al., 2024</v>
      </c>
      <c r="D78" s="156" t="s">
        <v>5343</v>
      </c>
      <c r="E78" s="152" t="str">
        <f t="shared" si="2"/>
        <v>https://raw.githubusercontent.com/d-wkim/phd/refs/heads/main/data/pdf/popovic_2024 .pdf</v>
      </c>
      <c r="F78" s="159" t="s">
        <v>109</v>
      </c>
      <c r="G78" s="159" t="s">
        <v>4362</v>
      </c>
      <c r="H78" s="159" t="s">
        <v>4439</v>
      </c>
      <c r="I78" s="154" t="str">
        <f>IFERROR(__xludf.DUMMYFUNCTION("if(REGEXMATCH(join("", "",$G78:$H78),I$1)=TRUE,""✓"",""✗"")"),"✓")</f>
        <v>✓</v>
      </c>
      <c r="J78" s="154" t="str">
        <f>IFERROR(__xludf.DUMMYFUNCTION("if(REGEXMATCH(join("", "",$G78:$H78),J$1)=TRUE,""✓"",""✗"")"),"✓")</f>
        <v>✓</v>
      </c>
      <c r="K78" s="154" t="str">
        <f>IFERROR(__xludf.DUMMYFUNCTION("if(REGEXMATCH(join("", "",$G78:$H78),K$1)=TRUE,""✓"",""✗"")"),"✗")</f>
        <v>✗</v>
      </c>
      <c r="L78" s="154" t="str">
        <f>IFERROR(__xludf.DUMMYFUNCTION("if(REGEXMATCH(join("", "",$G78:$H78),L$1)=TRUE,""✓"",""✗"")"),"✗")</f>
        <v>✗</v>
      </c>
      <c r="M78" s="154" t="str">
        <f>IFERROR(__xludf.DUMMYFUNCTION("if(REGEXMATCH(join("", "",$G78:$H78),M$1)=TRUE,""✓"",""✗"")"),"✗")</f>
        <v>✗</v>
      </c>
      <c r="N78" s="154" t="str">
        <f>IFERROR(__xludf.DUMMYFUNCTION("if(REGEXMATCH(join("", "",$G78:$H78),N$1)=TRUE,""✓"",""✗"")"),"✗")</f>
        <v>✗</v>
      </c>
      <c r="O78" s="154" t="str">
        <f>IFERROR(__xludf.DUMMYFUNCTION("if(REGEXMATCH(join("", "",$G78:$H78),O$1)=TRUE,""✓"",""✗"")"),"✗")</f>
        <v>✗</v>
      </c>
      <c r="P78" s="154" t="str">
        <f>IFERROR(__xludf.DUMMYFUNCTION("if(REGEXMATCH(join("", "",$G78:$H78),P$1)=TRUE,""✓"",""✗"")"),"✓")</f>
        <v>✓</v>
      </c>
      <c r="Q78" s="154" t="str">
        <f>IFERROR(__xludf.DUMMYFUNCTION("if(REGEXMATCH(join("", "",$G78:$H78),Q$1)=TRUE,""✓"",""✗"")"),"✓")</f>
        <v>✓</v>
      </c>
      <c r="R78" s="154" t="str">
        <f>IFERROR(__xludf.DUMMYFUNCTION("if(REGEXMATCH(join("", "",$G78:$H78),R$1)=TRUE,""✓"",""✗"")"),"✓")</f>
        <v>✓</v>
      </c>
      <c r="S78" s="154" t="str">
        <f>IFERROR(__xludf.DUMMYFUNCTION("if(REGEXMATCH(join("", "",$G78:$H78),S$1)=TRUE,""✓"",""✗"")"),"✓")</f>
        <v>✓</v>
      </c>
      <c r="T78" s="154" t="str">
        <f>IFERROR(__xludf.DUMMYFUNCTION("if(REGEXMATCH(join("", "",$G78:$H78),T$1)=TRUE,""✓"",""✗"")"),"✓")</f>
        <v>✓</v>
      </c>
      <c r="U78" s="154" t="str">
        <f>IFERROR(__xludf.DUMMYFUNCTION("if(REGEXMATCH(join("", "",$G78:$H78),U$1)=TRUE,""✓"",""✗"")"),"✗")</f>
        <v>✗</v>
      </c>
    </row>
    <row r="79">
      <c r="A79" s="159">
        <v>78.0</v>
      </c>
      <c r="B79" s="159" t="s">
        <v>5344</v>
      </c>
      <c r="C79" s="162" t="str">
        <f t="shared" si="1"/>
        <v>Röpke et al., 2001</v>
      </c>
      <c r="D79" s="159" t="s">
        <v>5345</v>
      </c>
      <c r="E79" s="152" t="str">
        <f t="shared" si="2"/>
        <v>https://raw.githubusercontent.com/d-wkim/phd/refs/heads/main/data/pdf/röpke_2001 .pdf</v>
      </c>
      <c r="F79" s="159" t="s">
        <v>174</v>
      </c>
      <c r="G79" s="159"/>
      <c r="H79" s="159" t="s">
        <v>4993</v>
      </c>
      <c r="I79" s="154" t="str">
        <f>IFERROR(__xludf.DUMMYFUNCTION("if(REGEXMATCH(join("", "",$G79:$H79),I$1)=TRUE,""✓"",""✗"")"),"✗")</f>
        <v>✗</v>
      </c>
      <c r="J79" s="154" t="str">
        <f>IFERROR(__xludf.DUMMYFUNCTION("if(REGEXMATCH(join("", "",$G79:$H79),J$1)=TRUE,""✓"",""✗"")"),"✗")</f>
        <v>✗</v>
      </c>
      <c r="K79" s="154" t="str">
        <f>IFERROR(__xludf.DUMMYFUNCTION("if(REGEXMATCH(join("", "",$G79:$H79),K$1)=TRUE,""✓"",""✗"")"),"✗")</f>
        <v>✗</v>
      </c>
      <c r="L79" s="154" t="str">
        <f>IFERROR(__xludf.DUMMYFUNCTION("if(REGEXMATCH(join("", "",$G79:$H79),L$1)=TRUE,""✓"",""✗"")"),"✗")</f>
        <v>✗</v>
      </c>
      <c r="M79" s="154" t="str">
        <f>IFERROR(__xludf.DUMMYFUNCTION("if(REGEXMATCH(join("", "",$G79:$H79),M$1)=TRUE,""✓"",""✗"")"),"✗")</f>
        <v>✗</v>
      </c>
      <c r="N79" s="154" t="str">
        <f>IFERROR(__xludf.DUMMYFUNCTION("if(REGEXMATCH(join("", "",$G79:$H79),N$1)=TRUE,""✓"",""✗"")"),"✗")</f>
        <v>✗</v>
      </c>
      <c r="O79" s="154" t="str">
        <f>IFERROR(__xludf.DUMMYFUNCTION("if(REGEXMATCH(join("", "",$G79:$H79),O$1)=TRUE,""✓"",""✗"")"),"✗")</f>
        <v>✗</v>
      </c>
      <c r="P79" s="154" t="str">
        <f>IFERROR(__xludf.DUMMYFUNCTION("if(REGEXMATCH(join("", "",$G79:$H79),P$1)=TRUE,""✓"",""✗"")"),"✗")</f>
        <v>✗</v>
      </c>
      <c r="Q79" s="154" t="str">
        <f>IFERROR(__xludf.DUMMYFUNCTION("if(REGEXMATCH(join("", "",$G79:$H79),Q$1)=TRUE,""✓"",""✗"")"),"✗")</f>
        <v>✗</v>
      </c>
      <c r="R79" s="154" t="str">
        <f>IFERROR(__xludf.DUMMYFUNCTION("if(REGEXMATCH(join("", "",$G79:$H79),R$1)=TRUE,""✓"",""✗"")"),"✗")</f>
        <v>✗</v>
      </c>
      <c r="S79" s="154" t="str">
        <f>IFERROR(__xludf.DUMMYFUNCTION("if(REGEXMATCH(join("", "",$G79:$H79),S$1)=TRUE,""✓"",""✗"")"),"✗")</f>
        <v>✗</v>
      </c>
      <c r="T79" s="154" t="str">
        <f>IFERROR(__xludf.DUMMYFUNCTION("if(REGEXMATCH(join("", "",$G79:$H79),T$1)=TRUE,""✓"",""✗"")"),"✗")</f>
        <v>✗</v>
      </c>
      <c r="U79" s="154" t="str">
        <f>IFERROR(__xludf.DUMMYFUNCTION("if(REGEXMATCH(join("", "",$G79:$H79),U$1)=TRUE,""✓"",""✗"")"),"✗")</f>
        <v>✗</v>
      </c>
    </row>
    <row r="80">
      <c r="A80" s="159">
        <v>79.0</v>
      </c>
      <c r="B80" s="159" t="s">
        <v>5346</v>
      </c>
      <c r="C80" s="162" t="str">
        <f t="shared" si="1"/>
        <v>Sajovic et al., 2006</v>
      </c>
      <c r="D80" s="159" t="s">
        <v>5347</v>
      </c>
      <c r="E80" s="152" t="str">
        <f t="shared" si="2"/>
        <v>https://raw.githubusercontent.com/d-wkim/phd/refs/heads/main/data/pdf/sajovic_2006 .pdf</v>
      </c>
      <c r="F80" s="159" t="s">
        <v>174</v>
      </c>
      <c r="G80" s="159"/>
      <c r="H80" s="159" t="s">
        <v>4973</v>
      </c>
      <c r="I80" s="154" t="str">
        <f>IFERROR(__xludf.DUMMYFUNCTION("if(REGEXMATCH(join("", "",$G80:$H80),I$1)=TRUE,""✓"",""✗"")"),"✗")</f>
        <v>✗</v>
      </c>
      <c r="J80" s="154" t="str">
        <f>IFERROR(__xludf.DUMMYFUNCTION("if(REGEXMATCH(join("", "",$G80:$H80),J$1)=TRUE,""✓"",""✗"")"),"✗")</f>
        <v>✗</v>
      </c>
      <c r="K80" s="154" t="str">
        <f>IFERROR(__xludf.DUMMYFUNCTION("if(REGEXMATCH(join("", "",$G80:$H80),K$1)=TRUE,""✓"",""✗"")"),"✗")</f>
        <v>✗</v>
      </c>
      <c r="L80" s="154" t="str">
        <f>IFERROR(__xludf.DUMMYFUNCTION("if(REGEXMATCH(join("", "",$G80:$H80),L$1)=TRUE,""✓"",""✗"")"),"✗")</f>
        <v>✗</v>
      </c>
      <c r="M80" s="154" t="str">
        <f>IFERROR(__xludf.DUMMYFUNCTION("if(REGEXMATCH(join("", "",$G80:$H80),M$1)=TRUE,""✓"",""✗"")"),"✗")</f>
        <v>✗</v>
      </c>
      <c r="N80" s="154" t="str">
        <f>IFERROR(__xludf.DUMMYFUNCTION("if(REGEXMATCH(join("", "",$G80:$H80),N$1)=TRUE,""✓"",""✗"")"),"✗")</f>
        <v>✗</v>
      </c>
      <c r="O80" s="154" t="str">
        <f>IFERROR(__xludf.DUMMYFUNCTION("if(REGEXMATCH(join("", "",$G80:$H80),O$1)=TRUE,""✓"",""✗"")"),"✗")</f>
        <v>✗</v>
      </c>
      <c r="P80" s="154" t="str">
        <f>IFERROR(__xludf.DUMMYFUNCTION("if(REGEXMATCH(join("", "",$G80:$H80),P$1)=TRUE,""✓"",""✗"")"),"✗")</f>
        <v>✗</v>
      </c>
      <c r="Q80" s="154" t="str">
        <f>IFERROR(__xludf.DUMMYFUNCTION("if(REGEXMATCH(join("", "",$G80:$H80),Q$1)=TRUE,""✓"",""✗"")"),"✗")</f>
        <v>✗</v>
      </c>
      <c r="R80" s="154" t="str">
        <f>IFERROR(__xludf.DUMMYFUNCTION("if(REGEXMATCH(join("", "",$G80:$H80),R$1)=TRUE,""✓"",""✗"")"),"✗")</f>
        <v>✗</v>
      </c>
      <c r="S80" s="154" t="str">
        <f>IFERROR(__xludf.DUMMYFUNCTION("if(REGEXMATCH(join("", "",$G80:$H80),S$1)=TRUE,""✓"",""✗"")"),"✗")</f>
        <v>✗</v>
      </c>
      <c r="T80" s="154" t="str">
        <f>IFERROR(__xludf.DUMMYFUNCTION("if(REGEXMATCH(join("", "",$G80:$H80),T$1)=TRUE,""✓"",""✗"")"),"✗")</f>
        <v>✗</v>
      </c>
      <c r="U80" s="154" t="str">
        <f>IFERROR(__xludf.DUMMYFUNCTION("if(REGEXMATCH(join("", "",$G80:$H80),U$1)=TRUE,""✓"",""✗"")"),"✗")</f>
        <v>✗</v>
      </c>
    </row>
    <row r="81">
      <c r="A81" s="159">
        <v>80.0</v>
      </c>
      <c r="B81" s="159" t="s">
        <v>5348</v>
      </c>
      <c r="C81" s="162" t="str">
        <f t="shared" si="1"/>
        <v>Sajovic et al., 2008</v>
      </c>
      <c r="D81" s="159" t="s">
        <v>5349</v>
      </c>
      <c r="E81" s="152" t="str">
        <f t="shared" si="2"/>
        <v>https://raw.githubusercontent.com/d-wkim/phd/refs/heads/main/data/pdf/sajovic_2008 .pdf</v>
      </c>
      <c r="F81" s="159" t="s">
        <v>174</v>
      </c>
      <c r="G81" s="159"/>
      <c r="H81" s="159" t="s">
        <v>4973</v>
      </c>
      <c r="I81" s="154" t="str">
        <f>IFERROR(__xludf.DUMMYFUNCTION("if(REGEXMATCH(join("", "",$G81:$H81),I$1)=TRUE,""✓"",""✗"")"),"✗")</f>
        <v>✗</v>
      </c>
      <c r="J81" s="154" t="str">
        <f>IFERROR(__xludf.DUMMYFUNCTION("if(REGEXMATCH(join("", "",$G81:$H81),J$1)=TRUE,""✓"",""✗"")"),"✗")</f>
        <v>✗</v>
      </c>
      <c r="K81" s="154" t="str">
        <f>IFERROR(__xludf.DUMMYFUNCTION("if(REGEXMATCH(join("", "",$G81:$H81),K$1)=TRUE,""✓"",""✗"")"),"✗")</f>
        <v>✗</v>
      </c>
      <c r="L81" s="154" t="str">
        <f>IFERROR(__xludf.DUMMYFUNCTION("if(REGEXMATCH(join("", "",$G81:$H81),L$1)=TRUE,""✓"",""✗"")"),"✗")</f>
        <v>✗</v>
      </c>
      <c r="M81" s="154" t="str">
        <f>IFERROR(__xludf.DUMMYFUNCTION("if(REGEXMATCH(join("", "",$G81:$H81),M$1)=TRUE,""✓"",""✗"")"),"✗")</f>
        <v>✗</v>
      </c>
      <c r="N81" s="154" t="str">
        <f>IFERROR(__xludf.DUMMYFUNCTION("if(REGEXMATCH(join("", "",$G81:$H81),N$1)=TRUE,""✓"",""✗"")"),"✗")</f>
        <v>✗</v>
      </c>
      <c r="O81" s="154" t="str">
        <f>IFERROR(__xludf.DUMMYFUNCTION("if(REGEXMATCH(join("", "",$G81:$H81),O$1)=TRUE,""✓"",""✗"")"),"✗")</f>
        <v>✗</v>
      </c>
      <c r="P81" s="154" t="str">
        <f>IFERROR(__xludf.DUMMYFUNCTION("if(REGEXMATCH(join("", "",$G81:$H81),P$1)=TRUE,""✓"",""✗"")"),"✗")</f>
        <v>✗</v>
      </c>
      <c r="Q81" s="154" t="str">
        <f>IFERROR(__xludf.DUMMYFUNCTION("if(REGEXMATCH(join("", "",$G81:$H81),Q$1)=TRUE,""✓"",""✗"")"),"✗")</f>
        <v>✗</v>
      </c>
      <c r="R81" s="154" t="str">
        <f>IFERROR(__xludf.DUMMYFUNCTION("if(REGEXMATCH(join("", "",$G81:$H81),R$1)=TRUE,""✓"",""✗"")"),"✗")</f>
        <v>✗</v>
      </c>
      <c r="S81" s="154" t="str">
        <f>IFERROR(__xludf.DUMMYFUNCTION("if(REGEXMATCH(join("", "",$G81:$H81),S$1)=TRUE,""✓"",""✗"")"),"✗")</f>
        <v>✗</v>
      </c>
      <c r="T81" s="154" t="str">
        <f>IFERROR(__xludf.DUMMYFUNCTION("if(REGEXMATCH(join("", "",$G81:$H81),T$1)=TRUE,""✓"",""✗"")"),"✗")</f>
        <v>✗</v>
      </c>
      <c r="U81" s="154" t="str">
        <f>IFERROR(__xludf.DUMMYFUNCTION("if(REGEXMATCH(join("", "",$G81:$H81),U$1)=TRUE,""✓"",""✗"")"),"✗")</f>
        <v>✗</v>
      </c>
    </row>
    <row r="82">
      <c r="A82" s="159">
        <v>81.0</v>
      </c>
      <c r="B82" s="159" t="s">
        <v>5350</v>
      </c>
      <c r="C82" s="162" t="str">
        <f t="shared" si="1"/>
        <v>Sajovic et al., 2011</v>
      </c>
      <c r="D82" s="159" t="s">
        <v>5351</v>
      </c>
      <c r="E82" s="152" t="str">
        <f t="shared" si="2"/>
        <v>https://raw.githubusercontent.com/d-wkim/phd/refs/heads/main/data/pdf/sajovic_2011 .pdf</v>
      </c>
      <c r="F82" s="159" t="s">
        <v>174</v>
      </c>
      <c r="G82" s="159"/>
      <c r="H82" s="159" t="s">
        <v>4973</v>
      </c>
      <c r="I82" s="154" t="str">
        <f>IFERROR(__xludf.DUMMYFUNCTION("if(REGEXMATCH(join("", "",$G82:$H82),I$1)=TRUE,""✓"",""✗"")"),"✗")</f>
        <v>✗</v>
      </c>
      <c r="J82" s="154" t="str">
        <f>IFERROR(__xludf.DUMMYFUNCTION("if(REGEXMATCH(join("", "",$G82:$H82),J$1)=TRUE,""✓"",""✗"")"),"✗")</f>
        <v>✗</v>
      </c>
      <c r="K82" s="154" t="str">
        <f>IFERROR(__xludf.DUMMYFUNCTION("if(REGEXMATCH(join("", "",$G82:$H82),K$1)=TRUE,""✓"",""✗"")"),"✗")</f>
        <v>✗</v>
      </c>
      <c r="L82" s="154" t="str">
        <f>IFERROR(__xludf.DUMMYFUNCTION("if(REGEXMATCH(join("", "",$G82:$H82),L$1)=TRUE,""✓"",""✗"")"),"✗")</f>
        <v>✗</v>
      </c>
      <c r="M82" s="154" t="str">
        <f>IFERROR(__xludf.DUMMYFUNCTION("if(REGEXMATCH(join("", "",$G82:$H82),M$1)=TRUE,""✓"",""✗"")"),"✗")</f>
        <v>✗</v>
      </c>
      <c r="N82" s="154" t="str">
        <f>IFERROR(__xludf.DUMMYFUNCTION("if(REGEXMATCH(join("", "",$G82:$H82),N$1)=TRUE,""✓"",""✗"")"),"✗")</f>
        <v>✗</v>
      </c>
      <c r="O82" s="154" t="str">
        <f>IFERROR(__xludf.DUMMYFUNCTION("if(REGEXMATCH(join("", "",$G82:$H82),O$1)=TRUE,""✓"",""✗"")"),"✗")</f>
        <v>✗</v>
      </c>
      <c r="P82" s="154" t="str">
        <f>IFERROR(__xludf.DUMMYFUNCTION("if(REGEXMATCH(join("", "",$G82:$H82),P$1)=TRUE,""✓"",""✗"")"),"✗")</f>
        <v>✗</v>
      </c>
      <c r="Q82" s="154" t="str">
        <f>IFERROR(__xludf.DUMMYFUNCTION("if(REGEXMATCH(join("", "",$G82:$H82),Q$1)=TRUE,""✓"",""✗"")"),"✗")</f>
        <v>✗</v>
      </c>
      <c r="R82" s="154" t="str">
        <f>IFERROR(__xludf.DUMMYFUNCTION("if(REGEXMATCH(join("", "",$G82:$H82),R$1)=TRUE,""✓"",""✗"")"),"✗")</f>
        <v>✗</v>
      </c>
      <c r="S82" s="154" t="str">
        <f>IFERROR(__xludf.DUMMYFUNCTION("if(REGEXMATCH(join("", "",$G82:$H82),S$1)=TRUE,""✓"",""✗"")"),"✗")</f>
        <v>✗</v>
      </c>
      <c r="T82" s="154" t="str">
        <f>IFERROR(__xludf.DUMMYFUNCTION("if(REGEXMATCH(join("", "",$G82:$H82),T$1)=TRUE,""✓"",""✗"")"),"✗")</f>
        <v>✗</v>
      </c>
      <c r="U82" s="154" t="str">
        <f>IFERROR(__xludf.DUMMYFUNCTION("if(REGEXMATCH(join("", "",$G82:$H82),U$1)=TRUE,""✓"",""✗"")"),"✗")</f>
        <v>✗</v>
      </c>
    </row>
    <row r="83">
      <c r="A83" s="159">
        <v>82.0</v>
      </c>
      <c r="B83" s="159" t="s">
        <v>5213</v>
      </c>
      <c r="C83" s="151" t="str">
        <f t="shared" si="1"/>
        <v>Sajovic et al., 2018</v>
      </c>
      <c r="D83" s="156" t="s">
        <v>5352</v>
      </c>
      <c r="E83" s="152" t="str">
        <f t="shared" si="2"/>
        <v>https://raw.githubusercontent.com/d-wkim/phd/refs/heads/main/data/pdf/sajovic_2018 .pdf</v>
      </c>
      <c r="F83" s="159" t="s">
        <v>109</v>
      </c>
      <c r="G83" s="159" t="s">
        <v>4362</v>
      </c>
      <c r="H83" s="159" t="s">
        <v>4440</v>
      </c>
      <c r="I83" s="154" t="str">
        <f>IFERROR(__xludf.DUMMYFUNCTION("if(REGEXMATCH(join("", "",$G83:$H83),I$1)=TRUE,""✓"",""✗"")"),"✓")</f>
        <v>✓</v>
      </c>
      <c r="J83" s="154" t="str">
        <f>IFERROR(__xludf.DUMMYFUNCTION("if(REGEXMATCH(join("", "",$G83:$H83),J$1)=TRUE,""✓"",""✗"")"),"✓")</f>
        <v>✓</v>
      </c>
      <c r="K83" s="154" t="str">
        <f>IFERROR(__xludf.DUMMYFUNCTION("if(REGEXMATCH(join("", "",$G83:$H83),K$1)=TRUE,""✓"",""✗"")"),"✗")</f>
        <v>✗</v>
      </c>
      <c r="L83" s="154" t="str">
        <f>IFERROR(__xludf.DUMMYFUNCTION("if(REGEXMATCH(join("", "",$G83:$H83),L$1)=TRUE,""✓"",""✗"")"),"✗")</f>
        <v>✗</v>
      </c>
      <c r="M83" s="154" t="str">
        <f>IFERROR(__xludf.DUMMYFUNCTION("if(REGEXMATCH(join("", "",$G83:$H83),M$1)=TRUE,""✓"",""✗"")"),"✗")</f>
        <v>✗</v>
      </c>
      <c r="N83" s="154" t="str">
        <f>IFERROR(__xludf.DUMMYFUNCTION("if(REGEXMATCH(join("", "",$G83:$H83),N$1)=TRUE,""✓"",""✗"")"),"✗")</f>
        <v>✗</v>
      </c>
      <c r="O83" s="154" t="str">
        <f>IFERROR(__xludf.DUMMYFUNCTION("if(REGEXMATCH(join("", "",$G83:$H83),O$1)=TRUE,""✓"",""✗"")"),"✓")</f>
        <v>✓</v>
      </c>
      <c r="P83" s="154" t="str">
        <f>IFERROR(__xludf.DUMMYFUNCTION("if(REGEXMATCH(join("", "",$G83:$H83),P$1)=TRUE,""✓"",""✗"")"),"✓")</f>
        <v>✓</v>
      </c>
      <c r="Q83" s="154" t="str">
        <f>IFERROR(__xludf.DUMMYFUNCTION("if(REGEXMATCH(join("", "",$G83:$H83),Q$1)=TRUE,""✓"",""✗"")"),"✗")</f>
        <v>✗</v>
      </c>
      <c r="R83" s="154" t="str">
        <f>IFERROR(__xludf.DUMMYFUNCTION("if(REGEXMATCH(join("", "",$G83:$H83),R$1)=TRUE,""✓"",""✗"")"),"✓")</f>
        <v>✓</v>
      </c>
      <c r="S83" s="154" t="str">
        <f>IFERROR(__xludf.DUMMYFUNCTION("if(REGEXMATCH(join("", "",$G83:$H83),S$1)=TRUE,""✓"",""✗"")"),"✓")</f>
        <v>✓</v>
      </c>
      <c r="T83" s="154" t="str">
        <f>IFERROR(__xludf.DUMMYFUNCTION("if(REGEXMATCH(join("", "",$G83:$H83),T$1)=TRUE,""✓"",""✗"")"),"✓")</f>
        <v>✓</v>
      </c>
      <c r="U83" s="154" t="str">
        <f>IFERROR(__xludf.DUMMYFUNCTION("if(REGEXMATCH(join("", "",$G83:$H83),U$1)=TRUE,""✓"",""✗"")"),"✗")</f>
        <v>✗</v>
      </c>
    </row>
    <row r="84">
      <c r="A84" s="159">
        <v>83.0</v>
      </c>
      <c r="B84" s="159" t="s">
        <v>5353</v>
      </c>
      <c r="C84" s="162" t="str">
        <f t="shared" si="1"/>
        <v>Sato et al., 2005</v>
      </c>
      <c r="D84" s="159" t="s">
        <v>5354</v>
      </c>
      <c r="E84" s="152" t="str">
        <f t="shared" si="2"/>
        <v>https://raw.githubusercontent.com/d-wkim/phd/refs/heads/main/data/pdf/sato_2005 .pdf</v>
      </c>
      <c r="F84" s="159" t="s">
        <v>174</v>
      </c>
      <c r="G84" s="159"/>
      <c r="H84" s="159" t="s">
        <v>4980</v>
      </c>
      <c r="I84" s="154" t="str">
        <f>IFERROR(__xludf.DUMMYFUNCTION("if(REGEXMATCH(join("", "",$G84:$H84),I$1)=TRUE,""✓"",""✗"")"),"✗")</f>
        <v>✗</v>
      </c>
      <c r="J84" s="154" t="str">
        <f>IFERROR(__xludf.DUMMYFUNCTION("if(REGEXMATCH(join("", "",$G84:$H84),J$1)=TRUE,""✓"",""✗"")"),"✗")</f>
        <v>✗</v>
      </c>
      <c r="K84" s="154" t="str">
        <f>IFERROR(__xludf.DUMMYFUNCTION("if(REGEXMATCH(join("", "",$G84:$H84),K$1)=TRUE,""✓"",""✗"")"),"✗")</f>
        <v>✗</v>
      </c>
      <c r="L84" s="154" t="str">
        <f>IFERROR(__xludf.DUMMYFUNCTION("if(REGEXMATCH(join("", "",$G84:$H84),L$1)=TRUE,""✓"",""✗"")"),"✗")</f>
        <v>✗</v>
      </c>
      <c r="M84" s="154" t="str">
        <f>IFERROR(__xludf.DUMMYFUNCTION("if(REGEXMATCH(join("", "",$G84:$H84),M$1)=TRUE,""✓"",""✗"")"),"✗")</f>
        <v>✗</v>
      </c>
      <c r="N84" s="154" t="str">
        <f>IFERROR(__xludf.DUMMYFUNCTION("if(REGEXMATCH(join("", "",$G84:$H84),N$1)=TRUE,""✓"",""✗"")"),"✗")</f>
        <v>✗</v>
      </c>
      <c r="O84" s="154" t="str">
        <f>IFERROR(__xludf.DUMMYFUNCTION("if(REGEXMATCH(join("", "",$G84:$H84),O$1)=TRUE,""✓"",""✗"")"),"✗")</f>
        <v>✗</v>
      </c>
      <c r="P84" s="154" t="str">
        <f>IFERROR(__xludf.DUMMYFUNCTION("if(REGEXMATCH(join("", "",$G84:$H84),P$1)=TRUE,""✓"",""✗"")"),"✗")</f>
        <v>✗</v>
      </c>
      <c r="Q84" s="154" t="str">
        <f>IFERROR(__xludf.DUMMYFUNCTION("if(REGEXMATCH(join("", "",$G84:$H84),Q$1)=TRUE,""✓"",""✗"")"),"✗")</f>
        <v>✗</v>
      </c>
      <c r="R84" s="154" t="str">
        <f>IFERROR(__xludf.DUMMYFUNCTION("if(REGEXMATCH(join("", "",$G84:$H84),R$1)=TRUE,""✓"",""✗"")"),"✗")</f>
        <v>✗</v>
      </c>
      <c r="S84" s="154" t="str">
        <f>IFERROR(__xludf.DUMMYFUNCTION("if(REGEXMATCH(join("", "",$G84:$H84),S$1)=TRUE,""✓"",""✗"")"),"✗")</f>
        <v>✗</v>
      </c>
      <c r="T84" s="154" t="str">
        <f>IFERROR(__xludf.DUMMYFUNCTION("if(REGEXMATCH(join("", "",$G84:$H84),T$1)=TRUE,""✓"",""✗"")"),"✗")</f>
        <v>✗</v>
      </c>
      <c r="U84" s="154" t="str">
        <f>IFERROR(__xludf.DUMMYFUNCTION("if(REGEXMATCH(join("", "",$G84:$H84),U$1)=TRUE,""✓"",""✗"")"),"✗")</f>
        <v>✗</v>
      </c>
    </row>
    <row r="85">
      <c r="A85" s="159">
        <v>84.0</v>
      </c>
      <c r="B85" s="159" t="s">
        <v>5214</v>
      </c>
      <c r="C85" s="151" t="str">
        <f t="shared" si="1"/>
        <v>Sinding et al., 2020</v>
      </c>
      <c r="D85" s="156" t="s">
        <v>5355</v>
      </c>
      <c r="E85" s="152" t="str">
        <f t="shared" si="2"/>
        <v>https://raw.githubusercontent.com/d-wkim/phd/refs/heads/main/data/pdf/sinding_2020 .pdf</v>
      </c>
      <c r="F85" s="159" t="s">
        <v>109</v>
      </c>
      <c r="G85" s="161" t="s">
        <v>4391</v>
      </c>
      <c r="H85" s="161" t="s">
        <v>4441</v>
      </c>
      <c r="I85" s="154" t="str">
        <f>IFERROR(__xludf.DUMMYFUNCTION("if(REGEXMATCH(join("", "",$G85:$H85),I$1)=TRUE,""✓"",""✗"")"),"✗")</f>
        <v>✗</v>
      </c>
      <c r="J85" s="154" t="str">
        <f>IFERROR(__xludf.DUMMYFUNCTION("if(REGEXMATCH(join("", "",$G85:$H85),J$1)=TRUE,""✓"",""✗"")"),"✓")</f>
        <v>✓</v>
      </c>
      <c r="K85" s="154" t="str">
        <f>IFERROR(__xludf.DUMMYFUNCTION("if(REGEXMATCH(join("", "",$G85:$H85),K$1)=TRUE,""✓"",""✗"")"),"✓")</f>
        <v>✓</v>
      </c>
      <c r="L85" s="154" t="str">
        <f>IFERROR(__xludf.DUMMYFUNCTION("if(REGEXMATCH(join("", "",$G85:$H85),L$1)=TRUE,""✓"",""✗"")"),"✗")</f>
        <v>✗</v>
      </c>
      <c r="M85" s="154" t="str">
        <f>IFERROR(__xludf.DUMMYFUNCTION("if(REGEXMATCH(join("", "",$G85:$H85),M$1)=TRUE,""✓"",""✗"")"),"✗")</f>
        <v>✗</v>
      </c>
      <c r="N85" s="154" t="str">
        <f>IFERROR(__xludf.DUMMYFUNCTION("if(REGEXMATCH(join("", "",$G85:$H85),N$1)=TRUE,""✓"",""✗"")"),"✗")</f>
        <v>✗</v>
      </c>
      <c r="O85" s="154" t="str">
        <f>IFERROR(__xludf.DUMMYFUNCTION("if(REGEXMATCH(join("", "",$G85:$H85),O$1)=TRUE,""✓"",""✗"")"),"✓")</f>
        <v>✓</v>
      </c>
      <c r="P85" s="154" t="str">
        <f>IFERROR(__xludf.DUMMYFUNCTION("if(REGEXMATCH(join("", "",$G85:$H85),P$1)=TRUE,""✓"",""✗"")"),"✗")</f>
        <v>✗</v>
      </c>
      <c r="Q85" s="154" t="str">
        <f>IFERROR(__xludf.DUMMYFUNCTION("if(REGEXMATCH(join("", "",$G85:$H85),Q$1)=TRUE,""✓"",""✗"")"),"✗")</f>
        <v>✗</v>
      </c>
      <c r="R85" s="154" t="str">
        <f>IFERROR(__xludf.DUMMYFUNCTION("if(REGEXMATCH(join("", "",$G85:$H85),R$1)=TRUE,""✓"",""✗"")"),"✗")</f>
        <v>✗</v>
      </c>
      <c r="S85" s="154" t="str">
        <f>IFERROR(__xludf.DUMMYFUNCTION("if(REGEXMATCH(join("", "",$G85:$H85),S$1)=TRUE,""✓"",""✗"")"),"✗")</f>
        <v>✗</v>
      </c>
      <c r="T85" s="154" t="str">
        <f>IFERROR(__xludf.DUMMYFUNCTION("if(REGEXMATCH(join("", "",$G85:$H85),T$1)=TRUE,""✓"",""✗"")"),"✗")</f>
        <v>✗</v>
      </c>
      <c r="U85" s="154" t="str">
        <f>IFERROR(__xludf.DUMMYFUNCTION("if(REGEXMATCH(join("", "",$G85:$H85),U$1)=TRUE,""✓"",""✗"")"),"✗")</f>
        <v>✗</v>
      </c>
    </row>
    <row r="86">
      <c r="A86" s="159">
        <v>85.0</v>
      </c>
      <c r="B86" s="159" t="s">
        <v>5215</v>
      </c>
      <c r="C86" s="151" t="str">
        <f t="shared" si="1"/>
        <v>Smith et al., 2020</v>
      </c>
      <c r="D86" s="156" t="s">
        <v>5356</v>
      </c>
      <c r="E86" s="152" t="str">
        <f t="shared" si="2"/>
        <v>https://raw.githubusercontent.com/d-wkim/phd/refs/heads/main/data/pdf/smith_2020 .pdf</v>
      </c>
      <c r="F86" s="159" t="s">
        <v>109</v>
      </c>
      <c r="G86" s="161" t="s">
        <v>4442</v>
      </c>
      <c r="H86" s="159" t="s">
        <v>4443</v>
      </c>
      <c r="I86" s="154" t="str">
        <f>IFERROR(__xludf.DUMMYFUNCTION("if(REGEXMATCH(join("", "",$G86:$H86),I$1)=TRUE,""✓"",""✗"")"),"✓")</f>
        <v>✓</v>
      </c>
      <c r="J86" s="154" t="str">
        <f>IFERROR(__xludf.DUMMYFUNCTION("if(REGEXMATCH(join("", "",$G86:$H86),J$1)=TRUE,""✓"",""✗"")"),"✓")</f>
        <v>✓</v>
      </c>
      <c r="K86" s="154" t="str">
        <f>IFERROR(__xludf.DUMMYFUNCTION("if(REGEXMATCH(join("", "",$G86:$H86),K$1)=TRUE,""✓"",""✗"")"),"✓")</f>
        <v>✓</v>
      </c>
      <c r="L86" s="154" t="str">
        <f>IFERROR(__xludf.DUMMYFUNCTION("if(REGEXMATCH(join("", "",$G86:$H86),L$1)=TRUE,""✓"",""✗"")"),"✗")</f>
        <v>✗</v>
      </c>
      <c r="M86" s="154" t="str">
        <f>IFERROR(__xludf.DUMMYFUNCTION("if(REGEXMATCH(join("", "",$G86:$H86),M$1)=TRUE,""✓"",""✗"")"),"✗")</f>
        <v>✗</v>
      </c>
      <c r="N86" s="154" t="str">
        <f>IFERROR(__xludf.DUMMYFUNCTION("if(REGEXMATCH(join("", "",$G86:$H86),N$1)=TRUE,""✓"",""✗"")"),"✗")</f>
        <v>✗</v>
      </c>
      <c r="O86" s="154" t="str">
        <f>IFERROR(__xludf.DUMMYFUNCTION("if(REGEXMATCH(join("", "",$G86:$H86),O$1)=TRUE,""✓"",""✗"")"),"✓")</f>
        <v>✓</v>
      </c>
      <c r="P86" s="154" t="str">
        <f>IFERROR(__xludf.DUMMYFUNCTION("if(REGEXMATCH(join("", "",$G86:$H86),P$1)=TRUE,""✓"",""✗"")"),"✗")</f>
        <v>✗</v>
      </c>
      <c r="Q86" s="154" t="str">
        <f>IFERROR(__xludf.DUMMYFUNCTION("if(REGEXMATCH(join("", "",$G86:$H86),Q$1)=TRUE,""✓"",""✗"")"),"✗")</f>
        <v>✗</v>
      </c>
      <c r="R86" s="154" t="str">
        <f>IFERROR(__xludf.DUMMYFUNCTION("if(REGEXMATCH(join("", "",$G86:$H86),R$1)=TRUE,""✓"",""✗"")"),"✓")</f>
        <v>✓</v>
      </c>
      <c r="S86" s="154" t="str">
        <f>IFERROR(__xludf.DUMMYFUNCTION("if(REGEXMATCH(join("", "",$G86:$H86),S$1)=TRUE,""✓"",""✗"")"),"✗")</f>
        <v>✗</v>
      </c>
      <c r="T86" s="154" t="str">
        <f>IFERROR(__xludf.DUMMYFUNCTION("if(REGEXMATCH(join("", "",$G86:$H86),T$1)=TRUE,""✓"",""✗"")"),"✗")</f>
        <v>✗</v>
      </c>
      <c r="U86" s="154" t="str">
        <f>IFERROR(__xludf.DUMMYFUNCTION("if(REGEXMATCH(join("", "",$G86:$H86),U$1)=TRUE,""✓"",""✗"")"),"✓")</f>
        <v>✓</v>
      </c>
    </row>
    <row r="87">
      <c r="A87" s="159">
        <v>86.0</v>
      </c>
      <c r="B87" s="159" t="s">
        <v>5218</v>
      </c>
      <c r="C87" s="151" t="str">
        <f t="shared" si="1"/>
        <v>Sonnery-Cottet et al., 2020</v>
      </c>
      <c r="D87" s="156" t="s">
        <v>5357</v>
      </c>
      <c r="E87" s="152" t="str">
        <f t="shared" si="2"/>
        <v>https://raw.githubusercontent.com/d-wkim/phd/refs/heads/main/data/pdf/sonnery-cottet_2020 .pdf</v>
      </c>
      <c r="F87" s="159" t="s">
        <v>174</v>
      </c>
      <c r="G87" s="161" t="s">
        <v>4362</v>
      </c>
      <c r="H87" s="159" t="s">
        <v>5219</v>
      </c>
      <c r="I87" s="154" t="str">
        <f>IFERROR(__xludf.DUMMYFUNCTION("if(REGEXMATCH(join("", "",$G87:$H87),I$1)=TRUE,""✓"",""✗"")"),"✓")</f>
        <v>✓</v>
      </c>
      <c r="J87" s="154" t="str">
        <f>IFERROR(__xludf.DUMMYFUNCTION("if(REGEXMATCH(join("", "",$G87:$H87),J$1)=TRUE,""✓"",""✗"")"),"✓")</f>
        <v>✓</v>
      </c>
      <c r="K87" s="154" t="str">
        <f>IFERROR(__xludf.DUMMYFUNCTION("if(REGEXMATCH(join("", "",$G87:$H87),K$1)=TRUE,""✓"",""✗"")"),"✗")</f>
        <v>✗</v>
      </c>
      <c r="L87" s="154" t="str">
        <f>IFERROR(__xludf.DUMMYFUNCTION("if(REGEXMATCH(join("", "",$G87:$H87),L$1)=TRUE,""✓"",""✗"")"),"✗")</f>
        <v>✗</v>
      </c>
      <c r="M87" s="154" t="str">
        <f>IFERROR(__xludf.DUMMYFUNCTION("if(REGEXMATCH(join("", "",$G87:$H87),M$1)=TRUE,""✓"",""✗"")"),"✗")</f>
        <v>✗</v>
      </c>
      <c r="N87" s="154" t="str">
        <f>IFERROR(__xludf.DUMMYFUNCTION("if(REGEXMATCH(join("", "",$G87:$H87),N$1)=TRUE,""✓"",""✗"")"),"✗")</f>
        <v>✗</v>
      </c>
      <c r="O87" s="154" t="str">
        <f>IFERROR(__xludf.DUMMYFUNCTION("if(REGEXMATCH(join("", "",$G87:$H87),O$1)=TRUE,""✓"",""✗"")"),"✓")</f>
        <v>✓</v>
      </c>
      <c r="P87" s="154" t="str">
        <f>IFERROR(__xludf.DUMMYFUNCTION("if(REGEXMATCH(join("", "",$G87:$H87),P$1)=TRUE,""✓"",""✗"")"),"✓")</f>
        <v>✓</v>
      </c>
      <c r="Q87" s="154" t="str">
        <f>IFERROR(__xludf.DUMMYFUNCTION("if(REGEXMATCH(join("", "",$G87:$H87),Q$1)=TRUE,""✓"",""✗"")"),"✓")</f>
        <v>✓</v>
      </c>
      <c r="R87" s="154" t="str">
        <f>IFERROR(__xludf.DUMMYFUNCTION("if(REGEXMATCH(join("", "",$G87:$H87),R$1)=TRUE,""✓"",""✗"")"),"✓")</f>
        <v>✓</v>
      </c>
      <c r="S87" s="154" t="str">
        <f>IFERROR(__xludf.DUMMYFUNCTION("if(REGEXMATCH(join("", "",$G87:$H87),S$1)=TRUE,""✓"",""✗"")"),"✓")</f>
        <v>✓</v>
      </c>
      <c r="T87" s="154" t="str">
        <f>IFERROR(__xludf.DUMMYFUNCTION("if(REGEXMATCH(join("", "",$G87:$H87),T$1)=TRUE,""✓"",""✗"")"),"✓")</f>
        <v>✓</v>
      </c>
      <c r="U87" s="154" t="str">
        <f>IFERROR(__xludf.DUMMYFUNCTION("if(REGEXMATCH(join("", "",$G87:$H87),U$1)=TRUE,""✓"",""✗"")"),"✗")</f>
        <v>✗</v>
      </c>
    </row>
    <row r="88">
      <c r="A88" s="159">
        <v>87.0</v>
      </c>
      <c r="B88" s="159" t="s">
        <v>5220</v>
      </c>
      <c r="C88" s="151" t="str">
        <f t="shared" si="1"/>
        <v>Sonnery-Cottet et al., 2026</v>
      </c>
      <c r="D88" s="156" t="s">
        <v>5363</v>
      </c>
      <c r="E88" s="152" t="str">
        <f t="shared" si="2"/>
        <v>https://raw.githubusercontent.com/d-wkim/phd/refs/heads/main/data/pdf/sonnery-cottet_2026 .pdf</v>
      </c>
      <c r="F88" s="159" t="s">
        <v>109</v>
      </c>
      <c r="G88" s="161" t="s">
        <v>4362</v>
      </c>
      <c r="H88" s="159" t="s">
        <v>4420</v>
      </c>
      <c r="I88" s="154" t="str">
        <f>IFERROR(__xludf.DUMMYFUNCTION("if(REGEXMATCH(join("", "",$G88:$H88),I$1)=TRUE,""✓"",""✗"")"),"✓")</f>
        <v>✓</v>
      </c>
      <c r="J88" s="154" t="str">
        <f>IFERROR(__xludf.DUMMYFUNCTION("if(REGEXMATCH(join("", "",$G88:$H88),J$1)=TRUE,""✓"",""✗"")"),"✓")</f>
        <v>✓</v>
      </c>
      <c r="K88" s="154" t="str">
        <f>IFERROR(__xludf.DUMMYFUNCTION("if(REGEXMATCH(join("", "",$G88:$H88),K$1)=TRUE,""✓"",""✗"")"),"✗")</f>
        <v>✗</v>
      </c>
      <c r="L88" s="154" t="str">
        <f>IFERROR(__xludf.DUMMYFUNCTION("if(REGEXMATCH(join("", "",$G88:$H88),L$1)=TRUE,""✓"",""✗"")"),"✗")</f>
        <v>✗</v>
      </c>
      <c r="M88" s="154" t="str">
        <f>IFERROR(__xludf.DUMMYFUNCTION("if(REGEXMATCH(join("", "",$G88:$H88),M$1)=TRUE,""✓"",""✗"")"),"✗")</f>
        <v>✗</v>
      </c>
      <c r="N88" s="154" t="str">
        <f>IFERROR(__xludf.DUMMYFUNCTION("if(REGEXMATCH(join("", "",$G88:$H88),N$1)=TRUE,""✓"",""✗"")"),"✗")</f>
        <v>✗</v>
      </c>
      <c r="O88" s="154" t="str">
        <f>IFERROR(__xludf.DUMMYFUNCTION("if(REGEXMATCH(join("", "",$G88:$H88),O$1)=TRUE,""✓"",""✗"")"),"✓")</f>
        <v>✓</v>
      </c>
      <c r="P88" s="154" t="str">
        <f>IFERROR(__xludf.DUMMYFUNCTION("if(REGEXMATCH(join("", "",$G88:$H88),P$1)=TRUE,""✓"",""✗"")"),"✓")</f>
        <v>✓</v>
      </c>
      <c r="Q88" s="154" t="str">
        <f>IFERROR(__xludf.DUMMYFUNCTION("if(REGEXMATCH(join("", "",$G88:$H88),Q$1)=TRUE,""✓"",""✗"")"),"✓")</f>
        <v>✓</v>
      </c>
      <c r="R88" s="154" t="str">
        <f>IFERROR(__xludf.DUMMYFUNCTION("if(REGEXMATCH(join("", "",$G88:$H88),R$1)=TRUE,""✓"",""✗"")"),"✓")</f>
        <v>✓</v>
      </c>
      <c r="S88" s="154" t="str">
        <f>IFERROR(__xludf.DUMMYFUNCTION("if(REGEXMATCH(join("", "",$G88:$H88),S$1)=TRUE,""✓"",""✗"")"),"✓")</f>
        <v>✓</v>
      </c>
      <c r="T88" s="154" t="str">
        <f>IFERROR(__xludf.DUMMYFUNCTION("if(REGEXMATCH(join("", "",$G88:$H88),T$1)=TRUE,""✓"",""✗"")"),"✗")</f>
        <v>✗</v>
      </c>
      <c r="U88" s="154" t="str">
        <f>IFERROR(__xludf.DUMMYFUNCTION("if(REGEXMATCH(join("", "",$G88:$H88),U$1)=TRUE,""✓"",""✗"")"),"✓")</f>
        <v>✓</v>
      </c>
    </row>
    <row r="89">
      <c r="A89" s="159">
        <v>88.0</v>
      </c>
      <c r="B89" s="159" t="s">
        <v>5365</v>
      </c>
      <c r="C89" s="162" t="str">
        <f t="shared" si="1"/>
        <v>Sumanont et al., 2024</v>
      </c>
      <c r="D89" s="159" t="s">
        <v>5366</v>
      </c>
      <c r="E89" s="152" t="str">
        <f t="shared" si="2"/>
        <v>https://raw.githubusercontent.com/d-wkim/phd/refs/heads/main/data/pdf/sumanont_2024 .pdf</v>
      </c>
      <c r="F89" s="159" t="s">
        <v>174</v>
      </c>
      <c r="G89" s="161"/>
      <c r="H89" s="169"/>
      <c r="I89" s="154" t="str">
        <f>IFERROR(__xludf.DUMMYFUNCTION("if(REGEXMATCH(join("", "",$G89:$H89),I$1)=TRUE,""✓"",""✗"")"),"✗")</f>
        <v>✗</v>
      </c>
      <c r="J89" s="154" t="str">
        <f>IFERROR(__xludf.DUMMYFUNCTION("if(REGEXMATCH(join("", "",$G89:$H89),J$1)=TRUE,""✓"",""✗"")"),"✗")</f>
        <v>✗</v>
      </c>
      <c r="K89" s="154" t="str">
        <f>IFERROR(__xludf.DUMMYFUNCTION("if(REGEXMATCH(join("", "",$G89:$H89),K$1)=TRUE,""✓"",""✗"")"),"✗")</f>
        <v>✗</v>
      </c>
      <c r="L89" s="154" t="str">
        <f>IFERROR(__xludf.DUMMYFUNCTION("if(REGEXMATCH(join("", "",$G89:$H89),L$1)=TRUE,""✓"",""✗"")"),"✗")</f>
        <v>✗</v>
      </c>
      <c r="M89" s="154" t="str">
        <f>IFERROR(__xludf.DUMMYFUNCTION("if(REGEXMATCH(join("", "",$G89:$H89),M$1)=TRUE,""✓"",""✗"")"),"✗")</f>
        <v>✗</v>
      </c>
      <c r="N89" s="154" t="str">
        <f>IFERROR(__xludf.DUMMYFUNCTION("if(REGEXMATCH(join("", "",$G89:$H89),N$1)=TRUE,""✓"",""✗"")"),"✗")</f>
        <v>✗</v>
      </c>
      <c r="O89" s="154" t="str">
        <f>IFERROR(__xludf.DUMMYFUNCTION("if(REGEXMATCH(join("", "",$G89:$H89),O$1)=TRUE,""✓"",""✗"")"),"✗")</f>
        <v>✗</v>
      </c>
      <c r="P89" s="154" t="str">
        <f>IFERROR(__xludf.DUMMYFUNCTION("if(REGEXMATCH(join("", "",$G89:$H89),P$1)=TRUE,""✓"",""✗"")"),"✗")</f>
        <v>✗</v>
      </c>
      <c r="Q89" s="154" t="str">
        <f>IFERROR(__xludf.DUMMYFUNCTION("if(REGEXMATCH(join("", "",$G89:$H89),Q$1)=TRUE,""✓"",""✗"")"),"✗")</f>
        <v>✗</v>
      </c>
      <c r="R89" s="154" t="str">
        <f>IFERROR(__xludf.DUMMYFUNCTION("if(REGEXMATCH(join("", "",$G89:$H89),R$1)=TRUE,""✓"",""✗"")"),"✗")</f>
        <v>✗</v>
      </c>
      <c r="S89" s="154" t="str">
        <f>IFERROR(__xludf.DUMMYFUNCTION("if(REGEXMATCH(join("", "",$G89:$H89),S$1)=TRUE,""✓"",""✗"")"),"✗")</f>
        <v>✗</v>
      </c>
      <c r="T89" s="154" t="str">
        <f>IFERROR(__xludf.DUMMYFUNCTION("if(REGEXMATCH(join("", "",$G89:$H89),T$1)=TRUE,""✓"",""✗"")"),"✗")</f>
        <v>✗</v>
      </c>
      <c r="U89" s="154" t="str">
        <f>IFERROR(__xludf.DUMMYFUNCTION("if(REGEXMATCH(join("", "",$G89:$H89),U$1)=TRUE,""✓"",""✗"")"),"✗")</f>
        <v>✗</v>
      </c>
    </row>
    <row r="90">
      <c r="A90" s="159">
        <v>89.0</v>
      </c>
      <c r="B90" s="159" t="s">
        <v>5221</v>
      </c>
      <c r="C90" s="151" t="str">
        <f t="shared" si="1"/>
        <v>Tang et al., 2023</v>
      </c>
      <c r="D90" s="156" t="s">
        <v>5367</v>
      </c>
      <c r="E90" s="152" t="str">
        <f t="shared" si="2"/>
        <v>https://raw.githubusercontent.com/d-wkim/phd/refs/heads/main/data/pdf/tang_2023 .pdf</v>
      </c>
      <c r="F90" s="159" t="s">
        <v>109</v>
      </c>
      <c r="G90" s="161" t="s">
        <v>4391</v>
      </c>
      <c r="H90" s="161" t="s">
        <v>4441</v>
      </c>
      <c r="I90" s="154" t="str">
        <f>IFERROR(__xludf.DUMMYFUNCTION("if(REGEXMATCH(join("", "",$G90:$H90),I$1)=TRUE,""✓"",""✗"")"),"✗")</f>
        <v>✗</v>
      </c>
      <c r="J90" s="154" t="str">
        <f>IFERROR(__xludf.DUMMYFUNCTION("if(REGEXMATCH(join("", "",$G90:$H90),J$1)=TRUE,""✓"",""✗"")"),"✓")</f>
        <v>✓</v>
      </c>
      <c r="K90" s="154" t="str">
        <f>IFERROR(__xludf.DUMMYFUNCTION("if(REGEXMATCH(join("", "",$G90:$H90),K$1)=TRUE,""✓"",""✗"")"),"✓")</f>
        <v>✓</v>
      </c>
      <c r="L90" s="154" t="str">
        <f>IFERROR(__xludf.DUMMYFUNCTION("if(REGEXMATCH(join("", "",$G90:$H90),L$1)=TRUE,""✓"",""✗"")"),"✗")</f>
        <v>✗</v>
      </c>
      <c r="M90" s="154" t="str">
        <f>IFERROR(__xludf.DUMMYFUNCTION("if(REGEXMATCH(join("", "",$G90:$H90),M$1)=TRUE,""✓"",""✗"")"),"✗")</f>
        <v>✗</v>
      </c>
      <c r="N90" s="154" t="str">
        <f>IFERROR(__xludf.DUMMYFUNCTION("if(REGEXMATCH(join("", "",$G90:$H90),N$1)=TRUE,""✓"",""✗"")"),"✗")</f>
        <v>✗</v>
      </c>
      <c r="O90" s="154" t="str">
        <f>IFERROR(__xludf.DUMMYFUNCTION("if(REGEXMATCH(join("", "",$G90:$H90),O$1)=TRUE,""✓"",""✗"")"),"✓")</f>
        <v>✓</v>
      </c>
      <c r="P90" s="154" t="str">
        <f>IFERROR(__xludf.DUMMYFUNCTION("if(REGEXMATCH(join("", "",$G90:$H90),P$1)=TRUE,""✓"",""✗"")"),"✗")</f>
        <v>✗</v>
      </c>
      <c r="Q90" s="154" t="str">
        <f>IFERROR(__xludf.DUMMYFUNCTION("if(REGEXMATCH(join("", "",$G90:$H90),Q$1)=TRUE,""✓"",""✗"")"),"✗")</f>
        <v>✗</v>
      </c>
      <c r="R90" s="154" t="str">
        <f>IFERROR(__xludf.DUMMYFUNCTION("if(REGEXMATCH(join("", "",$G90:$H90),R$1)=TRUE,""✓"",""✗"")"),"✗")</f>
        <v>✗</v>
      </c>
      <c r="S90" s="154" t="str">
        <f>IFERROR(__xludf.DUMMYFUNCTION("if(REGEXMATCH(join("", "",$G90:$H90),S$1)=TRUE,""✓"",""✗"")"),"✗")</f>
        <v>✗</v>
      </c>
      <c r="T90" s="154" t="str">
        <f>IFERROR(__xludf.DUMMYFUNCTION("if(REGEXMATCH(join("", "",$G90:$H90),T$1)=TRUE,""✓"",""✗"")"),"✗")</f>
        <v>✗</v>
      </c>
      <c r="U90" s="154" t="str">
        <f>IFERROR(__xludf.DUMMYFUNCTION("if(REGEXMATCH(join("", "",$G90:$H90),U$1)=TRUE,""✓"",""✗"")"),"✗")</f>
        <v>✗</v>
      </c>
    </row>
    <row r="91">
      <c r="A91" s="159">
        <v>90.0</v>
      </c>
      <c r="B91" s="159" t="s">
        <v>5222</v>
      </c>
      <c r="C91" s="151" t="str">
        <f t="shared" si="1"/>
        <v>Taylor et al., 2009</v>
      </c>
      <c r="D91" s="156" t="s">
        <v>5368</v>
      </c>
      <c r="E91" s="152" t="str">
        <f t="shared" si="2"/>
        <v>https://raw.githubusercontent.com/d-wkim/phd/refs/heads/main/data/pdf/taylor_2009 .pdf</v>
      </c>
      <c r="F91" s="159" t="s">
        <v>109</v>
      </c>
      <c r="G91" s="161" t="s">
        <v>4362</v>
      </c>
      <c r="H91" s="159" t="s">
        <v>4402</v>
      </c>
      <c r="I91" s="154" t="str">
        <f>IFERROR(__xludf.DUMMYFUNCTION("if(REGEXMATCH(join("", "",$G91:$H91),I$1)=TRUE,""✓"",""✗"")"),"✓")</f>
        <v>✓</v>
      </c>
      <c r="J91" s="154" t="str">
        <f>IFERROR(__xludf.DUMMYFUNCTION("if(REGEXMATCH(join("", "",$G91:$H91),J$1)=TRUE,""✓"",""✗"")"),"✓")</f>
        <v>✓</v>
      </c>
      <c r="K91" s="154" t="str">
        <f>IFERROR(__xludf.DUMMYFUNCTION("if(REGEXMATCH(join("", "",$G91:$H91),K$1)=TRUE,""✓"",""✗"")"),"✗")</f>
        <v>✗</v>
      </c>
      <c r="L91" s="154" t="str">
        <f>IFERROR(__xludf.DUMMYFUNCTION("if(REGEXMATCH(join("", "",$G91:$H91),L$1)=TRUE,""✓"",""✗"")"),"✗")</f>
        <v>✗</v>
      </c>
      <c r="M91" s="154" t="str">
        <f>IFERROR(__xludf.DUMMYFUNCTION("if(REGEXMATCH(join("", "",$G91:$H91),M$1)=TRUE,""✓"",""✗"")"),"✗")</f>
        <v>✗</v>
      </c>
      <c r="N91" s="154" t="str">
        <f>IFERROR(__xludf.DUMMYFUNCTION("if(REGEXMATCH(join("", "",$G91:$H91),N$1)=TRUE,""✓"",""✗"")"),"✗")</f>
        <v>✗</v>
      </c>
      <c r="O91" s="154" t="str">
        <f>IFERROR(__xludf.DUMMYFUNCTION("if(REGEXMATCH(join("", "",$G91:$H91),O$1)=TRUE,""✓"",""✗"")"),"✓")</f>
        <v>✓</v>
      </c>
      <c r="P91" s="154" t="str">
        <f>IFERROR(__xludf.DUMMYFUNCTION("if(REGEXMATCH(join("", "",$G91:$H91),P$1)=TRUE,""✓"",""✗"")"),"✓")</f>
        <v>✓</v>
      </c>
      <c r="Q91" s="154" t="str">
        <f>IFERROR(__xludf.DUMMYFUNCTION("if(REGEXMATCH(join("", "",$G91:$H91),Q$1)=TRUE,""✓"",""✗"")"),"✓")</f>
        <v>✓</v>
      </c>
      <c r="R91" s="154" t="str">
        <f>IFERROR(__xludf.DUMMYFUNCTION("if(REGEXMATCH(join("", "",$G91:$H91),R$1)=TRUE,""✓"",""✗"")"),"✓")</f>
        <v>✓</v>
      </c>
      <c r="S91" s="154" t="str">
        <f>IFERROR(__xludf.DUMMYFUNCTION("if(REGEXMATCH(join("", "",$G91:$H91),S$1)=TRUE,""✓"",""✗"")"),"✓")</f>
        <v>✓</v>
      </c>
      <c r="T91" s="154" t="str">
        <f>IFERROR(__xludf.DUMMYFUNCTION("if(REGEXMATCH(join("", "",$G91:$H91),T$1)=TRUE,""✓"",""✗"")"),"✗")</f>
        <v>✗</v>
      </c>
      <c r="U91" s="154" t="str">
        <f>IFERROR(__xludf.DUMMYFUNCTION("if(REGEXMATCH(join("", "",$G91:$H91),U$1)=TRUE,""✓"",""✗"")"),"✗")</f>
        <v>✗</v>
      </c>
    </row>
    <row r="92">
      <c r="A92" s="159">
        <v>91.0</v>
      </c>
      <c r="B92" s="159" t="s">
        <v>5369</v>
      </c>
      <c r="C92" s="162" t="str">
        <f t="shared" si="1"/>
        <v>Tibesku et al., 2003</v>
      </c>
      <c r="D92" s="159" t="s">
        <v>5370</v>
      </c>
      <c r="E92" s="152" t="str">
        <f t="shared" si="2"/>
        <v>https://raw.githubusercontent.com/d-wkim/phd/refs/heads/main/data/pdf/tibesku_2003 .pdf</v>
      </c>
      <c r="F92" s="159" t="s">
        <v>174</v>
      </c>
      <c r="G92" s="161"/>
      <c r="H92" s="169"/>
      <c r="I92" s="154" t="str">
        <f>IFERROR(__xludf.DUMMYFUNCTION("if(REGEXMATCH(join("", "",$G92:$H92),I$1)=TRUE,""✓"",""✗"")"),"✗")</f>
        <v>✗</v>
      </c>
      <c r="J92" s="154" t="str">
        <f>IFERROR(__xludf.DUMMYFUNCTION("if(REGEXMATCH(join("", "",$G92:$H92),J$1)=TRUE,""✓"",""✗"")"),"✗")</f>
        <v>✗</v>
      </c>
      <c r="K92" s="154" t="str">
        <f>IFERROR(__xludf.DUMMYFUNCTION("if(REGEXMATCH(join("", "",$G92:$H92),K$1)=TRUE,""✓"",""✗"")"),"✗")</f>
        <v>✗</v>
      </c>
      <c r="L92" s="154" t="str">
        <f>IFERROR(__xludf.DUMMYFUNCTION("if(REGEXMATCH(join("", "",$G92:$H92),L$1)=TRUE,""✓"",""✗"")"),"✗")</f>
        <v>✗</v>
      </c>
      <c r="M92" s="154" t="str">
        <f>IFERROR(__xludf.DUMMYFUNCTION("if(REGEXMATCH(join("", "",$G92:$H92),M$1)=TRUE,""✓"",""✗"")"),"✗")</f>
        <v>✗</v>
      </c>
      <c r="N92" s="154" t="str">
        <f>IFERROR(__xludf.DUMMYFUNCTION("if(REGEXMATCH(join("", "",$G92:$H92),N$1)=TRUE,""✓"",""✗"")"),"✗")</f>
        <v>✗</v>
      </c>
      <c r="O92" s="154" t="str">
        <f>IFERROR(__xludf.DUMMYFUNCTION("if(REGEXMATCH(join("", "",$G92:$H92),O$1)=TRUE,""✓"",""✗"")"),"✗")</f>
        <v>✗</v>
      </c>
      <c r="P92" s="154" t="str">
        <f>IFERROR(__xludf.DUMMYFUNCTION("if(REGEXMATCH(join("", "",$G92:$H92),P$1)=TRUE,""✓"",""✗"")"),"✗")</f>
        <v>✗</v>
      </c>
      <c r="Q92" s="154" t="str">
        <f>IFERROR(__xludf.DUMMYFUNCTION("if(REGEXMATCH(join("", "",$G92:$H92),Q$1)=TRUE,""✓"",""✗"")"),"✗")</f>
        <v>✗</v>
      </c>
      <c r="R92" s="154" t="str">
        <f>IFERROR(__xludf.DUMMYFUNCTION("if(REGEXMATCH(join("", "",$G92:$H92),R$1)=TRUE,""✓"",""✗"")"),"✗")</f>
        <v>✗</v>
      </c>
      <c r="S92" s="154" t="str">
        <f>IFERROR(__xludf.DUMMYFUNCTION("if(REGEXMATCH(join("", "",$G92:$H92),S$1)=TRUE,""✓"",""✗"")"),"✗")</f>
        <v>✗</v>
      </c>
      <c r="T92" s="154" t="str">
        <f>IFERROR(__xludf.DUMMYFUNCTION("if(REGEXMATCH(join("", "",$G92:$H92),T$1)=TRUE,""✓"",""✗"")"),"✗")</f>
        <v>✗</v>
      </c>
      <c r="U92" s="154" t="str">
        <f>IFERROR(__xludf.DUMMYFUNCTION("if(REGEXMATCH(join("", "",$G92:$H92),U$1)=TRUE,""✓"",""✗"")"),"✗")</f>
        <v>✗</v>
      </c>
    </row>
    <row r="93">
      <c r="A93" s="159">
        <v>93.0</v>
      </c>
      <c r="B93" s="159" t="s">
        <v>5224</v>
      </c>
      <c r="C93" s="151" t="str">
        <f t="shared" si="1"/>
        <v>Vilchez-Cavazos et al., 2020</v>
      </c>
      <c r="D93" s="153" t="s">
        <v>5155</v>
      </c>
      <c r="E93" s="152" t="str">
        <f t="shared" si="2"/>
        <v>https://raw.githubusercontent.com/d-wkim/phd/refs/heads/main/data/pdf/vilchez-cavazos_2020 .pdf</v>
      </c>
      <c r="F93" s="159" t="s">
        <v>109</v>
      </c>
      <c r="G93" s="161" t="s">
        <v>4376</v>
      </c>
      <c r="H93" s="159" t="s">
        <v>4416</v>
      </c>
      <c r="I93" s="154" t="str">
        <f>IFERROR(__xludf.DUMMYFUNCTION("if(REGEXMATCH(join("", "",$G93:$H93),I$1)=TRUE,""✓"",""✗"")"),"✓")</f>
        <v>✓</v>
      </c>
      <c r="J93" s="154" t="str">
        <f>IFERROR(__xludf.DUMMYFUNCTION("if(REGEXMATCH(join("", "",$G93:$H93),J$1)=TRUE,""✓"",""✗"")"),"✗")</f>
        <v>✗</v>
      </c>
      <c r="K93" s="154" t="str">
        <f>IFERROR(__xludf.DUMMYFUNCTION("if(REGEXMATCH(join("", "",$G93:$H93),K$1)=TRUE,""✓"",""✗"")"),"✓")</f>
        <v>✓</v>
      </c>
      <c r="L93" s="154" t="str">
        <f>IFERROR(__xludf.DUMMYFUNCTION("if(REGEXMATCH(join("", "",$G93:$H93),L$1)=TRUE,""✓"",""✗"")"),"✗")</f>
        <v>✗</v>
      </c>
      <c r="M93" s="154" t="str">
        <f>IFERROR(__xludf.DUMMYFUNCTION("if(REGEXMATCH(join("", "",$G93:$H93),M$1)=TRUE,""✓"",""✗"")"),"✗")</f>
        <v>✗</v>
      </c>
      <c r="N93" s="154" t="str">
        <f>IFERROR(__xludf.DUMMYFUNCTION("if(REGEXMATCH(join("", "",$G93:$H93),N$1)=TRUE,""✓"",""✗"")"),"✗")</f>
        <v>✗</v>
      </c>
      <c r="O93" s="154" t="str">
        <f>IFERROR(__xludf.DUMMYFUNCTION("if(REGEXMATCH(join("", "",$G93:$H93),O$1)=TRUE,""✓"",""✗"")"),"✓")</f>
        <v>✓</v>
      </c>
      <c r="P93" s="154" t="str">
        <f>IFERROR(__xludf.DUMMYFUNCTION("if(REGEXMATCH(join("", "",$G93:$H93),P$1)=TRUE,""✓"",""✗"")"),"✓")</f>
        <v>✓</v>
      </c>
      <c r="Q93" s="154" t="str">
        <f>IFERROR(__xludf.DUMMYFUNCTION("if(REGEXMATCH(join("", "",$G93:$H93),Q$1)=TRUE,""✓"",""✗"")"),"✓")</f>
        <v>✓</v>
      </c>
      <c r="R93" s="154" t="str">
        <f>IFERROR(__xludf.DUMMYFUNCTION("if(REGEXMATCH(join("", "",$G93:$H93),R$1)=TRUE,""✓"",""✗"")"),"✓")</f>
        <v>✓</v>
      </c>
      <c r="S93" s="154" t="str">
        <f>IFERROR(__xludf.DUMMYFUNCTION("if(REGEXMATCH(join("", "",$G93:$H93),S$1)=TRUE,""✓"",""✗"")"),"✗")</f>
        <v>✗</v>
      </c>
      <c r="T93" s="154" t="str">
        <f>IFERROR(__xludf.DUMMYFUNCTION("if(REGEXMATCH(join("", "",$G93:$H93),T$1)=TRUE,""✓"",""✗"")"),"✗")</f>
        <v>✗</v>
      </c>
      <c r="U93" s="154" t="str">
        <f>IFERROR(__xludf.DUMMYFUNCTION("if(REGEXMATCH(join("", "",$G93:$H93),U$1)=TRUE,""✓"",""✗"")"),"✗")</f>
        <v>✗</v>
      </c>
    </row>
    <row r="94">
      <c r="A94" s="159">
        <v>95.0</v>
      </c>
      <c r="B94" s="159" t="s">
        <v>5225</v>
      </c>
      <c r="C94" s="151" t="str">
        <f t="shared" si="1"/>
        <v>Webster et al., 2001</v>
      </c>
      <c r="D94" s="156" t="s">
        <v>5371</v>
      </c>
      <c r="E94" s="152" t="str">
        <f t="shared" si="2"/>
        <v>https://raw.githubusercontent.com/d-wkim/phd/refs/heads/main/data/pdf/webster_2001 .pdf</v>
      </c>
      <c r="F94" s="159" t="s">
        <v>109</v>
      </c>
      <c r="G94" s="161" t="s">
        <v>4362</v>
      </c>
      <c r="H94" s="159" t="s">
        <v>4392</v>
      </c>
      <c r="I94" s="154" t="str">
        <f>IFERROR(__xludf.DUMMYFUNCTION("if(REGEXMATCH(join("", "",$G94:$H94),I$1)=TRUE,""✓"",""✗"")"),"✓")</f>
        <v>✓</v>
      </c>
      <c r="J94" s="154" t="str">
        <f>IFERROR(__xludf.DUMMYFUNCTION("if(REGEXMATCH(join("", "",$G94:$H94),J$1)=TRUE,""✓"",""✗"")"),"✓")</f>
        <v>✓</v>
      </c>
      <c r="K94" s="154" t="str">
        <f>IFERROR(__xludf.DUMMYFUNCTION("if(REGEXMATCH(join("", "",$G94:$H94),K$1)=TRUE,""✓"",""✗"")"),"✗")</f>
        <v>✗</v>
      </c>
      <c r="L94" s="154" t="str">
        <f>IFERROR(__xludf.DUMMYFUNCTION("if(REGEXMATCH(join("", "",$G94:$H94),L$1)=TRUE,""✓"",""✗"")"),"✗")</f>
        <v>✗</v>
      </c>
      <c r="M94" s="154" t="str">
        <f>IFERROR(__xludf.DUMMYFUNCTION("if(REGEXMATCH(join("", "",$G94:$H94),M$1)=TRUE,""✓"",""✗"")"),"✗")</f>
        <v>✗</v>
      </c>
      <c r="N94" s="154" t="str">
        <f>IFERROR(__xludf.DUMMYFUNCTION("if(REGEXMATCH(join("", "",$G94:$H94),N$1)=TRUE,""✓"",""✗"")"),"✗")</f>
        <v>✗</v>
      </c>
      <c r="O94" s="154" t="str">
        <f>IFERROR(__xludf.DUMMYFUNCTION("if(REGEXMATCH(join("", "",$G94:$H94),O$1)=TRUE,""✓"",""✗"")"),"✓")</f>
        <v>✓</v>
      </c>
      <c r="P94" s="154" t="str">
        <f>IFERROR(__xludf.DUMMYFUNCTION("if(REGEXMATCH(join("", "",$G94:$H94),P$1)=TRUE,""✓"",""✗"")"),"✗")</f>
        <v>✗</v>
      </c>
      <c r="Q94" s="154" t="str">
        <f>IFERROR(__xludf.DUMMYFUNCTION("if(REGEXMATCH(join("", "",$G94:$H94),Q$1)=TRUE,""✓"",""✗"")"),"✗")</f>
        <v>✗</v>
      </c>
      <c r="R94" s="154" t="str">
        <f>IFERROR(__xludf.DUMMYFUNCTION("if(REGEXMATCH(join("", "",$G94:$H94),R$1)=TRUE,""✓"",""✗"")"),"✓")</f>
        <v>✓</v>
      </c>
      <c r="S94" s="154" t="str">
        <f>IFERROR(__xludf.DUMMYFUNCTION("if(REGEXMATCH(join("", "",$G94:$H94),S$1)=TRUE,""✓"",""✗"")"),"✗")</f>
        <v>✗</v>
      </c>
      <c r="T94" s="154" t="str">
        <f>IFERROR(__xludf.DUMMYFUNCTION("if(REGEXMATCH(join("", "",$G94:$H94),T$1)=TRUE,""✓"",""✗"")"),"✗")</f>
        <v>✗</v>
      </c>
      <c r="U94" s="154" t="str">
        <f>IFERROR(__xludf.DUMMYFUNCTION("if(REGEXMATCH(join("", "",$G94:$H94),U$1)=TRUE,""✓"",""✗"")"),"✗")</f>
        <v>✗</v>
      </c>
    </row>
    <row r="95">
      <c r="A95" s="159">
        <v>96.0</v>
      </c>
      <c r="B95" s="159" t="s">
        <v>5227</v>
      </c>
      <c r="C95" s="151" t="str">
        <f t="shared" si="1"/>
        <v>Wipfler et al., 2011</v>
      </c>
      <c r="D95" s="156" t="s">
        <v>5372</v>
      </c>
      <c r="E95" s="152" t="str">
        <f t="shared" si="2"/>
        <v>https://raw.githubusercontent.com/d-wkim/phd/refs/heads/main/data/pdf/wipfler_2011 .pdf</v>
      </c>
      <c r="F95" s="159" t="s">
        <v>109</v>
      </c>
      <c r="G95" s="161" t="s">
        <v>4362</v>
      </c>
      <c r="H95" s="159" t="s">
        <v>4449</v>
      </c>
      <c r="I95" s="154" t="str">
        <f>IFERROR(__xludf.DUMMYFUNCTION("if(REGEXMATCH(join("", "",$G95:$H95),I$1)=TRUE,""✓"",""✗"")"),"✓")</f>
        <v>✓</v>
      </c>
      <c r="J95" s="154" t="str">
        <f>IFERROR(__xludf.DUMMYFUNCTION("if(REGEXMATCH(join("", "",$G95:$H95),J$1)=TRUE,""✓"",""✗"")"),"✓")</f>
        <v>✓</v>
      </c>
      <c r="K95" s="154" t="str">
        <f>IFERROR(__xludf.DUMMYFUNCTION("if(REGEXMATCH(join("", "",$G95:$H95),K$1)=TRUE,""✓"",""✗"")"),"✗")</f>
        <v>✗</v>
      </c>
      <c r="L95" s="154" t="str">
        <f>IFERROR(__xludf.DUMMYFUNCTION("if(REGEXMATCH(join("", "",$G95:$H95),L$1)=TRUE,""✓"",""✗"")"),"✗")</f>
        <v>✗</v>
      </c>
      <c r="M95" s="154" t="str">
        <f>IFERROR(__xludf.DUMMYFUNCTION("if(REGEXMATCH(join("", "",$G95:$H95),M$1)=TRUE,""✓"",""✗"")"),"✗")</f>
        <v>✗</v>
      </c>
      <c r="N95" s="154" t="str">
        <f>IFERROR(__xludf.DUMMYFUNCTION("if(REGEXMATCH(join("", "",$G95:$H95),N$1)=TRUE,""✓"",""✗"")"),"✗")</f>
        <v>✗</v>
      </c>
      <c r="O95" s="154" t="str">
        <f>IFERROR(__xludf.DUMMYFUNCTION("if(REGEXMATCH(join("", "",$G95:$H95),O$1)=TRUE,""✓"",""✗"")"),"✓")</f>
        <v>✓</v>
      </c>
      <c r="P95" s="154" t="str">
        <f>IFERROR(__xludf.DUMMYFUNCTION("if(REGEXMATCH(join("", "",$G95:$H95),P$1)=TRUE,""✓"",""✗"")"),"✓")</f>
        <v>✓</v>
      </c>
      <c r="Q95" s="154" t="str">
        <f>IFERROR(__xludf.DUMMYFUNCTION("if(REGEXMATCH(join("", "",$G95:$H95),Q$1)=TRUE,""✓"",""✗"")"),"✓")</f>
        <v>✓</v>
      </c>
      <c r="R95" s="154" t="str">
        <f>IFERROR(__xludf.DUMMYFUNCTION("if(REGEXMATCH(join("", "",$G95:$H95),R$1)=TRUE,""✓"",""✗"")"),"✓")</f>
        <v>✓</v>
      </c>
      <c r="S95" s="154" t="str">
        <f>IFERROR(__xludf.DUMMYFUNCTION("if(REGEXMATCH(join("", "",$G95:$H95),S$1)=TRUE,""✓"",""✗"")"),"✓")</f>
        <v>✓</v>
      </c>
      <c r="T95" s="154" t="str">
        <f>IFERROR(__xludf.DUMMYFUNCTION("if(REGEXMATCH(join("", "",$G95:$H95),T$1)=TRUE,""✓"",""✗"")"),"✓")</f>
        <v>✓</v>
      </c>
      <c r="U95" s="154" t="str">
        <f>IFERROR(__xludf.DUMMYFUNCTION("if(REGEXMATCH(join("", "",$G95:$H95),U$1)=TRUE,""✓"",""✗"")"),"✓")</f>
        <v>✓</v>
      </c>
    </row>
    <row r="96">
      <c r="A96" s="159">
        <v>97.0</v>
      </c>
      <c r="B96" s="159" t="s">
        <v>5229</v>
      </c>
      <c r="C96" s="151" t="str">
        <f t="shared" si="1"/>
        <v>Yadav et al., 2025</v>
      </c>
      <c r="D96" s="156" t="s">
        <v>5373</v>
      </c>
      <c r="E96" s="152" t="str">
        <f t="shared" si="2"/>
        <v>https://raw.githubusercontent.com/d-wkim/phd/refs/heads/main/data/pdf/yadav_2025 .pdf</v>
      </c>
      <c r="F96" s="159" t="s">
        <v>109</v>
      </c>
      <c r="G96" s="161" t="s">
        <v>4391</v>
      </c>
      <c r="H96" s="159" t="s">
        <v>4450</v>
      </c>
      <c r="I96" s="154" t="str">
        <f>IFERROR(__xludf.DUMMYFUNCTION("if(REGEXMATCH(join("", "",$G96:$H96),I$1)=TRUE,""✓"",""✗"")"),"✗")</f>
        <v>✗</v>
      </c>
      <c r="J96" s="154" t="str">
        <f>IFERROR(__xludf.DUMMYFUNCTION("if(REGEXMATCH(join("", "",$G96:$H96),J$1)=TRUE,""✓"",""✗"")"),"✓")</f>
        <v>✓</v>
      </c>
      <c r="K96" s="154" t="str">
        <f>IFERROR(__xludf.DUMMYFUNCTION("if(REGEXMATCH(join("", "",$G96:$H96),K$1)=TRUE,""✓"",""✗"")"),"✓")</f>
        <v>✓</v>
      </c>
      <c r="L96" s="154" t="str">
        <f>IFERROR(__xludf.DUMMYFUNCTION("if(REGEXMATCH(join("", "",$G96:$H96),L$1)=TRUE,""✓"",""✗"")"),"✗")</f>
        <v>✗</v>
      </c>
      <c r="M96" s="154" t="str">
        <f>IFERROR(__xludf.DUMMYFUNCTION("if(REGEXMATCH(join("", "",$G96:$H96),M$1)=TRUE,""✓"",""✗"")"),"✗")</f>
        <v>✗</v>
      </c>
      <c r="N96" s="154" t="str">
        <f>IFERROR(__xludf.DUMMYFUNCTION("if(REGEXMATCH(join("", "",$G96:$H96),N$1)=TRUE,""✓"",""✗"")"),"✗")</f>
        <v>✗</v>
      </c>
      <c r="O96" s="154" t="str">
        <f>IFERROR(__xludf.DUMMYFUNCTION("if(REGEXMATCH(join("", "",$G96:$H96),O$1)=TRUE,""✓"",""✗"")"),"✗")</f>
        <v>✗</v>
      </c>
      <c r="P96" s="154" t="str">
        <f>IFERROR(__xludf.DUMMYFUNCTION("if(REGEXMATCH(join("", "",$G96:$H96),P$1)=TRUE,""✓"",""✗"")"),"✓")</f>
        <v>✓</v>
      </c>
      <c r="Q96" s="154" t="str">
        <f>IFERROR(__xludf.DUMMYFUNCTION("if(REGEXMATCH(join("", "",$G96:$H96),Q$1)=TRUE,""✓"",""✗"")"),"✗")</f>
        <v>✗</v>
      </c>
      <c r="R96" s="154" t="str">
        <f>IFERROR(__xludf.DUMMYFUNCTION("if(REGEXMATCH(join("", "",$G96:$H96),R$1)=TRUE,""✓"",""✗"")"),"✓")</f>
        <v>✓</v>
      </c>
      <c r="S96" s="154" t="str">
        <f>IFERROR(__xludf.DUMMYFUNCTION("if(REGEXMATCH(join("", "",$G96:$H96),S$1)=TRUE,""✓"",""✗"")"),"✓")</f>
        <v>✓</v>
      </c>
      <c r="T96" s="154" t="str">
        <f>IFERROR(__xludf.DUMMYFUNCTION("if(REGEXMATCH(join("", "",$G96:$H96),T$1)=TRUE,""✓"",""✗"")"),"✓")</f>
        <v>✓</v>
      </c>
      <c r="U96" s="154" t="str">
        <f>IFERROR(__xludf.DUMMYFUNCTION("if(REGEXMATCH(join("", "",$G96:$H96),U$1)=TRUE,""✓"",""✗"")"),"✗")</f>
        <v>✗</v>
      </c>
    </row>
    <row r="97">
      <c r="A97" s="159">
        <v>98.0</v>
      </c>
      <c r="B97" s="159" t="s">
        <v>5232</v>
      </c>
      <c r="C97" s="151" t="str">
        <f t="shared" si="1"/>
        <v>Yoo et al., 2017</v>
      </c>
      <c r="D97" s="156" t="s">
        <v>5374</v>
      </c>
      <c r="E97" s="152" t="str">
        <f t="shared" si="2"/>
        <v>https://raw.githubusercontent.com/d-wkim/phd/refs/heads/main/data/pdf/yoo_2017 .pdf</v>
      </c>
      <c r="F97" s="159" t="s">
        <v>109</v>
      </c>
      <c r="G97" s="161" t="s">
        <v>4385</v>
      </c>
      <c r="H97" s="159" t="s">
        <v>4451</v>
      </c>
      <c r="I97" s="154" t="str">
        <f>IFERROR(__xludf.DUMMYFUNCTION("if(REGEXMATCH(join("", "",$G97:$H97),I$1)=TRUE,""✓"",""✗"")"),"✗")</f>
        <v>✗</v>
      </c>
      <c r="J97" s="154" t="str">
        <f>IFERROR(__xludf.DUMMYFUNCTION("if(REGEXMATCH(join("", "",$G97:$H97),J$1)=TRUE,""✓"",""✗"")"),"✓")</f>
        <v>✓</v>
      </c>
      <c r="K97" s="154" t="str">
        <f>IFERROR(__xludf.DUMMYFUNCTION("if(REGEXMATCH(join("", "",$G97:$H97),K$1)=TRUE,""✓"",""✗"")"),"✗")</f>
        <v>✗</v>
      </c>
      <c r="L97" s="154" t="str">
        <f>IFERROR(__xludf.DUMMYFUNCTION("if(REGEXMATCH(join("", "",$G97:$H97),L$1)=TRUE,""✓"",""✗"")"),"✗")</f>
        <v>✗</v>
      </c>
      <c r="M97" s="154" t="str">
        <f>IFERROR(__xludf.DUMMYFUNCTION("if(REGEXMATCH(join("", "",$G97:$H97),M$1)=TRUE,""✓"",""✗"")"),"✗")</f>
        <v>✗</v>
      </c>
      <c r="N97" s="154" t="str">
        <f>IFERROR(__xludf.DUMMYFUNCTION("if(REGEXMATCH(join("", "",$G97:$H97),N$1)=TRUE,""✓"",""✗"")"),"✓")</f>
        <v>✓</v>
      </c>
      <c r="O97" s="154" t="str">
        <f>IFERROR(__xludf.DUMMYFUNCTION("if(REGEXMATCH(join("", "",$G97:$H97),O$1)=TRUE,""✓"",""✗"")"),"✗")</f>
        <v>✗</v>
      </c>
      <c r="P97" s="154" t="str">
        <f>IFERROR(__xludf.DUMMYFUNCTION("if(REGEXMATCH(join("", "",$G97:$H97),P$1)=TRUE,""✓"",""✗"")"),"✓")</f>
        <v>✓</v>
      </c>
      <c r="Q97" s="154" t="str">
        <f>IFERROR(__xludf.DUMMYFUNCTION("if(REGEXMATCH(join("", "",$G97:$H97),Q$1)=TRUE,""✓"",""✗"")"),"✓")</f>
        <v>✓</v>
      </c>
      <c r="R97" s="154" t="str">
        <f>IFERROR(__xludf.DUMMYFUNCTION("if(REGEXMATCH(join("", "",$G97:$H97),R$1)=TRUE,""✓"",""✗"")"),"✓")</f>
        <v>✓</v>
      </c>
      <c r="S97" s="154" t="str">
        <f>IFERROR(__xludf.DUMMYFUNCTION("if(REGEXMATCH(join("", "",$G97:$H97),S$1)=TRUE,""✓"",""✗"")"),"✓")</f>
        <v>✓</v>
      </c>
      <c r="T97" s="154" t="str">
        <f>IFERROR(__xludf.DUMMYFUNCTION("if(REGEXMATCH(join("", "",$G97:$H97),T$1)=TRUE,""✓"",""✗"")"),"✓")</f>
        <v>✓</v>
      </c>
      <c r="U97" s="154" t="str">
        <f>IFERROR(__xludf.DUMMYFUNCTION("if(REGEXMATCH(join("", "",$G97:$H97),U$1)=TRUE,""✓"",""✗"")"),"✗")</f>
        <v>✗</v>
      </c>
    </row>
    <row r="98">
      <c r="A98" s="159">
        <v>99.0</v>
      </c>
      <c r="B98" s="159" t="s">
        <v>5375</v>
      </c>
      <c r="C98" s="162" t="str">
        <f t="shared" si="1"/>
        <v>Zaffagnini et al., 2006</v>
      </c>
      <c r="D98" s="159" t="s">
        <v>5376</v>
      </c>
      <c r="E98" s="152" t="str">
        <f t="shared" si="2"/>
        <v>https://raw.githubusercontent.com/d-wkim/phd/refs/heads/main/data/pdf/zaffagnini_2006 .pdf</v>
      </c>
      <c r="F98" s="159" t="s">
        <v>174</v>
      </c>
      <c r="G98" s="161"/>
      <c r="H98" s="169"/>
      <c r="I98" s="154" t="str">
        <f>IFERROR(__xludf.DUMMYFUNCTION("if(REGEXMATCH(join("", "",$G98:$H98),I$1)=TRUE,""✓"",""✗"")"),"✗")</f>
        <v>✗</v>
      </c>
      <c r="J98" s="154" t="str">
        <f>IFERROR(__xludf.DUMMYFUNCTION("if(REGEXMATCH(join("", "",$G98:$H98),J$1)=TRUE,""✓"",""✗"")"),"✗")</f>
        <v>✗</v>
      </c>
      <c r="K98" s="154" t="str">
        <f>IFERROR(__xludf.DUMMYFUNCTION("if(REGEXMATCH(join("", "",$G98:$H98),K$1)=TRUE,""✓"",""✗"")"),"✗")</f>
        <v>✗</v>
      </c>
      <c r="L98" s="154" t="str">
        <f>IFERROR(__xludf.DUMMYFUNCTION("if(REGEXMATCH(join("", "",$G98:$H98),L$1)=TRUE,""✓"",""✗"")"),"✗")</f>
        <v>✗</v>
      </c>
      <c r="M98" s="154" t="str">
        <f>IFERROR(__xludf.DUMMYFUNCTION("if(REGEXMATCH(join("", "",$G98:$H98),M$1)=TRUE,""✓"",""✗"")"),"✗")</f>
        <v>✗</v>
      </c>
      <c r="N98" s="154" t="str">
        <f>IFERROR(__xludf.DUMMYFUNCTION("if(REGEXMATCH(join("", "",$G98:$H98),N$1)=TRUE,""✓"",""✗"")"),"✗")</f>
        <v>✗</v>
      </c>
      <c r="O98" s="154" t="str">
        <f>IFERROR(__xludf.DUMMYFUNCTION("if(REGEXMATCH(join("", "",$G98:$H98),O$1)=TRUE,""✓"",""✗"")"),"✗")</f>
        <v>✗</v>
      </c>
      <c r="P98" s="154" t="str">
        <f>IFERROR(__xludf.DUMMYFUNCTION("if(REGEXMATCH(join("", "",$G98:$H98),P$1)=TRUE,""✓"",""✗"")"),"✗")</f>
        <v>✗</v>
      </c>
      <c r="Q98" s="154" t="str">
        <f>IFERROR(__xludf.DUMMYFUNCTION("if(REGEXMATCH(join("", "",$G98:$H98),Q$1)=TRUE,""✓"",""✗"")"),"✗")</f>
        <v>✗</v>
      </c>
      <c r="R98" s="154" t="str">
        <f>IFERROR(__xludf.DUMMYFUNCTION("if(REGEXMATCH(join("", "",$G98:$H98),R$1)=TRUE,""✓"",""✗"")"),"✗")</f>
        <v>✗</v>
      </c>
      <c r="S98" s="154" t="str">
        <f>IFERROR(__xludf.DUMMYFUNCTION("if(REGEXMATCH(join("", "",$G98:$H98),S$1)=TRUE,""✓"",""✗"")"),"✗")</f>
        <v>✗</v>
      </c>
      <c r="T98" s="154" t="str">
        <f>IFERROR(__xludf.DUMMYFUNCTION("if(REGEXMATCH(join("", "",$G98:$H98),T$1)=TRUE,""✓"",""✗"")"),"✗")</f>
        <v>✗</v>
      </c>
      <c r="U98" s="154" t="str">
        <f>IFERROR(__xludf.DUMMYFUNCTION("if(REGEXMATCH(join("", "",$G98:$H98),U$1)=TRUE,""✓"",""✗"")"),"✗")</f>
        <v>✗</v>
      </c>
    </row>
    <row r="99">
      <c r="A99" s="159">
        <v>100.0</v>
      </c>
      <c r="B99" s="159" t="s">
        <v>5242</v>
      </c>
      <c r="C99" s="151" t="str">
        <f t="shared" si="1"/>
        <v>Zaffagnini et al., 2011</v>
      </c>
      <c r="D99" s="156" t="s">
        <v>5377</v>
      </c>
      <c r="E99" s="152" t="str">
        <f t="shared" si="2"/>
        <v>https://raw.githubusercontent.com/d-wkim/phd/refs/heads/main/data/pdf/zaffagnini_2011 .pdf</v>
      </c>
      <c r="F99" s="159" t="s">
        <v>109</v>
      </c>
      <c r="G99" s="161" t="s">
        <v>4362</v>
      </c>
      <c r="H99" s="159" t="s">
        <v>4392</v>
      </c>
      <c r="I99" s="154" t="str">
        <f>IFERROR(__xludf.DUMMYFUNCTION("if(REGEXMATCH(join("", "",$G99:$H99),I$1)=TRUE,""✓"",""✗"")"),"✓")</f>
        <v>✓</v>
      </c>
      <c r="J99" s="154" t="str">
        <f>IFERROR(__xludf.DUMMYFUNCTION("if(REGEXMATCH(join("", "",$G99:$H99),J$1)=TRUE,""✓"",""✗"")"),"✓")</f>
        <v>✓</v>
      </c>
      <c r="K99" s="154" t="str">
        <f>IFERROR(__xludf.DUMMYFUNCTION("if(REGEXMATCH(join("", "",$G99:$H99),K$1)=TRUE,""✓"",""✗"")"),"✗")</f>
        <v>✗</v>
      </c>
      <c r="L99" s="154" t="str">
        <f>IFERROR(__xludf.DUMMYFUNCTION("if(REGEXMATCH(join("", "",$G99:$H99),L$1)=TRUE,""✓"",""✗"")"),"✗")</f>
        <v>✗</v>
      </c>
      <c r="M99" s="154" t="str">
        <f>IFERROR(__xludf.DUMMYFUNCTION("if(REGEXMATCH(join("", "",$G99:$H99),M$1)=TRUE,""✓"",""✗"")"),"✗")</f>
        <v>✗</v>
      </c>
      <c r="N99" s="154" t="str">
        <f>IFERROR(__xludf.DUMMYFUNCTION("if(REGEXMATCH(join("", "",$G99:$H99),N$1)=TRUE,""✓"",""✗"")"),"✗")</f>
        <v>✗</v>
      </c>
      <c r="O99" s="154" t="str">
        <f>IFERROR(__xludf.DUMMYFUNCTION("if(REGEXMATCH(join("", "",$G99:$H99),O$1)=TRUE,""✓"",""✗"")"),"✓")</f>
        <v>✓</v>
      </c>
      <c r="P99" s="154" t="str">
        <f>IFERROR(__xludf.DUMMYFUNCTION("if(REGEXMATCH(join("", "",$G99:$H99),P$1)=TRUE,""✓"",""✗"")"),"✗")</f>
        <v>✗</v>
      </c>
      <c r="Q99" s="154" t="str">
        <f>IFERROR(__xludf.DUMMYFUNCTION("if(REGEXMATCH(join("", "",$G99:$H99),Q$1)=TRUE,""✓"",""✗"")"),"✗")</f>
        <v>✗</v>
      </c>
      <c r="R99" s="154" t="str">
        <f>IFERROR(__xludf.DUMMYFUNCTION("if(REGEXMATCH(join("", "",$G99:$H99),R$1)=TRUE,""✓"",""✗"")"),"✓")</f>
        <v>✓</v>
      </c>
      <c r="S99" s="154" t="str">
        <f>IFERROR(__xludf.DUMMYFUNCTION("if(REGEXMATCH(join("", "",$G99:$H99),S$1)=TRUE,""✓"",""✗"")"),"✗")</f>
        <v>✗</v>
      </c>
      <c r="T99" s="154" t="str">
        <f>IFERROR(__xludf.DUMMYFUNCTION("if(REGEXMATCH(join("", "",$G99:$H99),T$1)=TRUE,""✓"",""✗"")"),"✗")</f>
        <v>✗</v>
      </c>
      <c r="U99" s="154" t="str">
        <f>IFERROR(__xludf.DUMMYFUNCTION("if(REGEXMATCH(join("", "",$G99:$H99),U$1)=TRUE,""✓"",""✗"")"),"✗")</f>
        <v>✗</v>
      </c>
    </row>
    <row r="100">
      <c r="A100" s="159">
        <v>101.0</v>
      </c>
      <c r="B100" s="159" t="s">
        <v>5378</v>
      </c>
      <c r="C100" s="151" t="str">
        <f t="shared" si="1"/>
        <v>Dai et al., 2025</v>
      </c>
      <c r="D100" s="159" t="s">
        <v>5379</v>
      </c>
      <c r="E100" s="152" t="str">
        <f t="shared" si="2"/>
        <v>https://raw.githubusercontent.com/d-wkim/phd/refs/heads/main/data/pdf/dai_2025 .pdf</v>
      </c>
      <c r="F100" s="159" t="s">
        <v>5380</v>
      </c>
      <c r="G100" s="169"/>
      <c r="H100" s="169"/>
      <c r="I100" s="154" t="str">
        <f>IFERROR(__xludf.DUMMYFUNCTION("if(REGEXMATCH(join("", "",$G100:$H100),I$1)=TRUE,""✓"",""✗"")"),"✗")</f>
        <v>✗</v>
      </c>
      <c r="J100" s="154" t="str">
        <f>IFERROR(__xludf.DUMMYFUNCTION("if(REGEXMATCH(join("", "",$G100:$H100),J$1)=TRUE,""✓"",""✗"")"),"✗")</f>
        <v>✗</v>
      </c>
      <c r="K100" s="154" t="str">
        <f>IFERROR(__xludf.DUMMYFUNCTION("if(REGEXMATCH(join("", "",$G100:$H100),K$1)=TRUE,""✓"",""✗"")"),"✗")</f>
        <v>✗</v>
      </c>
      <c r="L100" s="154" t="str">
        <f>IFERROR(__xludf.DUMMYFUNCTION("if(REGEXMATCH(join("", "",$G100:$H100),L$1)=TRUE,""✓"",""✗"")"),"✗")</f>
        <v>✗</v>
      </c>
      <c r="M100" s="154" t="str">
        <f>IFERROR(__xludf.DUMMYFUNCTION("if(REGEXMATCH(join("", "",$G100:$H100),M$1)=TRUE,""✓"",""✗"")"),"✗")</f>
        <v>✗</v>
      </c>
      <c r="N100" s="154" t="str">
        <f>IFERROR(__xludf.DUMMYFUNCTION("if(REGEXMATCH(join("", "",$G100:$H100),N$1)=TRUE,""✓"",""✗"")"),"✗")</f>
        <v>✗</v>
      </c>
      <c r="O100" s="154" t="str">
        <f>IFERROR(__xludf.DUMMYFUNCTION("if(REGEXMATCH(join("", "",$G100:$H100),O$1)=TRUE,""✓"",""✗"")"),"✗")</f>
        <v>✗</v>
      </c>
      <c r="P100" s="154" t="str">
        <f>IFERROR(__xludf.DUMMYFUNCTION("if(REGEXMATCH(join("", "",$G100:$H100),P$1)=TRUE,""✓"",""✗"")"),"✗")</f>
        <v>✗</v>
      </c>
      <c r="Q100" s="154" t="str">
        <f>IFERROR(__xludf.DUMMYFUNCTION("if(REGEXMATCH(join("", "",$G100:$H100),Q$1)=TRUE,""✓"",""✗"")"),"✗")</f>
        <v>✗</v>
      </c>
      <c r="R100" s="154" t="str">
        <f>IFERROR(__xludf.DUMMYFUNCTION("if(REGEXMATCH(join("", "",$G100:$H100),R$1)=TRUE,""✓"",""✗"")"),"✗")</f>
        <v>✗</v>
      </c>
      <c r="S100" s="154" t="str">
        <f>IFERROR(__xludf.DUMMYFUNCTION("if(REGEXMATCH(join("", "",$G100:$H100),S$1)=TRUE,""✓"",""✗"")"),"✗")</f>
        <v>✗</v>
      </c>
      <c r="T100" s="154" t="str">
        <f>IFERROR(__xludf.DUMMYFUNCTION("if(REGEXMATCH(join("", "",$G100:$H100),T$1)=TRUE,""✓"",""✗"")"),"✗")</f>
        <v>✗</v>
      </c>
      <c r="U100" s="154" t="str">
        <f>IFERROR(__xludf.DUMMYFUNCTION("if(REGEXMATCH(join("", "",$G100:$H100),U$1)=TRUE,""✓"",""✗"")"),"✗")</f>
        <v>✗</v>
      </c>
    </row>
    <row r="101">
      <c r="A101" s="159">
        <v>102.0</v>
      </c>
      <c r="B101" s="159" t="s">
        <v>5381</v>
      </c>
      <c r="C101" s="151" t="str">
        <f t="shared" si="1"/>
        <v>Drogset et al., 2009</v>
      </c>
      <c r="D101" s="159" t="s">
        <v>5382</v>
      </c>
      <c r="E101" s="152" t="str">
        <f t="shared" si="2"/>
        <v>https://raw.githubusercontent.com/d-wkim/phd/refs/heads/main/data/pdf/drogset_2009 .pdf</v>
      </c>
      <c r="F101" s="159" t="s">
        <v>5380</v>
      </c>
      <c r="G101" s="169"/>
      <c r="H101" s="169"/>
      <c r="I101" s="154" t="str">
        <f>IFERROR(__xludf.DUMMYFUNCTION("if(REGEXMATCH(join("", "",$G101:$H101),I$1)=TRUE,""✓"",""✗"")"),"✗")</f>
        <v>✗</v>
      </c>
      <c r="J101" s="154" t="str">
        <f>IFERROR(__xludf.DUMMYFUNCTION("if(REGEXMATCH(join("", "",$G101:$H101),J$1)=TRUE,""✓"",""✗"")"),"✗")</f>
        <v>✗</v>
      </c>
      <c r="K101" s="154" t="str">
        <f>IFERROR(__xludf.DUMMYFUNCTION("if(REGEXMATCH(join("", "",$G101:$H101),K$1)=TRUE,""✓"",""✗"")"),"✗")</f>
        <v>✗</v>
      </c>
      <c r="L101" s="154" t="str">
        <f>IFERROR(__xludf.DUMMYFUNCTION("if(REGEXMATCH(join("", "",$G101:$H101),L$1)=TRUE,""✓"",""✗"")"),"✗")</f>
        <v>✗</v>
      </c>
      <c r="M101" s="154" t="str">
        <f>IFERROR(__xludf.DUMMYFUNCTION("if(REGEXMATCH(join("", "",$G101:$H101),M$1)=TRUE,""✓"",""✗"")"),"✗")</f>
        <v>✗</v>
      </c>
      <c r="N101" s="154" t="str">
        <f>IFERROR(__xludf.DUMMYFUNCTION("if(REGEXMATCH(join("", "",$G101:$H101),N$1)=TRUE,""✓"",""✗"")"),"✗")</f>
        <v>✗</v>
      </c>
      <c r="O101" s="154" t="str">
        <f>IFERROR(__xludf.DUMMYFUNCTION("if(REGEXMATCH(join("", "",$G101:$H101),O$1)=TRUE,""✓"",""✗"")"),"✗")</f>
        <v>✗</v>
      </c>
      <c r="P101" s="154" t="str">
        <f>IFERROR(__xludf.DUMMYFUNCTION("if(REGEXMATCH(join("", "",$G101:$H101),P$1)=TRUE,""✓"",""✗"")"),"✗")</f>
        <v>✗</v>
      </c>
      <c r="Q101" s="154" t="str">
        <f>IFERROR(__xludf.DUMMYFUNCTION("if(REGEXMATCH(join("", "",$G101:$H101),Q$1)=TRUE,""✓"",""✗"")"),"✗")</f>
        <v>✗</v>
      </c>
      <c r="R101" s="154" t="str">
        <f>IFERROR(__xludf.DUMMYFUNCTION("if(REGEXMATCH(join("", "",$G101:$H101),R$1)=TRUE,""✓"",""✗"")"),"✗")</f>
        <v>✗</v>
      </c>
      <c r="S101" s="154" t="str">
        <f>IFERROR(__xludf.DUMMYFUNCTION("if(REGEXMATCH(join("", "",$G101:$H101),S$1)=TRUE,""✓"",""✗"")"),"✗")</f>
        <v>✗</v>
      </c>
      <c r="T101" s="154" t="str">
        <f>IFERROR(__xludf.DUMMYFUNCTION("if(REGEXMATCH(join("", "",$G101:$H101),T$1)=TRUE,""✓"",""✗"")"),"✗")</f>
        <v>✗</v>
      </c>
      <c r="U101" s="154" t="str">
        <f>IFERROR(__xludf.DUMMYFUNCTION("if(REGEXMATCH(join("", "",$G101:$H101),U$1)=TRUE,""✓"",""✗"")"),"✗")</f>
        <v>✗</v>
      </c>
    </row>
    <row r="102">
      <c r="A102" s="159">
        <v>103.0</v>
      </c>
      <c r="B102" s="159" t="s">
        <v>5383</v>
      </c>
      <c r="C102" s="151" t="str">
        <f t="shared" si="1"/>
        <v>Gupta et al., 2017</v>
      </c>
      <c r="D102" s="159" t="s">
        <v>5384</v>
      </c>
      <c r="E102" s="152" t="str">
        <f t="shared" si="2"/>
        <v>https://raw.githubusercontent.com/d-wkim/phd/refs/heads/main/data/pdf/gupta_2017 .pdf</v>
      </c>
      <c r="F102" s="159" t="s">
        <v>5380</v>
      </c>
      <c r="G102" s="169"/>
      <c r="H102" s="169"/>
      <c r="I102" s="154" t="str">
        <f>IFERROR(__xludf.DUMMYFUNCTION("if(REGEXMATCH(join("", "",$G102:$H102),I$1)=TRUE,""✓"",""✗"")"),"✗")</f>
        <v>✗</v>
      </c>
      <c r="J102" s="154" t="str">
        <f>IFERROR(__xludf.DUMMYFUNCTION("if(REGEXMATCH(join("", "",$G102:$H102),J$1)=TRUE,""✓"",""✗"")"),"✗")</f>
        <v>✗</v>
      </c>
      <c r="K102" s="154" t="str">
        <f>IFERROR(__xludf.DUMMYFUNCTION("if(REGEXMATCH(join("", "",$G102:$H102),K$1)=TRUE,""✓"",""✗"")"),"✗")</f>
        <v>✗</v>
      </c>
      <c r="L102" s="154" t="str">
        <f>IFERROR(__xludf.DUMMYFUNCTION("if(REGEXMATCH(join("", "",$G102:$H102),L$1)=TRUE,""✓"",""✗"")"),"✗")</f>
        <v>✗</v>
      </c>
      <c r="M102" s="154" t="str">
        <f>IFERROR(__xludf.DUMMYFUNCTION("if(REGEXMATCH(join("", "",$G102:$H102),M$1)=TRUE,""✓"",""✗"")"),"✗")</f>
        <v>✗</v>
      </c>
      <c r="N102" s="154" t="str">
        <f>IFERROR(__xludf.DUMMYFUNCTION("if(REGEXMATCH(join("", "",$G102:$H102),N$1)=TRUE,""✓"",""✗"")"),"✗")</f>
        <v>✗</v>
      </c>
      <c r="O102" s="154" t="str">
        <f>IFERROR(__xludf.DUMMYFUNCTION("if(REGEXMATCH(join("", "",$G102:$H102),O$1)=TRUE,""✓"",""✗"")"),"✗")</f>
        <v>✗</v>
      </c>
      <c r="P102" s="154" t="str">
        <f>IFERROR(__xludf.DUMMYFUNCTION("if(REGEXMATCH(join("", "",$G102:$H102),P$1)=TRUE,""✓"",""✗"")"),"✗")</f>
        <v>✗</v>
      </c>
      <c r="Q102" s="154" t="str">
        <f>IFERROR(__xludf.DUMMYFUNCTION("if(REGEXMATCH(join("", "",$G102:$H102),Q$1)=TRUE,""✓"",""✗"")"),"✗")</f>
        <v>✗</v>
      </c>
      <c r="R102" s="154" t="str">
        <f>IFERROR(__xludf.DUMMYFUNCTION("if(REGEXMATCH(join("", "",$G102:$H102),R$1)=TRUE,""✓"",""✗"")"),"✗")</f>
        <v>✗</v>
      </c>
      <c r="S102" s="154" t="str">
        <f>IFERROR(__xludf.DUMMYFUNCTION("if(REGEXMATCH(join("", "",$G102:$H102),S$1)=TRUE,""✓"",""✗"")"),"✗")</f>
        <v>✗</v>
      </c>
      <c r="T102" s="154" t="str">
        <f>IFERROR(__xludf.DUMMYFUNCTION("if(REGEXMATCH(join("", "",$G102:$H102),T$1)=TRUE,""✓"",""✗"")"),"✗")</f>
        <v>✗</v>
      </c>
      <c r="U102" s="154" t="str">
        <f>IFERROR(__xludf.DUMMYFUNCTION("if(REGEXMATCH(join("", "",$G102:$H102),U$1)=TRUE,""✓"",""✗"")"),"✗")</f>
        <v>✗</v>
      </c>
    </row>
    <row r="103">
      <c r="A103" s="159">
        <v>104.0</v>
      </c>
      <c r="B103" s="159" t="s">
        <v>5385</v>
      </c>
      <c r="C103" s="151" t="str">
        <f t="shared" si="1"/>
        <v>Beard et al., 2001</v>
      </c>
      <c r="D103" s="159" t="s">
        <v>5386</v>
      </c>
      <c r="E103" s="152" t="str">
        <f t="shared" si="2"/>
        <v>https://raw.githubusercontent.com/d-wkim/phd/refs/heads/main/data/pdf/beard_2001 .pdf</v>
      </c>
      <c r="F103" s="159" t="s">
        <v>5380</v>
      </c>
      <c r="G103" s="169"/>
      <c r="H103" s="169"/>
      <c r="I103" s="154" t="str">
        <f>IFERROR(__xludf.DUMMYFUNCTION("if(REGEXMATCH(join("", "",$G103:$H103),I$1)=TRUE,""✓"",""✗"")"),"✗")</f>
        <v>✗</v>
      </c>
      <c r="J103" s="154" t="str">
        <f>IFERROR(__xludf.DUMMYFUNCTION("if(REGEXMATCH(join("", "",$G103:$H103),J$1)=TRUE,""✓"",""✗"")"),"✗")</f>
        <v>✗</v>
      </c>
      <c r="K103" s="154" t="str">
        <f>IFERROR(__xludf.DUMMYFUNCTION("if(REGEXMATCH(join("", "",$G103:$H103),K$1)=TRUE,""✓"",""✗"")"),"✗")</f>
        <v>✗</v>
      </c>
      <c r="L103" s="154" t="str">
        <f>IFERROR(__xludf.DUMMYFUNCTION("if(REGEXMATCH(join("", "",$G103:$H103),L$1)=TRUE,""✓"",""✗"")"),"✗")</f>
        <v>✗</v>
      </c>
      <c r="M103" s="154" t="str">
        <f>IFERROR(__xludf.DUMMYFUNCTION("if(REGEXMATCH(join("", "",$G103:$H103),M$1)=TRUE,""✓"",""✗"")"),"✗")</f>
        <v>✗</v>
      </c>
      <c r="N103" s="154" t="str">
        <f>IFERROR(__xludf.DUMMYFUNCTION("if(REGEXMATCH(join("", "",$G103:$H103),N$1)=TRUE,""✓"",""✗"")"),"✗")</f>
        <v>✗</v>
      </c>
      <c r="O103" s="154" t="str">
        <f>IFERROR(__xludf.DUMMYFUNCTION("if(REGEXMATCH(join("", "",$G103:$H103),O$1)=TRUE,""✓"",""✗"")"),"✗")</f>
        <v>✗</v>
      </c>
      <c r="P103" s="154" t="str">
        <f>IFERROR(__xludf.DUMMYFUNCTION("if(REGEXMATCH(join("", "",$G103:$H103),P$1)=TRUE,""✓"",""✗"")"),"✗")</f>
        <v>✗</v>
      </c>
      <c r="Q103" s="154" t="str">
        <f>IFERROR(__xludf.DUMMYFUNCTION("if(REGEXMATCH(join("", "",$G103:$H103),Q$1)=TRUE,""✓"",""✗"")"),"✗")</f>
        <v>✗</v>
      </c>
      <c r="R103" s="154" t="str">
        <f>IFERROR(__xludf.DUMMYFUNCTION("if(REGEXMATCH(join("", "",$G103:$H103),R$1)=TRUE,""✓"",""✗"")"),"✗")</f>
        <v>✗</v>
      </c>
      <c r="S103" s="154" t="str">
        <f>IFERROR(__xludf.DUMMYFUNCTION("if(REGEXMATCH(join("", "",$G103:$H103),S$1)=TRUE,""✓"",""✗"")"),"✗")</f>
        <v>✗</v>
      </c>
      <c r="T103" s="154" t="str">
        <f>IFERROR(__xludf.DUMMYFUNCTION("if(REGEXMATCH(join("", "",$G103:$H103),T$1)=TRUE,""✓"",""✗"")"),"✗")</f>
        <v>✗</v>
      </c>
      <c r="U103" s="154" t="str">
        <f>IFERROR(__xludf.DUMMYFUNCTION("if(REGEXMATCH(join("", "",$G103:$H103),U$1)=TRUE,""✓"",""✗"")"),"✗")</f>
        <v>✗</v>
      </c>
    </row>
    <row r="104">
      <c r="A104" s="159">
        <v>105.0</v>
      </c>
      <c r="B104" s="159" t="s">
        <v>5387</v>
      </c>
      <c r="C104" s="151" t="str">
        <f t="shared" si="1"/>
        <v>Kang et al., 2014</v>
      </c>
      <c r="D104" s="159" t="s">
        <v>5388</v>
      </c>
      <c r="E104" s="152" t="str">
        <f t="shared" si="2"/>
        <v>https://raw.githubusercontent.com/d-wkim/phd/refs/heads/main/data/pdf/kang_2014 .pdf</v>
      </c>
      <c r="F104" s="159" t="s">
        <v>5380</v>
      </c>
      <c r="G104" s="169"/>
      <c r="H104" s="169"/>
      <c r="I104" s="154" t="str">
        <f>IFERROR(__xludf.DUMMYFUNCTION("if(REGEXMATCH(join("", "",$G104:$H104),I$1)=TRUE,""✓"",""✗"")"),"✗")</f>
        <v>✗</v>
      </c>
      <c r="J104" s="154" t="str">
        <f>IFERROR(__xludf.DUMMYFUNCTION("if(REGEXMATCH(join("", "",$G104:$H104),J$1)=TRUE,""✓"",""✗"")"),"✗")</f>
        <v>✗</v>
      </c>
      <c r="K104" s="154" t="str">
        <f>IFERROR(__xludf.DUMMYFUNCTION("if(REGEXMATCH(join("", "",$G104:$H104),K$1)=TRUE,""✓"",""✗"")"),"✗")</f>
        <v>✗</v>
      </c>
      <c r="L104" s="154" t="str">
        <f>IFERROR(__xludf.DUMMYFUNCTION("if(REGEXMATCH(join("", "",$G104:$H104),L$1)=TRUE,""✓"",""✗"")"),"✗")</f>
        <v>✗</v>
      </c>
      <c r="M104" s="154" t="str">
        <f>IFERROR(__xludf.DUMMYFUNCTION("if(REGEXMATCH(join("", "",$G104:$H104),M$1)=TRUE,""✓"",""✗"")"),"✗")</f>
        <v>✗</v>
      </c>
      <c r="N104" s="154" t="str">
        <f>IFERROR(__xludf.DUMMYFUNCTION("if(REGEXMATCH(join("", "",$G104:$H104),N$1)=TRUE,""✓"",""✗"")"),"✗")</f>
        <v>✗</v>
      </c>
      <c r="O104" s="154" t="str">
        <f>IFERROR(__xludf.DUMMYFUNCTION("if(REGEXMATCH(join("", "",$G104:$H104),O$1)=TRUE,""✓"",""✗"")"),"✗")</f>
        <v>✗</v>
      </c>
      <c r="P104" s="154" t="str">
        <f>IFERROR(__xludf.DUMMYFUNCTION("if(REGEXMATCH(join("", "",$G104:$H104),P$1)=TRUE,""✓"",""✗"")"),"✗")</f>
        <v>✗</v>
      </c>
      <c r="Q104" s="154" t="str">
        <f>IFERROR(__xludf.DUMMYFUNCTION("if(REGEXMATCH(join("", "",$G104:$H104),Q$1)=TRUE,""✓"",""✗"")"),"✗")</f>
        <v>✗</v>
      </c>
      <c r="R104" s="154" t="str">
        <f>IFERROR(__xludf.DUMMYFUNCTION("if(REGEXMATCH(join("", "",$G104:$H104),R$1)=TRUE,""✓"",""✗"")"),"✗")</f>
        <v>✗</v>
      </c>
      <c r="S104" s="154" t="str">
        <f>IFERROR(__xludf.DUMMYFUNCTION("if(REGEXMATCH(join("", "",$G104:$H104),S$1)=TRUE,""✓"",""✗"")"),"✗")</f>
        <v>✗</v>
      </c>
      <c r="T104" s="154" t="str">
        <f>IFERROR(__xludf.DUMMYFUNCTION("if(REGEXMATCH(join("", "",$G104:$H104),T$1)=TRUE,""✓"",""✗"")"),"✗")</f>
        <v>✗</v>
      </c>
      <c r="U104" s="154" t="str">
        <f>IFERROR(__xludf.DUMMYFUNCTION("if(REGEXMATCH(join("", "",$G104:$H104),U$1)=TRUE,""✓"",""✗"")"),"✗")</f>
        <v>✗</v>
      </c>
    </row>
    <row r="105">
      <c r="A105" s="159">
        <v>106.0</v>
      </c>
      <c r="B105" s="159" t="s">
        <v>5389</v>
      </c>
      <c r="C105" s="151" t="str">
        <f t="shared" si="1"/>
        <v>Shaieb et al., 2002</v>
      </c>
      <c r="D105" s="159" t="s">
        <v>5390</v>
      </c>
      <c r="E105" s="152" t="str">
        <f t="shared" si="2"/>
        <v>https://raw.githubusercontent.com/d-wkim/phd/refs/heads/main/data/pdf/shaieb_2002 .pdf</v>
      </c>
      <c r="F105" s="159" t="s">
        <v>5380</v>
      </c>
      <c r="G105" s="169"/>
      <c r="H105" s="169"/>
      <c r="I105" s="154" t="str">
        <f>IFERROR(__xludf.DUMMYFUNCTION("if(REGEXMATCH(join("", "",$G105:$H105),I$1)=TRUE,""✓"",""✗"")"),"✗")</f>
        <v>✗</v>
      </c>
      <c r="J105" s="154" t="str">
        <f>IFERROR(__xludf.DUMMYFUNCTION("if(REGEXMATCH(join("", "",$G105:$H105),J$1)=TRUE,""✓"",""✗"")"),"✗")</f>
        <v>✗</v>
      </c>
      <c r="K105" s="154" t="str">
        <f>IFERROR(__xludf.DUMMYFUNCTION("if(REGEXMATCH(join("", "",$G105:$H105),K$1)=TRUE,""✓"",""✗"")"),"✗")</f>
        <v>✗</v>
      </c>
      <c r="L105" s="154" t="str">
        <f>IFERROR(__xludf.DUMMYFUNCTION("if(REGEXMATCH(join("", "",$G105:$H105),L$1)=TRUE,""✓"",""✗"")"),"✗")</f>
        <v>✗</v>
      </c>
      <c r="M105" s="154" t="str">
        <f>IFERROR(__xludf.DUMMYFUNCTION("if(REGEXMATCH(join("", "",$G105:$H105),M$1)=TRUE,""✓"",""✗"")"),"✗")</f>
        <v>✗</v>
      </c>
      <c r="N105" s="154" t="str">
        <f>IFERROR(__xludf.DUMMYFUNCTION("if(REGEXMATCH(join("", "",$G105:$H105),N$1)=TRUE,""✓"",""✗"")"),"✗")</f>
        <v>✗</v>
      </c>
      <c r="O105" s="154" t="str">
        <f>IFERROR(__xludf.DUMMYFUNCTION("if(REGEXMATCH(join("", "",$G105:$H105),O$1)=TRUE,""✓"",""✗"")"),"✗")</f>
        <v>✗</v>
      </c>
      <c r="P105" s="154" t="str">
        <f>IFERROR(__xludf.DUMMYFUNCTION("if(REGEXMATCH(join("", "",$G105:$H105),P$1)=TRUE,""✓"",""✗"")"),"✗")</f>
        <v>✗</v>
      </c>
      <c r="Q105" s="154" t="str">
        <f>IFERROR(__xludf.DUMMYFUNCTION("if(REGEXMATCH(join("", "",$G105:$H105),Q$1)=TRUE,""✓"",""✗"")"),"✗")</f>
        <v>✗</v>
      </c>
      <c r="R105" s="154" t="str">
        <f>IFERROR(__xludf.DUMMYFUNCTION("if(REGEXMATCH(join("", "",$G105:$H105),R$1)=TRUE,""✓"",""✗"")"),"✗")</f>
        <v>✗</v>
      </c>
      <c r="S105" s="154" t="str">
        <f>IFERROR(__xludf.DUMMYFUNCTION("if(REGEXMATCH(join("", "",$G105:$H105),S$1)=TRUE,""✓"",""✗"")"),"✗")</f>
        <v>✗</v>
      </c>
      <c r="T105" s="154" t="str">
        <f>IFERROR(__xludf.DUMMYFUNCTION("if(REGEXMATCH(join("", "",$G105:$H105),T$1)=TRUE,""✓"",""✗"")"),"✗")</f>
        <v>✗</v>
      </c>
      <c r="U105" s="154" t="str">
        <f>IFERROR(__xludf.DUMMYFUNCTION("if(REGEXMATCH(join("", "",$G105:$H105),U$1)=TRUE,""✓"",""✗"")"),"✗")</f>
        <v>✗</v>
      </c>
    </row>
    <row r="106">
      <c r="A106" s="159">
        <v>107.0</v>
      </c>
      <c r="B106" s="159" t="s">
        <v>5392</v>
      </c>
      <c r="C106" s="151" t="str">
        <f t="shared" si="1"/>
        <v>Volpi et al., 2010</v>
      </c>
      <c r="D106" s="159" t="s">
        <v>5393</v>
      </c>
      <c r="E106" s="152" t="str">
        <f t="shared" si="2"/>
        <v>https://raw.githubusercontent.com/d-wkim/phd/refs/heads/main/data/pdf/volpi_2010 .pdf</v>
      </c>
      <c r="F106" s="159" t="s">
        <v>5380</v>
      </c>
      <c r="G106" s="169"/>
      <c r="H106" s="169"/>
      <c r="I106" s="154" t="str">
        <f>IFERROR(__xludf.DUMMYFUNCTION("if(REGEXMATCH(join("", "",$G106:$H106),I$1)=TRUE,""✓"",""✗"")"),"✗")</f>
        <v>✗</v>
      </c>
      <c r="J106" s="154" t="str">
        <f>IFERROR(__xludf.DUMMYFUNCTION("if(REGEXMATCH(join("", "",$G106:$H106),J$1)=TRUE,""✓"",""✗"")"),"✗")</f>
        <v>✗</v>
      </c>
      <c r="K106" s="154" t="str">
        <f>IFERROR(__xludf.DUMMYFUNCTION("if(REGEXMATCH(join("", "",$G106:$H106),K$1)=TRUE,""✓"",""✗"")"),"✗")</f>
        <v>✗</v>
      </c>
      <c r="L106" s="154" t="str">
        <f>IFERROR(__xludf.DUMMYFUNCTION("if(REGEXMATCH(join("", "",$G106:$H106),L$1)=TRUE,""✓"",""✗"")"),"✗")</f>
        <v>✗</v>
      </c>
      <c r="M106" s="154" t="str">
        <f>IFERROR(__xludf.DUMMYFUNCTION("if(REGEXMATCH(join("", "",$G106:$H106),M$1)=TRUE,""✓"",""✗"")"),"✗")</f>
        <v>✗</v>
      </c>
      <c r="N106" s="154" t="str">
        <f>IFERROR(__xludf.DUMMYFUNCTION("if(REGEXMATCH(join("", "",$G106:$H106),N$1)=TRUE,""✓"",""✗"")"),"✗")</f>
        <v>✗</v>
      </c>
      <c r="O106" s="154" t="str">
        <f>IFERROR(__xludf.DUMMYFUNCTION("if(REGEXMATCH(join("", "",$G106:$H106),O$1)=TRUE,""✓"",""✗"")"),"✗")</f>
        <v>✗</v>
      </c>
      <c r="P106" s="154" t="str">
        <f>IFERROR(__xludf.DUMMYFUNCTION("if(REGEXMATCH(join("", "",$G106:$H106),P$1)=TRUE,""✓"",""✗"")"),"✗")</f>
        <v>✗</v>
      </c>
      <c r="Q106" s="154" t="str">
        <f>IFERROR(__xludf.DUMMYFUNCTION("if(REGEXMATCH(join("", "",$G106:$H106),Q$1)=TRUE,""✓"",""✗"")"),"✗")</f>
        <v>✗</v>
      </c>
      <c r="R106" s="154" t="str">
        <f>IFERROR(__xludf.DUMMYFUNCTION("if(REGEXMATCH(join("", "",$G106:$H106),R$1)=TRUE,""✓"",""✗"")"),"✗")</f>
        <v>✗</v>
      </c>
      <c r="S106" s="154" t="str">
        <f>IFERROR(__xludf.DUMMYFUNCTION("if(REGEXMATCH(join("", "",$G106:$H106),S$1)=TRUE,""✓"",""✗"")"),"✗")</f>
        <v>✗</v>
      </c>
      <c r="T106" s="154" t="str">
        <f>IFERROR(__xludf.DUMMYFUNCTION("if(REGEXMATCH(join("", "",$G106:$H106),T$1)=TRUE,""✓"",""✗"")"),"✗")</f>
        <v>✗</v>
      </c>
      <c r="U106" s="154" t="str">
        <f>IFERROR(__xludf.DUMMYFUNCTION("if(REGEXMATCH(join("", "",$G106:$H106),U$1)=TRUE,""✓"",""✗"")"),"✗")</f>
        <v>✗</v>
      </c>
    </row>
    <row r="107">
      <c r="A107" s="159">
        <v>108.0</v>
      </c>
      <c r="B107" s="159" t="s">
        <v>5396</v>
      </c>
      <c r="C107" s="151" t="str">
        <f t="shared" si="1"/>
        <v>Webster et al., 2015</v>
      </c>
      <c r="D107" s="159" t="s">
        <v>5397</v>
      </c>
      <c r="E107" s="152" t="str">
        <f t="shared" si="2"/>
        <v>https://raw.githubusercontent.com/d-wkim/phd/refs/heads/main/data/pdf/webster_2015 .pdf</v>
      </c>
      <c r="F107" s="159" t="s">
        <v>5380</v>
      </c>
      <c r="G107" s="169"/>
      <c r="H107" s="169"/>
      <c r="I107" s="154" t="str">
        <f>IFERROR(__xludf.DUMMYFUNCTION("if(REGEXMATCH(join("", "",$G107:$H107),I$1)=TRUE,""✓"",""✗"")"),"✗")</f>
        <v>✗</v>
      </c>
      <c r="J107" s="154" t="str">
        <f>IFERROR(__xludf.DUMMYFUNCTION("if(REGEXMATCH(join("", "",$G107:$H107),J$1)=TRUE,""✓"",""✗"")"),"✗")</f>
        <v>✗</v>
      </c>
      <c r="K107" s="154" t="str">
        <f>IFERROR(__xludf.DUMMYFUNCTION("if(REGEXMATCH(join("", "",$G107:$H107),K$1)=TRUE,""✓"",""✗"")"),"✗")</f>
        <v>✗</v>
      </c>
      <c r="L107" s="154" t="str">
        <f>IFERROR(__xludf.DUMMYFUNCTION("if(REGEXMATCH(join("", "",$G107:$H107),L$1)=TRUE,""✓"",""✗"")"),"✗")</f>
        <v>✗</v>
      </c>
      <c r="M107" s="154" t="str">
        <f>IFERROR(__xludf.DUMMYFUNCTION("if(REGEXMATCH(join("", "",$G107:$H107),M$1)=TRUE,""✓"",""✗"")"),"✗")</f>
        <v>✗</v>
      </c>
      <c r="N107" s="154" t="str">
        <f>IFERROR(__xludf.DUMMYFUNCTION("if(REGEXMATCH(join("", "",$G107:$H107),N$1)=TRUE,""✓"",""✗"")"),"✗")</f>
        <v>✗</v>
      </c>
      <c r="O107" s="154" t="str">
        <f>IFERROR(__xludf.DUMMYFUNCTION("if(REGEXMATCH(join("", "",$G107:$H107),O$1)=TRUE,""✓"",""✗"")"),"✗")</f>
        <v>✗</v>
      </c>
      <c r="P107" s="154" t="str">
        <f>IFERROR(__xludf.DUMMYFUNCTION("if(REGEXMATCH(join("", "",$G107:$H107),P$1)=TRUE,""✓"",""✗"")"),"✗")</f>
        <v>✗</v>
      </c>
      <c r="Q107" s="154" t="str">
        <f>IFERROR(__xludf.DUMMYFUNCTION("if(REGEXMATCH(join("", "",$G107:$H107),Q$1)=TRUE,""✓"",""✗"")"),"✗")</f>
        <v>✗</v>
      </c>
      <c r="R107" s="154" t="str">
        <f>IFERROR(__xludf.DUMMYFUNCTION("if(REGEXMATCH(join("", "",$G107:$H107),R$1)=TRUE,""✓"",""✗"")"),"✗")</f>
        <v>✗</v>
      </c>
      <c r="S107" s="154" t="str">
        <f>IFERROR(__xludf.DUMMYFUNCTION("if(REGEXMATCH(join("", "",$G107:$H107),S$1)=TRUE,""✓"",""✗"")"),"✗")</f>
        <v>✗</v>
      </c>
      <c r="T107" s="154" t="str">
        <f>IFERROR(__xludf.DUMMYFUNCTION("if(REGEXMATCH(join("", "",$G107:$H107),T$1)=TRUE,""✓"",""✗"")"),"✗")</f>
        <v>✗</v>
      </c>
      <c r="U107" s="154" t="str">
        <f>IFERROR(__xludf.DUMMYFUNCTION("if(REGEXMATCH(join("", "",$G107:$H107),U$1)=TRUE,""✓"",""✗"")"),"✗")</f>
        <v>✗</v>
      </c>
    </row>
    <row r="108">
      <c r="A108" s="159">
        <v>109.0</v>
      </c>
      <c r="B108" s="159" t="s">
        <v>5398</v>
      </c>
      <c r="C108" s="151" t="str">
        <f t="shared" si="1"/>
        <v>Mcrae et al., 2013</v>
      </c>
      <c r="D108" s="159" t="s">
        <v>5399</v>
      </c>
      <c r="E108" s="152" t="str">
        <f t="shared" si="2"/>
        <v>https://raw.githubusercontent.com/d-wkim/phd/refs/heads/main/data/pdf/mcrae_2013 .pdf</v>
      </c>
      <c r="F108" s="159" t="s">
        <v>5380</v>
      </c>
      <c r="G108" s="169"/>
      <c r="H108" s="169"/>
      <c r="I108" s="154" t="str">
        <f>IFERROR(__xludf.DUMMYFUNCTION("if(REGEXMATCH(join("", "",$G108:$H108),I$1)=TRUE,""✓"",""✗"")"),"✗")</f>
        <v>✗</v>
      </c>
      <c r="J108" s="154" t="str">
        <f>IFERROR(__xludf.DUMMYFUNCTION("if(REGEXMATCH(join("", "",$G108:$H108),J$1)=TRUE,""✓"",""✗"")"),"✗")</f>
        <v>✗</v>
      </c>
      <c r="K108" s="154" t="str">
        <f>IFERROR(__xludf.DUMMYFUNCTION("if(REGEXMATCH(join("", "",$G108:$H108),K$1)=TRUE,""✓"",""✗"")"),"✗")</f>
        <v>✗</v>
      </c>
      <c r="L108" s="154" t="str">
        <f>IFERROR(__xludf.DUMMYFUNCTION("if(REGEXMATCH(join("", "",$G108:$H108),L$1)=TRUE,""✓"",""✗"")"),"✗")</f>
        <v>✗</v>
      </c>
      <c r="M108" s="154" t="str">
        <f>IFERROR(__xludf.DUMMYFUNCTION("if(REGEXMATCH(join("", "",$G108:$H108),M$1)=TRUE,""✓"",""✗"")"),"✗")</f>
        <v>✗</v>
      </c>
      <c r="N108" s="154" t="str">
        <f>IFERROR(__xludf.DUMMYFUNCTION("if(REGEXMATCH(join("", "",$G108:$H108),N$1)=TRUE,""✓"",""✗"")"),"✗")</f>
        <v>✗</v>
      </c>
      <c r="O108" s="154" t="str">
        <f>IFERROR(__xludf.DUMMYFUNCTION("if(REGEXMATCH(join("", "",$G108:$H108),O$1)=TRUE,""✓"",""✗"")"),"✗")</f>
        <v>✗</v>
      </c>
      <c r="P108" s="154" t="str">
        <f>IFERROR(__xludf.DUMMYFUNCTION("if(REGEXMATCH(join("", "",$G108:$H108),P$1)=TRUE,""✓"",""✗"")"),"✗")</f>
        <v>✗</v>
      </c>
      <c r="Q108" s="154" t="str">
        <f>IFERROR(__xludf.DUMMYFUNCTION("if(REGEXMATCH(join("", "",$G108:$H108),Q$1)=TRUE,""✓"",""✗"")"),"✗")</f>
        <v>✗</v>
      </c>
      <c r="R108" s="154" t="str">
        <f>IFERROR(__xludf.DUMMYFUNCTION("if(REGEXMATCH(join("", "",$G108:$H108),R$1)=TRUE,""✓"",""✗"")"),"✗")</f>
        <v>✗</v>
      </c>
      <c r="S108" s="154" t="str">
        <f>IFERROR(__xludf.DUMMYFUNCTION("if(REGEXMATCH(join("", "",$G108:$H108),S$1)=TRUE,""✓"",""✗"")"),"✗")</f>
        <v>✗</v>
      </c>
      <c r="T108" s="154" t="str">
        <f>IFERROR(__xludf.DUMMYFUNCTION("if(REGEXMATCH(join("", "",$G108:$H108),T$1)=TRUE,""✓"",""✗"")"),"✗")</f>
        <v>✗</v>
      </c>
      <c r="U108" s="154" t="str">
        <f>IFERROR(__xludf.DUMMYFUNCTION("if(REGEXMATCH(join("", "",$G108:$H108),U$1)=TRUE,""✓"",""✗"")"),"✗")</f>
        <v>✗</v>
      </c>
    </row>
    <row r="109">
      <c r="A109" s="169" t="s">
        <v>101</v>
      </c>
      <c r="B109" s="169"/>
      <c r="C109" s="169"/>
      <c r="D109" s="169"/>
      <c r="E109" s="169"/>
      <c r="F109" s="169"/>
      <c r="G109" s="169"/>
      <c r="H109" s="169"/>
      <c r="I109" s="169">
        <f t="shared" ref="I109:U109" si="3">countif(I2:I108,"✓")</f>
        <v>54</v>
      </c>
      <c r="J109" s="169">
        <f t="shared" si="3"/>
        <v>65</v>
      </c>
      <c r="K109" s="169">
        <f t="shared" si="3"/>
        <v>11</v>
      </c>
      <c r="L109" s="169">
        <f t="shared" si="3"/>
        <v>3</v>
      </c>
      <c r="M109" s="169">
        <f t="shared" si="3"/>
        <v>1</v>
      </c>
      <c r="N109" s="169">
        <f t="shared" si="3"/>
        <v>5</v>
      </c>
      <c r="O109" s="169">
        <f t="shared" si="3"/>
        <v>46</v>
      </c>
      <c r="P109" s="169">
        <f t="shared" si="3"/>
        <v>39</v>
      </c>
      <c r="Q109" s="169">
        <f t="shared" si="3"/>
        <v>31</v>
      </c>
      <c r="R109" s="169">
        <f t="shared" si="3"/>
        <v>57</v>
      </c>
      <c r="S109" s="169">
        <f t="shared" si="3"/>
        <v>32</v>
      </c>
      <c r="T109" s="169">
        <f t="shared" si="3"/>
        <v>29</v>
      </c>
      <c r="U109" s="169">
        <f t="shared" si="3"/>
        <v>12</v>
      </c>
    </row>
    <row r="110">
      <c r="A110" s="12" t="s">
        <v>101</v>
      </c>
      <c r="B110" s="12"/>
      <c r="C110" s="12"/>
      <c r="D110" s="12"/>
      <c r="E110" s="12"/>
      <c r="F110" s="12"/>
      <c r="G110" s="12"/>
      <c r="H110" s="12"/>
      <c r="I110" s="12"/>
      <c r="J110" s="12"/>
      <c r="K110" s="12"/>
      <c r="L110" s="12"/>
      <c r="M110" s="12"/>
      <c r="N110" s="12"/>
      <c r="O110" s="12"/>
      <c r="P110" s="12"/>
      <c r="Q110" s="12"/>
      <c r="R110" s="12"/>
      <c r="S110" s="12"/>
      <c r="T110" s="12"/>
      <c r="U110" s="12"/>
    </row>
    <row r="111">
      <c r="A111" s="12" t="s">
        <v>101</v>
      </c>
      <c r="B111" s="12"/>
      <c r="C111" s="12"/>
      <c r="D111" s="12"/>
      <c r="E111" s="12"/>
      <c r="F111" s="12"/>
      <c r="G111" s="12"/>
      <c r="H111" s="12"/>
      <c r="I111" s="12"/>
      <c r="J111" s="12"/>
      <c r="K111" s="12"/>
      <c r="L111" s="12"/>
      <c r="M111" s="12"/>
      <c r="N111" s="12"/>
      <c r="O111" s="12"/>
      <c r="P111" s="12"/>
      <c r="Q111" s="12"/>
      <c r="R111" s="12"/>
      <c r="S111" s="12"/>
      <c r="T111" s="12"/>
      <c r="U111" s="12"/>
    </row>
    <row r="112">
      <c r="A112" s="12" t="s">
        <v>101</v>
      </c>
      <c r="B112" s="12"/>
      <c r="C112" s="12"/>
      <c r="D112" s="12"/>
      <c r="E112" s="12"/>
      <c r="F112" s="12"/>
      <c r="G112" s="12"/>
      <c r="H112" s="12"/>
      <c r="I112" s="12"/>
      <c r="J112" s="12"/>
      <c r="K112" s="12"/>
      <c r="L112" s="12"/>
      <c r="M112" s="12"/>
      <c r="N112" s="12"/>
      <c r="O112" s="12"/>
      <c r="P112" s="12"/>
      <c r="Q112" s="12"/>
      <c r="R112" s="12"/>
      <c r="S112" s="12"/>
      <c r="T112" s="12"/>
      <c r="U112" s="12"/>
    </row>
    <row r="113">
      <c r="A113" s="12" t="s">
        <v>101</v>
      </c>
      <c r="B113" s="12"/>
      <c r="C113" s="12"/>
      <c r="D113" s="12"/>
      <c r="E113" s="12"/>
      <c r="F113" s="12"/>
      <c r="G113" s="12"/>
      <c r="H113" s="12"/>
      <c r="I113" s="12"/>
      <c r="J113" s="12"/>
      <c r="K113" s="12"/>
      <c r="L113" s="12"/>
      <c r="M113" s="12"/>
      <c r="N113" s="12"/>
      <c r="O113" s="12"/>
      <c r="P113" s="12"/>
      <c r="Q113" s="12"/>
      <c r="R113" s="12"/>
      <c r="S113" s="12"/>
      <c r="T113" s="12"/>
      <c r="U113" s="12"/>
    </row>
    <row r="114">
      <c r="A114" s="12" t="s">
        <v>101</v>
      </c>
      <c r="B114" s="12"/>
      <c r="C114" s="12"/>
      <c r="D114" s="12"/>
      <c r="E114" s="12"/>
      <c r="F114" s="12"/>
      <c r="G114" s="12"/>
      <c r="H114" s="12"/>
      <c r="I114" s="12"/>
      <c r="J114" s="12"/>
      <c r="K114" s="12"/>
      <c r="L114" s="12"/>
      <c r="M114" s="12"/>
      <c r="N114" s="12"/>
      <c r="O114" s="12"/>
      <c r="P114" s="12"/>
      <c r="Q114" s="12"/>
      <c r="R114" s="12"/>
      <c r="S114" s="12"/>
      <c r="T114" s="12"/>
      <c r="U114" s="12"/>
    </row>
    <row r="115">
      <c r="A115" s="12" t="s">
        <v>101</v>
      </c>
      <c r="B115" s="12"/>
      <c r="C115" s="12"/>
      <c r="D115" s="12"/>
      <c r="E115" s="12"/>
      <c r="F115" s="12"/>
      <c r="G115" s="12"/>
      <c r="H115" s="12"/>
      <c r="I115" s="12"/>
      <c r="J115" s="12"/>
      <c r="K115" s="12"/>
      <c r="L115" s="12"/>
      <c r="M115" s="12"/>
      <c r="N115" s="12"/>
      <c r="O115" s="12"/>
      <c r="P115" s="12"/>
      <c r="Q115" s="12"/>
      <c r="R115" s="12"/>
      <c r="S115" s="12"/>
      <c r="T115" s="12"/>
      <c r="U115" s="12"/>
    </row>
    <row r="116">
      <c r="A116" s="12" t="s">
        <v>101</v>
      </c>
      <c r="B116" s="12"/>
      <c r="C116" s="12"/>
      <c r="D116" s="12"/>
      <c r="E116" s="12"/>
      <c r="F116" s="12"/>
      <c r="G116" s="12"/>
      <c r="H116" s="12"/>
      <c r="I116" s="12"/>
      <c r="J116" s="12"/>
      <c r="K116" s="12"/>
      <c r="L116" s="12"/>
      <c r="M116" s="12"/>
      <c r="N116" s="12"/>
      <c r="O116" s="12"/>
      <c r="P116" s="12"/>
      <c r="Q116" s="12"/>
      <c r="R116" s="12"/>
      <c r="S116" s="12"/>
      <c r="T116" s="12"/>
      <c r="U116" s="12"/>
    </row>
    <row r="117">
      <c r="A117" s="12" t="s">
        <v>101</v>
      </c>
      <c r="B117" s="12"/>
      <c r="C117" s="12"/>
      <c r="D117" s="12"/>
      <c r="E117" s="12"/>
      <c r="F117" s="12"/>
      <c r="G117" s="12"/>
      <c r="H117" s="12"/>
      <c r="I117" s="12"/>
      <c r="J117" s="12"/>
      <c r="K117" s="12"/>
      <c r="L117" s="12"/>
      <c r="M117" s="12"/>
      <c r="N117" s="12"/>
      <c r="O117" s="12"/>
      <c r="P117" s="12"/>
      <c r="Q117" s="12"/>
      <c r="R117" s="12"/>
      <c r="S117" s="12"/>
      <c r="T117" s="12"/>
      <c r="U117" s="12"/>
    </row>
    <row r="118">
      <c r="A118" s="12" t="s">
        <v>101</v>
      </c>
      <c r="B118" s="12"/>
      <c r="C118" s="12"/>
      <c r="D118" s="12"/>
      <c r="E118" s="12"/>
      <c r="F118" s="12"/>
      <c r="G118" s="12"/>
      <c r="H118" s="12"/>
      <c r="I118" s="12"/>
      <c r="J118" s="12"/>
      <c r="K118" s="12"/>
      <c r="L118" s="12"/>
      <c r="M118" s="12"/>
      <c r="N118" s="12"/>
      <c r="O118" s="12"/>
      <c r="P118" s="12"/>
      <c r="Q118" s="12"/>
      <c r="R118" s="12"/>
      <c r="S118" s="12"/>
      <c r="T118" s="12"/>
      <c r="U118" s="12"/>
    </row>
    <row r="119">
      <c r="A119" s="12" t="s">
        <v>101</v>
      </c>
      <c r="B119" s="12"/>
      <c r="C119" s="12"/>
      <c r="D119" s="12"/>
      <c r="E119" s="12"/>
      <c r="F119" s="12"/>
      <c r="G119" s="12"/>
      <c r="H119" s="12"/>
      <c r="I119" s="12"/>
      <c r="J119" s="12"/>
      <c r="K119" s="12"/>
      <c r="L119" s="12"/>
      <c r="M119" s="12"/>
      <c r="N119" s="12"/>
      <c r="O119" s="12"/>
      <c r="P119" s="12"/>
      <c r="Q119" s="12"/>
      <c r="R119" s="12"/>
      <c r="S119" s="12"/>
      <c r="T119" s="12"/>
      <c r="U119" s="12"/>
    </row>
    <row r="120">
      <c r="A120" s="12" t="s">
        <v>101</v>
      </c>
      <c r="B120" s="12"/>
      <c r="C120" s="12"/>
      <c r="D120" s="12"/>
      <c r="E120" s="12"/>
      <c r="F120" s="12"/>
      <c r="G120" s="12"/>
      <c r="H120" s="12"/>
      <c r="I120" s="12"/>
      <c r="J120" s="12"/>
      <c r="K120" s="12"/>
      <c r="L120" s="12"/>
      <c r="M120" s="12"/>
      <c r="N120" s="12"/>
      <c r="O120" s="12"/>
      <c r="P120" s="12"/>
      <c r="Q120" s="12"/>
      <c r="R120" s="12"/>
      <c r="S120" s="12"/>
      <c r="T120" s="12"/>
      <c r="U120" s="12"/>
    </row>
    <row r="121">
      <c r="A121" s="12" t="s">
        <v>101</v>
      </c>
      <c r="B121" s="12"/>
      <c r="C121" s="12"/>
      <c r="D121" s="12"/>
      <c r="E121" s="12"/>
      <c r="F121" s="12"/>
      <c r="G121" s="12"/>
      <c r="H121" s="12"/>
      <c r="I121" s="12"/>
      <c r="J121" s="12"/>
      <c r="K121" s="12"/>
      <c r="L121" s="12"/>
      <c r="M121" s="12"/>
      <c r="N121" s="12"/>
      <c r="O121" s="12"/>
      <c r="P121" s="12"/>
      <c r="Q121" s="12"/>
      <c r="R121" s="12"/>
      <c r="S121" s="12"/>
      <c r="T121" s="12"/>
      <c r="U121" s="12"/>
    </row>
    <row r="122">
      <c r="A122" s="12" t="s">
        <v>101</v>
      </c>
      <c r="B122" s="12"/>
      <c r="C122" s="12"/>
      <c r="D122" s="12"/>
      <c r="E122" s="12"/>
      <c r="F122" s="12"/>
      <c r="G122" s="12"/>
      <c r="H122" s="12"/>
      <c r="I122" s="12"/>
      <c r="J122" s="12"/>
      <c r="K122" s="12"/>
      <c r="L122" s="12"/>
      <c r="M122" s="12"/>
      <c r="N122" s="12"/>
      <c r="O122" s="12"/>
      <c r="P122" s="12"/>
      <c r="Q122" s="12"/>
      <c r="R122" s="12"/>
      <c r="S122" s="12"/>
      <c r="T122" s="12"/>
      <c r="U122" s="12"/>
    </row>
    <row r="123">
      <c r="A123" s="12" t="s">
        <v>101</v>
      </c>
      <c r="B123" s="12"/>
      <c r="C123" s="12"/>
      <c r="D123" s="12"/>
      <c r="E123" s="12"/>
      <c r="F123" s="12"/>
      <c r="G123" s="12"/>
      <c r="H123" s="12"/>
      <c r="I123" s="12"/>
      <c r="J123" s="12"/>
      <c r="K123" s="12"/>
      <c r="L123" s="12"/>
      <c r="M123" s="12"/>
      <c r="N123" s="12"/>
      <c r="O123" s="12"/>
      <c r="P123" s="12"/>
      <c r="Q123" s="12"/>
      <c r="R123" s="12"/>
      <c r="S123" s="12"/>
      <c r="T123" s="12"/>
      <c r="U123" s="12"/>
    </row>
    <row r="124">
      <c r="A124" s="12" t="s">
        <v>101</v>
      </c>
      <c r="B124" s="12"/>
      <c r="C124" s="12"/>
      <c r="D124" s="12"/>
      <c r="E124" s="12"/>
      <c r="F124" s="12"/>
      <c r="G124" s="12"/>
      <c r="H124" s="12"/>
      <c r="I124" s="12"/>
      <c r="J124" s="12"/>
      <c r="K124" s="12"/>
      <c r="L124" s="12"/>
      <c r="M124" s="12"/>
      <c r="N124" s="12"/>
      <c r="O124" s="12"/>
      <c r="P124" s="12"/>
      <c r="Q124" s="12"/>
      <c r="R124" s="12"/>
      <c r="S124" s="12"/>
      <c r="T124" s="12"/>
      <c r="U124" s="12"/>
    </row>
    <row r="125">
      <c r="A125" s="12" t="s">
        <v>101</v>
      </c>
      <c r="B125" s="12"/>
      <c r="C125" s="12"/>
      <c r="D125" s="12"/>
      <c r="E125" s="12"/>
      <c r="F125" s="12"/>
      <c r="G125" s="12"/>
      <c r="H125" s="12"/>
      <c r="I125" s="12"/>
      <c r="J125" s="12"/>
      <c r="K125" s="12"/>
      <c r="L125" s="12"/>
      <c r="M125" s="12"/>
      <c r="N125" s="12"/>
      <c r="O125" s="12"/>
      <c r="P125" s="12"/>
      <c r="Q125" s="12"/>
      <c r="R125" s="12"/>
      <c r="S125" s="12"/>
      <c r="T125" s="12"/>
      <c r="U125" s="12"/>
    </row>
    <row r="126">
      <c r="A126" s="12" t="s">
        <v>101</v>
      </c>
      <c r="B126" s="12"/>
      <c r="C126" s="12"/>
      <c r="D126" s="12"/>
      <c r="E126" s="12"/>
      <c r="F126" s="12"/>
      <c r="G126" s="12"/>
      <c r="H126" s="12"/>
      <c r="I126" s="12"/>
      <c r="J126" s="12"/>
      <c r="K126" s="12"/>
      <c r="L126" s="12"/>
      <c r="M126" s="12"/>
      <c r="N126" s="12"/>
      <c r="O126" s="12"/>
      <c r="P126" s="12"/>
      <c r="Q126" s="12"/>
      <c r="R126" s="12"/>
      <c r="S126" s="12"/>
      <c r="T126" s="12"/>
      <c r="U126" s="12"/>
    </row>
    <row r="127">
      <c r="A127" s="12" t="s">
        <v>101</v>
      </c>
      <c r="B127" s="12"/>
      <c r="C127" s="12"/>
      <c r="D127" s="12"/>
      <c r="E127" s="12"/>
      <c r="F127" s="12"/>
      <c r="G127" s="12"/>
      <c r="H127" s="12"/>
      <c r="I127" s="12"/>
      <c r="J127" s="12"/>
      <c r="K127" s="12"/>
      <c r="L127" s="12"/>
      <c r="M127" s="12"/>
      <c r="N127" s="12"/>
      <c r="O127" s="12"/>
      <c r="P127" s="12"/>
      <c r="Q127" s="12"/>
      <c r="R127" s="12"/>
      <c r="S127" s="12"/>
      <c r="T127" s="12"/>
      <c r="U127" s="12"/>
    </row>
    <row r="128">
      <c r="A128" s="12" t="s">
        <v>101</v>
      </c>
      <c r="B128" s="12"/>
      <c r="C128" s="12"/>
      <c r="D128" s="12"/>
      <c r="E128" s="12"/>
      <c r="F128" s="12"/>
      <c r="G128" s="12"/>
      <c r="H128" s="12"/>
      <c r="I128" s="12"/>
      <c r="J128" s="12"/>
      <c r="K128" s="12"/>
      <c r="L128" s="12"/>
      <c r="M128" s="12"/>
      <c r="N128" s="12"/>
      <c r="O128" s="12"/>
      <c r="P128" s="12"/>
      <c r="Q128" s="12"/>
      <c r="R128" s="12"/>
      <c r="S128" s="12"/>
      <c r="T128" s="12"/>
      <c r="U128" s="12"/>
    </row>
    <row r="129">
      <c r="A129" s="12" t="s">
        <v>101</v>
      </c>
      <c r="B129" s="12"/>
      <c r="C129" s="12"/>
      <c r="D129" s="12"/>
      <c r="E129" s="12"/>
      <c r="F129" s="12"/>
      <c r="G129" s="12"/>
      <c r="H129" s="12"/>
      <c r="I129" s="12"/>
      <c r="J129" s="12"/>
      <c r="K129" s="12"/>
      <c r="L129" s="12"/>
      <c r="M129" s="12"/>
      <c r="N129" s="12"/>
      <c r="O129" s="12"/>
      <c r="P129" s="12"/>
      <c r="Q129" s="12"/>
      <c r="R129" s="12"/>
      <c r="S129" s="12"/>
      <c r="T129" s="12"/>
      <c r="U129" s="12"/>
    </row>
    <row r="130">
      <c r="A130" s="12" t="s">
        <v>101</v>
      </c>
      <c r="B130" s="12"/>
      <c r="C130" s="12"/>
      <c r="D130" s="12"/>
      <c r="E130" s="12"/>
      <c r="F130" s="12"/>
      <c r="G130" s="12"/>
      <c r="H130" s="12"/>
      <c r="I130" s="12"/>
      <c r="J130" s="12"/>
      <c r="K130" s="12"/>
      <c r="L130" s="12"/>
      <c r="M130" s="12"/>
      <c r="N130" s="12"/>
      <c r="O130" s="12"/>
      <c r="P130" s="12"/>
      <c r="Q130" s="12"/>
      <c r="R130" s="12"/>
      <c r="S130" s="12"/>
      <c r="T130" s="12"/>
      <c r="U130" s="12"/>
    </row>
    <row r="131">
      <c r="A131" s="12" t="s">
        <v>101</v>
      </c>
      <c r="B131" s="12"/>
      <c r="C131" s="12"/>
      <c r="D131" s="12"/>
      <c r="E131" s="12"/>
      <c r="F131" s="12"/>
      <c r="G131" s="12"/>
      <c r="H131" s="12"/>
      <c r="I131" s="12"/>
      <c r="J131" s="12"/>
      <c r="K131" s="12"/>
      <c r="L131" s="12"/>
      <c r="M131" s="12"/>
      <c r="N131" s="12"/>
      <c r="O131" s="12"/>
      <c r="P131" s="12"/>
      <c r="Q131" s="12"/>
      <c r="R131" s="12"/>
      <c r="S131" s="12"/>
      <c r="T131" s="12"/>
      <c r="U131" s="12"/>
    </row>
    <row r="132">
      <c r="A132" s="12" t="s">
        <v>101</v>
      </c>
      <c r="B132" s="12"/>
      <c r="C132" s="12"/>
      <c r="D132" s="12"/>
      <c r="E132" s="12"/>
      <c r="F132" s="12"/>
      <c r="G132" s="12"/>
      <c r="H132" s="12"/>
      <c r="I132" s="12"/>
      <c r="J132" s="12"/>
      <c r="K132" s="12"/>
      <c r="L132" s="12"/>
      <c r="M132" s="12"/>
      <c r="N132" s="12"/>
      <c r="O132" s="12"/>
      <c r="P132" s="12"/>
      <c r="Q132" s="12"/>
      <c r="R132" s="12"/>
      <c r="S132" s="12"/>
      <c r="T132" s="12"/>
      <c r="U132" s="12"/>
    </row>
    <row r="133">
      <c r="A133" s="12" t="s">
        <v>101</v>
      </c>
      <c r="B133" s="12"/>
      <c r="C133" s="12"/>
      <c r="D133" s="12"/>
      <c r="E133" s="12"/>
      <c r="F133" s="12"/>
      <c r="G133" s="12"/>
      <c r="H133" s="12"/>
      <c r="I133" s="12"/>
      <c r="J133" s="12"/>
      <c r="K133" s="12"/>
      <c r="L133" s="12"/>
      <c r="M133" s="12"/>
      <c r="N133" s="12"/>
      <c r="O133" s="12"/>
      <c r="P133" s="12"/>
      <c r="Q133" s="12"/>
      <c r="R133" s="12"/>
      <c r="S133" s="12"/>
      <c r="T133" s="12"/>
      <c r="U133" s="12"/>
    </row>
    <row r="134">
      <c r="A134" s="12" t="s">
        <v>101</v>
      </c>
      <c r="B134" s="12"/>
      <c r="C134" s="12"/>
      <c r="D134" s="12"/>
      <c r="E134" s="12"/>
      <c r="F134" s="12"/>
      <c r="G134" s="12"/>
      <c r="H134" s="12"/>
      <c r="I134" s="12"/>
      <c r="J134" s="12"/>
      <c r="K134" s="12"/>
      <c r="L134" s="12"/>
      <c r="M134" s="12"/>
      <c r="N134" s="12"/>
      <c r="O134" s="12"/>
      <c r="P134" s="12"/>
      <c r="Q134" s="12"/>
      <c r="R134" s="12"/>
      <c r="S134" s="12"/>
      <c r="T134" s="12"/>
      <c r="U134" s="12"/>
    </row>
    <row r="135">
      <c r="A135" s="12" t="s">
        <v>101</v>
      </c>
      <c r="B135" s="12"/>
      <c r="C135" s="12"/>
      <c r="D135" s="12"/>
      <c r="E135" s="12"/>
      <c r="F135" s="12"/>
      <c r="G135" s="12"/>
      <c r="H135" s="12"/>
      <c r="I135" s="12"/>
      <c r="J135" s="12"/>
      <c r="K135" s="12"/>
      <c r="L135" s="12"/>
      <c r="M135" s="12"/>
      <c r="N135" s="12"/>
      <c r="O135" s="12"/>
      <c r="P135" s="12"/>
      <c r="Q135" s="12"/>
      <c r="R135" s="12"/>
      <c r="S135" s="12"/>
      <c r="T135" s="12"/>
      <c r="U135" s="12"/>
    </row>
    <row r="136">
      <c r="A136" s="12" t="s">
        <v>101</v>
      </c>
      <c r="B136" s="12"/>
      <c r="C136" s="12"/>
      <c r="D136" s="12"/>
      <c r="E136" s="12"/>
      <c r="F136" s="12"/>
      <c r="G136" s="12"/>
      <c r="H136" s="12"/>
      <c r="I136" s="12"/>
      <c r="J136" s="12"/>
      <c r="K136" s="12"/>
      <c r="L136" s="12"/>
      <c r="M136" s="12"/>
      <c r="N136" s="12"/>
      <c r="O136" s="12"/>
      <c r="P136" s="12"/>
      <c r="Q136" s="12"/>
      <c r="R136" s="12"/>
      <c r="S136" s="12"/>
      <c r="T136" s="12"/>
      <c r="U136" s="12"/>
    </row>
    <row r="137">
      <c r="A137" s="12" t="s">
        <v>101</v>
      </c>
      <c r="B137" s="12"/>
      <c r="C137" s="12"/>
      <c r="D137" s="12"/>
      <c r="E137" s="12"/>
      <c r="F137" s="12"/>
      <c r="G137" s="12"/>
      <c r="H137" s="12"/>
      <c r="I137" s="12"/>
      <c r="J137" s="12"/>
      <c r="K137" s="12"/>
      <c r="L137" s="12"/>
      <c r="M137" s="12"/>
      <c r="N137" s="12"/>
      <c r="O137" s="12"/>
      <c r="P137" s="12"/>
      <c r="Q137" s="12"/>
      <c r="R137" s="12"/>
      <c r="S137" s="12"/>
      <c r="T137" s="12"/>
      <c r="U137" s="12"/>
    </row>
    <row r="138">
      <c r="A138" s="12" t="s">
        <v>101</v>
      </c>
      <c r="B138" s="12"/>
      <c r="C138" s="12"/>
      <c r="D138" s="12"/>
      <c r="E138" s="12"/>
      <c r="F138" s="12"/>
      <c r="G138" s="12"/>
      <c r="H138" s="12"/>
      <c r="I138" s="12"/>
      <c r="J138" s="12"/>
      <c r="K138" s="12"/>
      <c r="L138" s="12"/>
      <c r="M138" s="12"/>
      <c r="N138" s="12"/>
      <c r="O138" s="12"/>
      <c r="P138" s="12"/>
      <c r="Q138" s="12"/>
      <c r="R138" s="12"/>
      <c r="S138" s="12"/>
      <c r="T138" s="12"/>
      <c r="U138" s="12"/>
    </row>
    <row r="139">
      <c r="A139" s="12" t="s">
        <v>101</v>
      </c>
      <c r="B139" s="12"/>
      <c r="C139" s="12"/>
      <c r="D139" s="12"/>
      <c r="E139" s="12"/>
      <c r="F139" s="12"/>
      <c r="G139" s="12"/>
      <c r="H139" s="12"/>
      <c r="I139" s="12"/>
      <c r="J139" s="12"/>
      <c r="K139" s="12"/>
      <c r="L139" s="12"/>
      <c r="M139" s="12"/>
      <c r="N139" s="12"/>
      <c r="O139" s="12"/>
      <c r="P139" s="12"/>
      <c r="Q139" s="12"/>
      <c r="R139" s="12"/>
      <c r="S139" s="12"/>
      <c r="T139" s="12"/>
      <c r="U139" s="12"/>
    </row>
    <row r="140">
      <c r="A140" s="12" t="s">
        <v>101</v>
      </c>
      <c r="B140" s="12"/>
      <c r="C140" s="12"/>
      <c r="D140" s="12"/>
      <c r="E140" s="12"/>
      <c r="F140" s="12"/>
      <c r="G140" s="12"/>
      <c r="H140" s="12"/>
      <c r="I140" s="12"/>
      <c r="J140" s="12"/>
      <c r="K140" s="12"/>
      <c r="L140" s="12"/>
      <c r="M140" s="12"/>
      <c r="N140" s="12"/>
      <c r="O140" s="12"/>
      <c r="P140" s="12"/>
      <c r="Q140" s="12"/>
      <c r="R140" s="12"/>
      <c r="S140" s="12"/>
      <c r="T140" s="12"/>
      <c r="U140" s="12"/>
    </row>
    <row r="141">
      <c r="A141" s="12" t="s">
        <v>101</v>
      </c>
      <c r="B141" s="12"/>
      <c r="C141" s="12"/>
      <c r="D141" s="12"/>
      <c r="E141" s="12"/>
      <c r="F141" s="12"/>
      <c r="G141" s="12"/>
      <c r="H141" s="12"/>
      <c r="I141" s="12"/>
      <c r="J141" s="12"/>
      <c r="K141" s="12"/>
      <c r="L141" s="12"/>
      <c r="M141" s="12"/>
      <c r="N141" s="12"/>
      <c r="O141" s="12"/>
      <c r="P141" s="12"/>
      <c r="Q141" s="12"/>
      <c r="R141" s="12"/>
      <c r="S141" s="12"/>
      <c r="T141" s="12"/>
      <c r="U141" s="12"/>
    </row>
    <row r="142">
      <c r="A142" s="12" t="s">
        <v>101</v>
      </c>
      <c r="B142" s="12"/>
      <c r="C142" s="12"/>
      <c r="D142" s="12"/>
      <c r="E142" s="12"/>
      <c r="F142" s="12"/>
      <c r="G142" s="12"/>
      <c r="H142" s="12"/>
      <c r="I142" s="12"/>
      <c r="J142" s="12"/>
      <c r="K142" s="12"/>
      <c r="L142" s="12"/>
      <c r="M142" s="12"/>
      <c r="N142" s="12"/>
      <c r="O142" s="12"/>
      <c r="P142" s="12"/>
      <c r="Q142" s="12"/>
      <c r="R142" s="12"/>
      <c r="S142" s="12"/>
      <c r="T142" s="12"/>
      <c r="U142" s="12"/>
    </row>
    <row r="143">
      <c r="A143" s="12" t="s">
        <v>101</v>
      </c>
      <c r="B143" s="12"/>
      <c r="C143" s="12"/>
      <c r="D143" s="12"/>
      <c r="E143" s="12"/>
      <c r="F143" s="12"/>
      <c r="G143" s="12"/>
      <c r="H143" s="12"/>
      <c r="I143" s="12"/>
      <c r="J143" s="12"/>
      <c r="K143" s="12"/>
      <c r="L143" s="12"/>
      <c r="M143" s="12"/>
      <c r="N143" s="12"/>
      <c r="O143" s="12"/>
      <c r="P143" s="12"/>
      <c r="Q143" s="12"/>
      <c r="R143" s="12"/>
      <c r="S143" s="12"/>
      <c r="T143" s="12"/>
      <c r="U143" s="12"/>
    </row>
    <row r="144">
      <c r="A144" s="12" t="s">
        <v>101</v>
      </c>
      <c r="B144" s="12"/>
      <c r="C144" s="12"/>
      <c r="D144" s="12"/>
      <c r="E144" s="12"/>
      <c r="F144" s="12"/>
      <c r="G144" s="12"/>
      <c r="H144" s="12"/>
      <c r="I144" s="12"/>
      <c r="J144" s="12"/>
      <c r="K144" s="12"/>
      <c r="L144" s="12"/>
      <c r="M144" s="12"/>
      <c r="N144" s="12"/>
      <c r="O144" s="12"/>
      <c r="P144" s="12"/>
      <c r="Q144" s="12"/>
      <c r="R144" s="12"/>
      <c r="S144" s="12"/>
      <c r="T144" s="12"/>
      <c r="U144" s="12"/>
    </row>
    <row r="145">
      <c r="A145" s="12" t="s">
        <v>101</v>
      </c>
      <c r="B145" s="12"/>
      <c r="C145" s="12"/>
      <c r="D145" s="12"/>
      <c r="E145" s="12"/>
      <c r="F145" s="12"/>
      <c r="G145" s="12"/>
      <c r="H145" s="12"/>
      <c r="I145" s="12"/>
      <c r="J145" s="12"/>
      <c r="K145" s="12"/>
      <c r="L145" s="12"/>
      <c r="M145" s="12"/>
      <c r="N145" s="12"/>
      <c r="O145" s="12"/>
      <c r="P145" s="12"/>
      <c r="Q145" s="12"/>
      <c r="R145" s="12"/>
      <c r="S145" s="12"/>
      <c r="T145" s="12"/>
      <c r="U145" s="12"/>
    </row>
    <row r="146">
      <c r="A146" s="12" t="s">
        <v>101</v>
      </c>
      <c r="B146" s="12"/>
      <c r="C146" s="12"/>
      <c r="D146" s="12"/>
      <c r="E146" s="12"/>
      <c r="F146" s="12"/>
      <c r="G146" s="12"/>
      <c r="H146" s="12"/>
      <c r="I146" s="12"/>
      <c r="J146" s="12"/>
      <c r="K146" s="12"/>
      <c r="L146" s="12"/>
      <c r="M146" s="12"/>
      <c r="N146" s="12"/>
      <c r="O146" s="12"/>
      <c r="P146" s="12"/>
      <c r="Q146" s="12"/>
      <c r="R146" s="12"/>
      <c r="S146" s="12"/>
      <c r="T146" s="12"/>
      <c r="U146" s="12"/>
    </row>
    <row r="147">
      <c r="A147" s="12" t="s">
        <v>101</v>
      </c>
      <c r="B147" s="12"/>
      <c r="C147" s="12"/>
      <c r="D147" s="12"/>
      <c r="E147" s="12"/>
      <c r="F147" s="12"/>
      <c r="G147" s="12"/>
      <c r="H147" s="12"/>
      <c r="I147" s="12"/>
      <c r="J147" s="12"/>
      <c r="K147" s="12"/>
      <c r="L147" s="12"/>
      <c r="M147" s="12"/>
      <c r="N147" s="12"/>
      <c r="O147" s="12"/>
      <c r="P147" s="12"/>
      <c r="Q147" s="12"/>
      <c r="R147" s="12"/>
      <c r="S147" s="12"/>
      <c r="T147" s="12"/>
      <c r="U147" s="12"/>
    </row>
    <row r="148">
      <c r="A148" s="12" t="s">
        <v>101</v>
      </c>
      <c r="B148" s="12"/>
      <c r="C148" s="12"/>
      <c r="D148" s="12"/>
      <c r="E148" s="12"/>
      <c r="F148" s="12"/>
      <c r="G148" s="12"/>
      <c r="H148" s="12"/>
      <c r="I148" s="12"/>
      <c r="J148" s="12"/>
      <c r="K148" s="12"/>
      <c r="L148" s="12"/>
      <c r="M148" s="12"/>
      <c r="N148" s="12"/>
      <c r="O148" s="12"/>
      <c r="P148" s="12"/>
      <c r="Q148" s="12"/>
      <c r="R148" s="12"/>
      <c r="S148" s="12"/>
      <c r="T148" s="12"/>
      <c r="U148" s="12"/>
    </row>
    <row r="149">
      <c r="A149" s="12" t="s">
        <v>101</v>
      </c>
      <c r="B149" s="12"/>
      <c r="C149" s="12"/>
      <c r="D149" s="12"/>
      <c r="E149" s="12"/>
      <c r="F149" s="12"/>
      <c r="G149" s="12"/>
      <c r="H149" s="12"/>
      <c r="I149" s="12"/>
      <c r="J149" s="12"/>
      <c r="K149" s="12"/>
      <c r="L149" s="12"/>
      <c r="M149" s="12"/>
      <c r="N149" s="12"/>
      <c r="O149" s="12"/>
      <c r="P149" s="12"/>
      <c r="Q149" s="12"/>
      <c r="R149" s="12"/>
      <c r="S149" s="12"/>
      <c r="T149" s="12"/>
      <c r="U149" s="12"/>
    </row>
    <row r="150">
      <c r="A150" s="12" t="s">
        <v>101</v>
      </c>
      <c r="B150" s="12"/>
      <c r="C150" s="12"/>
      <c r="D150" s="12"/>
      <c r="E150" s="12"/>
      <c r="F150" s="12"/>
      <c r="G150" s="12"/>
      <c r="H150" s="12"/>
      <c r="I150" s="12"/>
      <c r="J150" s="12"/>
      <c r="K150" s="12"/>
      <c r="L150" s="12"/>
      <c r="M150" s="12"/>
      <c r="N150" s="12"/>
      <c r="O150" s="12"/>
      <c r="P150" s="12"/>
      <c r="Q150" s="12"/>
      <c r="R150" s="12"/>
      <c r="S150" s="12"/>
      <c r="T150" s="12"/>
      <c r="U150" s="12"/>
    </row>
    <row r="151">
      <c r="A151" s="12" t="s">
        <v>101</v>
      </c>
      <c r="B151" s="12"/>
      <c r="C151" s="12"/>
      <c r="D151" s="12"/>
      <c r="E151" s="12"/>
      <c r="F151" s="12"/>
      <c r="G151" s="12"/>
      <c r="H151" s="12"/>
      <c r="I151" s="12"/>
      <c r="J151" s="12"/>
      <c r="K151" s="12"/>
      <c r="L151" s="12"/>
      <c r="M151" s="12"/>
      <c r="N151" s="12"/>
      <c r="O151" s="12"/>
      <c r="P151" s="12"/>
      <c r="Q151" s="12"/>
      <c r="R151" s="12"/>
      <c r="S151" s="12"/>
      <c r="T151" s="12"/>
      <c r="U151" s="12"/>
    </row>
    <row r="152">
      <c r="A152" s="12" t="s">
        <v>101</v>
      </c>
      <c r="B152" s="12"/>
      <c r="C152" s="12"/>
      <c r="D152" s="12"/>
      <c r="E152" s="12"/>
      <c r="F152" s="12"/>
      <c r="G152" s="12"/>
      <c r="H152" s="12"/>
      <c r="I152" s="12"/>
      <c r="J152" s="12"/>
      <c r="K152" s="12"/>
      <c r="L152" s="12"/>
      <c r="M152" s="12"/>
      <c r="N152" s="12"/>
      <c r="O152" s="12"/>
      <c r="P152" s="12"/>
      <c r="Q152" s="12"/>
      <c r="R152" s="12"/>
      <c r="S152" s="12"/>
      <c r="T152" s="12"/>
      <c r="U152" s="12"/>
    </row>
    <row r="153">
      <c r="A153" s="12" t="s">
        <v>101</v>
      </c>
      <c r="B153" s="12"/>
      <c r="C153" s="12"/>
      <c r="D153" s="12"/>
      <c r="E153" s="12"/>
      <c r="F153" s="12"/>
      <c r="G153" s="12"/>
      <c r="H153" s="12"/>
      <c r="I153" s="12"/>
      <c r="J153" s="12"/>
      <c r="K153" s="12"/>
      <c r="L153" s="12"/>
      <c r="M153" s="12"/>
      <c r="N153" s="12"/>
      <c r="O153" s="12"/>
      <c r="P153" s="12"/>
      <c r="Q153" s="12"/>
      <c r="R153" s="12"/>
      <c r="S153" s="12"/>
      <c r="T153" s="12"/>
      <c r="U153" s="12"/>
    </row>
    <row r="154">
      <c r="A154" s="12" t="s">
        <v>101</v>
      </c>
      <c r="B154" s="12"/>
      <c r="C154" s="12"/>
      <c r="D154" s="12"/>
      <c r="E154" s="12"/>
      <c r="F154" s="12"/>
      <c r="G154" s="12"/>
      <c r="H154" s="12"/>
      <c r="I154" s="12"/>
      <c r="J154" s="12"/>
      <c r="K154" s="12"/>
      <c r="L154" s="12"/>
      <c r="M154" s="12"/>
      <c r="N154" s="12"/>
      <c r="O154" s="12"/>
      <c r="P154" s="12"/>
      <c r="Q154" s="12"/>
      <c r="R154" s="12"/>
      <c r="S154" s="12"/>
      <c r="T154" s="12"/>
      <c r="U154" s="12"/>
    </row>
    <row r="155">
      <c r="A155" s="12" t="s">
        <v>101</v>
      </c>
      <c r="B155" s="12"/>
      <c r="C155" s="12"/>
      <c r="D155" s="12"/>
      <c r="E155" s="12"/>
      <c r="F155" s="12"/>
      <c r="G155" s="12"/>
      <c r="H155" s="12"/>
      <c r="I155" s="12"/>
      <c r="J155" s="12"/>
      <c r="K155" s="12"/>
      <c r="L155" s="12"/>
      <c r="M155" s="12"/>
      <c r="N155" s="12"/>
      <c r="O155" s="12"/>
      <c r="P155" s="12"/>
      <c r="Q155" s="12"/>
      <c r="R155" s="12"/>
      <c r="S155" s="12"/>
      <c r="T155" s="12"/>
      <c r="U155" s="12"/>
    </row>
    <row r="156">
      <c r="A156" s="12" t="s">
        <v>101</v>
      </c>
      <c r="B156" s="12"/>
      <c r="C156" s="12"/>
      <c r="D156" s="12"/>
      <c r="E156" s="12"/>
      <c r="F156" s="12"/>
      <c r="G156" s="12"/>
      <c r="H156" s="12"/>
      <c r="I156" s="12"/>
      <c r="J156" s="12"/>
      <c r="K156" s="12"/>
      <c r="L156" s="12"/>
      <c r="M156" s="12"/>
      <c r="N156" s="12"/>
      <c r="O156" s="12"/>
      <c r="P156" s="12"/>
      <c r="Q156" s="12"/>
      <c r="R156" s="12"/>
      <c r="S156" s="12"/>
      <c r="T156" s="12"/>
      <c r="U156" s="12"/>
    </row>
    <row r="157">
      <c r="A157" s="12" t="s">
        <v>101</v>
      </c>
      <c r="B157" s="12"/>
      <c r="C157" s="12"/>
      <c r="D157" s="12"/>
      <c r="E157" s="12"/>
      <c r="F157" s="12"/>
      <c r="G157" s="12"/>
      <c r="H157" s="12"/>
      <c r="I157" s="12"/>
      <c r="J157" s="12"/>
      <c r="K157" s="12"/>
      <c r="L157" s="12"/>
      <c r="M157" s="12"/>
      <c r="N157" s="12"/>
      <c r="O157" s="12"/>
      <c r="P157" s="12"/>
      <c r="Q157" s="12"/>
      <c r="R157" s="12"/>
      <c r="S157" s="12"/>
      <c r="T157" s="12"/>
      <c r="U157" s="12"/>
    </row>
    <row r="158">
      <c r="A158" s="12" t="s">
        <v>101</v>
      </c>
      <c r="B158" s="12"/>
      <c r="C158" s="12"/>
      <c r="D158" s="12"/>
      <c r="E158" s="12"/>
      <c r="F158" s="12"/>
      <c r="G158" s="12"/>
      <c r="H158" s="12"/>
      <c r="I158" s="12"/>
      <c r="J158" s="12"/>
      <c r="K158" s="12"/>
      <c r="L158" s="12"/>
      <c r="M158" s="12"/>
      <c r="N158" s="12"/>
      <c r="O158" s="12"/>
      <c r="P158" s="12"/>
      <c r="Q158" s="12"/>
      <c r="R158" s="12"/>
      <c r="S158" s="12"/>
      <c r="T158" s="12"/>
      <c r="U158" s="12"/>
    </row>
    <row r="159">
      <c r="A159" s="12" t="s">
        <v>101</v>
      </c>
      <c r="B159" s="12"/>
      <c r="C159" s="12"/>
      <c r="D159" s="12"/>
      <c r="E159" s="12"/>
      <c r="F159" s="12"/>
      <c r="G159" s="12"/>
      <c r="H159" s="12"/>
      <c r="I159" s="12"/>
      <c r="J159" s="12"/>
      <c r="K159" s="12"/>
      <c r="L159" s="12"/>
      <c r="M159" s="12"/>
      <c r="N159" s="12"/>
      <c r="O159" s="12"/>
      <c r="P159" s="12"/>
      <c r="Q159" s="12"/>
      <c r="R159" s="12"/>
      <c r="S159" s="12"/>
      <c r="T159" s="12"/>
      <c r="U159" s="12"/>
    </row>
    <row r="160">
      <c r="A160" s="12" t="s">
        <v>101</v>
      </c>
      <c r="B160" s="12"/>
      <c r="C160" s="12"/>
      <c r="D160" s="12"/>
      <c r="E160" s="12"/>
      <c r="F160" s="12"/>
      <c r="G160" s="12"/>
      <c r="H160" s="12"/>
      <c r="I160" s="12"/>
      <c r="J160" s="12"/>
      <c r="K160" s="12"/>
      <c r="L160" s="12"/>
      <c r="M160" s="12"/>
      <c r="N160" s="12"/>
      <c r="O160" s="12"/>
      <c r="P160" s="12"/>
      <c r="Q160" s="12"/>
      <c r="R160" s="12"/>
      <c r="S160" s="12"/>
      <c r="T160" s="12"/>
      <c r="U160" s="12"/>
    </row>
    <row r="161">
      <c r="A161" s="12" t="s">
        <v>101</v>
      </c>
      <c r="B161" s="12"/>
      <c r="C161" s="12"/>
      <c r="D161" s="12"/>
      <c r="E161" s="12"/>
      <c r="F161" s="12"/>
      <c r="G161" s="12"/>
      <c r="H161" s="12"/>
      <c r="I161" s="12"/>
      <c r="J161" s="12"/>
      <c r="K161" s="12"/>
      <c r="L161" s="12"/>
      <c r="M161" s="12"/>
      <c r="N161" s="12"/>
      <c r="O161" s="12"/>
      <c r="P161" s="12"/>
      <c r="Q161" s="12"/>
      <c r="R161" s="12"/>
      <c r="S161" s="12"/>
      <c r="T161" s="12"/>
      <c r="U161" s="12"/>
    </row>
    <row r="162">
      <c r="A162" s="12" t="s">
        <v>101</v>
      </c>
      <c r="B162" s="12"/>
      <c r="C162" s="12"/>
      <c r="D162" s="12"/>
      <c r="E162" s="12"/>
      <c r="F162" s="12"/>
      <c r="G162" s="12"/>
      <c r="H162" s="12"/>
      <c r="I162" s="12"/>
      <c r="J162" s="12"/>
      <c r="K162" s="12"/>
      <c r="L162" s="12"/>
      <c r="M162" s="12"/>
      <c r="N162" s="12"/>
      <c r="O162" s="12"/>
      <c r="P162" s="12"/>
      <c r="Q162" s="12"/>
      <c r="R162" s="12"/>
      <c r="S162" s="12"/>
      <c r="T162" s="12"/>
      <c r="U162" s="12"/>
    </row>
    <row r="163">
      <c r="A163" s="12" t="s">
        <v>101</v>
      </c>
      <c r="B163" s="12"/>
      <c r="C163" s="12"/>
      <c r="D163" s="12"/>
      <c r="E163" s="12"/>
      <c r="F163" s="12"/>
      <c r="G163" s="12"/>
      <c r="H163" s="12"/>
      <c r="I163" s="12"/>
      <c r="J163" s="12"/>
      <c r="K163" s="12"/>
      <c r="L163" s="12"/>
      <c r="M163" s="12"/>
      <c r="N163" s="12"/>
      <c r="O163" s="12"/>
      <c r="P163" s="12"/>
      <c r="Q163" s="12"/>
      <c r="R163" s="12"/>
      <c r="S163" s="12"/>
      <c r="T163" s="12"/>
      <c r="U163" s="12"/>
    </row>
    <row r="164">
      <c r="A164" s="12" t="s">
        <v>101</v>
      </c>
      <c r="B164" s="12"/>
      <c r="C164" s="12"/>
      <c r="D164" s="12"/>
      <c r="E164" s="12"/>
      <c r="F164" s="12"/>
      <c r="G164" s="12"/>
      <c r="H164" s="12"/>
      <c r="I164" s="12"/>
      <c r="J164" s="12"/>
      <c r="K164" s="12"/>
      <c r="L164" s="12"/>
      <c r="M164" s="12"/>
      <c r="N164" s="12"/>
      <c r="O164" s="12"/>
      <c r="P164" s="12"/>
      <c r="Q164" s="12"/>
      <c r="R164" s="12"/>
      <c r="S164" s="12"/>
      <c r="T164" s="12"/>
      <c r="U164" s="12"/>
    </row>
    <row r="165">
      <c r="A165" s="12" t="s">
        <v>101</v>
      </c>
      <c r="B165" s="12"/>
      <c r="C165" s="12"/>
      <c r="D165" s="12"/>
      <c r="E165" s="12"/>
      <c r="F165" s="12"/>
      <c r="G165" s="12"/>
      <c r="H165" s="12"/>
      <c r="I165" s="12"/>
      <c r="J165" s="12"/>
      <c r="K165" s="12"/>
      <c r="L165" s="12"/>
      <c r="M165" s="12"/>
      <c r="N165" s="12"/>
      <c r="O165" s="12"/>
      <c r="P165" s="12"/>
      <c r="Q165" s="12"/>
      <c r="R165" s="12"/>
      <c r="S165" s="12"/>
      <c r="T165" s="12"/>
      <c r="U165" s="12"/>
    </row>
    <row r="166">
      <c r="A166" s="12" t="s">
        <v>101</v>
      </c>
      <c r="B166" s="12"/>
      <c r="C166" s="12"/>
      <c r="D166" s="12"/>
      <c r="E166" s="12"/>
      <c r="F166" s="12"/>
      <c r="G166" s="12"/>
      <c r="H166" s="12"/>
      <c r="I166" s="12"/>
      <c r="J166" s="12"/>
      <c r="K166" s="12"/>
      <c r="L166" s="12"/>
      <c r="M166" s="12"/>
      <c r="N166" s="12"/>
      <c r="O166" s="12"/>
      <c r="P166" s="12"/>
      <c r="Q166" s="12"/>
      <c r="R166" s="12"/>
      <c r="S166" s="12"/>
      <c r="T166" s="12"/>
      <c r="U166" s="12"/>
    </row>
    <row r="167">
      <c r="A167" s="12" t="s">
        <v>101</v>
      </c>
      <c r="B167" s="12"/>
      <c r="C167" s="12"/>
      <c r="D167" s="12"/>
      <c r="E167" s="12"/>
      <c r="F167" s="12"/>
      <c r="G167" s="12"/>
      <c r="H167" s="12"/>
      <c r="I167" s="12"/>
      <c r="J167" s="12"/>
      <c r="K167" s="12"/>
      <c r="L167" s="12"/>
      <c r="M167" s="12"/>
      <c r="N167" s="12"/>
      <c r="O167" s="12"/>
      <c r="P167" s="12"/>
      <c r="Q167" s="12"/>
      <c r="R167" s="12"/>
      <c r="S167" s="12"/>
      <c r="T167" s="12"/>
      <c r="U167" s="12"/>
    </row>
    <row r="168">
      <c r="A168" s="12" t="s">
        <v>101</v>
      </c>
      <c r="B168" s="12"/>
      <c r="C168" s="12"/>
      <c r="D168" s="12"/>
      <c r="E168" s="12"/>
      <c r="F168" s="12"/>
      <c r="G168" s="12"/>
      <c r="H168" s="12"/>
      <c r="I168" s="12"/>
      <c r="J168" s="12"/>
      <c r="K168" s="12"/>
      <c r="L168" s="12"/>
      <c r="M168" s="12"/>
      <c r="N168" s="12"/>
      <c r="O168" s="12"/>
      <c r="P168" s="12"/>
      <c r="Q168" s="12"/>
      <c r="R168" s="12"/>
      <c r="S168" s="12"/>
      <c r="T168" s="12"/>
      <c r="U168" s="12"/>
    </row>
    <row r="169">
      <c r="A169" s="12" t="s">
        <v>101</v>
      </c>
      <c r="B169" s="12"/>
      <c r="C169" s="12"/>
      <c r="D169" s="12"/>
      <c r="E169" s="12"/>
      <c r="F169" s="12"/>
      <c r="G169" s="12"/>
      <c r="H169" s="12"/>
      <c r="I169" s="12"/>
      <c r="J169" s="12"/>
      <c r="K169" s="12"/>
      <c r="L169" s="12"/>
      <c r="M169" s="12"/>
      <c r="N169" s="12"/>
      <c r="O169" s="12"/>
      <c r="P169" s="12"/>
      <c r="Q169" s="12"/>
      <c r="R169" s="12"/>
      <c r="S169" s="12"/>
      <c r="T169" s="12"/>
      <c r="U169" s="12"/>
    </row>
    <row r="170">
      <c r="A170" s="12" t="s">
        <v>101</v>
      </c>
      <c r="B170" s="12"/>
      <c r="C170" s="12"/>
      <c r="D170" s="12"/>
      <c r="E170" s="12"/>
      <c r="F170" s="12"/>
      <c r="G170" s="12"/>
      <c r="H170" s="12"/>
      <c r="I170" s="12"/>
      <c r="J170" s="12"/>
      <c r="K170" s="12"/>
      <c r="L170" s="12"/>
      <c r="M170" s="12"/>
      <c r="N170" s="12"/>
      <c r="O170" s="12"/>
      <c r="P170" s="12"/>
      <c r="Q170" s="12"/>
      <c r="R170" s="12"/>
      <c r="S170" s="12"/>
      <c r="T170" s="12"/>
      <c r="U170" s="12"/>
    </row>
    <row r="171">
      <c r="A171" s="12" t="s">
        <v>101</v>
      </c>
      <c r="B171" s="12"/>
      <c r="C171" s="12"/>
      <c r="D171" s="12"/>
      <c r="E171" s="12"/>
      <c r="F171" s="12"/>
      <c r="G171" s="12"/>
      <c r="H171" s="12"/>
      <c r="I171" s="12"/>
      <c r="J171" s="12"/>
      <c r="K171" s="12"/>
      <c r="L171" s="12"/>
      <c r="M171" s="12"/>
      <c r="N171" s="12"/>
      <c r="O171" s="12"/>
      <c r="P171" s="12"/>
      <c r="Q171" s="12"/>
      <c r="R171" s="12"/>
      <c r="S171" s="12"/>
      <c r="T171" s="12"/>
      <c r="U171" s="12"/>
    </row>
    <row r="172">
      <c r="A172" s="12" t="s">
        <v>101</v>
      </c>
      <c r="B172" s="12"/>
      <c r="C172" s="12"/>
      <c r="D172" s="12"/>
      <c r="E172" s="12"/>
      <c r="F172" s="12"/>
      <c r="G172" s="12"/>
      <c r="H172" s="12"/>
      <c r="I172" s="12"/>
      <c r="J172" s="12"/>
      <c r="K172" s="12"/>
      <c r="L172" s="12"/>
      <c r="M172" s="12"/>
      <c r="N172" s="12"/>
      <c r="O172" s="12"/>
      <c r="P172" s="12"/>
      <c r="Q172" s="12"/>
      <c r="R172" s="12"/>
      <c r="S172" s="12"/>
      <c r="T172" s="12"/>
      <c r="U172" s="12"/>
    </row>
    <row r="173">
      <c r="A173" s="12" t="s">
        <v>101</v>
      </c>
      <c r="B173" s="12"/>
      <c r="C173" s="12"/>
      <c r="D173" s="12"/>
      <c r="E173" s="12"/>
      <c r="F173" s="12"/>
      <c r="G173" s="12"/>
      <c r="H173" s="12"/>
      <c r="I173" s="12"/>
      <c r="J173" s="12"/>
      <c r="K173" s="12"/>
      <c r="L173" s="12"/>
      <c r="M173" s="12"/>
      <c r="N173" s="12"/>
      <c r="O173" s="12"/>
      <c r="P173" s="12"/>
      <c r="Q173" s="12"/>
      <c r="R173" s="12"/>
      <c r="S173" s="12"/>
      <c r="T173" s="12"/>
      <c r="U173" s="12"/>
    </row>
    <row r="174">
      <c r="A174" s="12" t="s">
        <v>101</v>
      </c>
      <c r="B174" s="12"/>
      <c r="C174" s="12"/>
      <c r="D174" s="12"/>
      <c r="E174" s="12"/>
      <c r="F174" s="12"/>
      <c r="G174" s="12"/>
      <c r="H174" s="12"/>
      <c r="I174" s="12"/>
      <c r="J174" s="12"/>
      <c r="K174" s="12"/>
      <c r="L174" s="12"/>
      <c r="M174" s="12"/>
      <c r="N174" s="12"/>
      <c r="O174" s="12"/>
      <c r="P174" s="12"/>
      <c r="Q174" s="12"/>
      <c r="R174" s="12"/>
      <c r="S174" s="12"/>
      <c r="T174" s="12"/>
      <c r="U174" s="12"/>
    </row>
    <row r="175">
      <c r="A175" s="12" t="s">
        <v>101</v>
      </c>
      <c r="B175" s="12"/>
      <c r="C175" s="12"/>
      <c r="D175" s="12"/>
      <c r="E175" s="12"/>
      <c r="F175" s="12"/>
      <c r="G175" s="12"/>
      <c r="H175" s="12"/>
      <c r="I175" s="12"/>
      <c r="J175" s="12"/>
      <c r="K175" s="12"/>
      <c r="L175" s="12"/>
      <c r="M175" s="12"/>
      <c r="N175" s="12"/>
      <c r="O175" s="12"/>
      <c r="P175" s="12"/>
      <c r="Q175" s="12"/>
      <c r="R175" s="12"/>
      <c r="S175" s="12"/>
      <c r="T175" s="12"/>
      <c r="U175" s="12"/>
    </row>
    <row r="176">
      <c r="A176" s="12" t="s">
        <v>101</v>
      </c>
      <c r="B176" s="12"/>
      <c r="C176" s="12"/>
      <c r="D176" s="12"/>
      <c r="E176" s="12"/>
      <c r="F176" s="12"/>
      <c r="G176" s="12"/>
      <c r="H176" s="12"/>
      <c r="I176" s="12"/>
      <c r="J176" s="12"/>
      <c r="K176" s="12"/>
      <c r="L176" s="12"/>
      <c r="M176" s="12"/>
      <c r="N176" s="12"/>
      <c r="O176" s="12"/>
      <c r="P176" s="12"/>
      <c r="Q176" s="12"/>
      <c r="R176" s="12"/>
      <c r="S176" s="12"/>
      <c r="T176" s="12"/>
      <c r="U176" s="12"/>
    </row>
    <row r="177">
      <c r="A177" s="12" t="s">
        <v>101</v>
      </c>
      <c r="B177" s="12"/>
      <c r="C177" s="12"/>
      <c r="D177" s="12"/>
      <c r="E177" s="12"/>
      <c r="F177" s="12"/>
      <c r="G177" s="12"/>
      <c r="H177" s="12"/>
      <c r="I177" s="12"/>
      <c r="J177" s="12"/>
      <c r="K177" s="12"/>
      <c r="L177" s="12"/>
      <c r="M177" s="12"/>
      <c r="N177" s="12"/>
      <c r="O177" s="12"/>
      <c r="P177" s="12"/>
      <c r="Q177" s="12"/>
      <c r="R177" s="12"/>
      <c r="S177" s="12"/>
      <c r="T177" s="12"/>
      <c r="U177" s="12"/>
    </row>
    <row r="178">
      <c r="A178" s="12" t="s">
        <v>101</v>
      </c>
      <c r="B178" s="12"/>
      <c r="C178" s="12"/>
      <c r="D178" s="12"/>
      <c r="E178" s="12"/>
      <c r="F178" s="12"/>
      <c r="G178" s="12"/>
      <c r="H178" s="12"/>
      <c r="I178" s="12"/>
      <c r="J178" s="12"/>
      <c r="K178" s="12"/>
      <c r="L178" s="12"/>
      <c r="M178" s="12"/>
      <c r="N178" s="12"/>
      <c r="O178" s="12"/>
      <c r="P178" s="12"/>
      <c r="Q178" s="12"/>
      <c r="R178" s="12"/>
      <c r="S178" s="12"/>
      <c r="T178" s="12"/>
      <c r="U178" s="12"/>
    </row>
    <row r="179">
      <c r="A179" s="12" t="s">
        <v>101</v>
      </c>
      <c r="B179" s="12"/>
      <c r="C179" s="12"/>
      <c r="D179" s="12"/>
      <c r="E179" s="12"/>
      <c r="F179" s="12"/>
      <c r="G179" s="12"/>
      <c r="H179" s="12"/>
      <c r="I179" s="12"/>
      <c r="J179" s="12"/>
      <c r="K179" s="12"/>
      <c r="L179" s="12"/>
      <c r="M179" s="12"/>
      <c r="N179" s="12"/>
      <c r="O179" s="12"/>
      <c r="P179" s="12"/>
      <c r="Q179" s="12"/>
      <c r="R179" s="12"/>
      <c r="S179" s="12"/>
      <c r="T179" s="12"/>
      <c r="U179" s="12"/>
    </row>
    <row r="180">
      <c r="A180" s="12" t="s">
        <v>101</v>
      </c>
      <c r="B180" s="12"/>
      <c r="C180" s="12"/>
      <c r="D180" s="12"/>
      <c r="E180" s="12"/>
      <c r="F180" s="12"/>
      <c r="G180" s="12"/>
      <c r="H180" s="12"/>
      <c r="I180" s="12"/>
      <c r="J180" s="12"/>
      <c r="K180" s="12"/>
      <c r="L180" s="12"/>
      <c r="M180" s="12"/>
      <c r="N180" s="12"/>
      <c r="O180" s="12"/>
      <c r="P180" s="12"/>
      <c r="Q180" s="12"/>
      <c r="R180" s="12"/>
      <c r="S180" s="12"/>
      <c r="T180" s="12"/>
      <c r="U180" s="12"/>
    </row>
    <row r="181">
      <c r="A181" s="12" t="s">
        <v>101</v>
      </c>
      <c r="B181" s="12"/>
      <c r="C181" s="12"/>
      <c r="D181" s="12"/>
      <c r="E181" s="12"/>
      <c r="F181" s="12"/>
      <c r="G181" s="12"/>
      <c r="H181" s="12"/>
      <c r="I181" s="12"/>
      <c r="J181" s="12"/>
      <c r="K181" s="12"/>
      <c r="L181" s="12"/>
      <c r="M181" s="12"/>
      <c r="N181" s="12"/>
      <c r="O181" s="12"/>
      <c r="P181" s="12"/>
      <c r="Q181" s="12"/>
      <c r="R181" s="12"/>
      <c r="S181" s="12"/>
      <c r="T181" s="12"/>
      <c r="U181" s="12"/>
    </row>
    <row r="182">
      <c r="A182" s="12" t="s">
        <v>101</v>
      </c>
      <c r="B182" s="12"/>
      <c r="C182" s="12"/>
      <c r="D182" s="12"/>
      <c r="E182" s="12"/>
      <c r="F182" s="12"/>
      <c r="G182" s="12"/>
      <c r="H182" s="12"/>
      <c r="I182" s="12"/>
      <c r="J182" s="12"/>
      <c r="K182" s="12"/>
      <c r="L182" s="12"/>
      <c r="M182" s="12"/>
      <c r="N182" s="12"/>
      <c r="O182" s="12"/>
      <c r="P182" s="12"/>
      <c r="Q182" s="12"/>
      <c r="R182" s="12"/>
      <c r="S182" s="12"/>
      <c r="T182" s="12"/>
      <c r="U182" s="12"/>
    </row>
    <row r="183">
      <c r="A183" s="12" t="s">
        <v>101</v>
      </c>
      <c r="B183" s="12"/>
      <c r="C183" s="12"/>
      <c r="D183" s="12"/>
      <c r="E183" s="12"/>
      <c r="F183" s="12"/>
      <c r="G183" s="12"/>
      <c r="H183" s="12"/>
      <c r="I183" s="12"/>
      <c r="J183" s="12"/>
      <c r="K183" s="12"/>
      <c r="L183" s="12"/>
      <c r="M183" s="12"/>
      <c r="N183" s="12"/>
      <c r="O183" s="12"/>
      <c r="P183" s="12"/>
      <c r="Q183" s="12"/>
      <c r="R183" s="12"/>
      <c r="S183" s="12"/>
      <c r="T183" s="12"/>
      <c r="U183" s="12"/>
    </row>
    <row r="184">
      <c r="A184" s="12" t="s">
        <v>101</v>
      </c>
      <c r="B184" s="12"/>
      <c r="C184" s="12"/>
      <c r="D184" s="12"/>
      <c r="E184" s="12"/>
      <c r="F184" s="12"/>
      <c r="G184" s="12"/>
      <c r="H184" s="12"/>
      <c r="I184" s="12"/>
      <c r="J184" s="12"/>
      <c r="K184" s="12"/>
      <c r="L184" s="12"/>
      <c r="M184" s="12"/>
      <c r="N184" s="12"/>
      <c r="O184" s="12"/>
      <c r="P184" s="12"/>
      <c r="Q184" s="12"/>
      <c r="R184" s="12"/>
      <c r="S184" s="12"/>
      <c r="T184" s="12"/>
      <c r="U184" s="12"/>
    </row>
    <row r="185">
      <c r="A185" s="12" t="s">
        <v>101</v>
      </c>
      <c r="B185" s="12"/>
      <c r="C185" s="12"/>
      <c r="D185" s="12"/>
      <c r="E185" s="12"/>
      <c r="F185" s="12"/>
      <c r="G185" s="12"/>
      <c r="H185" s="12"/>
      <c r="I185" s="12"/>
      <c r="J185" s="12"/>
      <c r="K185" s="12"/>
      <c r="L185" s="12"/>
      <c r="M185" s="12"/>
      <c r="N185" s="12"/>
      <c r="O185" s="12"/>
      <c r="P185" s="12"/>
      <c r="Q185" s="12"/>
      <c r="R185" s="12"/>
      <c r="S185" s="12"/>
      <c r="T185" s="12"/>
      <c r="U185" s="12"/>
    </row>
    <row r="186">
      <c r="A186" s="12" t="s">
        <v>101</v>
      </c>
      <c r="B186" s="12"/>
      <c r="C186" s="12"/>
      <c r="D186" s="12"/>
      <c r="E186" s="12"/>
      <c r="F186" s="12"/>
      <c r="G186" s="12"/>
      <c r="H186" s="12"/>
      <c r="I186" s="12"/>
      <c r="J186" s="12"/>
      <c r="K186" s="12"/>
      <c r="L186" s="12"/>
      <c r="M186" s="12"/>
      <c r="N186" s="12"/>
      <c r="O186" s="12"/>
      <c r="P186" s="12"/>
      <c r="Q186" s="12"/>
      <c r="R186" s="12"/>
      <c r="S186" s="12"/>
      <c r="T186" s="12"/>
      <c r="U186" s="12"/>
    </row>
    <row r="187">
      <c r="A187" s="12" t="s">
        <v>101</v>
      </c>
      <c r="B187" s="12"/>
      <c r="C187" s="12"/>
      <c r="D187" s="12"/>
      <c r="E187" s="12"/>
      <c r="F187" s="12"/>
      <c r="G187" s="12"/>
      <c r="H187" s="12"/>
      <c r="I187" s="12"/>
      <c r="J187" s="12"/>
      <c r="K187" s="12"/>
      <c r="L187" s="12"/>
      <c r="M187" s="12"/>
      <c r="N187" s="12"/>
      <c r="O187" s="12"/>
      <c r="P187" s="12"/>
      <c r="Q187" s="12"/>
      <c r="R187" s="12"/>
      <c r="S187" s="12"/>
      <c r="T187" s="12"/>
      <c r="U187" s="12"/>
    </row>
    <row r="188">
      <c r="A188" s="12" t="s">
        <v>101</v>
      </c>
      <c r="B188" s="12"/>
      <c r="C188" s="12"/>
      <c r="D188" s="12"/>
      <c r="E188" s="12"/>
      <c r="F188" s="12"/>
      <c r="G188" s="12"/>
      <c r="H188" s="12"/>
      <c r="I188" s="12"/>
      <c r="J188" s="12"/>
      <c r="K188" s="12"/>
      <c r="L188" s="12"/>
      <c r="M188" s="12"/>
      <c r="N188" s="12"/>
      <c r="O188" s="12"/>
      <c r="P188" s="12"/>
      <c r="Q188" s="12"/>
      <c r="R188" s="12"/>
      <c r="S188" s="12"/>
      <c r="T188" s="12"/>
      <c r="U188" s="12"/>
    </row>
    <row r="189">
      <c r="A189" s="12" t="s">
        <v>101</v>
      </c>
      <c r="B189" s="12"/>
      <c r="C189" s="12"/>
      <c r="D189" s="12"/>
      <c r="E189" s="12"/>
      <c r="F189" s="12"/>
      <c r="G189" s="12"/>
      <c r="H189" s="12"/>
      <c r="I189" s="12"/>
      <c r="J189" s="12"/>
      <c r="K189" s="12"/>
      <c r="L189" s="12"/>
      <c r="M189" s="12"/>
      <c r="N189" s="12"/>
      <c r="O189" s="12"/>
      <c r="P189" s="12"/>
      <c r="Q189" s="12"/>
      <c r="R189" s="12"/>
      <c r="S189" s="12"/>
      <c r="T189" s="12"/>
      <c r="U189" s="12"/>
    </row>
    <row r="190">
      <c r="A190" s="12" t="s">
        <v>101</v>
      </c>
      <c r="B190" s="12"/>
      <c r="C190" s="12"/>
      <c r="D190" s="12"/>
      <c r="E190" s="12"/>
      <c r="F190" s="12"/>
      <c r="G190" s="12"/>
      <c r="H190" s="12"/>
      <c r="I190" s="12"/>
      <c r="J190" s="12"/>
      <c r="K190" s="12"/>
      <c r="L190" s="12"/>
      <c r="M190" s="12"/>
      <c r="N190" s="12"/>
      <c r="O190" s="12"/>
      <c r="P190" s="12"/>
      <c r="Q190" s="12"/>
      <c r="R190" s="12"/>
      <c r="S190" s="12"/>
      <c r="T190" s="12"/>
      <c r="U190" s="12"/>
    </row>
    <row r="191">
      <c r="A191" s="12" t="s">
        <v>101</v>
      </c>
      <c r="B191" s="12"/>
      <c r="C191" s="12"/>
      <c r="D191" s="12"/>
      <c r="E191" s="12"/>
      <c r="F191" s="12"/>
      <c r="G191" s="12"/>
      <c r="H191" s="12"/>
      <c r="I191" s="12"/>
      <c r="J191" s="12"/>
      <c r="K191" s="12"/>
      <c r="L191" s="12"/>
      <c r="M191" s="12"/>
      <c r="N191" s="12"/>
      <c r="O191" s="12"/>
      <c r="P191" s="12"/>
      <c r="Q191" s="12"/>
      <c r="R191" s="12"/>
      <c r="S191" s="12"/>
      <c r="T191" s="12"/>
      <c r="U191" s="12"/>
    </row>
    <row r="192">
      <c r="A192" s="12" t="s">
        <v>101</v>
      </c>
      <c r="B192" s="12"/>
      <c r="C192" s="12"/>
      <c r="D192" s="12"/>
      <c r="E192" s="12"/>
      <c r="F192" s="12"/>
      <c r="G192" s="12"/>
      <c r="H192" s="12"/>
      <c r="I192" s="12"/>
      <c r="J192" s="12"/>
      <c r="K192" s="12"/>
      <c r="L192" s="12"/>
      <c r="M192" s="12"/>
      <c r="N192" s="12"/>
      <c r="O192" s="12"/>
      <c r="P192" s="12"/>
      <c r="Q192" s="12"/>
      <c r="R192" s="12"/>
      <c r="S192" s="12"/>
      <c r="T192" s="12"/>
      <c r="U192" s="12"/>
    </row>
    <row r="193">
      <c r="A193" s="12" t="s">
        <v>101</v>
      </c>
      <c r="B193" s="12"/>
      <c r="C193" s="12"/>
      <c r="D193" s="12"/>
      <c r="E193" s="12"/>
      <c r="F193" s="12"/>
      <c r="G193" s="12"/>
      <c r="H193" s="12"/>
      <c r="I193" s="12"/>
      <c r="J193" s="12"/>
      <c r="K193" s="12"/>
      <c r="L193" s="12"/>
      <c r="M193" s="12"/>
      <c r="N193" s="12"/>
      <c r="O193" s="12"/>
      <c r="P193" s="12"/>
      <c r="Q193" s="12"/>
      <c r="R193" s="12"/>
      <c r="S193" s="12"/>
      <c r="T193" s="12"/>
      <c r="U193" s="12"/>
    </row>
    <row r="194">
      <c r="A194" s="12" t="s">
        <v>101</v>
      </c>
      <c r="B194" s="12"/>
      <c r="C194" s="12"/>
      <c r="D194" s="12"/>
      <c r="E194" s="12"/>
      <c r="F194" s="12"/>
      <c r="G194" s="12"/>
      <c r="H194" s="12"/>
      <c r="I194" s="12"/>
      <c r="J194" s="12"/>
      <c r="K194" s="12"/>
      <c r="L194" s="12"/>
      <c r="M194" s="12"/>
      <c r="N194" s="12"/>
      <c r="O194" s="12"/>
      <c r="P194" s="12"/>
      <c r="Q194" s="12"/>
      <c r="R194" s="12"/>
      <c r="S194" s="12"/>
      <c r="T194" s="12"/>
      <c r="U194" s="12"/>
    </row>
    <row r="195">
      <c r="A195" s="12" t="s">
        <v>101</v>
      </c>
      <c r="B195" s="12"/>
      <c r="C195" s="12"/>
      <c r="D195" s="12"/>
      <c r="E195" s="12"/>
      <c r="F195" s="12"/>
      <c r="G195" s="12"/>
      <c r="H195" s="12"/>
      <c r="I195" s="12"/>
      <c r="J195" s="12"/>
      <c r="K195" s="12"/>
      <c r="L195" s="12"/>
      <c r="M195" s="12"/>
      <c r="N195" s="12"/>
      <c r="O195" s="12"/>
      <c r="P195" s="12"/>
      <c r="Q195" s="12"/>
      <c r="R195" s="12"/>
      <c r="S195" s="12"/>
      <c r="T195" s="12"/>
      <c r="U195" s="12"/>
    </row>
    <row r="196">
      <c r="A196" s="12" t="s">
        <v>101</v>
      </c>
      <c r="B196" s="12"/>
      <c r="C196" s="12"/>
      <c r="D196" s="12"/>
      <c r="E196" s="12"/>
      <c r="F196" s="12"/>
      <c r="G196" s="12"/>
      <c r="H196" s="12"/>
      <c r="I196" s="12"/>
      <c r="J196" s="12"/>
      <c r="K196" s="12"/>
      <c r="L196" s="12"/>
      <c r="M196" s="12"/>
      <c r="N196" s="12"/>
      <c r="O196" s="12"/>
      <c r="P196" s="12"/>
      <c r="Q196" s="12"/>
      <c r="R196" s="12"/>
      <c r="S196" s="12"/>
      <c r="T196" s="12"/>
      <c r="U196" s="12"/>
    </row>
    <row r="197">
      <c r="A197" s="12" t="s">
        <v>101</v>
      </c>
      <c r="B197" s="12"/>
      <c r="C197" s="12"/>
      <c r="D197" s="12"/>
      <c r="E197" s="12"/>
      <c r="F197" s="12"/>
      <c r="G197" s="12"/>
      <c r="H197" s="12"/>
      <c r="I197" s="12"/>
      <c r="J197" s="12"/>
      <c r="K197" s="12"/>
      <c r="L197" s="12"/>
      <c r="M197" s="12"/>
      <c r="N197" s="12"/>
      <c r="O197" s="12"/>
      <c r="P197" s="12"/>
      <c r="Q197" s="12"/>
      <c r="R197" s="12"/>
      <c r="S197" s="12"/>
      <c r="T197" s="12"/>
      <c r="U197" s="12"/>
    </row>
    <row r="198">
      <c r="A198" s="12" t="s">
        <v>101</v>
      </c>
      <c r="B198" s="12"/>
      <c r="C198" s="12"/>
      <c r="D198" s="12"/>
      <c r="E198" s="12"/>
      <c r="F198" s="12"/>
      <c r="G198" s="12"/>
      <c r="H198" s="12"/>
      <c r="I198" s="12"/>
      <c r="J198" s="12"/>
      <c r="K198" s="12"/>
      <c r="L198" s="12"/>
      <c r="M198" s="12"/>
      <c r="N198" s="12"/>
      <c r="O198" s="12"/>
      <c r="P198" s="12"/>
      <c r="Q198" s="12"/>
      <c r="R198" s="12"/>
      <c r="S198" s="12"/>
      <c r="T198" s="12"/>
      <c r="U198" s="12"/>
    </row>
    <row r="199">
      <c r="A199" s="12" t="s">
        <v>101</v>
      </c>
      <c r="B199" s="12"/>
      <c r="C199" s="12"/>
      <c r="D199" s="12"/>
      <c r="E199" s="12"/>
      <c r="F199" s="12"/>
      <c r="G199" s="12"/>
      <c r="H199" s="12"/>
      <c r="I199" s="12"/>
      <c r="J199" s="12"/>
      <c r="K199" s="12"/>
      <c r="L199" s="12"/>
      <c r="M199" s="12"/>
      <c r="N199" s="12"/>
      <c r="O199" s="12"/>
      <c r="P199" s="12"/>
      <c r="Q199" s="12"/>
      <c r="R199" s="12"/>
      <c r="S199" s="12"/>
      <c r="T199" s="12"/>
      <c r="U199" s="12"/>
    </row>
    <row r="200">
      <c r="A200" s="12" t="s">
        <v>101</v>
      </c>
      <c r="B200" s="12"/>
      <c r="C200" s="12"/>
      <c r="D200" s="12"/>
      <c r="E200" s="12"/>
      <c r="F200" s="12"/>
      <c r="G200" s="12"/>
      <c r="H200" s="12"/>
      <c r="I200" s="12"/>
      <c r="J200" s="12"/>
      <c r="K200" s="12"/>
      <c r="L200" s="12"/>
      <c r="M200" s="12"/>
      <c r="N200" s="12"/>
      <c r="O200" s="12"/>
      <c r="P200" s="12"/>
      <c r="Q200" s="12"/>
      <c r="R200" s="12"/>
      <c r="S200" s="12"/>
      <c r="T200" s="12"/>
      <c r="U200" s="12"/>
    </row>
    <row r="201">
      <c r="A201" s="12" t="s">
        <v>101</v>
      </c>
      <c r="B201" s="12"/>
      <c r="C201" s="12"/>
      <c r="D201" s="12"/>
      <c r="E201" s="12"/>
      <c r="F201" s="12"/>
      <c r="G201" s="12"/>
      <c r="H201" s="12"/>
      <c r="I201" s="12"/>
      <c r="J201" s="12"/>
      <c r="K201" s="12"/>
      <c r="L201" s="12"/>
      <c r="M201" s="12"/>
      <c r="N201" s="12"/>
      <c r="O201" s="12"/>
      <c r="P201" s="12"/>
      <c r="Q201" s="12"/>
      <c r="R201" s="12"/>
      <c r="S201" s="12"/>
      <c r="T201" s="12"/>
      <c r="U201" s="12"/>
    </row>
    <row r="202">
      <c r="A202" s="12" t="s">
        <v>101</v>
      </c>
      <c r="B202" s="12"/>
      <c r="C202" s="12"/>
      <c r="D202" s="12"/>
      <c r="E202" s="12"/>
      <c r="F202" s="12"/>
      <c r="G202" s="12"/>
      <c r="H202" s="12"/>
      <c r="I202" s="12"/>
      <c r="J202" s="12"/>
      <c r="K202" s="12"/>
      <c r="L202" s="12"/>
      <c r="M202" s="12"/>
      <c r="N202" s="12"/>
      <c r="O202" s="12"/>
      <c r="P202" s="12"/>
      <c r="Q202" s="12"/>
      <c r="R202" s="12"/>
      <c r="S202" s="12"/>
      <c r="T202" s="12"/>
      <c r="U202" s="12"/>
    </row>
    <row r="203">
      <c r="A203" s="12" t="s">
        <v>101</v>
      </c>
      <c r="B203" s="12"/>
      <c r="C203" s="12"/>
      <c r="D203" s="12"/>
      <c r="E203" s="12"/>
      <c r="F203" s="12"/>
      <c r="G203" s="12"/>
      <c r="H203" s="12"/>
      <c r="I203" s="12"/>
      <c r="J203" s="12"/>
      <c r="K203" s="12"/>
      <c r="L203" s="12"/>
      <c r="M203" s="12"/>
      <c r="N203" s="12"/>
      <c r="O203" s="12"/>
      <c r="P203" s="12"/>
      <c r="Q203" s="12"/>
      <c r="R203" s="12"/>
      <c r="S203" s="12"/>
      <c r="T203" s="12"/>
      <c r="U203" s="12"/>
    </row>
    <row r="204">
      <c r="A204" s="12" t="s">
        <v>101</v>
      </c>
      <c r="B204" s="12"/>
      <c r="C204" s="12"/>
      <c r="D204" s="12"/>
      <c r="E204" s="12"/>
      <c r="F204" s="12"/>
      <c r="G204" s="12"/>
      <c r="H204" s="12"/>
      <c r="I204" s="12"/>
      <c r="J204" s="12"/>
      <c r="K204" s="12"/>
      <c r="L204" s="12"/>
      <c r="M204" s="12"/>
      <c r="N204" s="12"/>
      <c r="O204" s="12"/>
      <c r="P204" s="12"/>
      <c r="Q204" s="12"/>
      <c r="R204" s="12"/>
      <c r="S204" s="12"/>
      <c r="T204" s="12"/>
      <c r="U204" s="12"/>
    </row>
    <row r="205">
      <c r="A205" s="12" t="s">
        <v>101</v>
      </c>
      <c r="B205" s="12"/>
      <c r="C205" s="12"/>
      <c r="D205" s="12"/>
      <c r="E205" s="12"/>
      <c r="F205" s="12"/>
      <c r="G205" s="12"/>
      <c r="H205" s="12"/>
      <c r="I205" s="12"/>
      <c r="J205" s="12"/>
      <c r="K205" s="12"/>
      <c r="L205" s="12"/>
      <c r="M205" s="12"/>
      <c r="N205" s="12"/>
      <c r="O205" s="12"/>
      <c r="P205" s="12"/>
      <c r="Q205" s="12"/>
      <c r="R205" s="12"/>
      <c r="S205" s="12"/>
      <c r="T205" s="12"/>
      <c r="U205" s="12"/>
    </row>
    <row r="206">
      <c r="A206" s="12" t="s">
        <v>101</v>
      </c>
      <c r="B206" s="12"/>
      <c r="C206" s="12"/>
      <c r="D206" s="12"/>
      <c r="E206" s="12"/>
      <c r="F206" s="12"/>
      <c r="G206" s="12"/>
      <c r="H206" s="12"/>
      <c r="I206" s="12"/>
      <c r="J206" s="12"/>
      <c r="K206" s="12"/>
      <c r="L206" s="12"/>
      <c r="M206" s="12"/>
      <c r="N206" s="12"/>
      <c r="O206" s="12"/>
      <c r="P206" s="12"/>
      <c r="Q206" s="12"/>
      <c r="R206" s="12"/>
      <c r="S206" s="12"/>
      <c r="T206" s="12"/>
      <c r="U206" s="12"/>
    </row>
    <row r="207">
      <c r="A207" s="12" t="s">
        <v>101</v>
      </c>
      <c r="B207" s="12"/>
      <c r="C207" s="12"/>
      <c r="D207" s="12"/>
      <c r="E207" s="12"/>
      <c r="F207" s="12"/>
      <c r="G207" s="12"/>
      <c r="H207" s="12"/>
      <c r="I207" s="12"/>
      <c r="J207" s="12"/>
      <c r="K207" s="12"/>
      <c r="L207" s="12"/>
      <c r="M207" s="12"/>
      <c r="N207" s="12"/>
      <c r="O207" s="12"/>
      <c r="P207" s="12"/>
      <c r="Q207" s="12"/>
      <c r="R207" s="12"/>
      <c r="S207" s="12"/>
      <c r="T207" s="12"/>
      <c r="U207" s="12"/>
    </row>
    <row r="208">
      <c r="A208" s="12" t="s">
        <v>101</v>
      </c>
      <c r="B208" s="12"/>
      <c r="C208" s="12"/>
      <c r="D208" s="12"/>
      <c r="E208" s="12"/>
      <c r="F208" s="12"/>
      <c r="G208" s="12"/>
      <c r="H208" s="12"/>
      <c r="I208" s="12"/>
      <c r="J208" s="12"/>
      <c r="K208" s="12"/>
      <c r="L208" s="12"/>
      <c r="M208" s="12"/>
      <c r="N208" s="12"/>
      <c r="O208" s="12"/>
      <c r="P208" s="12"/>
      <c r="Q208" s="12"/>
      <c r="R208" s="12"/>
      <c r="S208" s="12"/>
      <c r="T208" s="12"/>
      <c r="U208" s="12"/>
    </row>
    <row r="209">
      <c r="A209" s="12" t="s">
        <v>101</v>
      </c>
      <c r="B209" s="12"/>
      <c r="C209" s="12"/>
      <c r="D209" s="12"/>
      <c r="E209" s="12"/>
      <c r="F209" s="12"/>
      <c r="G209" s="12"/>
      <c r="H209" s="12"/>
      <c r="I209" s="12"/>
      <c r="J209" s="12"/>
      <c r="K209" s="12"/>
      <c r="L209" s="12"/>
      <c r="M209" s="12"/>
      <c r="N209" s="12"/>
      <c r="O209" s="12"/>
      <c r="P209" s="12"/>
      <c r="Q209" s="12"/>
      <c r="R209" s="12"/>
      <c r="S209" s="12"/>
      <c r="T209" s="12"/>
      <c r="U209" s="12"/>
    </row>
    <row r="210">
      <c r="A210" s="12" t="s">
        <v>101</v>
      </c>
      <c r="B210" s="12"/>
      <c r="C210" s="12"/>
      <c r="D210" s="12"/>
      <c r="E210" s="12"/>
      <c r="F210" s="12"/>
      <c r="G210" s="12"/>
      <c r="H210" s="12"/>
      <c r="I210" s="12"/>
      <c r="J210" s="12"/>
      <c r="K210" s="12"/>
      <c r="L210" s="12"/>
      <c r="M210" s="12"/>
      <c r="N210" s="12"/>
      <c r="O210" s="12"/>
      <c r="P210" s="12"/>
      <c r="Q210" s="12"/>
      <c r="R210" s="12"/>
      <c r="S210" s="12"/>
      <c r="T210" s="12"/>
      <c r="U210" s="12"/>
    </row>
    <row r="211">
      <c r="A211" s="12" t="s">
        <v>101</v>
      </c>
      <c r="B211" s="12"/>
      <c r="C211" s="12"/>
      <c r="D211" s="12"/>
      <c r="E211" s="12"/>
      <c r="F211" s="12"/>
      <c r="G211" s="12"/>
      <c r="H211" s="12"/>
      <c r="I211" s="12"/>
      <c r="J211" s="12"/>
      <c r="K211" s="12"/>
      <c r="L211" s="12"/>
      <c r="M211" s="12"/>
      <c r="N211" s="12"/>
      <c r="O211" s="12"/>
      <c r="P211" s="12"/>
      <c r="Q211" s="12"/>
      <c r="R211" s="12"/>
      <c r="S211" s="12"/>
      <c r="T211" s="12"/>
      <c r="U211" s="12"/>
    </row>
    <row r="212">
      <c r="A212" s="12" t="s">
        <v>101</v>
      </c>
      <c r="B212" s="12"/>
      <c r="C212" s="12"/>
      <c r="D212" s="12"/>
      <c r="E212" s="12"/>
      <c r="F212" s="12"/>
      <c r="G212" s="12"/>
      <c r="H212" s="12"/>
      <c r="I212" s="12"/>
      <c r="J212" s="12"/>
      <c r="K212" s="12"/>
      <c r="L212" s="12"/>
      <c r="M212" s="12"/>
      <c r="N212" s="12"/>
      <c r="O212" s="12"/>
      <c r="P212" s="12"/>
      <c r="Q212" s="12"/>
      <c r="R212" s="12"/>
      <c r="S212" s="12"/>
      <c r="T212" s="12"/>
      <c r="U212" s="12"/>
    </row>
    <row r="213">
      <c r="A213" s="12" t="s">
        <v>101</v>
      </c>
      <c r="B213" s="12"/>
      <c r="C213" s="12"/>
      <c r="D213" s="12"/>
      <c r="E213" s="12"/>
      <c r="F213" s="12"/>
      <c r="G213" s="12"/>
      <c r="H213" s="12"/>
      <c r="I213" s="12"/>
      <c r="J213" s="12"/>
      <c r="K213" s="12"/>
      <c r="L213" s="12"/>
      <c r="M213" s="12"/>
      <c r="N213" s="12"/>
      <c r="O213" s="12"/>
      <c r="P213" s="12"/>
      <c r="Q213" s="12"/>
      <c r="R213" s="12"/>
      <c r="S213" s="12"/>
      <c r="T213" s="12"/>
      <c r="U213" s="12"/>
    </row>
    <row r="214">
      <c r="A214" s="12" t="s">
        <v>101</v>
      </c>
      <c r="B214" s="12"/>
      <c r="C214" s="12"/>
      <c r="D214" s="12"/>
      <c r="E214" s="12"/>
      <c r="F214" s="12"/>
      <c r="G214" s="12"/>
      <c r="H214" s="12"/>
      <c r="I214" s="12"/>
      <c r="J214" s="12"/>
      <c r="K214" s="12"/>
      <c r="L214" s="12"/>
      <c r="M214" s="12"/>
      <c r="N214" s="12"/>
      <c r="O214" s="12"/>
      <c r="P214" s="12"/>
      <c r="Q214" s="12"/>
      <c r="R214" s="12"/>
      <c r="S214" s="12"/>
      <c r="T214" s="12"/>
      <c r="U214" s="12"/>
    </row>
    <row r="215">
      <c r="A215" s="12" t="s">
        <v>101</v>
      </c>
      <c r="B215" s="12"/>
      <c r="C215" s="12"/>
      <c r="D215" s="12"/>
      <c r="E215" s="12"/>
      <c r="F215" s="12"/>
      <c r="G215" s="12"/>
      <c r="H215" s="12"/>
      <c r="I215" s="12"/>
      <c r="J215" s="12"/>
      <c r="K215" s="12"/>
      <c r="L215" s="12"/>
      <c r="M215" s="12"/>
      <c r="N215" s="12"/>
      <c r="O215" s="12"/>
      <c r="P215" s="12"/>
      <c r="Q215" s="12"/>
      <c r="R215" s="12"/>
      <c r="S215" s="12"/>
      <c r="T215" s="12"/>
      <c r="U215" s="12"/>
    </row>
    <row r="216">
      <c r="A216" s="12" t="s">
        <v>101</v>
      </c>
      <c r="B216" s="12"/>
      <c r="C216" s="12"/>
      <c r="D216" s="12"/>
      <c r="E216" s="12"/>
      <c r="F216" s="12"/>
      <c r="G216" s="12"/>
      <c r="H216" s="12"/>
      <c r="I216" s="12"/>
      <c r="J216" s="12"/>
      <c r="K216" s="12"/>
      <c r="L216" s="12"/>
      <c r="M216" s="12"/>
      <c r="N216" s="12"/>
      <c r="O216" s="12"/>
      <c r="P216" s="12"/>
      <c r="Q216" s="12"/>
      <c r="R216" s="12"/>
      <c r="S216" s="12"/>
      <c r="T216" s="12"/>
      <c r="U216" s="12"/>
    </row>
    <row r="217">
      <c r="A217" s="12" t="s">
        <v>101</v>
      </c>
      <c r="B217" s="12"/>
      <c r="C217" s="12"/>
      <c r="D217" s="12"/>
      <c r="E217" s="12"/>
      <c r="F217" s="12"/>
      <c r="G217" s="12"/>
      <c r="H217" s="12"/>
      <c r="I217" s="12"/>
      <c r="J217" s="12"/>
      <c r="K217" s="12"/>
      <c r="L217" s="12"/>
      <c r="M217" s="12"/>
      <c r="N217" s="12"/>
      <c r="O217" s="12"/>
      <c r="P217" s="12"/>
      <c r="Q217" s="12"/>
      <c r="R217" s="12"/>
      <c r="S217" s="12"/>
      <c r="T217" s="12"/>
      <c r="U217" s="12"/>
    </row>
    <row r="218">
      <c r="A218" s="12" t="s">
        <v>101</v>
      </c>
      <c r="B218" s="12"/>
      <c r="C218" s="12"/>
      <c r="D218" s="12"/>
      <c r="E218" s="12"/>
      <c r="F218" s="12"/>
      <c r="G218" s="12"/>
      <c r="H218" s="12"/>
      <c r="I218" s="12"/>
      <c r="J218" s="12"/>
      <c r="K218" s="12"/>
      <c r="L218" s="12"/>
      <c r="M218" s="12"/>
      <c r="N218" s="12"/>
      <c r="O218" s="12"/>
      <c r="P218" s="12"/>
      <c r="Q218" s="12"/>
      <c r="R218" s="12"/>
      <c r="S218" s="12"/>
      <c r="T218" s="12"/>
      <c r="U218" s="12"/>
    </row>
    <row r="219">
      <c r="A219" s="12" t="s">
        <v>101</v>
      </c>
      <c r="B219" s="12"/>
      <c r="C219" s="12"/>
      <c r="D219" s="12"/>
      <c r="E219" s="12"/>
      <c r="F219" s="12"/>
      <c r="G219" s="12"/>
      <c r="H219" s="12"/>
      <c r="I219" s="12"/>
      <c r="J219" s="12"/>
      <c r="K219" s="12"/>
      <c r="L219" s="12"/>
      <c r="M219" s="12"/>
      <c r="N219" s="12"/>
      <c r="O219" s="12"/>
      <c r="P219" s="12"/>
      <c r="Q219" s="12"/>
      <c r="R219" s="12"/>
      <c r="S219" s="12"/>
      <c r="T219" s="12"/>
      <c r="U219" s="12"/>
    </row>
    <row r="220">
      <c r="A220" s="12" t="s">
        <v>101</v>
      </c>
      <c r="B220" s="12"/>
      <c r="C220" s="12"/>
      <c r="D220" s="12"/>
      <c r="E220" s="12"/>
      <c r="F220" s="12"/>
      <c r="G220" s="12"/>
      <c r="H220" s="12"/>
      <c r="I220" s="12"/>
      <c r="J220" s="12"/>
      <c r="K220" s="12"/>
      <c r="L220" s="12"/>
      <c r="M220" s="12"/>
      <c r="N220" s="12"/>
      <c r="O220" s="12"/>
      <c r="P220" s="12"/>
      <c r="Q220" s="12"/>
      <c r="R220" s="12"/>
      <c r="S220" s="12"/>
      <c r="T220" s="12"/>
      <c r="U220" s="12"/>
    </row>
    <row r="221">
      <c r="A221" s="12" t="s">
        <v>101</v>
      </c>
      <c r="B221" s="12"/>
      <c r="C221" s="12"/>
      <c r="D221" s="12"/>
      <c r="E221" s="12"/>
      <c r="F221" s="12"/>
      <c r="G221" s="12"/>
      <c r="H221" s="12"/>
      <c r="I221" s="12"/>
      <c r="J221" s="12"/>
      <c r="K221" s="12"/>
      <c r="L221" s="12"/>
      <c r="M221" s="12"/>
      <c r="N221" s="12"/>
      <c r="O221" s="12"/>
      <c r="P221" s="12"/>
      <c r="Q221" s="12"/>
      <c r="R221" s="12"/>
      <c r="S221" s="12"/>
      <c r="T221" s="12"/>
      <c r="U221" s="12"/>
    </row>
    <row r="222">
      <c r="A222" s="12" t="s">
        <v>101</v>
      </c>
      <c r="B222" s="12"/>
      <c r="C222" s="12"/>
      <c r="D222" s="12"/>
      <c r="E222" s="12"/>
      <c r="F222" s="12"/>
      <c r="G222" s="12"/>
      <c r="H222" s="12"/>
      <c r="I222" s="12"/>
      <c r="J222" s="12"/>
      <c r="K222" s="12"/>
      <c r="L222" s="12"/>
      <c r="M222" s="12"/>
      <c r="N222" s="12"/>
      <c r="O222" s="12"/>
      <c r="P222" s="12"/>
      <c r="Q222" s="12"/>
      <c r="R222" s="12"/>
      <c r="S222" s="12"/>
      <c r="T222" s="12"/>
      <c r="U222" s="12"/>
    </row>
    <row r="223">
      <c r="A223" s="12" t="s">
        <v>101</v>
      </c>
      <c r="B223" s="12"/>
      <c r="C223" s="12"/>
      <c r="D223" s="12"/>
      <c r="E223" s="12"/>
      <c r="F223" s="12"/>
      <c r="G223" s="12"/>
      <c r="H223" s="12"/>
      <c r="I223" s="12"/>
      <c r="J223" s="12"/>
      <c r="K223" s="12"/>
      <c r="L223" s="12"/>
      <c r="M223" s="12"/>
      <c r="N223" s="12"/>
      <c r="O223" s="12"/>
      <c r="P223" s="12"/>
      <c r="Q223" s="12"/>
      <c r="R223" s="12"/>
      <c r="S223" s="12"/>
      <c r="T223" s="12"/>
      <c r="U223" s="12"/>
    </row>
    <row r="224">
      <c r="A224" s="12" t="s">
        <v>101</v>
      </c>
      <c r="B224" s="12"/>
      <c r="C224" s="12"/>
      <c r="D224" s="12"/>
      <c r="E224" s="12"/>
      <c r="F224" s="12"/>
      <c r="G224" s="12"/>
      <c r="H224" s="12"/>
      <c r="I224" s="12"/>
      <c r="J224" s="12"/>
      <c r="K224" s="12"/>
      <c r="L224" s="12"/>
      <c r="M224" s="12"/>
      <c r="N224" s="12"/>
      <c r="O224" s="12"/>
      <c r="P224" s="12"/>
      <c r="Q224" s="12"/>
      <c r="R224" s="12"/>
      <c r="S224" s="12"/>
      <c r="T224" s="12"/>
      <c r="U224" s="12"/>
    </row>
    <row r="225">
      <c r="A225" s="12" t="s">
        <v>101</v>
      </c>
      <c r="B225" s="12"/>
      <c r="C225" s="12"/>
      <c r="D225" s="12"/>
      <c r="E225" s="12"/>
      <c r="F225" s="12"/>
      <c r="G225" s="12"/>
      <c r="H225" s="12"/>
      <c r="I225" s="12"/>
      <c r="J225" s="12"/>
      <c r="K225" s="12"/>
      <c r="L225" s="12"/>
      <c r="M225" s="12"/>
      <c r="N225" s="12"/>
      <c r="O225" s="12"/>
      <c r="P225" s="12"/>
      <c r="Q225" s="12"/>
      <c r="R225" s="12"/>
      <c r="S225" s="12"/>
      <c r="T225" s="12"/>
      <c r="U225" s="12"/>
    </row>
    <row r="226">
      <c r="A226" s="12" t="s">
        <v>101</v>
      </c>
      <c r="B226" s="12"/>
      <c r="C226" s="12"/>
      <c r="D226" s="12"/>
      <c r="E226" s="12"/>
      <c r="F226" s="12"/>
      <c r="G226" s="12"/>
      <c r="H226" s="12"/>
      <c r="I226" s="12"/>
      <c r="J226" s="12"/>
      <c r="K226" s="12"/>
      <c r="L226" s="12"/>
      <c r="M226" s="12"/>
      <c r="N226" s="12"/>
      <c r="O226" s="12"/>
      <c r="P226" s="12"/>
      <c r="Q226" s="12"/>
      <c r="R226" s="12"/>
      <c r="S226" s="12"/>
      <c r="T226" s="12"/>
      <c r="U226" s="12"/>
    </row>
    <row r="227">
      <c r="A227" s="12" t="s">
        <v>101</v>
      </c>
      <c r="B227" s="12"/>
      <c r="C227" s="12"/>
      <c r="D227" s="12"/>
      <c r="E227" s="12"/>
      <c r="F227" s="12"/>
      <c r="G227" s="12"/>
      <c r="H227" s="12"/>
      <c r="I227" s="12"/>
      <c r="J227" s="12"/>
      <c r="K227" s="12"/>
      <c r="L227" s="12"/>
      <c r="M227" s="12"/>
      <c r="N227" s="12"/>
      <c r="O227" s="12"/>
      <c r="P227" s="12"/>
      <c r="Q227" s="12"/>
      <c r="R227" s="12"/>
      <c r="S227" s="12"/>
      <c r="T227" s="12"/>
      <c r="U227" s="12"/>
    </row>
    <row r="228">
      <c r="A228" s="12" t="s">
        <v>101</v>
      </c>
      <c r="B228" s="12"/>
      <c r="C228" s="12"/>
      <c r="D228" s="12"/>
      <c r="E228" s="12"/>
      <c r="F228" s="12"/>
      <c r="G228" s="12"/>
      <c r="H228" s="12"/>
      <c r="I228" s="12"/>
      <c r="J228" s="12"/>
      <c r="K228" s="12"/>
      <c r="L228" s="12"/>
      <c r="M228" s="12"/>
      <c r="N228" s="12"/>
      <c r="O228" s="12"/>
      <c r="P228" s="12"/>
      <c r="Q228" s="12"/>
      <c r="R228" s="12"/>
      <c r="S228" s="12"/>
      <c r="T228" s="12"/>
      <c r="U228" s="12"/>
    </row>
    <row r="229">
      <c r="A229" s="12" t="s">
        <v>101</v>
      </c>
      <c r="B229" s="12"/>
      <c r="C229" s="12"/>
      <c r="D229" s="12"/>
      <c r="E229" s="12"/>
      <c r="F229" s="12"/>
      <c r="G229" s="12"/>
      <c r="H229" s="12"/>
      <c r="I229" s="12"/>
      <c r="J229" s="12"/>
      <c r="K229" s="12"/>
      <c r="L229" s="12"/>
      <c r="M229" s="12"/>
      <c r="N229" s="12"/>
      <c r="O229" s="12"/>
      <c r="P229" s="12"/>
      <c r="Q229" s="12"/>
      <c r="R229" s="12"/>
      <c r="S229" s="12"/>
      <c r="T229" s="12"/>
      <c r="U229" s="12"/>
    </row>
    <row r="230">
      <c r="A230" s="12" t="s">
        <v>101</v>
      </c>
      <c r="B230" s="12"/>
      <c r="C230" s="12"/>
      <c r="D230" s="12"/>
      <c r="E230" s="12"/>
      <c r="F230" s="12"/>
      <c r="G230" s="12"/>
      <c r="H230" s="12"/>
      <c r="I230" s="12"/>
      <c r="J230" s="12"/>
      <c r="K230" s="12"/>
      <c r="L230" s="12"/>
      <c r="M230" s="12"/>
      <c r="N230" s="12"/>
      <c r="O230" s="12"/>
      <c r="P230" s="12"/>
      <c r="Q230" s="12"/>
      <c r="R230" s="12"/>
      <c r="S230" s="12"/>
      <c r="T230" s="12"/>
      <c r="U230" s="12"/>
    </row>
    <row r="231">
      <c r="A231" s="12" t="s">
        <v>101</v>
      </c>
      <c r="B231" s="12"/>
      <c r="C231" s="12"/>
      <c r="D231" s="12"/>
      <c r="E231" s="12"/>
      <c r="F231" s="12"/>
      <c r="G231" s="12"/>
      <c r="H231" s="12"/>
      <c r="I231" s="12"/>
      <c r="J231" s="12"/>
      <c r="K231" s="12"/>
      <c r="L231" s="12"/>
      <c r="M231" s="12"/>
      <c r="N231" s="12"/>
      <c r="O231" s="12"/>
      <c r="P231" s="12"/>
      <c r="Q231" s="12"/>
      <c r="R231" s="12"/>
      <c r="S231" s="12"/>
      <c r="T231" s="12"/>
      <c r="U231" s="12"/>
    </row>
    <row r="232">
      <c r="A232" s="12" t="s">
        <v>101</v>
      </c>
      <c r="B232" s="12"/>
      <c r="C232" s="12"/>
      <c r="D232" s="12"/>
      <c r="E232" s="12"/>
      <c r="F232" s="12"/>
      <c r="G232" s="12"/>
      <c r="H232" s="12"/>
      <c r="I232" s="12"/>
      <c r="J232" s="12"/>
      <c r="K232" s="12"/>
      <c r="L232" s="12"/>
      <c r="M232" s="12"/>
      <c r="N232" s="12"/>
      <c r="O232" s="12"/>
      <c r="P232" s="12"/>
      <c r="Q232" s="12"/>
      <c r="R232" s="12"/>
      <c r="S232" s="12"/>
      <c r="T232" s="12"/>
      <c r="U232" s="12"/>
    </row>
    <row r="233">
      <c r="A233" s="12" t="s">
        <v>101</v>
      </c>
      <c r="B233" s="12"/>
      <c r="C233" s="12"/>
      <c r="D233" s="12"/>
      <c r="E233" s="12"/>
      <c r="F233" s="12"/>
      <c r="G233" s="12"/>
      <c r="H233" s="12"/>
      <c r="I233" s="12"/>
      <c r="J233" s="12"/>
      <c r="K233" s="12"/>
      <c r="L233" s="12"/>
      <c r="M233" s="12"/>
      <c r="N233" s="12"/>
      <c r="O233" s="12"/>
      <c r="P233" s="12"/>
      <c r="Q233" s="12"/>
      <c r="R233" s="12"/>
      <c r="S233" s="12"/>
      <c r="T233" s="12"/>
      <c r="U233" s="12"/>
    </row>
    <row r="234">
      <c r="A234" s="12" t="s">
        <v>101</v>
      </c>
      <c r="B234" s="12"/>
      <c r="C234" s="12"/>
      <c r="D234" s="12"/>
      <c r="E234" s="12"/>
      <c r="F234" s="12"/>
      <c r="G234" s="12"/>
      <c r="H234" s="12"/>
      <c r="I234" s="12"/>
      <c r="J234" s="12"/>
      <c r="K234" s="12"/>
      <c r="L234" s="12"/>
      <c r="M234" s="12"/>
      <c r="N234" s="12"/>
      <c r="O234" s="12"/>
      <c r="P234" s="12"/>
      <c r="Q234" s="12"/>
      <c r="R234" s="12"/>
      <c r="S234" s="12"/>
      <c r="T234" s="12"/>
      <c r="U234" s="12"/>
    </row>
    <row r="235">
      <c r="A235" s="12" t="s">
        <v>101</v>
      </c>
      <c r="B235" s="12"/>
      <c r="C235" s="12"/>
      <c r="D235" s="12"/>
      <c r="E235" s="12"/>
      <c r="F235" s="12"/>
      <c r="G235" s="12"/>
      <c r="H235" s="12"/>
      <c r="I235" s="12"/>
      <c r="J235" s="12"/>
      <c r="K235" s="12"/>
      <c r="L235" s="12"/>
      <c r="M235" s="12"/>
      <c r="N235" s="12"/>
      <c r="O235" s="12"/>
      <c r="P235" s="12"/>
      <c r="Q235" s="12"/>
      <c r="R235" s="12"/>
      <c r="S235" s="12"/>
      <c r="T235" s="12"/>
      <c r="U235" s="12"/>
    </row>
    <row r="236">
      <c r="A236" s="12" t="s">
        <v>101</v>
      </c>
      <c r="B236" s="12"/>
      <c r="C236" s="12"/>
      <c r="D236" s="12"/>
      <c r="E236" s="12"/>
      <c r="F236" s="12"/>
      <c r="G236" s="12"/>
      <c r="H236" s="12"/>
      <c r="I236" s="12"/>
      <c r="J236" s="12"/>
      <c r="K236" s="12"/>
      <c r="L236" s="12"/>
      <c r="M236" s="12"/>
      <c r="N236" s="12"/>
      <c r="O236" s="12"/>
      <c r="P236" s="12"/>
      <c r="Q236" s="12"/>
      <c r="R236" s="12"/>
      <c r="S236" s="12"/>
      <c r="T236" s="12"/>
      <c r="U236" s="12"/>
    </row>
    <row r="237">
      <c r="A237" s="12" t="s">
        <v>101</v>
      </c>
      <c r="B237" s="12"/>
      <c r="C237" s="12"/>
      <c r="D237" s="12"/>
      <c r="E237" s="12"/>
      <c r="F237" s="12"/>
      <c r="G237" s="12"/>
      <c r="H237" s="12"/>
      <c r="I237" s="12"/>
      <c r="J237" s="12"/>
      <c r="K237" s="12"/>
      <c r="L237" s="12"/>
      <c r="M237" s="12"/>
      <c r="N237" s="12"/>
      <c r="O237" s="12"/>
      <c r="P237" s="12"/>
      <c r="Q237" s="12"/>
      <c r="R237" s="12"/>
      <c r="S237" s="12"/>
      <c r="T237" s="12"/>
      <c r="U237" s="12"/>
    </row>
    <row r="238">
      <c r="A238" s="12" t="s">
        <v>101</v>
      </c>
      <c r="B238" s="12"/>
      <c r="C238" s="12"/>
      <c r="D238" s="12"/>
      <c r="E238" s="12"/>
      <c r="F238" s="12"/>
      <c r="G238" s="12"/>
      <c r="H238" s="12"/>
      <c r="I238" s="12"/>
      <c r="J238" s="12"/>
      <c r="K238" s="12"/>
      <c r="L238" s="12"/>
      <c r="M238" s="12"/>
      <c r="N238" s="12"/>
      <c r="O238" s="12"/>
      <c r="P238" s="12"/>
      <c r="Q238" s="12"/>
      <c r="R238" s="12"/>
      <c r="S238" s="12"/>
      <c r="T238" s="12"/>
      <c r="U238" s="12"/>
    </row>
    <row r="239">
      <c r="A239" s="12" t="s">
        <v>101</v>
      </c>
      <c r="B239" s="12"/>
      <c r="C239" s="12"/>
      <c r="D239" s="12"/>
      <c r="E239" s="12"/>
      <c r="F239" s="12"/>
      <c r="G239" s="12"/>
      <c r="H239" s="12"/>
      <c r="I239" s="12"/>
      <c r="J239" s="12"/>
      <c r="K239" s="12"/>
      <c r="L239" s="12"/>
      <c r="M239" s="12"/>
      <c r="N239" s="12"/>
      <c r="O239" s="12"/>
      <c r="P239" s="12"/>
      <c r="Q239" s="12"/>
      <c r="R239" s="12"/>
      <c r="S239" s="12"/>
      <c r="T239" s="12"/>
      <c r="U239" s="12"/>
    </row>
    <row r="240">
      <c r="A240" s="12" t="s">
        <v>101</v>
      </c>
      <c r="B240" s="12"/>
      <c r="C240" s="12"/>
      <c r="D240" s="12"/>
      <c r="E240" s="12"/>
      <c r="F240" s="12"/>
      <c r="G240" s="12"/>
      <c r="H240" s="12"/>
      <c r="I240" s="12"/>
      <c r="J240" s="12"/>
      <c r="K240" s="12"/>
      <c r="L240" s="12"/>
      <c r="M240" s="12"/>
      <c r="N240" s="12"/>
      <c r="O240" s="12"/>
      <c r="P240" s="12"/>
      <c r="Q240" s="12"/>
      <c r="R240" s="12"/>
      <c r="S240" s="12"/>
      <c r="T240" s="12"/>
      <c r="U240" s="12"/>
    </row>
    <row r="241">
      <c r="A241" s="12" t="s">
        <v>101</v>
      </c>
      <c r="B241" s="12"/>
      <c r="C241" s="12"/>
      <c r="D241" s="12"/>
      <c r="E241" s="12"/>
      <c r="F241" s="12"/>
      <c r="G241" s="12"/>
      <c r="H241" s="12"/>
      <c r="I241" s="12"/>
      <c r="J241" s="12"/>
      <c r="K241" s="12"/>
      <c r="L241" s="12"/>
      <c r="M241" s="12"/>
      <c r="N241" s="12"/>
      <c r="O241" s="12"/>
      <c r="P241" s="12"/>
      <c r="Q241" s="12"/>
      <c r="R241" s="12"/>
      <c r="S241" s="12"/>
      <c r="T241" s="12"/>
      <c r="U241" s="12"/>
    </row>
    <row r="242">
      <c r="A242" s="12" t="s">
        <v>101</v>
      </c>
      <c r="B242" s="12"/>
      <c r="C242" s="12"/>
      <c r="D242" s="12"/>
      <c r="E242" s="12"/>
      <c r="F242" s="12"/>
      <c r="G242" s="12"/>
      <c r="H242" s="12"/>
      <c r="I242" s="12"/>
      <c r="J242" s="12"/>
      <c r="K242" s="12"/>
      <c r="L242" s="12"/>
      <c r="M242" s="12"/>
      <c r="N242" s="12"/>
      <c r="O242" s="12"/>
      <c r="P242" s="12"/>
      <c r="Q242" s="12"/>
      <c r="R242" s="12"/>
      <c r="S242" s="12"/>
      <c r="T242" s="12"/>
      <c r="U242" s="12"/>
    </row>
    <row r="243">
      <c r="A243" s="12" t="s">
        <v>101</v>
      </c>
      <c r="B243" s="12"/>
      <c r="C243" s="12"/>
      <c r="D243" s="12"/>
      <c r="E243" s="12"/>
      <c r="F243" s="12"/>
      <c r="G243" s="12"/>
      <c r="H243" s="12"/>
      <c r="I243" s="12"/>
      <c r="J243" s="12"/>
      <c r="K243" s="12"/>
      <c r="L243" s="12"/>
      <c r="M243" s="12"/>
      <c r="N243" s="12"/>
      <c r="O243" s="12"/>
      <c r="P243" s="12"/>
      <c r="Q243" s="12"/>
      <c r="R243" s="12"/>
      <c r="S243" s="12"/>
      <c r="T243" s="12"/>
      <c r="U243" s="12"/>
    </row>
    <row r="244">
      <c r="A244" s="12" t="s">
        <v>101</v>
      </c>
      <c r="B244" s="12"/>
      <c r="C244" s="12"/>
      <c r="D244" s="12"/>
      <c r="E244" s="12"/>
      <c r="F244" s="12"/>
      <c r="G244" s="12"/>
      <c r="H244" s="12"/>
      <c r="I244" s="12"/>
      <c r="J244" s="12"/>
      <c r="K244" s="12"/>
      <c r="L244" s="12"/>
      <c r="M244" s="12"/>
      <c r="N244" s="12"/>
      <c r="O244" s="12"/>
      <c r="P244" s="12"/>
      <c r="Q244" s="12"/>
      <c r="R244" s="12"/>
      <c r="S244" s="12"/>
      <c r="T244" s="12"/>
      <c r="U244" s="12"/>
    </row>
    <row r="245">
      <c r="A245" s="12" t="s">
        <v>101</v>
      </c>
      <c r="B245" s="12"/>
      <c r="C245" s="12"/>
      <c r="D245" s="12"/>
      <c r="E245" s="12"/>
      <c r="F245" s="12"/>
      <c r="G245" s="12"/>
      <c r="H245" s="12"/>
      <c r="I245" s="12"/>
      <c r="J245" s="12"/>
      <c r="K245" s="12"/>
      <c r="L245" s="12"/>
      <c r="M245" s="12"/>
      <c r="N245" s="12"/>
      <c r="O245" s="12"/>
      <c r="P245" s="12"/>
      <c r="Q245" s="12"/>
      <c r="R245" s="12"/>
      <c r="S245" s="12"/>
      <c r="T245" s="12"/>
      <c r="U245" s="12"/>
    </row>
    <row r="246">
      <c r="A246" s="12" t="s">
        <v>101</v>
      </c>
      <c r="B246" s="12"/>
      <c r="C246" s="12"/>
      <c r="D246" s="12"/>
      <c r="E246" s="12"/>
      <c r="F246" s="12"/>
      <c r="G246" s="12"/>
      <c r="H246" s="12"/>
      <c r="I246" s="12"/>
      <c r="J246" s="12"/>
      <c r="K246" s="12"/>
      <c r="L246" s="12"/>
      <c r="M246" s="12"/>
      <c r="N246" s="12"/>
      <c r="O246" s="12"/>
      <c r="P246" s="12"/>
      <c r="Q246" s="12"/>
      <c r="R246" s="12"/>
      <c r="S246" s="12"/>
      <c r="T246" s="12"/>
      <c r="U246" s="12"/>
    </row>
    <row r="247">
      <c r="A247" s="12" t="s">
        <v>101</v>
      </c>
      <c r="B247" s="12"/>
      <c r="C247" s="12"/>
      <c r="D247" s="12"/>
      <c r="E247" s="12"/>
      <c r="F247" s="12"/>
      <c r="G247" s="12"/>
      <c r="H247" s="12"/>
      <c r="I247" s="12"/>
      <c r="J247" s="12"/>
      <c r="K247" s="12"/>
      <c r="L247" s="12"/>
      <c r="M247" s="12"/>
      <c r="N247" s="12"/>
      <c r="O247" s="12"/>
      <c r="P247" s="12"/>
      <c r="Q247" s="12"/>
      <c r="R247" s="12"/>
      <c r="S247" s="12"/>
      <c r="T247" s="12"/>
      <c r="U247" s="12"/>
    </row>
    <row r="248">
      <c r="A248" s="12" t="s">
        <v>101</v>
      </c>
      <c r="B248" s="12"/>
      <c r="C248" s="12"/>
      <c r="D248" s="12"/>
      <c r="E248" s="12"/>
      <c r="F248" s="12"/>
      <c r="G248" s="12"/>
      <c r="H248" s="12"/>
      <c r="I248" s="12"/>
      <c r="J248" s="12"/>
      <c r="K248" s="12"/>
      <c r="L248" s="12"/>
      <c r="M248" s="12"/>
      <c r="N248" s="12"/>
      <c r="O248" s="12"/>
      <c r="P248" s="12"/>
      <c r="Q248" s="12"/>
      <c r="R248" s="12"/>
      <c r="S248" s="12"/>
      <c r="T248" s="12"/>
      <c r="U248" s="12"/>
    </row>
    <row r="249">
      <c r="A249" s="12" t="s">
        <v>101</v>
      </c>
      <c r="B249" s="12"/>
      <c r="C249" s="12"/>
      <c r="D249" s="12"/>
      <c r="E249" s="12"/>
      <c r="F249" s="12"/>
      <c r="G249" s="12"/>
      <c r="H249" s="12"/>
      <c r="I249" s="12"/>
      <c r="J249" s="12"/>
      <c r="K249" s="12"/>
      <c r="L249" s="12"/>
      <c r="M249" s="12"/>
      <c r="N249" s="12"/>
      <c r="O249" s="12"/>
      <c r="P249" s="12"/>
      <c r="Q249" s="12"/>
      <c r="R249" s="12"/>
      <c r="S249" s="12"/>
      <c r="T249" s="12"/>
      <c r="U249" s="12"/>
    </row>
    <row r="250">
      <c r="A250" s="12" t="s">
        <v>101</v>
      </c>
      <c r="B250" s="12"/>
      <c r="C250" s="12"/>
      <c r="D250" s="12"/>
      <c r="E250" s="12"/>
      <c r="F250" s="12"/>
      <c r="G250" s="12"/>
      <c r="H250" s="12"/>
      <c r="I250" s="12"/>
      <c r="J250" s="12"/>
      <c r="K250" s="12"/>
      <c r="L250" s="12"/>
      <c r="M250" s="12"/>
      <c r="N250" s="12"/>
      <c r="O250" s="12"/>
      <c r="P250" s="12"/>
      <c r="Q250" s="12"/>
      <c r="R250" s="12"/>
      <c r="S250" s="12"/>
      <c r="T250" s="12"/>
      <c r="U250" s="12"/>
    </row>
    <row r="251">
      <c r="A251" s="12" t="s">
        <v>101</v>
      </c>
      <c r="B251" s="12"/>
      <c r="C251" s="12"/>
      <c r="D251" s="12"/>
      <c r="E251" s="12"/>
      <c r="F251" s="12"/>
      <c r="G251" s="12"/>
      <c r="H251" s="12"/>
      <c r="I251" s="12"/>
      <c r="J251" s="12"/>
      <c r="K251" s="12"/>
      <c r="L251" s="12"/>
      <c r="M251" s="12"/>
      <c r="N251" s="12"/>
      <c r="O251" s="12"/>
      <c r="P251" s="12"/>
      <c r="Q251" s="12"/>
      <c r="R251" s="12"/>
      <c r="S251" s="12"/>
      <c r="T251" s="12"/>
      <c r="U251" s="12"/>
    </row>
    <row r="252">
      <c r="A252" s="12" t="s">
        <v>101</v>
      </c>
      <c r="B252" s="12"/>
      <c r="C252" s="12"/>
      <c r="D252" s="12"/>
      <c r="E252" s="12"/>
      <c r="F252" s="12"/>
      <c r="G252" s="12"/>
      <c r="H252" s="12"/>
      <c r="I252" s="12"/>
      <c r="J252" s="12"/>
      <c r="K252" s="12"/>
      <c r="L252" s="12"/>
      <c r="M252" s="12"/>
      <c r="N252" s="12"/>
      <c r="O252" s="12"/>
      <c r="P252" s="12"/>
      <c r="Q252" s="12"/>
      <c r="R252" s="12"/>
      <c r="S252" s="12"/>
      <c r="T252" s="12"/>
      <c r="U252" s="12"/>
    </row>
    <row r="253">
      <c r="A253" s="12" t="s">
        <v>101</v>
      </c>
      <c r="B253" s="12"/>
      <c r="C253" s="12"/>
      <c r="D253" s="12"/>
      <c r="E253" s="12"/>
      <c r="F253" s="12"/>
      <c r="G253" s="12"/>
      <c r="H253" s="12"/>
      <c r="I253" s="12"/>
      <c r="J253" s="12"/>
      <c r="K253" s="12"/>
      <c r="L253" s="12"/>
      <c r="M253" s="12"/>
      <c r="N253" s="12"/>
      <c r="O253" s="12"/>
      <c r="P253" s="12"/>
      <c r="Q253" s="12"/>
      <c r="R253" s="12"/>
      <c r="S253" s="12"/>
      <c r="T253" s="12"/>
      <c r="U253" s="12"/>
    </row>
    <row r="254">
      <c r="A254" s="12" t="s">
        <v>101</v>
      </c>
      <c r="B254" s="12"/>
      <c r="C254" s="12"/>
      <c r="D254" s="12"/>
      <c r="E254" s="12"/>
      <c r="F254" s="12"/>
      <c r="G254" s="12"/>
      <c r="H254" s="12"/>
      <c r="I254" s="12"/>
      <c r="J254" s="12"/>
      <c r="K254" s="12"/>
      <c r="L254" s="12"/>
      <c r="M254" s="12"/>
      <c r="N254" s="12"/>
      <c r="O254" s="12"/>
      <c r="P254" s="12"/>
      <c r="Q254" s="12"/>
      <c r="R254" s="12"/>
      <c r="S254" s="12"/>
      <c r="T254" s="12"/>
      <c r="U254" s="12"/>
    </row>
    <row r="255">
      <c r="A255" s="12" t="s">
        <v>101</v>
      </c>
      <c r="B255" s="12"/>
      <c r="C255" s="12"/>
      <c r="D255" s="12"/>
      <c r="E255" s="12"/>
      <c r="F255" s="12"/>
      <c r="G255" s="12"/>
      <c r="H255" s="12"/>
      <c r="I255" s="12"/>
      <c r="J255" s="12"/>
      <c r="K255" s="12"/>
      <c r="L255" s="12"/>
      <c r="M255" s="12"/>
      <c r="N255" s="12"/>
      <c r="O255" s="12"/>
      <c r="P255" s="12"/>
      <c r="Q255" s="12"/>
      <c r="R255" s="12"/>
      <c r="S255" s="12"/>
      <c r="T255" s="12"/>
      <c r="U255" s="12"/>
    </row>
    <row r="256">
      <c r="A256" s="12" t="s">
        <v>101</v>
      </c>
      <c r="B256" s="12"/>
      <c r="C256" s="12"/>
      <c r="D256" s="12"/>
      <c r="E256" s="12"/>
      <c r="F256" s="12"/>
      <c r="G256" s="12"/>
      <c r="H256" s="12"/>
      <c r="I256" s="12"/>
      <c r="J256" s="12"/>
      <c r="K256" s="12"/>
      <c r="L256" s="12"/>
      <c r="M256" s="12"/>
      <c r="N256" s="12"/>
      <c r="O256" s="12"/>
      <c r="P256" s="12"/>
      <c r="Q256" s="12"/>
      <c r="R256" s="12"/>
      <c r="S256" s="12"/>
      <c r="T256" s="12"/>
      <c r="U256" s="12"/>
    </row>
    <row r="257">
      <c r="A257" s="12" t="s">
        <v>101</v>
      </c>
      <c r="B257" s="12"/>
      <c r="C257" s="12"/>
      <c r="D257" s="12"/>
      <c r="E257" s="12"/>
      <c r="F257" s="12"/>
      <c r="G257" s="12"/>
      <c r="H257" s="12"/>
      <c r="I257" s="12"/>
      <c r="J257" s="12"/>
      <c r="K257" s="12"/>
      <c r="L257" s="12"/>
      <c r="M257" s="12"/>
      <c r="N257" s="12"/>
      <c r="O257" s="12"/>
      <c r="P257" s="12"/>
      <c r="Q257" s="12"/>
      <c r="R257" s="12"/>
      <c r="S257" s="12"/>
      <c r="T257" s="12"/>
      <c r="U257" s="12"/>
    </row>
    <row r="258">
      <c r="A258" s="12" t="s">
        <v>101</v>
      </c>
      <c r="B258" s="12"/>
      <c r="C258" s="12"/>
      <c r="D258" s="12"/>
      <c r="E258" s="12"/>
      <c r="F258" s="12"/>
      <c r="G258" s="12"/>
      <c r="H258" s="12"/>
      <c r="I258" s="12"/>
      <c r="J258" s="12"/>
      <c r="K258" s="12"/>
      <c r="L258" s="12"/>
      <c r="M258" s="12"/>
      <c r="N258" s="12"/>
      <c r="O258" s="12"/>
      <c r="P258" s="12"/>
      <c r="Q258" s="12"/>
      <c r="R258" s="12"/>
      <c r="S258" s="12"/>
      <c r="T258" s="12"/>
      <c r="U258" s="12"/>
    </row>
    <row r="259">
      <c r="A259" s="12" t="s">
        <v>101</v>
      </c>
      <c r="B259" s="12"/>
      <c r="C259" s="12"/>
      <c r="D259" s="12"/>
      <c r="E259" s="12"/>
      <c r="F259" s="12"/>
      <c r="G259" s="12"/>
      <c r="H259" s="12"/>
      <c r="I259" s="12"/>
      <c r="J259" s="12"/>
      <c r="K259" s="12"/>
      <c r="L259" s="12"/>
      <c r="M259" s="12"/>
      <c r="N259" s="12"/>
      <c r="O259" s="12"/>
      <c r="P259" s="12"/>
      <c r="Q259" s="12"/>
      <c r="R259" s="12"/>
      <c r="S259" s="12"/>
      <c r="T259" s="12"/>
      <c r="U259" s="12"/>
    </row>
    <row r="260">
      <c r="A260" s="12" t="s">
        <v>101</v>
      </c>
      <c r="B260" s="12"/>
      <c r="C260" s="12"/>
      <c r="D260" s="12"/>
      <c r="E260" s="12"/>
      <c r="F260" s="12"/>
      <c r="G260" s="12"/>
      <c r="H260" s="12"/>
      <c r="I260" s="12"/>
      <c r="J260" s="12"/>
      <c r="K260" s="12"/>
      <c r="L260" s="12"/>
      <c r="M260" s="12"/>
      <c r="N260" s="12"/>
      <c r="O260" s="12"/>
      <c r="P260" s="12"/>
      <c r="Q260" s="12"/>
      <c r="R260" s="12"/>
      <c r="S260" s="12"/>
      <c r="T260" s="12"/>
      <c r="U260" s="12"/>
    </row>
    <row r="261">
      <c r="A261" s="12" t="s">
        <v>101</v>
      </c>
      <c r="B261" s="12"/>
      <c r="C261" s="12"/>
      <c r="D261" s="12"/>
      <c r="E261" s="12"/>
      <c r="F261" s="12"/>
      <c r="G261" s="12"/>
      <c r="H261" s="12"/>
      <c r="I261" s="12"/>
      <c r="J261" s="12"/>
      <c r="K261" s="12"/>
      <c r="L261" s="12"/>
      <c r="M261" s="12"/>
      <c r="N261" s="12"/>
      <c r="O261" s="12"/>
      <c r="P261" s="12"/>
      <c r="Q261" s="12"/>
      <c r="R261" s="12"/>
      <c r="S261" s="12"/>
      <c r="T261" s="12"/>
      <c r="U261" s="12"/>
    </row>
    <row r="262">
      <c r="A262" s="12" t="s">
        <v>101</v>
      </c>
      <c r="B262" s="12"/>
      <c r="C262" s="12"/>
      <c r="D262" s="12"/>
      <c r="E262" s="12"/>
      <c r="F262" s="12"/>
      <c r="G262" s="12"/>
      <c r="H262" s="12"/>
      <c r="I262" s="12"/>
      <c r="J262" s="12"/>
      <c r="K262" s="12"/>
      <c r="L262" s="12"/>
      <c r="M262" s="12"/>
      <c r="N262" s="12"/>
      <c r="O262" s="12"/>
      <c r="P262" s="12"/>
      <c r="Q262" s="12"/>
      <c r="R262" s="12"/>
      <c r="S262" s="12"/>
      <c r="T262" s="12"/>
      <c r="U262" s="12"/>
    </row>
    <row r="263">
      <c r="A263" s="12" t="s">
        <v>101</v>
      </c>
      <c r="B263" s="12"/>
      <c r="C263" s="12"/>
      <c r="D263" s="12"/>
      <c r="E263" s="12"/>
      <c r="F263" s="12"/>
      <c r="G263" s="12"/>
      <c r="H263" s="12"/>
      <c r="I263" s="12"/>
      <c r="J263" s="12"/>
      <c r="K263" s="12"/>
      <c r="L263" s="12"/>
      <c r="M263" s="12"/>
      <c r="N263" s="12"/>
      <c r="O263" s="12"/>
      <c r="P263" s="12"/>
      <c r="Q263" s="12"/>
      <c r="R263" s="12"/>
      <c r="S263" s="12"/>
      <c r="T263" s="12"/>
      <c r="U263" s="12"/>
    </row>
    <row r="264">
      <c r="A264" s="12" t="s">
        <v>101</v>
      </c>
      <c r="B264" s="12"/>
      <c r="C264" s="12"/>
      <c r="D264" s="12"/>
      <c r="E264" s="12"/>
      <c r="F264" s="12"/>
      <c r="G264" s="12"/>
      <c r="H264" s="12"/>
      <c r="I264" s="12"/>
      <c r="J264" s="12"/>
      <c r="K264" s="12"/>
      <c r="L264" s="12"/>
      <c r="M264" s="12"/>
      <c r="N264" s="12"/>
      <c r="O264" s="12"/>
      <c r="P264" s="12"/>
      <c r="Q264" s="12"/>
      <c r="R264" s="12"/>
      <c r="S264" s="12"/>
      <c r="T264" s="12"/>
      <c r="U264" s="12"/>
    </row>
    <row r="265">
      <c r="A265" s="12" t="s">
        <v>101</v>
      </c>
      <c r="B265" s="12"/>
      <c r="C265" s="12"/>
      <c r="D265" s="12"/>
      <c r="E265" s="12"/>
      <c r="F265" s="12"/>
      <c r="G265" s="12"/>
      <c r="H265" s="12"/>
      <c r="I265" s="12"/>
      <c r="J265" s="12"/>
      <c r="K265" s="12"/>
      <c r="L265" s="12"/>
      <c r="M265" s="12"/>
      <c r="N265" s="12"/>
      <c r="O265" s="12"/>
      <c r="P265" s="12"/>
      <c r="Q265" s="12"/>
      <c r="R265" s="12"/>
      <c r="S265" s="12"/>
      <c r="T265" s="12"/>
      <c r="U265" s="12"/>
    </row>
    <row r="266">
      <c r="A266" s="12" t="s">
        <v>101</v>
      </c>
      <c r="B266" s="12"/>
      <c r="C266" s="12"/>
      <c r="D266" s="12"/>
      <c r="E266" s="12"/>
      <c r="F266" s="12"/>
      <c r="G266" s="12"/>
      <c r="H266" s="12"/>
      <c r="I266" s="12"/>
      <c r="J266" s="12"/>
      <c r="K266" s="12"/>
      <c r="L266" s="12"/>
      <c r="M266" s="12"/>
      <c r="N266" s="12"/>
      <c r="O266" s="12"/>
      <c r="P266" s="12"/>
      <c r="Q266" s="12"/>
      <c r="R266" s="12"/>
      <c r="S266" s="12"/>
      <c r="T266" s="12"/>
      <c r="U266" s="12"/>
    </row>
    <row r="267">
      <c r="A267" s="12" t="s">
        <v>101</v>
      </c>
      <c r="B267" s="12"/>
      <c r="C267" s="12"/>
      <c r="D267" s="12"/>
      <c r="E267" s="12"/>
      <c r="F267" s="12"/>
      <c r="G267" s="12"/>
      <c r="H267" s="12"/>
      <c r="I267" s="12"/>
      <c r="J267" s="12"/>
      <c r="K267" s="12"/>
      <c r="L267" s="12"/>
      <c r="M267" s="12"/>
      <c r="N267" s="12"/>
      <c r="O267" s="12"/>
      <c r="P267" s="12"/>
      <c r="Q267" s="12"/>
      <c r="R267" s="12"/>
      <c r="S267" s="12"/>
      <c r="T267" s="12"/>
      <c r="U267" s="12"/>
    </row>
    <row r="268">
      <c r="A268" s="12" t="s">
        <v>101</v>
      </c>
      <c r="B268" s="12"/>
      <c r="C268" s="12"/>
      <c r="D268" s="12"/>
      <c r="E268" s="12"/>
      <c r="F268" s="12"/>
      <c r="G268" s="12"/>
      <c r="H268" s="12"/>
      <c r="I268" s="12"/>
      <c r="J268" s="12"/>
      <c r="K268" s="12"/>
      <c r="L268" s="12"/>
      <c r="M268" s="12"/>
      <c r="N268" s="12"/>
      <c r="O268" s="12"/>
      <c r="P268" s="12"/>
      <c r="Q268" s="12"/>
      <c r="R268" s="12"/>
      <c r="S268" s="12"/>
      <c r="T268" s="12"/>
      <c r="U268" s="12"/>
    </row>
    <row r="269">
      <c r="A269" s="12" t="s">
        <v>101</v>
      </c>
      <c r="B269" s="12"/>
      <c r="C269" s="12"/>
      <c r="D269" s="12"/>
      <c r="E269" s="12"/>
      <c r="F269" s="12"/>
      <c r="G269" s="12"/>
      <c r="H269" s="12"/>
      <c r="I269" s="12"/>
      <c r="J269" s="12"/>
      <c r="K269" s="12"/>
      <c r="L269" s="12"/>
      <c r="M269" s="12"/>
      <c r="N269" s="12"/>
      <c r="O269" s="12"/>
      <c r="P269" s="12"/>
      <c r="Q269" s="12"/>
      <c r="R269" s="12"/>
      <c r="S269" s="12"/>
      <c r="T269" s="12"/>
      <c r="U269" s="12"/>
    </row>
    <row r="270">
      <c r="A270" s="12" t="s">
        <v>101</v>
      </c>
      <c r="B270" s="12"/>
      <c r="C270" s="12"/>
      <c r="D270" s="12"/>
      <c r="E270" s="12"/>
      <c r="F270" s="12"/>
      <c r="G270" s="12"/>
      <c r="H270" s="12"/>
      <c r="I270" s="12"/>
      <c r="J270" s="12"/>
      <c r="K270" s="12"/>
      <c r="L270" s="12"/>
      <c r="M270" s="12"/>
      <c r="N270" s="12"/>
      <c r="O270" s="12"/>
      <c r="P270" s="12"/>
      <c r="Q270" s="12"/>
      <c r="R270" s="12"/>
      <c r="S270" s="12"/>
      <c r="T270" s="12"/>
      <c r="U270" s="12"/>
    </row>
    <row r="271">
      <c r="A271" s="12" t="s">
        <v>101</v>
      </c>
      <c r="B271" s="12"/>
      <c r="C271" s="12"/>
      <c r="D271" s="12"/>
      <c r="E271" s="12"/>
      <c r="F271" s="12"/>
      <c r="G271" s="12"/>
      <c r="H271" s="12"/>
      <c r="I271" s="12"/>
      <c r="J271" s="12"/>
      <c r="K271" s="12"/>
      <c r="L271" s="12"/>
      <c r="M271" s="12"/>
      <c r="N271" s="12"/>
      <c r="O271" s="12"/>
      <c r="P271" s="12"/>
      <c r="Q271" s="12"/>
      <c r="R271" s="12"/>
      <c r="S271" s="12"/>
      <c r="T271" s="12"/>
      <c r="U271" s="12"/>
    </row>
    <row r="272">
      <c r="A272" s="12" t="s">
        <v>101</v>
      </c>
      <c r="B272" s="12"/>
      <c r="C272" s="12"/>
      <c r="D272" s="12"/>
      <c r="E272" s="12"/>
      <c r="F272" s="12"/>
      <c r="G272" s="12"/>
      <c r="H272" s="12"/>
      <c r="I272" s="12"/>
      <c r="J272" s="12"/>
      <c r="K272" s="12"/>
      <c r="L272" s="12"/>
      <c r="M272" s="12"/>
      <c r="N272" s="12"/>
      <c r="O272" s="12"/>
      <c r="P272" s="12"/>
      <c r="Q272" s="12"/>
      <c r="R272" s="12"/>
      <c r="S272" s="12"/>
      <c r="T272" s="12"/>
      <c r="U272" s="12"/>
    </row>
    <row r="273">
      <c r="A273" s="12" t="s">
        <v>101</v>
      </c>
      <c r="B273" s="12"/>
      <c r="C273" s="12"/>
      <c r="D273" s="12"/>
      <c r="E273" s="12"/>
      <c r="F273" s="12"/>
      <c r="G273" s="12"/>
      <c r="H273" s="12"/>
      <c r="I273" s="12"/>
      <c r="J273" s="12"/>
      <c r="K273" s="12"/>
      <c r="L273" s="12"/>
      <c r="M273" s="12"/>
      <c r="N273" s="12"/>
      <c r="O273" s="12"/>
      <c r="P273" s="12"/>
      <c r="Q273" s="12"/>
      <c r="R273" s="12"/>
      <c r="S273" s="12"/>
      <c r="T273" s="12"/>
      <c r="U273" s="12"/>
    </row>
    <row r="274">
      <c r="A274" s="12" t="s">
        <v>101</v>
      </c>
      <c r="B274" s="12"/>
      <c r="C274" s="12"/>
      <c r="D274" s="12"/>
      <c r="E274" s="12"/>
      <c r="F274" s="12"/>
      <c r="G274" s="12"/>
      <c r="H274" s="12"/>
      <c r="I274" s="12"/>
      <c r="J274" s="12"/>
      <c r="K274" s="12"/>
      <c r="L274" s="12"/>
      <c r="M274" s="12"/>
      <c r="N274" s="12"/>
      <c r="O274" s="12"/>
      <c r="P274" s="12"/>
      <c r="Q274" s="12"/>
      <c r="R274" s="12"/>
      <c r="S274" s="12"/>
      <c r="T274" s="12"/>
      <c r="U274" s="12"/>
    </row>
    <row r="275">
      <c r="A275" s="12" t="s">
        <v>101</v>
      </c>
      <c r="B275" s="12"/>
      <c r="C275" s="12"/>
      <c r="D275" s="12"/>
      <c r="E275" s="12"/>
      <c r="F275" s="12"/>
      <c r="G275" s="12"/>
      <c r="H275" s="12"/>
      <c r="I275" s="12"/>
      <c r="J275" s="12"/>
      <c r="K275" s="12"/>
      <c r="L275" s="12"/>
      <c r="M275" s="12"/>
      <c r="N275" s="12"/>
      <c r="O275" s="12"/>
      <c r="P275" s="12"/>
      <c r="Q275" s="12"/>
      <c r="R275" s="12"/>
      <c r="S275" s="12"/>
      <c r="T275" s="12"/>
      <c r="U275" s="12"/>
    </row>
    <row r="276">
      <c r="A276" s="12" t="s">
        <v>101</v>
      </c>
      <c r="B276" s="12"/>
      <c r="C276" s="12"/>
      <c r="D276" s="12"/>
      <c r="E276" s="12"/>
      <c r="F276" s="12"/>
      <c r="G276" s="12"/>
      <c r="H276" s="12"/>
      <c r="I276" s="12"/>
      <c r="J276" s="12"/>
      <c r="K276" s="12"/>
      <c r="L276" s="12"/>
      <c r="M276" s="12"/>
      <c r="N276" s="12"/>
      <c r="O276" s="12"/>
      <c r="P276" s="12"/>
      <c r="Q276" s="12"/>
      <c r="R276" s="12"/>
      <c r="S276" s="12"/>
      <c r="T276" s="12"/>
      <c r="U276" s="12"/>
    </row>
    <row r="277">
      <c r="A277" s="12" t="s">
        <v>101</v>
      </c>
      <c r="B277" s="12"/>
      <c r="C277" s="12"/>
      <c r="D277" s="12"/>
      <c r="E277" s="12"/>
      <c r="F277" s="12"/>
      <c r="G277" s="12"/>
      <c r="H277" s="12"/>
      <c r="I277" s="12"/>
      <c r="J277" s="12"/>
      <c r="K277" s="12"/>
      <c r="L277" s="12"/>
      <c r="M277" s="12"/>
      <c r="N277" s="12"/>
      <c r="O277" s="12"/>
      <c r="P277" s="12"/>
      <c r="Q277" s="12"/>
      <c r="R277" s="12"/>
      <c r="S277" s="12"/>
      <c r="T277" s="12"/>
      <c r="U277" s="12"/>
    </row>
    <row r="278">
      <c r="A278" s="12" t="s">
        <v>101</v>
      </c>
      <c r="B278" s="12"/>
      <c r="C278" s="12"/>
      <c r="D278" s="12"/>
      <c r="E278" s="12"/>
      <c r="F278" s="12"/>
      <c r="G278" s="12"/>
      <c r="H278" s="12"/>
      <c r="I278" s="12"/>
      <c r="J278" s="12"/>
      <c r="K278" s="12"/>
      <c r="L278" s="12"/>
      <c r="M278" s="12"/>
      <c r="N278" s="12"/>
      <c r="O278" s="12"/>
      <c r="P278" s="12"/>
      <c r="Q278" s="12"/>
      <c r="R278" s="12"/>
      <c r="S278" s="12"/>
      <c r="T278" s="12"/>
      <c r="U278" s="12"/>
    </row>
    <row r="279">
      <c r="A279" s="12" t="s">
        <v>101</v>
      </c>
      <c r="B279" s="12"/>
      <c r="C279" s="12"/>
      <c r="D279" s="12"/>
      <c r="E279" s="12"/>
      <c r="F279" s="12"/>
      <c r="G279" s="12"/>
      <c r="H279" s="12"/>
      <c r="I279" s="12"/>
      <c r="J279" s="12"/>
      <c r="K279" s="12"/>
      <c r="L279" s="12"/>
      <c r="M279" s="12"/>
      <c r="N279" s="12"/>
      <c r="O279" s="12"/>
      <c r="P279" s="12"/>
      <c r="Q279" s="12"/>
      <c r="R279" s="12"/>
      <c r="S279" s="12"/>
      <c r="T279" s="12"/>
      <c r="U279" s="12"/>
    </row>
    <row r="280">
      <c r="A280" s="12" t="s">
        <v>101</v>
      </c>
      <c r="B280" s="12"/>
      <c r="C280" s="12"/>
      <c r="D280" s="12"/>
      <c r="E280" s="12"/>
      <c r="F280" s="12"/>
      <c r="G280" s="12"/>
      <c r="H280" s="12"/>
      <c r="I280" s="12"/>
      <c r="J280" s="12"/>
      <c r="K280" s="12"/>
      <c r="L280" s="12"/>
      <c r="M280" s="12"/>
      <c r="N280" s="12"/>
      <c r="O280" s="12"/>
      <c r="P280" s="12"/>
      <c r="Q280" s="12"/>
      <c r="R280" s="12"/>
      <c r="S280" s="12"/>
      <c r="T280" s="12"/>
      <c r="U280" s="12"/>
    </row>
    <row r="281">
      <c r="A281" s="12" t="s">
        <v>101</v>
      </c>
      <c r="B281" s="12"/>
      <c r="C281" s="12"/>
      <c r="D281" s="12"/>
      <c r="E281" s="12"/>
      <c r="F281" s="12"/>
      <c r="G281" s="12"/>
      <c r="H281" s="12"/>
      <c r="I281" s="12"/>
      <c r="J281" s="12"/>
      <c r="K281" s="12"/>
      <c r="L281" s="12"/>
      <c r="M281" s="12"/>
      <c r="N281" s="12"/>
      <c r="O281" s="12"/>
      <c r="P281" s="12"/>
      <c r="Q281" s="12"/>
      <c r="R281" s="12"/>
      <c r="S281" s="12"/>
      <c r="T281" s="12"/>
      <c r="U281" s="12"/>
    </row>
    <row r="282">
      <c r="A282" s="12" t="s">
        <v>101</v>
      </c>
      <c r="B282" s="12"/>
      <c r="C282" s="12"/>
      <c r="D282" s="12"/>
      <c r="E282" s="12"/>
      <c r="F282" s="12"/>
      <c r="G282" s="12"/>
      <c r="H282" s="12"/>
      <c r="I282" s="12"/>
      <c r="J282" s="12"/>
      <c r="K282" s="12"/>
      <c r="L282" s="12"/>
      <c r="M282" s="12"/>
      <c r="N282" s="12"/>
      <c r="O282" s="12"/>
      <c r="P282" s="12"/>
      <c r="Q282" s="12"/>
      <c r="R282" s="12"/>
      <c r="S282" s="12"/>
      <c r="T282" s="12"/>
      <c r="U282" s="12"/>
    </row>
    <row r="283">
      <c r="A283" s="12" t="s">
        <v>101</v>
      </c>
      <c r="B283" s="12"/>
      <c r="C283" s="12"/>
      <c r="D283" s="12"/>
      <c r="E283" s="12"/>
      <c r="F283" s="12"/>
      <c r="G283" s="12"/>
      <c r="H283" s="12"/>
      <c r="I283" s="12"/>
      <c r="J283" s="12"/>
      <c r="K283" s="12"/>
      <c r="L283" s="12"/>
      <c r="M283" s="12"/>
      <c r="N283" s="12"/>
      <c r="O283" s="12"/>
      <c r="P283" s="12"/>
      <c r="Q283" s="12"/>
      <c r="R283" s="12"/>
      <c r="S283" s="12"/>
      <c r="T283" s="12"/>
      <c r="U283" s="12"/>
    </row>
    <row r="284">
      <c r="A284" s="12" t="s">
        <v>101</v>
      </c>
      <c r="B284" s="12"/>
      <c r="C284" s="12"/>
      <c r="D284" s="12"/>
      <c r="E284" s="12"/>
      <c r="F284" s="12"/>
      <c r="G284" s="12"/>
      <c r="H284" s="12"/>
      <c r="I284" s="12"/>
      <c r="J284" s="12"/>
      <c r="K284" s="12"/>
      <c r="L284" s="12"/>
      <c r="M284" s="12"/>
      <c r="N284" s="12"/>
      <c r="O284" s="12"/>
      <c r="P284" s="12"/>
      <c r="Q284" s="12"/>
      <c r="R284" s="12"/>
      <c r="S284" s="12"/>
      <c r="T284" s="12"/>
      <c r="U284" s="12"/>
    </row>
    <row r="285">
      <c r="A285" s="12" t="s">
        <v>101</v>
      </c>
      <c r="B285" s="12"/>
      <c r="C285" s="12"/>
      <c r="D285" s="12"/>
      <c r="E285" s="12"/>
      <c r="F285" s="12"/>
      <c r="G285" s="12"/>
      <c r="H285" s="12"/>
      <c r="I285" s="12"/>
      <c r="J285" s="12"/>
      <c r="K285" s="12"/>
      <c r="L285" s="12"/>
      <c r="M285" s="12"/>
      <c r="N285" s="12"/>
      <c r="O285" s="12"/>
      <c r="P285" s="12"/>
      <c r="Q285" s="12"/>
      <c r="R285" s="12"/>
      <c r="S285" s="12"/>
      <c r="T285" s="12"/>
      <c r="U285" s="12"/>
    </row>
    <row r="286">
      <c r="A286" s="12" t="s">
        <v>101</v>
      </c>
      <c r="B286" s="12"/>
      <c r="C286" s="12"/>
      <c r="D286" s="12"/>
      <c r="E286" s="12"/>
      <c r="F286" s="12"/>
      <c r="G286" s="12"/>
      <c r="H286" s="12"/>
      <c r="I286" s="12"/>
      <c r="J286" s="12"/>
      <c r="K286" s="12"/>
      <c r="L286" s="12"/>
      <c r="M286" s="12"/>
      <c r="N286" s="12"/>
      <c r="O286" s="12"/>
      <c r="P286" s="12"/>
      <c r="Q286" s="12"/>
      <c r="R286" s="12"/>
      <c r="S286" s="12"/>
      <c r="T286" s="12"/>
      <c r="U286" s="12"/>
    </row>
    <row r="287">
      <c r="A287" s="12" t="s">
        <v>101</v>
      </c>
      <c r="B287" s="12"/>
      <c r="C287" s="12"/>
      <c r="D287" s="12"/>
      <c r="E287" s="12"/>
      <c r="F287" s="12"/>
      <c r="G287" s="12"/>
      <c r="H287" s="12"/>
      <c r="I287" s="12"/>
      <c r="J287" s="12"/>
      <c r="K287" s="12"/>
      <c r="L287" s="12"/>
      <c r="M287" s="12"/>
      <c r="N287" s="12"/>
      <c r="O287" s="12"/>
      <c r="P287" s="12"/>
      <c r="Q287" s="12"/>
      <c r="R287" s="12"/>
      <c r="S287" s="12"/>
      <c r="T287" s="12"/>
      <c r="U287" s="12"/>
    </row>
    <row r="288">
      <c r="A288" s="12" t="s">
        <v>101</v>
      </c>
      <c r="B288" s="12"/>
      <c r="C288" s="12"/>
      <c r="D288" s="12"/>
      <c r="E288" s="12"/>
      <c r="F288" s="12"/>
      <c r="G288" s="12"/>
      <c r="H288" s="12"/>
      <c r="I288" s="12"/>
      <c r="J288" s="12"/>
      <c r="K288" s="12"/>
      <c r="L288" s="12"/>
      <c r="M288" s="12"/>
      <c r="N288" s="12"/>
      <c r="O288" s="12"/>
      <c r="P288" s="12"/>
      <c r="Q288" s="12"/>
      <c r="R288" s="12"/>
      <c r="S288" s="12"/>
      <c r="T288" s="12"/>
      <c r="U288" s="12"/>
    </row>
    <row r="289">
      <c r="A289" s="12" t="s">
        <v>101</v>
      </c>
      <c r="B289" s="12"/>
      <c r="C289" s="12"/>
      <c r="D289" s="12"/>
      <c r="E289" s="12"/>
      <c r="F289" s="12"/>
      <c r="G289" s="12"/>
      <c r="H289" s="12"/>
      <c r="I289" s="12"/>
      <c r="J289" s="12"/>
      <c r="K289" s="12"/>
      <c r="L289" s="12"/>
      <c r="M289" s="12"/>
      <c r="N289" s="12"/>
      <c r="O289" s="12"/>
      <c r="P289" s="12"/>
      <c r="Q289" s="12"/>
      <c r="R289" s="12"/>
      <c r="S289" s="12"/>
      <c r="T289" s="12"/>
      <c r="U289" s="12"/>
    </row>
    <row r="290">
      <c r="A290" s="12" t="s">
        <v>101</v>
      </c>
      <c r="B290" s="12"/>
      <c r="C290" s="12"/>
      <c r="D290" s="12"/>
      <c r="E290" s="12"/>
      <c r="F290" s="12"/>
      <c r="G290" s="12"/>
      <c r="H290" s="12"/>
      <c r="I290" s="12"/>
      <c r="J290" s="12"/>
      <c r="K290" s="12"/>
      <c r="L290" s="12"/>
      <c r="M290" s="12"/>
      <c r="N290" s="12"/>
      <c r="O290" s="12"/>
      <c r="P290" s="12"/>
      <c r="Q290" s="12"/>
      <c r="R290" s="12"/>
      <c r="S290" s="12"/>
      <c r="T290" s="12"/>
      <c r="U290" s="12"/>
    </row>
    <row r="291">
      <c r="A291" s="12" t="s">
        <v>101</v>
      </c>
      <c r="B291" s="12"/>
      <c r="C291" s="12"/>
      <c r="D291" s="12"/>
      <c r="E291" s="12"/>
      <c r="F291" s="12"/>
      <c r="G291" s="12"/>
      <c r="H291" s="12"/>
      <c r="I291" s="12"/>
      <c r="J291" s="12"/>
      <c r="K291" s="12"/>
      <c r="L291" s="12"/>
      <c r="M291" s="12"/>
      <c r="N291" s="12"/>
      <c r="O291" s="12"/>
      <c r="P291" s="12"/>
      <c r="Q291" s="12"/>
      <c r="R291" s="12"/>
      <c r="S291" s="12"/>
      <c r="T291" s="12"/>
      <c r="U291" s="12"/>
    </row>
    <row r="292">
      <c r="A292" s="12" t="s">
        <v>101</v>
      </c>
      <c r="B292" s="12"/>
      <c r="C292" s="12"/>
      <c r="D292" s="12"/>
      <c r="E292" s="12"/>
      <c r="F292" s="12"/>
      <c r="G292" s="12"/>
      <c r="H292" s="12"/>
      <c r="I292" s="12"/>
      <c r="J292" s="12"/>
      <c r="K292" s="12"/>
      <c r="L292" s="12"/>
      <c r="M292" s="12"/>
      <c r="N292" s="12"/>
      <c r="O292" s="12"/>
      <c r="P292" s="12"/>
      <c r="Q292" s="12"/>
      <c r="R292" s="12"/>
      <c r="S292" s="12"/>
      <c r="T292" s="12"/>
      <c r="U292" s="12"/>
    </row>
    <row r="293">
      <c r="A293" s="12" t="s">
        <v>101</v>
      </c>
      <c r="B293" s="12"/>
      <c r="C293" s="12"/>
      <c r="D293" s="12"/>
      <c r="E293" s="12"/>
      <c r="F293" s="12"/>
      <c r="G293" s="12"/>
      <c r="H293" s="12"/>
      <c r="I293" s="12"/>
      <c r="J293" s="12"/>
      <c r="K293" s="12"/>
      <c r="L293" s="12"/>
      <c r="M293" s="12"/>
      <c r="N293" s="12"/>
      <c r="O293" s="12"/>
      <c r="P293" s="12"/>
      <c r="Q293" s="12"/>
      <c r="R293" s="12"/>
      <c r="S293" s="12"/>
      <c r="T293" s="12"/>
      <c r="U293" s="12"/>
    </row>
    <row r="294">
      <c r="A294" s="12" t="s">
        <v>101</v>
      </c>
      <c r="B294" s="12"/>
      <c r="C294" s="12"/>
      <c r="D294" s="12"/>
      <c r="E294" s="12"/>
      <c r="F294" s="12"/>
      <c r="G294" s="12"/>
      <c r="H294" s="12"/>
      <c r="I294" s="12"/>
      <c r="J294" s="12"/>
      <c r="K294" s="12"/>
      <c r="L294" s="12"/>
      <c r="M294" s="12"/>
      <c r="N294" s="12"/>
      <c r="O294" s="12"/>
      <c r="P294" s="12"/>
      <c r="Q294" s="12"/>
      <c r="R294" s="12"/>
      <c r="S294" s="12"/>
      <c r="T294" s="12"/>
      <c r="U294" s="12"/>
    </row>
    <row r="295">
      <c r="A295" s="12" t="s">
        <v>101</v>
      </c>
      <c r="B295" s="12"/>
      <c r="C295" s="12"/>
      <c r="D295" s="12"/>
      <c r="E295" s="12"/>
      <c r="F295" s="12"/>
      <c r="G295" s="12"/>
      <c r="H295" s="12"/>
      <c r="I295" s="12"/>
      <c r="J295" s="12"/>
      <c r="K295" s="12"/>
      <c r="L295" s="12"/>
      <c r="M295" s="12"/>
      <c r="N295" s="12"/>
      <c r="O295" s="12"/>
      <c r="P295" s="12"/>
      <c r="Q295" s="12"/>
      <c r="R295" s="12"/>
      <c r="S295" s="12"/>
      <c r="T295" s="12"/>
      <c r="U295" s="12"/>
    </row>
    <row r="296">
      <c r="A296" s="12" t="s">
        <v>101</v>
      </c>
      <c r="B296" s="12"/>
      <c r="C296" s="12"/>
      <c r="D296" s="12"/>
      <c r="E296" s="12"/>
      <c r="F296" s="12"/>
      <c r="G296" s="12"/>
      <c r="H296" s="12"/>
      <c r="I296" s="12"/>
      <c r="J296" s="12"/>
      <c r="K296" s="12"/>
      <c r="L296" s="12"/>
      <c r="M296" s="12"/>
      <c r="N296" s="12"/>
      <c r="O296" s="12"/>
      <c r="P296" s="12"/>
      <c r="Q296" s="12"/>
      <c r="R296" s="12"/>
      <c r="S296" s="12"/>
      <c r="T296" s="12"/>
      <c r="U296" s="12"/>
    </row>
    <row r="297">
      <c r="A297" s="12" t="s">
        <v>101</v>
      </c>
      <c r="B297" s="12"/>
      <c r="C297" s="12"/>
      <c r="D297" s="12"/>
      <c r="E297" s="12"/>
      <c r="F297" s="12"/>
      <c r="G297" s="12"/>
      <c r="H297" s="12"/>
      <c r="I297" s="12"/>
      <c r="J297" s="12"/>
      <c r="K297" s="12"/>
      <c r="L297" s="12"/>
      <c r="M297" s="12"/>
      <c r="N297" s="12"/>
      <c r="O297" s="12"/>
      <c r="P297" s="12"/>
      <c r="Q297" s="12"/>
      <c r="R297" s="12"/>
      <c r="S297" s="12"/>
      <c r="T297" s="12"/>
      <c r="U297" s="12"/>
    </row>
    <row r="298">
      <c r="A298" s="12" t="s">
        <v>101</v>
      </c>
      <c r="B298" s="12"/>
      <c r="C298" s="12"/>
      <c r="D298" s="12"/>
      <c r="E298" s="12"/>
      <c r="F298" s="12"/>
      <c r="G298" s="12"/>
      <c r="H298" s="12"/>
      <c r="I298" s="12"/>
      <c r="J298" s="12"/>
      <c r="K298" s="12"/>
      <c r="L298" s="12"/>
      <c r="M298" s="12"/>
      <c r="N298" s="12"/>
      <c r="O298" s="12"/>
      <c r="P298" s="12"/>
      <c r="Q298" s="12"/>
      <c r="R298" s="12"/>
      <c r="S298" s="12"/>
      <c r="T298" s="12"/>
      <c r="U298" s="12"/>
    </row>
    <row r="299">
      <c r="A299" s="12" t="s">
        <v>101</v>
      </c>
      <c r="B299" s="12"/>
      <c r="C299" s="12"/>
      <c r="D299" s="12"/>
      <c r="E299" s="12"/>
      <c r="F299" s="12"/>
      <c r="G299" s="12"/>
      <c r="H299" s="12"/>
      <c r="I299" s="12"/>
      <c r="J299" s="12"/>
      <c r="K299" s="12"/>
      <c r="L299" s="12"/>
      <c r="M299" s="12"/>
      <c r="N299" s="12"/>
      <c r="O299" s="12"/>
      <c r="P299" s="12"/>
      <c r="Q299" s="12"/>
      <c r="R299" s="12"/>
      <c r="S299" s="12"/>
      <c r="T299" s="12"/>
      <c r="U299" s="12"/>
    </row>
    <row r="300">
      <c r="A300" s="12" t="s">
        <v>101</v>
      </c>
      <c r="B300" s="12"/>
      <c r="C300" s="12"/>
      <c r="D300" s="12"/>
      <c r="E300" s="12"/>
      <c r="F300" s="12"/>
      <c r="G300" s="12"/>
      <c r="H300" s="12"/>
      <c r="I300" s="12"/>
      <c r="J300" s="12"/>
      <c r="K300" s="12"/>
      <c r="L300" s="12"/>
      <c r="M300" s="12"/>
      <c r="N300" s="12"/>
      <c r="O300" s="12"/>
      <c r="P300" s="12"/>
      <c r="Q300" s="12"/>
      <c r="R300" s="12"/>
      <c r="S300" s="12"/>
      <c r="T300" s="12"/>
      <c r="U300" s="12"/>
    </row>
    <row r="301">
      <c r="A301" s="12" t="s">
        <v>101</v>
      </c>
      <c r="B301" s="12"/>
      <c r="C301" s="12"/>
      <c r="D301" s="12"/>
      <c r="E301" s="12"/>
      <c r="F301" s="12"/>
      <c r="G301" s="12"/>
      <c r="H301" s="12"/>
      <c r="I301" s="12"/>
      <c r="J301" s="12"/>
      <c r="K301" s="12"/>
      <c r="L301" s="12"/>
      <c r="M301" s="12"/>
      <c r="N301" s="12"/>
      <c r="O301" s="12"/>
      <c r="P301" s="12"/>
      <c r="Q301" s="12"/>
      <c r="R301" s="12"/>
      <c r="S301" s="12"/>
      <c r="T301" s="12"/>
      <c r="U301" s="12"/>
    </row>
    <row r="302">
      <c r="A302" s="12" t="s">
        <v>101</v>
      </c>
      <c r="B302" s="12"/>
      <c r="C302" s="12"/>
      <c r="D302" s="12"/>
      <c r="E302" s="12"/>
      <c r="F302" s="12"/>
      <c r="G302" s="12"/>
      <c r="H302" s="12"/>
      <c r="I302" s="12"/>
      <c r="J302" s="12"/>
      <c r="K302" s="12"/>
      <c r="L302" s="12"/>
      <c r="M302" s="12"/>
      <c r="N302" s="12"/>
      <c r="O302" s="12"/>
      <c r="P302" s="12"/>
      <c r="Q302" s="12"/>
      <c r="R302" s="12"/>
      <c r="S302" s="12"/>
      <c r="T302" s="12"/>
      <c r="U302" s="12"/>
    </row>
    <row r="303">
      <c r="A303" s="12" t="s">
        <v>101</v>
      </c>
      <c r="B303" s="12"/>
      <c r="C303" s="12"/>
      <c r="D303" s="12"/>
      <c r="E303" s="12"/>
      <c r="F303" s="12"/>
      <c r="G303" s="12"/>
      <c r="H303" s="12"/>
      <c r="I303" s="12"/>
      <c r="J303" s="12"/>
      <c r="K303" s="12"/>
      <c r="L303" s="12"/>
      <c r="M303" s="12"/>
      <c r="N303" s="12"/>
      <c r="O303" s="12"/>
      <c r="P303" s="12"/>
      <c r="Q303" s="12"/>
      <c r="R303" s="12"/>
      <c r="S303" s="12"/>
      <c r="T303" s="12"/>
      <c r="U303" s="12"/>
    </row>
    <row r="304">
      <c r="A304" s="12" t="s">
        <v>101</v>
      </c>
      <c r="B304" s="12"/>
      <c r="C304" s="12"/>
      <c r="D304" s="12"/>
      <c r="E304" s="12"/>
      <c r="F304" s="12"/>
      <c r="G304" s="12"/>
      <c r="H304" s="12"/>
      <c r="I304" s="12"/>
      <c r="J304" s="12"/>
      <c r="K304" s="12"/>
      <c r="L304" s="12"/>
      <c r="M304" s="12"/>
      <c r="N304" s="12"/>
      <c r="O304" s="12"/>
      <c r="P304" s="12"/>
      <c r="Q304" s="12"/>
      <c r="R304" s="12"/>
      <c r="S304" s="12"/>
      <c r="T304" s="12"/>
      <c r="U304" s="12"/>
    </row>
    <row r="305">
      <c r="A305" s="12" t="s">
        <v>101</v>
      </c>
      <c r="B305" s="12"/>
      <c r="C305" s="12"/>
      <c r="D305" s="12"/>
      <c r="E305" s="12"/>
      <c r="F305" s="12"/>
      <c r="G305" s="12"/>
      <c r="H305" s="12"/>
      <c r="I305" s="12"/>
      <c r="J305" s="12"/>
      <c r="K305" s="12"/>
      <c r="L305" s="12"/>
      <c r="M305" s="12"/>
      <c r="N305" s="12"/>
      <c r="O305" s="12"/>
      <c r="P305" s="12"/>
      <c r="Q305" s="12"/>
      <c r="R305" s="12"/>
      <c r="S305" s="12"/>
      <c r="T305" s="12"/>
      <c r="U305" s="12"/>
    </row>
    <row r="306">
      <c r="A306" s="12" t="s">
        <v>101</v>
      </c>
      <c r="B306" s="12"/>
      <c r="C306" s="12"/>
      <c r="D306" s="12"/>
      <c r="E306" s="12"/>
      <c r="F306" s="12"/>
      <c r="G306" s="12"/>
      <c r="H306" s="12"/>
      <c r="I306" s="12"/>
      <c r="J306" s="12"/>
      <c r="K306" s="12"/>
      <c r="L306" s="12"/>
      <c r="M306" s="12"/>
      <c r="N306" s="12"/>
      <c r="O306" s="12"/>
      <c r="P306" s="12"/>
      <c r="Q306" s="12"/>
      <c r="R306" s="12"/>
      <c r="S306" s="12"/>
      <c r="T306" s="12"/>
      <c r="U306" s="12"/>
    </row>
    <row r="307">
      <c r="A307" s="12" t="s">
        <v>101</v>
      </c>
      <c r="B307" s="12"/>
      <c r="C307" s="12"/>
      <c r="D307" s="12"/>
      <c r="E307" s="12"/>
      <c r="F307" s="12"/>
      <c r="G307" s="12"/>
      <c r="H307" s="12"/>
      <c r="I307" s="12"/>
      <c r="J307" s="12"/>
      <c r="K307" s="12"/>
      <c r="L307" s="12"/>
      <c r="M307" s="12"/>
      <c r="N307" s="12"/>
      <c r="O307" s="12"/>
      <c r="P307" s="12"/>
      <c r="Q307" s="12"/>
      <c r="R307" s="12"/>
      <c r="S307" s="12"/>
      <c r="T307" s="12"/>
      <c r="U307" s="12"/>
    </row>
    <row r="308">
      <c r="A308" s="12" t="s">
        <v>101</v>
      </c>
      <c r="B308" s="12"/>
      <c r="C308" s="12"/>
      <c r="D308" s="12"/>
      <c r="E308" s="12"/>
      <c r="F308" s="12"/>
      <c r="G308" s="12"/>
      <c r="H308" s="12"/>
      <c r="I308" s="12"/>
      <c r="J308" s="12"/>
      <c r="K308" s="12"/>
      <c r="L308" s="12"/>
      <c r="M308" s="12"/>
      <c r="N308" s="12"/>
      <c r="O308" s="12"/>
      <c r="P308" s="12"/>
      <c r="Q308" s="12"/>
      <c r="R308" s="12"/>
      <c r="S308" s="12"/>
      <c r="T308" s="12"/>
      <c r="U308" s="12"/>
    </row>
    <row r="309">
      <c r="A309" s="12" t="s">
        <v>101</v>
      </c>
      <c r="B309" s="12"/>
      <c r="C309" s="12"/>
      <c r="D309" s="12"/>
      <c r="E309" s="12"/>
      <c r="F309" s="12"/>
      <c r="G309" s="12"/>
      <c r="H309" s="12"/>
      <c r="I309" s="12"/>
      <c r="J309" s="12"/>
      <c r="K309" s="12"/>
      <c r="L309" s="12"/>
      <c r="M309" s="12"/>
      <c r="N309" s="12"/>
      <c r="O309" s="12"/>
      <c r="P309" s="12"/>
      <c r="Q309" s="12"/>
      <c r="R309" s="12"/>
      <c r="S309" s="12"/>
      <c r="T309" s="12"/>
      <c r="U309" s="12"/>
    </row>
    <row r="310">
      <c r="A310" s="12" t="s">
        <v>101</v>
      </c>
      <c r="B310" s="12"/>
      <c r="C310" s="12"/>
      <c r="D310" s="12"/>
      <c r="E310" s="12"/>
      <c r="F310" s="12"/>
      <c r="G310" s="12"/>
      <c r="H310" s="12"/>
      <c r="I310" s="12"/>
      <c r="J310" s="12"/>
      <c r="K310" s="12"/>
      <c r="L310" s="12"/>
      <c r="M310" s="12"/>
      <c r="N310" s="12"/>
      <c r="O310" s="12"/>
      <c r="P310" s="12"/>
      <c r="Q310" s="12"/>
      <c r="R310" s="12"/>
      <c r="S310" s="12"/>
      <c r="T310" s="12"/>
      <c r="U310" s="12"/>
    </row>
    <row r="311">
      <c r="A311" s="12" t="s">
        <v>101</v>
      </c>
      <c r="B311" s="12"/>
      <c r="C311" s="12"/>
      <c r="D311" s="12"/>
      <c r="E311" s="12"/>
      <c r="F311" s="12"/>
      <c r="G311" s="12"/>
      <c r="H311" s="12"/>
      <c r="I311" s="12"/>
      <c r="J311" s="12"/>
      <c r="K311" s="12"/>
      <c r="L311" s="12"/>
      <c r="M311" s="12"/>
      <c r="N311" s="12"/>
      <c r="O311" s="12"/>
      <c r="P311" s="12"/>
      <c r="Q311" s="12"/>
      <c r="R311" s="12"/>
      <c r="S311" s="12"/>
      <c r="T311" s="12"/>
      <c r="U311" s="12"/>
    </row>
    <row r="312">
      <c r="A312" s="12" t="s">
        <v>101</v>
      </c>
      <c r="B312" s="12"/>
      <c r="C312" s="12"/>
      <c r="D312" s="12"/>
      <c r="E312" s="12"/>
      <c r="F312" s="12"/>
      <c r="G312" s="12"/>
      <c r="H312" s="12"/>
      <c r="I312" s="12"/>
      <c r="J312" s="12"/>
      <c r="K312" s="12"/>
      <c r="L312" s="12"/>
      <c r="M312" s="12"/>
      <c r="N312" s="12"/>
      <c r="O312" s="12"/>
      <c r="P312" s="12"/>
      <c r="Q312" s="12"/>
      <c r="R312" s="12"/>
      <c r="S312" s="12"/>
      <c r="T312" s="12"/>
      <c r="U312" s="12"/>
    </row>
    <row r="313">
      <c r="A313" s="12" t="s">
        <v>101</v>
      </c>
      <c r="B313" s="12"/>
      <c r="C313" s="12"/>
      <c r="D313" s="12"/>
      <c r="E313" s="12"/>
      <c r="F313" s="12"/>
      <c r="G313" s="12"/>
      <c r="H313" s="12"/>
      <c r="I313" s="12"/>
      <c r="J313" s="12"/>
      <c r="K313" s="12"/>
      <c r="L313" s="12"/>
      <c r="M313" s="12"/>
      <c r="N313" s="12"/>
      <c r="O313" s="12"/>
      <c r="P313" s="12"/>
      <c r="Q313" s="12"/>
      <c r="R313" s="12"/>
      <c r="S313" s="12"/>
      <c r="T313" s="12"/>
      <c r="U313" s="12"/>
    </row>
    <row r="314">
      <c r="A314" s="12" t="s">
        <v>101</v>
      </c>
      <c r="B314" s="12"/>
      <c r="C314" s="12"/>
      <c r="D314" s="12"/>
      <c r="E314" s="12"/>
      <c r="F314" s="12"/>
      <c r="G314" s="12"/>
      <c r="H314" s="12"/>
      <c r="I314" s="12"/>
      <c r="J314" s="12"/>
      <c r="K314" s="12"/>
      <c r="L314" s="12"/>
      <c r="M314" s="12"/>
      <c r="N314" s="12"/>
      <c r="O314" s="12"/>
      <c r="P314" s="12"/>
      <c r="Q314" s="12"/>
      <c r="R314" s="12"/>
      <c r="S314" s="12"/>
      <c r="T314" s="12"/>
      <c r="U314" s="12"/>
    </row>
    <row r="315">
      <c r="A315" s="12" t="s">
        <v>101</v>
      </c>
      <c r="B315" s="12"/>
      <c r="C315" s="12"/>
      <c r="D315" s="12"/>
      <c r="E315" s="12"/>
      <c r="F315" s="12"/>
      <c r="G315" s="12"/>
      <c r="H315" s="12"/>
      <c r="I315" s="12"/>
      <c r="J315" s="12"/>
      <c r="K315" s="12"/>
      <c r="L315" s="12"/>
      <c r="M315" s="12"/>
      <c r="N315" s="12"/>
      <c r="O315" s="12"/>
      <c r="P315" s="12"/>
      <c r="Q315" s="12"/>
      <c r="R315" s="12"/>
      <c r="S315" s="12"/>
      <c r="T315" s="12"/>
      <c r="U315" s="12"/>
    </row>
    <row r="316">
      <c r="A316" s="12" t="s">
        <v>101</v>
      </c>
      <c r="B316" s="12"/>
      <c r="C316" s="12"/>
      <c r="D316" s="12"/>
      <c r="E316" s="12"/>
      <c r="F316" s="12"/>
      <c r="G316" s="12"/>
      <c r="H316" s="12"/>
      <c r="I316" s="12"/>
      <c r="J316" s="12"/>
      <c r="K316" s="12"/>
      <c r="L316" s="12"/>
      <c r="M316" s="12"/>
      <c r="N316" s="12"/>
      <c r="O316" s="12"/>
      <c r="P316" s="12"/>
      <c r="Q316" s="12"/>
      <c r="R316" s="12"/>
      <c r="S316" s="12"/>
      <c r="T316" s="12"/>
      <c r="U316" s="12"/>
    </row>
    <row r="317">
      <c r="A317" s="12" t="s">
        <v>101</v>
      </c>
      <c r="B317" s="12"/>
      <c r="C317" s="12"/>
      <c r="D317" s="12"/>
      <c r="E317" s="12"/>
      <c r="F317" s="12"/>
      <c r="G317" s="12"/>
      <c r="H317" s="12"/>
      <c r="I317" s="12"/>
      <c r="J317" s="12"/>
      <c r="K317" s="12"/>
      <c r="L317" s="12"/>
      <c r="M317" s="12"/>
      <c r="N317" s="12"/>
      <c r="O317" s="12"/>
      <c r="P317" s="12"/>
      <c r="Q317" s="12"/>
      <c r="R317" s="12"/>
      <c r="S317" s="12"/>
      <c r="T317" s="12"/>
      <c r="U317" s="12"/>
    </row>
    <row r="318">
      <c r="A318" s="12" t="s">
        <v>101</v>
      </c>
      <c r="B318" s="12"/>
      <c r="C318" s="12"/>
      <c r="D318" s="12"/>
      <c r="E318" s="12"/>
      <c r="F318" s="12"/>
      <c r="G318" s="12"/>
      <c r="H318" s="12"/>
      <c r="I318" s="12"/>
      <c r="J318" s="12"/>
      <c r="K318" s="12"/>
      <c r="L318" s="12"/>
      <c r="M318" s="12"/>
      <c r="N318" s="12"/>
      <c r="O318" s="12"/>
      <c r="P318" s="12"/>
      <c r="Q318" s="12"/>
      <c r="R318" s="12"/>
      <c r="S318" s="12"/>
      <c r="T318" s="12"/>
      <c r="U318" s="12"/>
    </row>
    <row r="319">
      <c r="A319" s="12" t="s">
        <v>101</v>
      </c>
      <c r="B319" s="12"/>
      <c r="C319" s="12"/>
      <c r="D319" s="12"/>
      <c r="E319" s="12"/>
      <c r="F319" s="12"/>
      <c r="G319" s="12"/>
      <c r="H319" s="12"/>
      <c r="I319" s="12"/>
      <c r="J319" s="12"/>
      <c r="K319" s="12"/>
      <c r="L319" s="12"/>
      <c r="M319" s="12"/>
      <c r="N319" s="12"/>
      <c r="O319" s="12"/>
      <c r="P319" s="12"/>
      <c r="Q319" s="12"/>
      <c r="R319" s="12"/>
      <c r="S319" s="12"/>
      <c r="T319" s="12"/>
      <c r="U319" s="12"/>
    </row>
    <row r="320">
      <c r="A320" s="12" t="s">
        <v>101</v>
      </c>
      <c r="B320" s="12"/>
      <c r="C320" s="12"/>
      <c r="D320" s="12"/>
      <c r="E320" s="12"/>
      <c r="F320" s="12"/>
      <c r="G320" s="12"/>
      <c r="H320" s="12"/>
      <c r="I320" s="12"/>
      <c r="J320" s="12"/>
      <c r="K320" s="12"/>
      <c r="L320" s="12"/>
      <c r="M320" s="12"/>
      <c r="N320" s="12"/>
      <c r="O320" s="12"/>
      <c r="P320" s="12"/>
      <c r="Q320" s="12"/>
      <c r="R320" s="12"/>
      <c r="S320" s="12"/>
      <c r="T320" s="12"/>
      <c r="U320" s="12"/>
    </row>
    <row r="321">
      <c r="A321" s="12" t="s">
        <v>101</v>
      </c>
      <c r="B321" s="12"/>
      <c r="C321" s="12"/>
      <c r="D321" s="12"/>
      <c r="E321" s="12"/>
      <c r="F321" s="12"/>
      <c r="G321" s="12"/>
      <c r="H321" s="12"/>
      <c r="I321" s="12"/>
      <c r="J321" s="12"/>
      <c r="K321" s="12"/>
      <c r="L321" s="12"/>
      <c r="M321" s="12"/>
      <c r="N321" s="12"/>
      <c r="O321" s="12"/>
      <c r="P321" s="12"/>
      <c r="Q321" s="12"/>
      <c r="R321" s="12"/>
      <c r="S321" s="12"/>
      <c r="T321" s="12"/>
      <c r="U321" s="12"/>
    </row>
    <row r="322">
      <c r="A322" s="12" t="s">
        <v>101</v>
      </c>
      <c r="B322" s="12"/>
      <c r="C322" s="12"/>
      <c r="D322" s="12"/>
      <c r="E322" s="12"/>
      <c r="F322" s="12"/>
      <c r="G322" s="12"/>
      <c r="H322" s="12"/>
      <c r="I322" s="12"/>
      <c r="J322" s="12"/>
      <c r="K322" s="12"/>
      <c r="L322" s="12"/>
      <c r="M322" s="12"/>
      <c r="N322" s="12"/>
      <c r="O322" s="12"/>
      <c r="P322" s="12"/>
      <c r="Q322" s="12"/>
      <c r="R322" s="12"/>
      <c r="S322" s="12"/>
      <c r="T322" s="12"/>
      <c r="U322" s="12"/>
    </row>
    <row r="323">
      <c r="A323" s="12" t="s">
        <v>101</v>
      </c>
      <c r="B323" s="12"/>
      <c r="C323" s="12"/>
      <c r="D323" s="12"/>
      <c r="E323" s="12"/>
      <c r="F323" s="12"/>
      <c r="G323" s="12"/>
      <c r="H323" s="12"/>
      <c r="I323" s="12"/>
      <c r="J323" s="12"/>
      <c r="K323" s="12"/>
      <c r="L323" s="12"/>
      <c r="M323" s="12"/>
      <c r="N323" s="12"/>
      <c r="O323" s="12"/>
      <c r="P323" s="12"/>
      <c r="Q323" s="12"/>
      <c r="R323" s="12"/>
      <c r="S323" s="12"/>
      <c r="T323" s="12"/>
      <c r="U323" s="12"/>
    </row>
    <row r="324">
      <c r="A324" s="12" t="s">
        <v>101</v>
      </c>
      <c r="B324" s="12"/>
      <c r="C324" s="12"/>
      <c r="D324" s="12"/>
      <c r="E324" s="12"/>
      <c r="F324" s="12"/>
      <c r="G324" s="12"/>
      <c r="H324" s="12"/>
      <c r="I324" s="12"/>
      <c r="J324" s="12"/>
      <c r="K324" s="12"/>
      <c r="L324" s="12"/>
      <c r="M324" s="12"/>
      <c r="N324" s="12"/>
      <c r="O324" s="12"/>
      <c r="P324" s="12"/>
      <c r="Q324" s="12"/>
      <c r="R324" s="12"/>
      <c r="S324" s="12"/>
      <c r="T324" s="12"/>
      <c r="U324" s="12"/>
    </row>
    <row r="325">
      <c r="A325" s="12" t="s">
        <v>101</v>
      </c>
      <c r="B325" s="12"/>
      <c r="C325" s="12"/>
      <c r="D325" s="12"/>
      <c r="E325" s="12"/>
      <c r="F325" s="12"/>
      <c r="G325" s="12"/>
      <c r="H325" s="12"/>
      <c r="I325" s="12"/>
      <c r="J325" s="12"/>
      <c r="K325" s="12"/>
      <c r="L325" s="12"/>
      <c r="M325" s="12"/>
      <c r="N325" s="12"/>
      <c r="O325" s="12"/>
      <c r="P325" s="12"/>
      <c r="Q325" s="12"/>
      <c r="R325" s="12"/>
      <c r="S325" s="12"/>
      <c r="T325" s="12"/>
      <c r="U325" s="12"/>
    </row>
    <row r="326">
      <c r="A326" s="12" t="s">
        <v>101</v>
      </c>
      <c r="B326" s="12"/>
      <c r="C326" s="12"/>
      <c r="D326" s="12"/>
      <c r="E326" s="12"/>
      <c r="F326" s="12"/>
      <c r="G326" s="12"/>
      <c r="H326" s="12"/>
      <c r="I326" s="12"/>
      <c r="J326" s="12"/>
      <c r="K326" s="12"/>
      <c r="L326" s="12"/>
      <c r="M326" s="12"/>
      <c r="N326" s="12"/>
      <c r="O326" s="12"/>
      <c r="P326" s="12"/>
      <c r="Q326" s="12"/>
      <c r="R326" s="12"/>
      <c r="S326" s="12"/>
      <c r="T326" s="12"/>
      <c r="U326" s="12"/>
    </row>
    <row r="327">
      <c r="A327" s="12" t="s">
        <v>101</v>
      </c>
      <c r="B327" s="12"/>
      <c r="C327" s="12"/>
      <c r="D327" s="12"/>
      <c r="E327" s="12"/>
      <c r="F327" s="12"/>
      <c r="G327" s="12"/>
      <c r="H327" s="12"/>
      <c r="I327" s="12"/>
      <c r="J327" s="12"/>
      <c r="K327" s="12"/>
      <c r="L327" s="12"/>
      <c r="M327" s="12"/>
      <c r="N327" s="12"/>
      <c r="O327" s="12"/>
      <c r="P327" s="12"/>
      <c r="Q327" s="12"/>
      <c r="R327" s="12"/>
      <c r="S327" s="12"/>
      <c r="T327" s="12"/>
      <c r="U327" s="12"/>
    </row>
    <row r="328">
      <c r="A328" s="12" t="s">
        <v>101</v>
      </c>
      <c r="B328" s="12"/>
      <c r="C328" s="12"/>
      <c r="D328" s="12"/>
      <c r="E328" s="12"/>
      <c r="F328" s="12"/>
      <c r="G328" s="12"/>
      <c r="H328" s="12"/>
      <c r="I328" s="12"/>
      <c r="J328" s="12"/>
      <c r="K328" s="12"/>
      <c r="L328" s="12"/>
      <c r="M328" s="12"/>
      <c r="N328" s="12"/>
      <c r="O328" s="12"/>
      <c r="P328" s="12"/>
      <c r="Q328" s="12"/>
      <c r="R328" s="12"/>
      <c r="S328" s="12"/>
      <c r="T328" s="12"/>
      <c r="U328" s="12"/>
    </row>
    <row r="329">
      <c r="A329" s="12" t="s">
        <v>101</v>
      </c>
      <c r="B329" s="12"/>
      <c r="C329" s="12"/>
      <c r="D329" s="12"/>
      <c r="E329" s="12"/>
      <c r="F329" s="12"/>
      <c r="G329" s="12"/>
      <c r="H329" s="12"/>
      <c r="I329" s="12"/>
      <c r="J329" s="12"/>
      <c r="K329" s="12"/>
      <c r="L329" s="12"/>
      <c r="M329" s="12"/>
      <c r="N329" s="12"/>
      <c r="O329" s="12"/>
      <c r="P329" s="12"/>
      <c r="Q329" s="12"/>
      <c r="R329" s="12"/>
      <c r="S329" s="12"/>
      <c r="T329" s="12"/>
      <c r="U329" s="12"/>
    </row>
    <row r="330">
      <c r="A330" s="12" t="s">
        <v>101</v>
      </c>
      <c r="B330" s="12"/>
      <c r="C330" s="12"/>
      <c r="D330" s="12"/>
      <c r="E330" s="12"/>
      <c r="F330" s="12"/>
      <c r="G330" s="12"/>
      <c r="H330" s="12"/>
      <c r="I330" s="12"/>
      <c r="J330" s="12"/>
      <c r="K330" s="12"/>
      <c r="L330" s="12"/>
      <c r="M330" s="12"/>
      <c r="N330" s="12"/>
      <c r="O330" s="12"/>
      <c r="P330" s="12"/>
      <c r="Q330" s="12"/>
      <c r="R330" s="12"/>
      <c r="S330" s="12"/>
      <c r="T330" s="12"/>
      <c r="U330" s="12"/>
    </row>
    <row r="331">
      <c r="A331" s="12" t="s">
        <v>101</v>
      </c>
      <c r="B331" s="12"/>
      <c r="C331" s="12"/>
      <c r="D331" s="12"/>
      <c r="E331" s="12"/>
      <c r="F331" s="12"/>
      <c r="G331" s="12"/>
      <c r="H331" s="12"/>
      <c r="I331" s="12"/>
      <c r="J331" s="12"/>
      <c r="K331" s="12"/>
      <c r="L331" s="12"/>
      <c r="M331" s="12"/>
      <c r="N331" s="12"/>
      <c r="O331" s="12"/>
      <c r="P331" s="12"/>
      <c r="Q331" s="12"/>
      <c r="R331" s="12"/>
      <c r="S331" s="12"/>
      <c r="T331" s="12"/>
      <c r="U331" s="12"/>
    </row>
    <row r="332">
      <c r="A332" s="12" t="s">
        <v>101</v>
      </c>
      <c r="B332" s="12"/>
      <c r="C332" s="12"/>
      <c r="D332" s="12"/>
      <c r="E332" s="12"/>
      <c r="F332" s="12"/>
      <c r="G332" s="12"/>
      <c r="H332" s="12"/>
      <c r="I332" s="12"/>
      <c r="J332" s="12"/>
      <c r="K332" s="12"/>
      <c r="L332" s="12"/>
      <c r="M332" s="12"/>
      <c r="N332" s="12"/>
      <c r="O332" s="12"/>
      <c r="P332" s="12"/>
      <c r="Q332" s="12"/>
      <c r="R332" s="12"/>
      <c r="S332" s="12"/>
      <c r="T332" s="12"/>
      <c r="U332" s="12"/>
    </row>
    <row r="333">
      <c r="A333" s="12" t="s">
        <v>101</v>
      </c>
      <c r="B333" s="12"/>
      <c r="C333" s="12"/>
      <c r="D333" s="12"/>
      <c r="E333" s="12"/>
      <c r="F333" s="12"/>
      <c r="G333" s="12"/>
      <c r="H333" s="12"/>
      <c r="I333" s="12"/>
      <c r="J333" s="12"/>
      <c r="K333" s="12"/>
      <c r="L333" s="12"/>
      <c r="M333" s="12"/>
      <c r="N333" s="12"/>
      <c r="O333" s="12"/>
      <c r="P333" s="12"/>
      <c r="Q333" s="12"/>
      <c r="R333" s="12"/>
      <c r="S333" s="12"/>
      <c r="T333" s="12"/>
      <c r="U333" s="12"/>
    </row>
    <row r="334">
      <c r="A334" s="12" t="s">
        <v>101</v>
      </c>
      <c r="B334" s="12"/>
      <c r="C334" s="12"/>
      <c r="D334" s="12"/>
      <c r="E334" s="12"/>
      <c r="F334" s="12"/>
      <c r="G334" s="12"/>
      <c r="H334" s="12"/>
      <c r="I334" s="12"/>
      <c r="J334" s="12"/>
      <c r="K334" s="12"/>
      <c r="L334" s="12"/>
      <c r="M334" s="12"/>
      <c r="N334" s="12"/>
      <c r="O334" s="12"/>
      <c r="P334" s="12"/>
      <c r="Q334" s="12"/>
      <c r="R334" s="12"/>
      <c r="S334" s="12"/>
      <c r="T334" s="12"/>
      <c r="U334" s="12"/>
    </row>
    <row r="335">
      <c r="A335" s="12" t="s">
        <v>101</v>
      </c>
      <c r="B335" s="12"/>
      <c r="C335" s="12"/>
      <c r="D335" s="12"/>
      <c r="E335" s="12"/>
      <c r="F335" s="12"/>
      <c r="G335" s="12"/>
      <c r="H335" s="12"/>
      <c r="I335" s="12"/>
      <c r="J335" s="12"/>
      <c r="K335" s="12"/>
      <c r="L335" s="12"/>
      <c r="M335" s="12"/>
      <c r="N335" s="12"/>
      <c r="O335" s="12"/>
      <c r="P335" s="12"/>
      <c r="Q335" s="12"/>
      <c r="R335" s="12"/>
      <c r="S335" s="12"/>
      <c r="T335" s="12"/>
      <c r="U335" s="12"/>
    </row>
    <row r="336">
      <c r="A336" s="12" t="s">
        <v>101</v>
      </c>
      <c r="B336" s="12"/>
      <c r="C336" s="12"/>
      <c r="D336" s="12"/>
      <c r="E336" s="12"/>
      <c r="F336" s="12"/>
      <c r="G336" s="12"/>
      <c r="H336" s="12"/>
      <c r="I336" s="12"/>
      <c r="J336" s="12"/>
      <c r="K336" s="12"/>
      <c r="L336" s="12"/>
      <c r="M336" s="12"/>
      <c r="N336" s="12"/>
      <c r="O336" s="12"/>
      <c r="P336" s="12"/>
      <c r="Q336" s="12"/>
      <c r="R336" s="12"/>
      <c r="S336" s="12"/>
      <c r="T336" s="12"/>
      <c r="U336" s="12"/>
    </row>
    <row r="337">
      <c r="A337" s="12" t="s">
        <v>101</v>
      </c>
      <c r="B337" s="12"/>
      <c r="C337" s="12"/>
      <c r="D337" s="12"/>
      <c r="E337" s="12"/>
      <c r="F337" s="12"/>
      <c r="G337" s="12"/>
      <c r="H337" s="12"/>
      <c r="I337" s="12"/>
      <c r="J337" s="12"/>
      <c r="K337" s="12"/>
      <c r="L337" s="12"/>
      <c r="M337" s="12"/>
      <c r="N337" s="12"/>
      <c r="O337" s="12"/>
      <c r="P337" s="12"/>
      <c r="Q337" s="12"/>
      <c r="R337" s="12"/>
      <c r="S337" s="12"/>
      <c r="T337" s="12"/>
      <c r="U337" s="12"/>
    </row>
    <row r="338">
      <c r="A338" s="12" t="s">
        <v>101</v>
      </c>
      <c r="B338" s="12"/>
      <c r="C338" s="12"/>
      <c r="D338" s="12"/>
      <c r="E338" s="12"/>
      <c r="F338" s="12"/>
      <c r="G338" s="12"/>
      <c r="H338" s="12"/>
      <c r="I338" s="12"/>
      <c r="J338" s="12"/>
      <c r="K338" s="12"/>
      <c r="L338" s="12"/>
      <c r="M338" s="12"/>
      <c r="N338" s="12"/>
      <c r="O338" s="12"/>
      <c r="P338" s="12"/>
      <c r="Q338" s="12"/>
      <c r="R338" s="12"/>
      <c r="S338" s="12"/>
      <c r="T338" s="12"/>
      <c r="U338" s="12"/>
    </row>
    <row r="339">
      <c r="A339" s="12" t="s">
        <v>101</v>
      </c>
      <c r="B339" s="12"/>
      <c r="C339" s="12"/>
      <c r="D339" s="12"/>
      <c r="E339" s="12"/>
      <c r="F339" s="12"/>
      <c r="G339" s="12"/>
      <c r="H339" s="12"/>
      <c r="I339" s="12"/>
      <c r="J339" s="12"/>
      <c r="K339" s="12"/>
      <c r="L339" s="12"/>
      <c r="M339" s="12"/>
      <c r="N339" s="12"/>
      <c r="O339" s="12"/>
      <c r="P339" s="12"/>
      <c r="Q339" s="12"/>
      <c r="R339" s="12"/>
      <c r="S339" s="12"/>
      <c r="T339" s="12"/>
      <c r="U339" s="12"/>
    </row>
    <row r="340">
      <c r="A340" s="12" t="s">
        <v>101</v>
      </c>
      <c r="B340" s="12"/>
      <c r="C340" s="12"/>
      <c r="D340" s="12"/>
      <c r="E340" s="12"/>
      <c r="F340" s="12"/>
      <c r="G340" s="12"/>
      <c r="H340" s="12"/>
      <c r="I340" s="12"/>
      <c r="J340" s="12"/>
      <c r="K340" s="12"/>
      <c r="L340" s="12"/>
      <c r="M340" s="12"/>
      <c r="N340" s="12"/>
      <c r="O340" s="12"/>
      <c r="P340" s="12"/>
      <c r="Q340" s="12"/>
      <c r="R340" s="12"/>
      <c r="S340" s="12"/>
      <c r="T340" s="12"/>
      <c r="U340" s="12"/>
    </row>
    <row r="341">
      <c r="A341" s="12" t="s">
        <v>101</v>
      </c>
      <c r="B341" s="12"/>
      <c r="C341" s="12"/>
      <c r="D341" s="12"/>
      <c r="E341" s="12"/>
      <c r="F341" s="12"/>
      <c r="G341" s="12"/>
      <c r="H341" s="12"/>
      <c r="I341" s="12"/>
      <c r="J341" s="12"/>
      <c r="K341" s="12"/>
      <c r="L341" s="12"/>
      <c r="M341" s="12"/>
      <c r="N341" s="12"/>
      <c r="O341" s="12"/>
      <c r="P341" s="12"/>
      <c r="Q341" s="12"/>
      <c r="R341" s="12"/>
      <c r="S341" s="12"/>
      <c r="T341" s="12"/>
      <c r="U341" s="12"/>
    </row>
    <row r="342">
      <c r="A342" s="12" t="s">
        <v>101</v>
      </c>
      <c r="B342" s="12"/>
      <c r="C342" s="12"/>
      <c r="D342" s="12"/>
      <c r="E342" s="12"/>
      <c r="F342" s="12"/>
      <c r="G342" s="12"/>
      <c r="H342" s="12"/>
      <c r="I342" s="12"/>
      <c r="J342" s="12"/>
      <c r="K342" s="12"/>
      <c r="L342" s="12"/>
      <c r="M342" s="12"/>
      <c r="N342" s="12"/>
      <c r="O342" s="12"/>
      <c r="P342" s="12"/>
      <c r="Q342" s="12"/>
      <c r="R342" s="12"/>
      <c r="S342" s="12"/>
      <c r="T342" s="12"/>
      <c r="U342" s="12"/>
    </row>
    <row r="343">
      <c r="A343" s="12" t="s">
        <v>101</v>
      </c>
      <c r="B343" s="12"/>
      <c r="C343" s="12"/>
      <c r="D343" s="12"/>
      <c r="E343" s="12"/>
      <c r="F343" s="12"/>
      <c r="G343" s="12"/>
      <c r="H343" s="12"/>
      <c r="I343" s="12"/>
      <c r="J343" s="12"/>
      <c r="K343" s="12"/>
      <c r="L343" s="12"/>
      <c r="M343" s="12"/>
      <c r="N343" s="12"/>
      <c r="O343" s="12"/>
      <c r="P343" s="12"/>
      <c r="Q343" s="12"/>
      <c r="R343" s="12"/>
      <c r="S343" s="12"/>
      <c r="T343" s="12"/>
      <c r="U343" s="12"/>
    </row>
    <row r="344">
      <c r="A344" s="12" t="s">
        <v>101</v>
      </c>
      <c r="B344" s="12"/>
      <c r="C344" s="12"/>
      <c r="D344" s="12"/>
      <c r="E344" s="12"/>
      <c r="F344" s="12"/>
      <c r="G344" s="12"/>
      <c r="H344" s="12"/>
      <c r="I344" s="12"/>
      <c r="J344" s="12"/>
      <c r="K344" s="12"/>
      <c r="L344" s="12"/>
      <c r="M344" s="12"/>
      <c r="N344" s="12"/>
      <c r="O344" s="12"/>
      <c r="P344" s="12"/>
      <c r="Q344" s="12"/>
      <c r="R344" s="12"/>
      <c r="S344" s="12"/>
      <c r="T344" s="12"/>
      <c r="U344" s="12"/>
    </row>
    <row r="345">
      <c r="A345" s="12" t="s">
        <v>101</v>
      </c>
      <c r="B345" s="12"/>
      <c r="C345" s="12"/>
      <c r="D345" s="12"/>
      <c r="E345" s="12"/>
      <c r="F345" s="12"/>
      <c r="G345" s="12"/>
      <c r="H345" s="12"/>
      <c r="I345" s="12"/>
      <c r="J345" s="12"/>
      <c r="K345" s="12"/>
      <c r="L345" s="12"/>
      <c r="M345" s="12"/>
      <c r="N345" s="12"/>
      <c r="O345" s="12"/>
      <c r="P345" s="12"/>
      <c r="Q345" s="12"/>
      <c r="R345" s="12"/>
      <c r="S345" s="12"/>
      <c r="T345" s="12"/>
      <c r="U345" s="12"/>
    </row>
    <row r="346">
      <c r="A346" s="12" t="s">
        <v>101</v>
      </c>
      <c r="B346" s="12"/>
      <c r="C346" s="12"/>
      <c r="D346" s="12"/>
      <c r="E346" s="12"/>
      <c r="F346" s="12"/>
      <c r="G346" s="12"/>
      <c r="H346" s="12"/>
      <c r="I346" s="12"/>
      <c r="J346" s="12"/>
      <c r="K346" s="12"/>
      <c r="L346" s="12"/>
      <c r="M346" s="12"/>
      <c r="N346" s="12"/>
      <c r="O346" s="12"/>
      <c r="P346" s="12"/>
      <c r="Q346" s="12"/>
      <c r="R346" s="12"/>
      <c r="S346" s="12"/>
      <c r="T346" s="12"/>
      <c r="U346" s="12"/>
    </row>
    <row r="347">
      <c r="A347" s="12" t="s">
        <v>101</v>
      </c>
      <c r="B347" s="12"/>
      <c r="C347" s="12"/>
      <c r="D347" s="12"/>
      <c r="E347" s="12"/>
      <c r="F347" s="12"/>
      <c r="G347" s="12"/>
      <c r="H347" s="12"/>
      <c r="I347" s="12"/>
      <c r="J347" s="12"/>
      <c r="K347" s="12"/>
      <c r="L347" s="12"/>
      <c r="M347" s="12"/>
      <c r="N347" s="12"/>
      <c r="O347" s="12"/>
      <c r="P347" s="12"/>
      <c r="Q347" s="12"/>
      <c r="R347" s="12"/>
      <c r="S347" s="12"/>
      <c r="T347" s="12"/>
      <c r="U347" s="12"/>
    </row>
    <row r="348">
      <c r="A348" s="12" t="s">
        <v>101</v>
      </c>
      <c r="B348" s="12"/>
      <c r="C348" s="12"/>
      <c r="D348" s="12"/>
      <c r="E348" s="12"/>
      <c r="F348" s="12"/>
      <c r="G348" s="12"/>
      <c r="H348" s="12"/>
      <c r="I348" s="12"/>
      <c r="J348" s="12"/>
      <c r="K348" s="12"/>
      <c r="L348" s="12"/>
      <c r="M348" s="12"/>
      <c r="N348" s="12"/>
      <c r="O348" s="12"/>
      <c r="P348" s="12"/>
      <c r="Q348" s="12"/>
      <c r="R348" s="12"/>
      <c r="S348" s="12"/>
      <c r="T348" s="12"/>
      <c r="U348" s="12"/>
    </row>
    <row r="349">
      <c r="A349" s="12" t="s">
        <v>101</v>
      </c>
      <c r="B349" s="12"/>
      <c r="C349" s="12"/>
      <c r="D349" s="12"/>
      <c r="E349" s="12"/>
      <c r="F349" s="12"/>
      <c r="G349" s="12"/>
      <c r="H349" s="12"/>
      <c r="I349" s="12"/>
      <c r="J349" s="12"/>
      <c r="K349" s="12"/>
      <c r="L349" s="12"/>
      <c r="M349" s="12"/>
      <c r="N349" s="12"/>
      <c r="O349" s="12"/>
      <c r="P349" s="12"/>
      <c r="Q349" s="12"/>
      <c r="R349" s="12"/>
      <c r="S349" s="12"/>
      <c r="T349" s="12"/>
      <c r="U349" s="12"/>
    </row>
    <row r="350">
      <c r="A350" s="12" t="s">
        <v>101</v>
      </c>
      <c r="B350" s="12"/>
      <c r="C350" s="12"/>
      <c r="D350" s="12"/>
      <c r="E350" s="12"/>
      <c r="F350" s="12"/>
      <c r="G350" s="12"/>
      <c r="H350" s="12"/>
      <c r="I350" s="12"/>
      <c r="J350" s="12"/>
      <c r="K350" s="12"/>
      <c r="L350" s="12"/>
      <c r="M350" s="12"/>
      <c r="N350" s="12"/>
      <c r="O350" s="12"/>
      <c r="P350" s="12"/>
      <c r="Q350" s="12"/>
      <c r="R350" s="12"/>
      <c r="S350" s="12"/>
      <c r="T350" s="12"/>
      <c r="U350" s="12"/>
    </row>
    <row r="351">
      <c r="A351" s="12" t="s">
        <v>101</v>
      </c>
      <c r="B351" s="12"/>
      <c r="C351" s="12"/>
      <c r="D351" s="12"/>
      <c r="E351" s="12"/>
      <c r="F351" s="12"/>
      <c r="G351" s="12"/>
      <c r="H351" s="12"/>
      <c r="I351" s="12"/>
      <c r="J351" s="12"/>
      <c r="K351" s="12"/>
      <c r="L351" s="12"/>
      <c r="M351" s="12"/>
      <c r="N351" s="12"/>
      <c r="O351" s="12"/>
      <c r="P351" s="12"/>
      <c r="Q351" s="12"/>
      <c r="R351" s="12"/>
      <c r="S351" s="12"/>
      <c r="T351" s="12"/>
      <c r="U351" s="12"/>
    </row>
    <row r="352">
      <c r="A352" s="12" t="s">
        <v>101</v>
      </c>
      <c r="B352" s="12"/>
      <c r="C352" s="12"/>
      <c r="D352" s="12"/>
      <c r="E352" s="12"/>
      <c r="F352" s="12"/>
      <c r="G352" s="12"/>
      <c r="H352" s="12"/>
      <c r="I352" s="12"/>
      <c r="J352" s="12"/>
      <c r="K352" s="12"/>
      <c r="L352" s="12"/>
      <c r="M352" s="12"/>
      <c r="N352" s="12"/>
      <c r="O352" s="12"/>
      <c r="P352" s="12"/>
      <c r="Q352" s="12"/>
      <c r="R352" s="12"/>
      <c r="S352" s="12"/>
      <c r="T352" s="12"/>
      <c r="U352" s="12"/>
    </row>
    <row r="353">
      <c r="A353" s="12" t="s">
        <v>101</v>
      </c>
      <c r="B353" s="12"/>
      <c r="C353" s="12"/>
      <c r="D353" s="12"/>
      <c r="E353" s="12"/>
      <c r="F353" s="12"/>
      <c r="G353" s="12"/>
      <c r="H353" s="12"/>
      <c r="I353" s="12"/>
      <c r="J353" s="12"/>
      <c r="K353" s="12"/>
      <c r="L353" s="12"/>
      <c r="M353" s="12"/>
      <c r="N353" s="12"/>
      <c r="O353" s="12"/>
      <c r="P353" s="12"/>
      <c r="Q353" s="12"/>
      <c r="R353" s="12"/>
      <c r="S353" s="12"/>
      <c r="T353" s="12"/>
      <c r="U353" s="12"/>
    </row>
    <row r="354">
      <c r="A354" s="12" t="s">
        <v>101</v>
      </c>
      <c r="B354" s="12"/>
      <c r="C354" s="12"/>
      <c r="D354" s="12"/>
      <c r="E354" s="12"/>
      <c r="F354" s="12"/>
      <c r="G354" s="12"/>
      <c r="H354" s="12"/>
      <c r="I354" s="12"/>
      <c r="J354" s="12"/>
      <c r="K354" s="12"/>
      <c r="L354" s="12"/>
      <c r="M354" s="12"/>
      <c r="N354" s="12"/>
      <c r="O354" s="12"/>
      <c r="P354" s="12"/>
      <c r="Q354" s="12"/>
      <c r="R354" s="12"/>
      <c r="S354" s="12"/>
      <c r="T354" s="12"/>
      <c r="U354" s="12"/>
    </row>
    <row r="355">
      <c r="A355" s="12" t="s">
        <v>101</v>
      </c>
      <c r="B355" s="12"/>
      <c r="C355" s="12"/>
      <c r="D355" s="12"/>
      <c r="E355" s="12"/>
      <c r="F355" s="12"/>
      <c r="G355" s="12"/>
      <c r="H355" s="12"/>
      <c r="I355" s="12"/>
      <c r="J355" s="12"/>
      <c r="K355" s="12"/>
      <c r="L355" s="12"/>
      <c r="M355" s="12"/>
      <c r="N355" s="12"/>
      <c r="O355" s="12"/>
      <c r="P355" s="12"/>
      <c r="Q355" s="12"/>
      <c r="R355" s="12"/>
      <c r="S355" s="12"/>
      <c r="T355" s="12"/>
      <c r="U355" s="12"/>
    </row>
    <row r="356">
      <c r="A356" s="12" t="s">
        <v>101</v>
      </c>
      <c r="B356" s="12"/>
      <c r="C356" s="12"/>
      <c r="D356" s="12"/>
      <c r="E356" s="12"/>
      <c r="F356" s="12"/>
      <c r="G356" s="12"/>
      <c r="H356" s="12"/>
      <c r="I356" s="12"/>
      <c r="J356" s="12"/>
      <c r="K356" s="12"/>
      <c r="L356" s="12"/>
      <c r="M356" s="12"/>
      <c r="N356" s="12"/>
      <c r="O356" s="12"/>
      <c r="P356" s="12"/>
      <c r="Q356" s="12"/>
      <c r="R356" s="12"/>
      <c r="S356" s="12"/>
      <c r="T356" s="12"/>
      <c r="U356" s="12"/>
    </row>
    <row r="357">
      <c r="A357" s="12" t="s">
        <v>101</v>
      </c>
      <c r="B357" s="12"/>
      <c r="C357" s="12"/>
      <c r="D357" s="12"/>
      <c r="E357" s="12"/>
      <c r="F357" s="12"/>
      <c r="G357" s="12"/>
      <c r="H357" s="12"/>
      <c r="I357" s="12"/>
      <c r="J357" s="12"/>
      <c r="K357" s="12"/>
      <c r="L357" s="12"/>
      <c r="M357" s="12"/>
      <c r="N357" s="12"/>
      <c r="O357" s="12"/>
      <c r="P357" s="12"/>
      <c r="Q357" s="12"/>
      <c r="R357" s="12"/>
      <c r="S357" s="12"/>
      <c r="T357" s="12"/>
      <c r="U357" s="12"/>
    </row>
    <row r="358">
      <c r="A358" s="12" t="s">
        <v>101</v>
      </c>
      <c r="B358" s="12"/>
      <c r="C358" s="12"/>
      <c r="D358" s="12"/>
      <c r="E358" s="12"/>
      <c r="F358" s="12"/>
      <c r="G358" s="12"/>
      <c r="H358" s="12"/>
      <c r="I358" s="12"/>
      <c r="J358" s="12"/>
      <c r="K358" s="12"/>
      <c r="L358" s="12"/>
      <c r="M358" s="12"/>
      <c r="N358" s="12"/>
      <c r="O358" s="12"/>
      <c r="P358" s="12"/>
      <c r="Q358" s="12"/>
      <c r="R358" s="12"/>
      <c r="S358" s="12"/>
      <c r="T358" s="12"/>
      <c r="U358" s="12"/>
    </row>
    <row r="359">
      <c r="A359" s="12" t="s">
        <v>101</v>
      </c>
      <c r="B359" s="12"/>
      <c r="C359" s="12"/>
      <c r="D359" s="12"/>
      <c r="E359" s="12"/>
      <c r="F359" s="12"/>
      <c r="G359" s="12"/>
      <c r="H359" s="12"/>
      <c r="I359" s="12"/>
      <c r="J359" s="12"/>
      <c r="K359" s="12"/>
      <c r="L359" s="12"/>
      <c r="M359" s="12"/>
      <c r="N359" s="12"/>
      <c r="O359" s="12"/>
      <c r="P359" s="12"/>
      <c r="Q359" s="12"/>
      <c r="R359" s="12"/>
      <c r="S359" s="12"/>
      <c r="T359" s="12"/>
      <c r="U359" s="12"/>
    </row>
    <row r="360">
      <c r="A360" s="12" t="s">
        <v>101</v>
      </c>
      <c r="B360" s="12"/>
      <c r="C360" s="12"/>
      <c r="D360" s="12"/>
      <c r="E360" s="12"/>
      <c r="F360" s="12"/>
      <c r="G360" s="12"/>
      <c r="H360" s="12"/>
      <c r="I360" s="12"/>
      <c r="J360" s="12"/>
      <c r="K360" s="12"/>
      <c r="L360" s="12"/>
      <c r="M360" s="12"/>
      <c r="N360" s="12"/>
      <c r="O360" s="12"/>
      <c r="P360" s="12"/>
      <c r="Q360" s="12"/>
      <c r="R360" s="12"/>
      <c r="S360" s="12"/>
      <c r="T360" s="12"/>
      <c r="U360" s="12"/>
    </row>
    <row r="361">
      <c r="A361" s="12" t="s">
        <v>101</v>
      </c>
      <c r="B361" s="12"/>
      <c r="C361" s="12"/>
      <c r="D361" s="12"/>
      <c r="E361" s="12"/>
      <c r="F361" s="12"/>
      <c r="G361" s="12"/>
      <c r="H361" s="12"/>
      <c r="I361" s="12"/>
      <c r="J361" s="12"/>
      <c r="K361" s="12"/>
      <c r="L361" s="12"/>
      <c r="M361" s="12"/>
      <c r="N361" s="12"/>
      <c r="O361" s="12"/>
      <c r="P361" s="12"/>
      <c r="Q361" s="12"/>
      <c r="R361" s="12"/>
      <c r="S361" s="12"/>
      <c r="T361" s="12"/>
      <c r="U361" s="12"/>
    </row>
    <row r="362">
      <c r="A362" s="12" t="s">
        <v>101</v>
      </c>
      <c r="B362" s="12"/>
      <c r="C362" s="12"/>
      <c r="D362" s="12"/>
      <c r="E362" s="12"/>
      <c r="F362" s="12"/>
      <c r="G362" s="12"/>
      <c r="H362" s="12"/>
      <c r="I362" s="12"/>
      <c r="J362" s="12"/>
      <c r="K362" s="12"/>
      <c r="L362" s="12"/>
      <c r="M362" s="12"/>
      <c r="N362" s="12"/>
      <c r="O362" s="12"/>
      <c r="P362" s="12"/>
      <c r="Q362" s="12"/>
      <c r="R362" s="12"/>
      <c r="S362" s="12"/>
      <c r="T362" s="12"/>
      <c r="U362" s="12"/>
    </row>
    <row r="363">
      <c r="A363" s="12" t="s">
        <v>101</v>
      </c>
      <c r="B363" s="12"/>
      <c r="C363" s="12"/>
      <c r="D363" s="12"/>
      <c r="E363" s="12"/>
      <c r="F363" s="12"/>
      <c r="G363" s="12"/>
      <c r="H363" s="12"/>
      <c r="I363" s="12"/>
      <c r="J363" s="12"/>
      <c r="K363" s="12"/>
      <c r="L363" s="12"/>
      <c r="M363" s="12"/>
      <c r="N363" s="12"/>
      <c r="O363" s="12"/>
      <c r="P363" s="12"/>
      <c r="Q363" s="12"/>
      <c r="R363" s="12"/>
      <c r="S363" s="12"/>
      <c r="T363" s="12"/>
      <c r="U363" s="12"/>
    </row>
    <row r="364">
      <c r="A364" s="12" t="s">
        <v>101</v>
      </c>
      <c r="B364" s="12"/>
      <c r="C364" s="12"/>
      <c r="D364" s="12"/>
      <c r="E364" s="12"/>
      <c r="F364" s="12"/>
      <c r="G364" s="12"/>
      <c r="H364" s="12"/>
      <c r="I364" s="12"/>
      <c r="J364" s="12"/>
      <c r="K364" s="12"/>
      <c r="L364" s="12"/>
      <c r="M364" s="12"/>
      <c r="N364" s="12"/>
      <c r="O364" s="12"/>
      <c r="P364" s="12"/>
      <c r="Q364" s="12"/>
      <c r="R364" s="12"/>
      <c r="S364" s="12"/>
      <c r="T364" s="12"/>
      <c r="U364" s="12"/>
    </row>
    <row r="365">
      <c r="A365" s="12" t="s">
        <v>101</v>
      </c>
      <c r="B365" s="12"/>
      <c r="C365" s="12"/>
      <c r="D365" s="12"/>
      <c r="E365" s="12"/>
      <c r="F365" s="12"/>
      <c r="G365" s="12"/>
      <c r="H365" s="12"/>
      <c r="I365" s="12"/>
      <c r="J365" s="12"/>
      <c r="K365" s="12"/>
      <c r="L365" s="12"/>
      <c r="M365" s="12"/>
      <c r="N365" s="12"/>
      <c r="O365" s="12"/>
      <c r="P365" s="12"/>
      <c r="Q365" s="12"/>
      <c r="R365" s="12"/>
      <c r="S365" s="12"/>
      <c r="T365" s="12"/>
      <c r="U365" s="12"/>
    </row>
    <row r="366">
      <c r="A366" s="12" t="s">
        <v>101</v>
      </c>
      <c r="B366" s="12"/>
      <c r="C366" s="12"/>
      <c r="D366" s="12"/>
      <c r="E366" s="12"/>
      <c r="F366" s="12"/>
      <c r="G366" s="12"/>
      <c r="H366" s="12"/>
      <c r="I366" s="12"/>
      <c r="J366" s="12"/>
      <c r="K366" s="12"/>
      <c r="L366" s="12"/>
      <c r="M366" s="12"/>
      <c r="N366" s="12"/>
      <c r="O366" s="12"/>
      <c r="P366" s="12"/>
      <c r="Q366" s="12"/>
      <c r="R366" s="12"/>
      <c r="S366" s="12"/>
      <c r="T366" s="12"/>
      <c r="U366" s="12"/>
    </row>
    <row r="367">
      <c r="A367" s="12" t="s">
        <v>101</v>
      </c>
      <c r="B367" s="12"/>
      <c r="C367" s="12"/>
      <c r="D367" s="12"/>
      <c r="E367" s="12"/>
      <c r="F367" s="12"/>
      <c r="G367" s="12"/>
      <c r="H367" s="12"/>
      <c r="I367" s="12"/>
      <c r="J367" s="12"/>
      <c r="K367" s="12"/>
      <c r="L367" s="12"/>
      <c r="M367" s="12"/>
      <c r="N367" s="12"/>
      <c r="O367" s="12"/>
      <c r="P367" s="12"/>
      <c r="Q367" s="12"/>
      <c r="R367" s="12"/>
      <c r="S367" s="12"/>
      <c r="T367" s="12"/>
      <c r="U367" s="12"/>
    </row>
    <row r="368">
      <c r="A368" s="12" t="s">
        <v>101</v>
      </c>
      <c r="B368" s="12"/>
      <c r="C368" s="12"/>
      <c r="D368" s="12"/>
      <c r="E368" s="12"/>
      <c r="F368" s="12"/>
      <c r="G368" s="12"/>
      <c r="H368" s="12"/>
      <c r="I368" s="12"/>
      <c r="J368" s="12"/>
      <c r="K368" s="12"/>
      <c r="L368" s="12"/>
      <c r="M368" s="12"/>
      <c r="N368" s="12"/>
      <c r="O368" s="12"/>
      <c r="P368" s="12"/>
      <c r="Q368" s="12"/>
      <c r="R368" s="12"/>
      <c r="S368" s="12"/>
      <c r="T368" s="12"/>
      <c r="U368" s="12"/>
    </row>
    <row r="369">
      <c r="A369" s="12" t="s">
        <v>101</v>
      </c>
      <c r="B369" s="12"/>
      <c r="C369" s="12"/>
      <c r="D369" s="12"/>
      <c r="E369" s="12"/>
      <c r="F369" s="12"/>
      <c r="G369" s="12"/>
      <c r="H369" s="12"/>
      <c r="I369" s="12"/>
      <c r="J369" s="12"/>
      <c r="K369" s="12"/>
      <c r="L369" s="12"/>
      <c r="M369" s="12"/>
      <c r="N369" s="12"/>
      <c r="O369" s="12"/>
      <c r="P369" s="12"/>
      <c r="Q369" s="12"/>
      <c r="R369" s="12"/>
      <c r="S369" s="12"/>
      <c r="T369" s="12"/>
      <c r="U369" s="12"/>
    </row>
    <row r="370">
      <c r="A370" s="12" t="s">
        <v>101</v>
      </c>
      <c r="B370" s="12"/>
      <c r="C370" s="12"/>
      <c r="D370" s="12"/>
      <c r="E370" s="12"/>
      <c r="F370" s="12"/>
      <c r="G370" s="12"/>
      <c r="H370" s="12"/>
      <c r="I370" s="12"/>
      <c r="J370" s="12"/>
      <c r="K370" s="12"/>
      <c r="L370" s="12"/>
      <c r="M370" s="12"/>
      <c r="N370" s="12"/>
      <c r="O370" s="12"/>
      <c r="P370" s="12"/>
      <c r="Q370" s="12"/>
      <c r="R370" s="12"/>
      <c r="S370" s="12"/>
      <c r="T370" s="12"/>
      <c r="U370" s="12"/>
    </row>
    <row r="371">
      <c r="A371" s="12" t="s">
        <v>101</v>
      </c>
      <c r="B371" s="12"/>
      <c r="C371" s="12"/>
      <c r="D371" s="12"/>
      <c r="E371" s="12"/>
      <c r="F371" s="12"/>
      <c r="G371" s="12"/>
      <c r="H371" s="12"/>
      <c r="I371" s="12"/>
      <c r="J371" s="12"/>
      <c r="K371" s="12"/>
      <c r="L371" s="12"/>
      <c r="M371" s="12"/>
      <c r="N371" s="12"/>
      <c r="O371" s="12"/>
      <c r="P371" s="12"/>
      <c r="Q371" s="12"/>
      <c r="R371" s="12"/>
      <c r="S371" s="12"/>
      <c r="T371" s="12"/>
      <c r="U371" s="12"/>
    </row>
    <row r="372">
      <c r="A372" s="12" t="s">
        <v>101</v>
      </c>
      <c r="B372" s="12"/>
      <c r="C372" s="12"/>
      <c r="D372" s="12"/>
      <c r="E372" s="12"/>
      <c r="F372" s="12"/>
      <c r="G372" s="12"/>
      <c r="H372" s="12"/>
      <c r="I372" s="12"/>
      <c r="J372" s="12"/>
      <c r="K372" s="12"/>
      <c r="L372" s="12"/>
      <c r="M372" s="12"/>
      <c r="N372" s="12"/>
      <c r="O372" s="12"/>
      <c r="P372" s="12"/>
      <c r="Q372" s="12"/>
      <c r="R372" s="12"/>
      <c r="S372" s="12"/>
      <c r="T372" s="12"/>
      <c r="U372" s="12"/>
    </row>
    <row r="373">
      <c r="A373" s="12" t="s">
        <v>101</v>
      </c>
      <c r="B373" s="12"/>
      <c r="C373" s="12"/>
      <c r="D373" s="12"/>
      <c r="E373" s="12"/>
      <c r="F373" s="12"/>
      <c r="G373" s="12"/>
      <c r="H373" s="12"/>
      <c r="I373" s="12"/>
      <c r="J373" s="12"/>
      <c r="K373" s="12"/>
      <c r="L373" s="12"/>
      <c r="M373" s="12"/>
      <c r="N373" s="12"/>
      <c r="O373" s="12"/>
      <c r="P373" s="12"/>
      <c r="Q373" s="12"/>
      <c r="R373" s="12"/>
      <c r="S373" s="12"/>
      <c r="T373" s="12"/>
      <c r="U373" s="12"/>
    </row>
    <row r="374">
      <c r="A374" s="12" t="s">
        <v>101</v>
      </c>
      <c r="B374" s="12"/>
      <c r="C374" s="12"/>
      <c r="D374" s="12"/>
      <c r="E374" s="12"/>
      <c r="F374" s="12"/>
      <c r="G374" s="12"/>
      <c r="H374" s="12"/>
      <c r="I374" s="12"/>
      <c r="J374" s="12"/>
      <c r="K374" s="12"/>
      <c r="L374" s="12"/>
      <c r="M374" s="12"/>
      <c r="N374" s="12"/>
      <c r="O374" s="12"/>
      <c r="P374" s="12"/>
      <c r="Q374" s="12"/>
      <c r="R374" s="12"/>
      <c r="S374" s="12"/>
      <c r="T374" s="12"/>
      <c r="U374" s="12"/>
    </row>
    <row r="375">
      <c r="A375" s="12" t="s">
        <v>101</v>
      </c>
      <c r="B375" s="12"/>
      <c r="C375" s="12"/>
      <c r="D375" s="12"/>
      <c r="E375" s="12"/>
      <c r="F375" s="12"/>
      <c r="G375" s="12"/>
      <c r="H375" s="12"/>
      <c r="I375" s="12"/>
      <c r="J375" s="12"/>
      <c r="K375" s="12"/>
      <c r="L375" s="12"/>
      <c r="M375" s="12"/>
      <c r="N375" s="12"/>
      <c r="O375" s="12"/>
      <c r="P375" s="12"/>
      <c r="Q375" s="12"/>
      <c r="R375" s="12"/>
      <c r="S375" s="12"/>
      <c r="T375" s="12"/>
      <c r="U375" s="12"/>
    </row>
    <row r="376">
      <c r="A376" s="12" t="s">
        <v>101</v>
      </c>
      <c r="B376" s="12"/>
      <c r="C376" s="12"/>
      <c r="D376" s="12"/>
      <c r="E376" s="12"/>
      <c r="F376" s="12"/>
      <c r="G376" s="12"/>
      <c r="H376" s="12"/>
      <c r="I376" s="12"/>
      <c r="J376" s="12"/>
      <c r="K376" s="12"/>
      <c r="L376" s="12"/>
      <c r="M376" s="12"/>
      <c r="N376" s="12"/>
      <c r="O376" s="12"/>
      <c r="P376" s="12"/>
      <c r="Q376" s="12"/>
      <c r="R376" s="12"/>
      <c r="S376" s="12"/>
      <c r="T376" s="12"/>
      <c r="U376" s="12"/>
    </row>
    <row r="377">
      <c r="A377" s="12" t="s">
        <v>101</v>
      </c>
      <c r="B377" s="12"/>
      <c r="C377" s="12"/>
      <c r="D377" s="12"/>
      <c r="E377" s="12"/>
      <c r="F377" s="12"/>
      <c r="G377" s="12"/>
      <c r="H377" s="12"/>
      <c r="I377" s="12"/>
      <c r="J377" s="12"/>
      <c r="K377" s="12"/>
      <c r="L377" s="12"/>
      <c r="M377" s="12"/>
      <c r="N377" s="12"/>
      <c r="O377" s="12"/>
      <c r="P377" s="12"/>
      <c r="Q377" s="12"/>
      <c r="R377" s="12"/>
      <c r="S377" s="12"/>
      <c r="T377" s="12"/>
      <c r="U377" s="12"/>
    </row>
    <row r="378">
      <c r="A378" s="12" t="s">
        <v>101</v>
      </c>
      <c r="B378" s="12"/>
      <c r="C378" s="12"/>
      <c r="D378" s="12"/>
      <c r="E378" s="12"/>
      <c r="F378" s="12"/>
      <c r="G378" s="12"/>
      <c r="H378" s="12"/>
      <c r="I378" s="12"/>
      <c r="J378" s="12"/>
      <c r="K378" s="12"/>
      <c r="L378" s="12"/>
      <c r="M378" s="12"/>
      <c r="N378" s="12"/>
      <c r="O378" s="12"/>
      <c r="P378" s="12"/>
      <c r="Q378" s="12"/>
      <c r="R378" s="12"/>
      <c r="S378" s="12"/>
      <c r="T378" s="12"/>
      <c r="U378" s="12"/>
    </row>
    <row r="379">
      <c r="A379" s="12" t="s">
        <v>101</v>
      </c>
      <c r="B379" s="12"/>
      <c r="C379" s="12"/>
      <c r="D379" s="12"/>
      <c r="E379" s="12"/>
      <c r="F379" s="12"/>
      <c r="G379" s="12"/>
      <c r="H379" s="12"/>
      <c r="I379" s="12"/>
      <c r="J379" s="12"/>
      <c r="K379" s="12"/>
      <c r="L379" s="12"/>
      <c r="M379" s="12"/>
      <c r="N379" s="12"/>
      <c r="O379" s="12"/>
      <c r="P379" s="12"/>
      <c r="Q379" s="12"/>
      <c r="R379" s="12"/>
      <c r="S379" s="12"/>
      <c r="T379" s="12"/>
      <c r="U379" s="12"/>
    </row>
    <row r="380">
      <c r="A380" s="12" t="s">
        <v>101</v>
      </c>
      <c r="B380" s="12"/>
      <c r="C380" s="12"/>
      <c r="D380" s="12"/>
      <c r="E380" s="12"/>
      <c r="F380" s="12"/>
      <c r="G380" s="12"/>
      <c r="H380" s="12"/>
      <c r="I380" s="12"/>
      <c r="J380" s="12"/>
      <c r="K380" s="12"/>
      <c r="L380" s="12"/>
      <c r="M380" s="12"/>
      <c r="N380" s="12"/>
      <c r="O380" s="12"/>
      <c r="P380" s="12"/>
      <c r="Q380" s="12"/>
      <c r="R380" s="12"/>
      <c r="S380" s="12"/>
      <c r="T380" s="12"/>
      <c r="U380" s="12"/>
    </row>
    <row r="381">
      <c r="A381" s="12" t="s">
        <v>101</v>
      </c>
      <c r="B381" s="12"/>
      <c r="C381" s="12"/>
      <c r="D381" s="12"/>
      <c r="E381" s="12"/>
      <c r="F381" s="12"/>
      <c r="G381" s="12"/>
      <c r="H381" s="12"/>
      <c r="I381" s="12"/>
      <c r="J381" s="12"/>
      <c r="K381" s="12"/>
      <c r="L381" s="12"/>
      <c r="M381" s="12"/>
      <c r="N381" s="12"/>
      <c r="O381" s="12"/>
      <c r="P381" s="12"/>
      <c r="Q381" s="12"/>
      <c r="R381" s="12"/>
      <c r="S381" s="12"/>
      <c r="T381" s="12"/>
      <c r="U381" s="12"/>
    </row>
    <row r="382">
      <c r="A382" s="12" t="s">
        <v>101</v>
      </c>
      <c r="B382" s="12"/>
      <c r="C382" s="12"/>
      <c r="D382" s="12"/>
      <c r="E382" s="12"/>
      <c r="F382" s="12"/>
      <c r="G382" s="12"/>
      <c r="H382" s="12"/>
      <c r="I382" s="12"/>
      <c r="J382" s="12"/>
      <c r="K382" s="12"/>
      <c r="L382" s="12"/>
      <c r="M382" s="12"/>
      <c r="N382" s="12"/>
      <c r="O382" s="12"/>
      <c r="P382" s="12"/>
      <c r="Q382" s="12"/>
      <c r="R382" s="12"/>
      <c r="S382" s="12"/>
      <c r="T382" s="12"/>
      <c r="U382" s="12"/>
    </row>
    <row r="383">
      <c r="A383" s="12" t="s">
        <v>101</v>
      </c>
      <c r="B383" s="12"/>
      <c r="C383" s="12"/>
      <c r="D383" s="12"/>
      <c r="E383" s="12"/>
      <c r="F383" s="12"/>
      <c r="G383" s="12"/>
      <c r="H383" s="12"/>
      <c r="I383" s="12"/>
      <c r="J383" s="12"/>
      <c r="K383" s="12"/>
      <c r="L383" s="12"/>
      <c r="M383" s="12"/>
      <c r="N383" s="12"/>
      <c r="O383" s="12"/>
      <c r="P383" s="12"/>
      <c r="Q383" s="12"/>
      <c r="R383" s="12"/>
      <c r="S383" s="12"/>
      <c r="T383" s="12"/>
      <c r="U383" s="12"/>
    </row>
    <row r="384">
      <c r="A384" s="12" t="s">
        <v>101</v>
      </c>
      <c r="B384" s="12"/>
      <c r="C384" s="12"/>
      <c r="D384" s="12"/>
      <c r="E384" s="12"/>
      <c r="F384" s="12"/>
      <c r="G384" s="12"/>
      <c r="H384" s="12"/>
      <c r="I384" s="12"/>
      <c r="J384" s="12"/>
      <c r="K384" s="12"/>
      <c r="L384" s="12"/>
      <c r="M384" s="12"/>
      <c r="N384" s="12"/>
      <c r="O384" s="12"/>
      <c r="P384" s="12"/>
      <c r="Q384" s="12"/>
      <c r="R384" s="12"/>
      <c r="S384" s="12"/>
      <c r="T384" s="12"/>
      <c r="U384" s="12"/>
    </row>
    <row r="385">
      <c r="A385" s="12" t="s">
        <v>101</v>
      </c>
      <c r="B385" s="12"/>
      <c r="C385" s="12"/>
      <c r="D385" s="12"/>
      <c r="E385" s="12"/>
      <c r="F385" s="12"/>
      <c r="G385" s="12"/>
      <c r="H385" s="12"/>
      <c r="I385" s="12"/>
      <c r="J385" s="12"/>
      <c r="K385" s="12"/>
      <c r="L385" s="12"/>
      <c r="M385" s="12"/>
      <c r="N385" s="12"/>
      <c r="O385" s="12"/>
      <c r="P385" s="12"/>
      <c r="Q385" s="12"/>
      <c r="R385" s="12"/>
      <c r="S385" s="12"/>
      <c r="T385" s="12"/>
      <c r="U385" s="12"/>
    </row>
    <row r="386">
      <c r="A386" s="12" t="s">
        <v>101</v>
      </c>
      <c r="B386" s="12"/>
      <c r="C386" s="12"/>
      <c r="D386" s="12"/>
      <c r="E386" s="12"/>
      <c r="F386" s="12"/>
      <c r="G386" s="12"/>
      <c r="H386" s="12"/>
      <c r="I386" s="12"/>
      <c r="J386" s="12"/>
      <c r="K386" s="12"/>
      <c r="L386" s="12"/>
      <c r="M386" s="12"/>
      <c r="N386" s="12"/>
      <c r="O386" s="12"/>
      <c r="P386" s="12"/>
      <c r="Q386" s="12"/>
      <c r="R386" s="12"/>
      <c r="S386" s="12"/>
      <c r="T386" s="12"/>
      <c r="U386" s="12"/>
    </row>
    <row r="387">
      <c r="A387" s="12" t="s">
        <v>101</v>
      </c>
      <c r="B387" s="12"/>
      <c r="C387" s="12"/>
      <c r="D387" s="12"/>
      <c r="E387" s="12"/>
      <c r="F387" s="12"/>
      <c r="G387" s="12"/>
      <c r="H387" s="12"/>
      <c r="I387" s="12"/>
      <c r="J387" s="12"/>
      <c r="K387" s="12"/>
      <c r="L387" s="12"/>
      <c r="M387" s="12"/>
      <c r="N387" s="12"/>
      <c r="O387" s="12"/>
      <c r="P387" s="12"/>
      <c r="Q387" s="12"/>
      <c r="R387" s="12"/>
      <c r="S387" s="12"/>
      <c r="T387" s="12"/>
      <c r="U387" s="12"/>
    </row>
    <row r="388">
      <c r="A388" s="12" t="s">
        <v>101</v>
      </c>
      <c r="B388" s="12"/>
      <c r="C388" s="12"/>
      <c r="D388" s="12"/>
      <c r="E388" s="12"/>
      <c r="F388" s="12"/>
      <c r="G388" s="12"/>
      <c r="H388" s="12"/>
      <c r="I388" s="12"/>
      <c r="J388" s="12"/>
      <c r="K388" s="12"/>
      <c r="L388" s="12"/>
      <c r="M388" s="12"/>
      <c r="N388" s="12"/>
      <c r="O388" s="12"/>
      <c r="P388" s="12"/>
      <c r="Q388" s="12"/>
      <c r="R388" s="12"/>
      <c r="S388" s="12"/>
      <c r="T388" s="12"/>
      <c r="U388" s="12"/>
    </row>
    <row r="389">
      <c r="A389" s="12" t="s">
        <v>101</v>
      </c>
      <c r="B389" s="12"/>
      <c r="C389" s="12"/>
      <c r="D389" s="12"/>
      <c r="E389" s="12"/>
      <c r="F389" s="12"/>
      <c r="G389" s="12"/>
      <c r="H389" s="12"/>
      <c r="I389" s="12"/>
      <c r="J389" s="12"/>
      <c r="K389" s="12"/>
      <c r="L389" s="12"/>
      <c r="M389" s="12"/>
      <c r="N389" s="12"/>
      <c r="O389" s="12"/>
      <c r="P389" s="12"/>
      <c r="Q389" s="12"/>
      <c r="R389" s="12"/>
      <c r="S389" s="12"/>
      <c r="T389" s="12"/>
      <c r="U389" s="12"/>
    </row>
    <row r="390">
      <c r="A390" s="12" t="s">
        <v>101</v>
      </c>
      <c r="B390" s="12"/>
      <c r="C390" s="12"/>
      <c r="D390" s="12"/>
      <c r="E390" s="12"/>
      <c r="F390" s="12"/>
      <c r="G390" s="12"/>
      <c r="H390" s="12"/>
      <c r="I390" s="12"/>
      <c r="J390" s="12"/>
      <c r="K390" s="12"/>
      <c r="L390" s="12"/>
      <c r="M390" s="12"/>
      <c r="N390" s="12"/>
      <c r="O390" s="12"/>
      <c r="P390" s="12"/>
      <c r="Q390" s="12"/>
      <c r="R390" s="12"/>
      <c r="S390" s="12"/>
      <c r="T390" s="12"/>
      <c r="U390" s="12"/>
    </row>
    <row r="391">
      <c r="A391" s="12" t="s">
        <v>101</v>
      </c>
      <c r="B391" s="12"/>
      <c r="C391" s="12"/>
      <c r="D391" s="12"/>
      <c r="E391" s="12"/>
      <c r="F391" s="12"/>
      <c r="G391" s="12"/>
      <c r="H391" s="12"/>
      <c r="I391" s="12"/>
      <c r="J391" s="12"/>
      <c r="K391" s="12"/>
      <c r="L391" s="12"/>
      <c r="M391" s="12"/>
      <c r="N391" s="12"/>
      <c r="O391" s="12"/>
      <c r="P391" s="12"/>
      <c r="Q391" s="12"/>
      <c r="R391" s="12"/>
      <c r="S391" s="12"/>
      <c r="T391" s="12"/>
      <c r="U391" s="12"/>
    </row>
    <row r="392">
      <c r="A392" s="12" t="s">
        <v>101</v>
      </c>
      <c r="B392" s="12"/>
      <c r="C392" s="12"/>
      <c r="D392" s="12"/>
      <c r="E392" s="12"/>
      <c r="F392" s="12"/>
      <c r="G392" s="12"/>
      <c r="H392" s="12"/>
      <c r="I392" s="12"/>
      <c r="J392" s="12"/>
      <c r="K392" s="12"/>
      <c r="L392" s="12"/>
      <c r="M392" s="12"/>
      <c r="N392" s="12"/>
      <c r="O392" s="12"/>
      <c r="P392" s="12"/>
      <c r="Q392" s="12"/>
      <c r="R392" s="12"/>
      <c r="S392" s="12"/>
      <c r="T392" s="12"/>
      <c r="U392" s="12"/>
    </row>
    <row r="393">
      <c r="A393" s="12" t="s">
        <v>101</v>
      </c>
      <c r="B393" s="12"/>
      <c r="C393" s="12"/>
      <c r="D393" s="12"/>
      <c r="E393" s="12"/>
      <c r="F393" s="12"/>
      <c r="G393" s="12"/>
      <c r="H393" s="12"/>
      <c r="I393" s="12"/>
      <c r="J393" s="12"/>
      <c r="K393" s="12"/>
      <c r="L393" s="12"/>
      <c r="M393" s="12"/>
      <c r="N393" s="12"/>
      <c r="O393" s="12"/>
      <c r="P393" s="12"/>
      <c r="Q393" s="12"/>
      <c r="R393" s="12"/>
      <c r="S393" s="12"/>
      <c r="T393" s="12"/>
      <c r="U393" s="12"/>
    </row>
    <row r="394">
      <c r="A394" s="12" t="s">
        <v>101</v>
      </c>
      <c r="B394" s="12"/>
      <c r="C394" s="12"/>
      <c r="D394" s="12"/>
      <c r="E394" s="12"/>
      <c r="F394" s="12"/>
      <c r="G394" s="12"/>
      <c r="H394" s="12"/>
      <c r="I394" s="12"/>
      <c r="J394" s="12"/>
      <c r="K394" s="12"/>
      <c r="L394" s="12"/>
      <c r="M394" s="12"/>
      <c r="N394" s="12"/>
      <c r="O394" s="12"/>
      <c r="P394" s="12"/>
      <c r="Q394" s="12"/>
      <c r="R394" s="12"/>
      <c r="S394" s="12"/>
      <c r="T394" s="12"/>
      <c r="U394" s="12"/>
    </row>
    <row r="395">
      <c r="A395" s="12" t="s">
        <v>101</v>
      </c>
      <c r="B395" s="12"/>
      <c r="C395" s="12"/>
      <c r="D395" s="12"/>
      <c r="E395" s="12"/>
      <c r="F395" s="12"/>
      <c r="G395" s="12"/>
      <c r="H395" s="12"/>
      <c r="I395" s="12"/>
      <c r="J395" s="12"/>
      <c r="K395" s="12"/>
      <c r="L395" s="12"/>
      <c r="M395" s="12"/>
      <c r="N395" s="12"/>
      <c r="O395" s="12"/>
      <c r="P395" s="12"/>
      <c r="Q395" s="12"/>
      <c r="R395" s="12"/>
      <c r="S395" s="12"/>
      <c r="T395" s="12"/>
      <c r="U395" s="12"/>
    </row>
    <row r="396">
      <c r="A396" s="12" t="s">
        <v>101</v>
      </c>
      <c r="B396" s="12"/>
      <c r="C396" s="12"/>
      <c r="D396" s="12"/>
      <c r="E396" s="12"/>
      <c r="F396" s="12"/>
      <c r="G396" s="12"/>
      <c r="H396" s="12"/>
      <c r="I396" s="12"/>
      <c r="J396" s="12"/>
      <c r="K396" s="12"/>
      <c r="L396" s="12"/>
      <c r="M396" s="12"/>
      <c r="N396" s="12"/>
      <c r="O396" s="12"/>
      <c r="P396" s="12"/>
      <c r="Q396" s="12"/>
      <c r="R396" s="12"/>
      <c r="S396" s="12"/>
      <c r="T396" s="12"/>
      <c r="U396" s="12"/>
    </row>
    <row r="397">
      <c r="A397" s="12" t="s">
        <v>101</v>
      </c>
      <c r="B397" s="12"/>
      <c r="C397" s="12"/>
      <c r="D397" s="12"/>
      <c r="E397" s="12"/>
      <c r="F397" s="12"/>
      <c r="G397" s="12"/>
      <c r="H397" s="12"/>
      <c r="I397" s="12"/>
      <c r="J397" s="12"/>
      <c r="K397" s="12"/>
      <c r="L397" s="12"/>
      <c r="M397" s="12"/>
      <c r="N397" s="12"/>
      <c r="O397" s="12"/>
      <c r="P397" s="12"/>
      <c r="Q397" s="12"/>
      <c r="R397" s="12"/>
      <c r="S397" s="12"/>
      <c r="T397" s="12"/>
      <c r="U397" s="12"/>
    </row>
    <row r="398">
      <c r="A398" s="12" t="s">
        <v>101</v>
      </c>
      <c r="B398" s="12"/>
      <c r="C398" s="12"/>
      <c r="D398" s="12"/>
      <c r="E398" s="12"/>
      <c r="F398" s="12"/>
      <c r="G398" s="12"/>
      <c r="H398" s="12"/>
      <c r="I398" s="12"/>
      <c r="J398" s="12"/>
      <c r="K398" s="12"/>
      <c r="L398" s="12"/>
      <c r="M398" s="12"/>
      <c r="N398" s="12"/>
      <c r="O398" s="12"/>
      <c r="P398" s="12"/>
      <c r="Q398" s="12"/>
      <c r="R398" s="12"/>
      <c r="S398" s="12"/>
      <c r="T398" s="12"/>
      <c r="U398" s="12"/>
    </row>
    <row r="399">
      <c r="A399" s="12" t="s">
        <v>101</v>
      </c>
      <c r="B399" s="12"/>
      <c r="C399" s="12"/>
      <c r="D399" s="12"/>
      <c r="E399" s="12"/>
      <c r="F399" s="12"/>
      <c r="G399" s="12"/>
      <c r="H399" s="12"/>
      <c r="I399" s="12"/>
      <c r="J399" s="12"/>
      <c r="K399" s="12"/>
      <c r="L399" s="12"/>
      <c r="M399" s="12"/>
      <c r="N399" s="12"/>
      <c r="O399" s="12"/>
      <c r="P399" s="12"/>
      <c r="Q399" s="12"/>
      <c r="R399" s="12"/>
      <c r="S399" s="12"/>
      <c r="T399" s="12"/>
      <c r="U399" s="12"/>
    </row>
    <row r="400">
      <c r="A400" s="12" t="s">
        <v>101</v>
      </c>
      <c r="B400" s="12"/>
      <c r="C400" s="12"/>
      <c r="D400" s="12"/>
      <c r="E400" s="12"/>
      <c r="F400" s="12"/>
      <c r="G400" s="12"/>
      <c r="H400" s="12"/>
      <c r="I400" s="12"/>
      <c r="J400" s="12"/>
      <c r="K400" s="12"/>
      <c r="L400" s="12"/>
      <c r="M400" s="12"/>
      <c r="N400" s="12"/>
      <c r="O400" s="12"/>
      <c r="P400" s="12"/>
      <c r="Q400" s="12"/>
      <c r="R400" s="12"/>
      <c r="S400" s="12"/>
      <c r="T400" s="12"/>
      <c r="U400" s="12"/>
    </row>
    <row r="401">
      <c r="A401" s="12" t="s">
        <v>101</v>
      </c>
      <c r="B401" s="12"/>
      <c r="C401" s="12"/>
      <c r="D401" s="12"/>
      <c r="E401" s="12"/>
      <c r="F401" s="12"/>
      <c r="G401" s="12"/>
      <c r="H401" s="12"/>
      <c r="I401" s="12"/>
      <c r="J401" s="12"/>
      <c r="K401" s="12"/>
      <c r="L401" s="12"/>
      <c r="M401" s="12"/>
      <c r="N401" s="12"/>
      <c r="O401" s="12"/>
      <c r="P401" s="12"/>
      <c r="Q401" s="12"/>
      <c r="R401" s="12"/>
      <c r="S401" s="12"/>
      <c r="T401" s="12"/>
      <c r="U401" s="12"/>
    </row>
    <row r="402">
      <c r="A402" s="12" t="s">
        <v>101</v>
      </c>
      <c r="B402" s="12"/>
      <c r="C402" s="12"/>
      <c r="D402" s="12"/>
      <c r="E402" s="12"/>
      <c r="F402" s="12"/>
      <c r="G402" s="12"/>
      <c r="H402" s="12"/>
      <c r="I402" s="12"/>
      <c r="J402" s="12"/>
      <c r="K402" s="12"/>
      <c r="L402" s="12"/>
      <c r="M402" s="12"/>
      <c r="N402" s="12"/>
      <c r="O402" s="12"/>
      <c r="P402" s="12"/>
      <c r="Q402" s="12"/>
      <c r="R402" s="12"/>
      <c r="S402" s="12"/>
      <c r="T402" s="12"/>
      <c r="U402" s="12"/>
    </row>
    <row r="403">
      <c r="A403" s="12" t="s">
        <v>101</v>
      </c>
      <c r="B403" s="12"/>
      <c r="C403" s="12"/>
      <c r="D403" s="12"/>
      <c r="E403" s="12"/>
      <c r="F403" s="12"/>
      <c r="G403" s="12"/>
      <c r="H403" s="12"/>
      <c r="I403" s="12"/>
      <c r="J403" s="12"/>
      <c r="K403" s="12"/>
      <c r="L403" s="12"/>
      <c r="M403" s="12"/>
      <c r="N403" s="12"/>
      <c r="O403" s="12"/>
      <c r="P403" s="12"/>
      <c r="Q403" s="12"/>
      <c r="R403" s="12"/>
      <c r="S403" s="12"/>
      <c r="T403" s="12"/>
      <c r="U403" s="12"/>
    </row>
    <row r="404">
      <c r="A404" s="12" t="s">
        <v>101</v>
      </c>
      <c r="B404" s="12"/>
      <c r="C404" s="12"/>
      <c r="D404" s="12"/>
      <c r="E404" s="12"/>
      <c r="F404" s="12"/>
      <c r="G404" s="12"/>
      <c r="H404" s="12"/>
      <c r="I404" s="12"/>
      <c r="J404" s="12"/>
      <c r="K404" s="12"/>
      <c r="L404" s="12"/>
      <c r="M404" s="12"/>
      <c r="N404" s="12"/>
      <c r="O404" s="12"/>
      <c r="P404" s="12"/>
      <c r="Q404" s="12"/>
      <c r="R404" s="12"/>
      <c r="S404" s="12"/>
      <c r="T404" s="12"/>
      <c r="U404" s="12"/>
    </row>
    <row r="405">
      <c r="A405" s="12" t="s">
        <v>101</v>
      </c>
      <c r="B405" s="12"/>
      <c r="C405" s="12"/>
      <c r="D405" s="12"/>
      <c r="E405" s="12"/>
      <c r="F405" s="12"/>
      <c r="G405" s="12"/>
      <c r="H405" s="12"/>
      <c r="I405" s="12"/>
      <c r="J405" s="12"/>
      <c r="K405" s="12"/>
      <c r="L405" s="12"/>
      <c r="M405" s="12"/>
      <c r="N405" s="12"/>
      <c r="O405" s="12"/>
      <c r="P405" s="12"/>
      <c r="Q405" s="12"/>
      <c r="R405" s="12"/>
      <c r="S405" s="12"/>
      <c r="T405" s="12"/>
      <c r="U405" s="12"/>
    </row>
    <row r="406">
      <c r="A406" s="12" t="s">
        <v>101</v>
      </c>
      <c r="B406" s="12"/>
      <c r="C406" s="12"/>
      <c r="D406" s="12"/>
      <c r="E406" s="12"/>
      <c r="F406" s="12"/>
      <c r="G406" s="12"/>
      <c r="H406" s="12"/>
      <c r="I406" s="12"/>
      <c r="J406" s="12"/>
      <c r="K406" s="12"/>
      <c r="L406" s="12"/>
      <c r="M406" s="12"/>
      <c r="N406" s="12"/>
      <c r="O406" s="12"/>
      <c r="P406" s="12"/>
      <c r="Q406" s="12"/>
      <c r="R406" s="12"/>
      <c r="S406" s="12"/>
      <c r="T406" s="12"/>
      <c r="U406" s="12"/>
    </row>
    <row r="407">
      <c r="A407" s="12" t="s">
        <v>101</v>
      </c>
      <c r="B407" s="12"/>
      <c r="C407" s="12"/>
      <c r="D407" s="12"/>
      <c r="E407" s="12"/>
      <c r="F407" s="12"/>
      <c r="G407" s="12"/>
      <c r="H407" s="12"/>
      <c r="I407" s="12"/>
      <c r="J407" s="12"/>
      <c r="K407" s="12"/>
      <c r="L407" s="12"/>
      <c r="M407" s="12"/>
      <c r="N407" s="12"/>
      <c r="O407" s="12"/>
      <c r="P407" s="12"/>
      <c r="Q407" s="12"/>
      <c r="R407" s="12"/>
      <c r="S407" s="12"/>
      <c r="T407" s="12"/>
      <c r="U407" s="12"/>
    </row>
    <row r="408">
      <c r="A408" s="12" t="s">
        <v>101</v>
      </c>
      <c r="B408" s="12"/>
      <c r="C408" s="12"/>
      <c r="D408" s="12"/>
      <c r="E408" s="12"/>
      <c r="F408" s="12"/>
      <c r="G408" s="12"/>
      <c r="H408" s="12"/>
      <c r="I408" s="12"/>
      <c r="J408" s="12"/>
      <c r="K408" s="12"/>
      <c r="L408" s="12"/>
      <c r="M408" s="12"/>
      <c r="N408" s="12"/>
      <c r="O408" s="12"/>
      <c r="P408" s="12"/>
      <c r="Q408" s="12"/>
      <c r="R408" s="12"/>
      <c r="S408" s="12"/>
      <c r="T408" s="12"/>
      <c r="U408" s="12"/>
    </row>
    <row r="409">
      <c r="A409" s="12" t="s">
        <v>101</v>
      </c>
      <c r="B409" s="12"/>
      <c r="C409" s="12"/>
      <c r="D409" s="12"/>
      <c r="E409" s="12"/>
      <c r="F409" s="12"/>
      <c r="G409" s="12"/>
      <c r="H409" s="12"/>
      <c r="I409" s="12"/>
      <c r="J409" s="12"/>
      <c r="K409" s="12"/>
      <c r="L409" s="12"/>
      <c r="M409" s="12"/>
      <c r="N409" s="12"/>
      <c r="O409" s="12"/>
      <c r="P409" s="12"/>
      <c r="Q409" s="12"/>
      <c r="R409" s="12"/>
      <c r="S409" s="12"/>
      <c r="T409" s="12"/>
      <c r="U409" s="12"/>
    </row>
    <row r="410">
      <c r="A410" s="12" t="s">
        <v>101</v>
      </c>
      <c r="B410" s="12"/>
      <c r="C410" s="12"/>
      <c r="D410" s="12"/>
      <c r="E410" s="12"/>
      <c r="F410" s="12"/>
      <c r="G410" s="12"/>
      <c r="H410" s="12"/>
      <c r="I410" s="12"/>
      <c r="J410" s="12"/>
      <c r="K410" s="12"/>
      <c r="L410" s="12"/>
      <c r="M410" s="12"/>
      <c r="N410" s="12"/>
      <c r="O410" s="12"/>
      <c r="P410" s="12"/>
      <c r="Q410" s="12"/>
      <c r="R410" s="12"/>
      <c r="S410" s="12"/>
      <c r="T410" s="12"/>
      <c r="U410" s="12"/>
    </row>
    <row r="411">
      <c r="A411" s="12" t="s">
        <v>101</v>
      </c>
      <c r="B411" s="12"/>
      <c r="C411" s="12"/>
      <c r="D411" s="12"/>
      <c r="E411" s="12"/>
      <c r="F411" s="12"/>
      <c r="G411" s="12"/>
      <c r="H411" s="12"/>
      <c r="I411" s="12"/>
      <c r="J411" s="12"/>
      <c r="K411" s="12"/>
      <c r="L411" s="12"/>
      <c r="M411" s="12"/>
      <c r="N411" s="12"/>
      <c r="O411" s="12"/>
      <c r="P411" s="12"/>
      <c r="Q411" s="12"/>
      <c r="R411" s="12"/>
      <c r="S411" s="12"/>
      <c r="T411" s="12"/>
      <c r="U411" s="12"/>
    </row>
    <row r="412">
      <c r="A412" s="12" t="s">
        <v>101</v>
      </c>
      <c r="B412" s="12"/>
      <c r="C412" s="12"/>
      <c r="D412" s="12"/>
      <c r="E412" s="12"/>
      <c r="F412" s="12"/>
      <c r="G412" s="12"/>
      <c r="H412" s="12"/>
      <c r="I412" s="12"/>
      <c r="J412" s="12"/>
      <c r="K412" s="12"/>
      <c r="L412" s="12"/>
      <c r="M412" s="12"/>
      <c r="N412" s="12"/>
      <c r="O412" s="12"/>
      <c r="P412" s="12"/>
      <c r="Q412" s="12"/>
      <c r="R412" s="12"/>
      <c r="S412" s="12"/>
      <c r="T412" s="12"/>
      <c r="U412" s="12"/>
    </row>
    <row r="413">
      <c r="A413" s="12" t="s">
        <v>101</v>
      </c>
      <c r="B413" s="12"/>
      <c r="C413" s="12"/>
      <c r="D413" s="12"/>
      <c r="E413" s="12"/>
      <c r="F413" s="12"/>
      <c r="G413" s="12"/>
      <c r="H413" s="12"/>
      <c r="I413" s="12"/>
      <c r="J413" s="12"/>
      <c r="K413" s="12"/>
      <c r="L413" s="12"/>
      <c r="M413" s="12"/>
      <c r="N413" s="12"/>
      <c r="O413" s="12"/>
      <c r="P413" s="12"/>
      <c r="Q413" s="12"/>
      <c r="R413" s="12"/>
      <c r="S413" s="12"/>
      <c r="T413" s="12"/>
      <c r="U413" s="12"/>
    </row>
    <row r="414">
      <c r="A414" s="12" t="s">
        <v>101</v>
      </c>
      <c r="B414" s="12"/>
      <c r="C414" s="12"/>
      <c r="D414" s="12"/>
      <c r="E414" s="12"/>
      <c r="F414" s="12"/>
      <c r="G414" s="12"/>
      <c r="H414" s="12"/>
      <c r="I414" s="12"/>
      <c r="J414" s="12"/>
      <c r="K414" s="12"/>
      <c r="L414" s="12"/>
      <c r="M414" s="12"/>
      <c r="N414" s="12"/>
      <c r="O414" s="12"/>
      <c r="P414" s="12"/>
      <c r="Q414" s="12"/>
      <c r="R414" s="12"/>
      <c r="S414" s="12"/>
      <c r="T414" s="12"/>
      <c r="U414" s="12"/>
    </row>
    <row r="415">
      <c r="A415" s="12" t="s">
        <v>101</v>
      </c>
      <c r="B415" s="12"/>
      <c r="C415" s="12"/>
      <c r="D415" s="12"/>
      <c r="E415" s="12"/>
      <c r="F415" s="12"/>
      <c r="G415" s="12"/>
      <c r="H415" s="12"/>
      <c r="I415" s="12"/>
      <c r="J415" s="12"/>
      <c r="K415" s="12"/>
      <c r="L415" s="12"/>
      <c r="M415" s="12"/>
      <c r="N415" s="12"/>
      <c r="O415" s="12"/>
      <c r="P415" s="12"/>
      <c r="Q415" s="12"/>
      <c r="R415" s="12"/>
      <c r="S415" s="12"/>
      <c r="T415" s="12"/>
      <c r="U415" s="12"/>
    </row>
    <row r="416">
      <c r="A416" s="12" t="s">
        <v>101</v>
      </c>
      <c r="B416" s="12"/>
      <c r="C416" s="12"/>
      <c r="D416" s="12"/>
      <c r="E416" s="12"/>
      <c r="F416" s="12"/>
      <c r="G416" s="12"/>
      <c r="H416" s="12"/>
      <c r="I416" s="12"/>
      <c r="J416" s="12"/>
      <c r="K416" s="12"/>
      <c r="L416" s="12"/>
      <c r="M416" s="12"/>
      <c r="N416" s="12"/>
      <c r="O416" s="12"/>
      <c r="P416" s="12"/>
      <c r="Q416" s="12"/>
      <c r="R416" s="12"/>
      <c r="S416" s="12"/>
      <c r="T416" s="12"/>
      <c r="U416" s="12"/>
    </row>
    <row r="417">
      <c r="A417" s="12" t="s">
        <v>101</v>
      </c>
      <c r="B417" s="12"/>
      <c r="C417" s="12"/>
      <c r="D417" s="12"/>
      <c r="E417" s="12"/>
      <c r="F417" s="12"/>
      <c r="G417" s="12"/>
      <c r="H417" s="12"/>
      <c r="I417" s="12"/>
      <c r="J417" s="12"/>
      <c r="K417" s="12"/>
      <c r="L417" s="12"/>
      <c r="M417" s="12"/>
      <c r="N417" s="12"/>
      <c r="O417" s="12"/>
      <c r="P417" s="12"/>
      <c r="Q417" s="12"/>
      <c r="R417" s="12"/>
      <c r="S417" s="12"/>
      <c r="T417" s="12"/>
      <c r="U417" s="12"/>
    </row>
    <row r="418">
      <c r="A418" s="12" t="s">
        <v>101</v>
      </c>
      <c r="B418" s="12"/>
      <c r="C418" s="12"/>
      <c r="D418" s="12"/>
      <c r="E418" s="12"/>
      <c r="F418" s="12"/>
      <c r="G418" s="12"/>
      <c r="H418" s="12"/>
      <c r="I418" s="12"/>
      <c r="J418" s="12"/>
      <c r="K418" s="12"/>
      <c r="L418" s="12"/>
      <c r="M418" s="12"/>
      <c r="N418" s="12"/>
      <c r="O418" s="12"/>
      <c r="P418" s="12"/>
      <c r="Q418" s="12"/>
      <c r="R418" s="12"/>
      <c r="S418" s="12"/>
      <c r="T418" s="12"/>
      <c r="U418" s="12"/>
    </row>
    <row r="419">
      <c r="A419" s="12" t="s">
        <v>101</v>
      </c>
      <c r="B419" s="12"/>
      <c r="C419" s="12"/>
      <c r="D419" s="12"/>
      <c r="E419" s="12"/>
      <c r="F419" s="12"/>
      <c r="G419" s="12"/>
      <c r="H419" s="12"/>
      <c r="I419" s="12"/>
      <c r="J419" s="12"/>
      <c r="K419" s="12"/>
      <c r="L419" s="12"/>
      <c r="M419" s="12"/>
      <c r="N419" s="12"/>
      <c r="O419" s="12"/>
      <c r="P419" s="12"/>
      <c r="Q419" s="12"/>
      <c r="R419" s="12"/>
      <c r="S419" s="12"/>
      <c r="T419" s="12"/>
      <c r="U419" s="12"/>
    </row>
    <row r="420">
      <c r="A420" s="12" t="s">
        <v>101</v>
      </c>
      <c r="B420" s="12"/>
      <c r="C420" s="12"/>
      <c r="D420" s="12"/>
      <c r="E420" s="12"/>
      <c r="F420" s="12"/>
      <c r="G420" s="12"/>
      <c r="H420" s="12"/>
      <c r="I420" s="12"/>
      <c r="J420" s="12"/>
      <c r="K420" s="12"/>
      <c r="L420" s="12"/>
      <c r="M420" s="12"/>
      <c r="N420" s="12"/>
      <c r="O420" s="12"/>
      <c r="P420" s="12"/>
      <c r="Q420" s="12"/>
      <c r="R420" s="12"/>
      <c r="S420" s="12"/>
      <c r="T420" s="12"/>
      <c r="U420" s="12"/>
    </row>
    <row r="421">
      <c r="A421" s="12" t="s">
        <v>101</v>
      </c>
      <c r="B421" s="12"/>
      <c r="C421" s="12"/>
      <c r="D421" s="12"/>
      <c r="E421" s="12"/>
      <c r="F421" s="12"/>
      <c r="G421" s="12"/>
      <c r="H421" s="12"/>
      <c r="I421" s="12"/>
      <c r="J421" s="12"/>
      <c r="K421" s="12"/>
      <c r="L421" s="12"/>
      <c r="M421" s="12"/>
      <c r="N421" s="12"/>
      <c r="O421" s="12"/>
      <c r="P421" s="12"/>
      <c r="Q421" s="12"/>
      <c r="R421" s="12"/>
      <c r="S421" s="12"/>
      <c r="T421" s="12"/>
      <c r="U421" s="12"/>
    </row>
    <row r="422">
      <c r="A422" s="12" t="s">
        <v>101</v>
      </c>
      <c r="B422" s="12"/>
      <c r="C422" s="12"/>
      <c r="D422" s="12"/>
      <c r="E422" s="12"/>
      <c r="F422" s="12"/>
      <c r="G422" s="12"/>
      <c r="H422" s="12"/>
      <c r="I422" s="12"/>
      <c r="J422" s="12"/>
      <c r="K422" s="12"/>
      <c r="L422" s="12"/>
      <c r="M422" s="12"/>
      <c r="N422" s="12"/>
      <c r="O422" s="12"/>
      <c r="P422" s="12"/>
      <c r="Q422" s="12"/>
      <c r="R422" s="12"/>
      <c r="S422" s="12"/>
      <c r="T422" s="12"/>
      <c r="U422" s="12"/>
    </row>
    <row r="423">
      <c r="A423" s="12" t="s">
        <v>101</v>
      </c>
      <c r="B423" s="12"/>
      <c r="C423" s="12"/>
      <c r="D423" s="12"/>
      <c r="E423" s="12"/>
      <c r="F423" s="12"/>
      <c r="G423" s="12"/>
      <c r="H423" s="12"/>
      <c r="I423" s="12"/>
      <c r="J423" s="12"/>
      <c r="K423" s="12"/>
      <c r="L423" s="12"/>
      <c r="M423" s="12"/>
      <c r="N423" s="12"/>
      <c r="O423" s="12"/>
      <c r="P423" s="12"/>
      <c r="Q423" s="12"/>
      <c r="R423" s="12"/>
      <c r="S423" s="12"/>
      <c r="T423" s="12"/>
      <c r="U423" s="12"/>
    </row>
    <row r="424">
      <c r="A424" s="12" t="s">
        <v>101</v>
      </c>
      <c r="B424" s="12"/>
      <c r="C424" s="12"/>
      <c r="D424" s="12"/>
      <c r="E424" s="12"/>
      <c r="F424" s="12"/>
      <c r="G424" s="12"/>
      <c r="H424" s="12"/>
      <c r="I424" s="12"/>
      <c r="J424" s="12"/>
      <c r="K424" s="12"/>
      <c r="L424" s="12"/>
      <c r="M424" s="12"/>
      <c r="N424" s="12"/>
      <c r="O424" s="12"/>
      <c r="P424" s="12"/>
      <c r="Q424" s="12"/>
      <c r="R424" s="12"/>
      <c r="S424" s="12"/>
      <c r="T424" s="12"/>
      <c r="U424" s="12"/>
    </row>
    <row r="425">
      <c r="A425" s="12" t="s">
        <v>101</v>
      </c>
      <c r="B425" s="12"/>
      <c r="C425" s="12"/>
      <c r="D425" s="12"/>
      <c r="E425" s="12"/>
      <c r="F425" s="12"/>
      <c r="G425" s="12"/>
      <c r="H425" s="12"/>
      <c r="I425" s="12"/>
      <c r="J425" s="12"/>
      <c r="K425" s="12"/>
      <c r="L425" s="12"/>
      <c r="M425" s="12"/>
      <c r="N425" s="12"/>
      <c r="O425" s="12"/>
      <c r="P425" s="12"/>
      <c r="Q425" s="12"/>
      <c r="R425" s="12"/>
      <c r="S425" s="12"/>
      <c r="T425" s="12"/>
      <c r="U425" s="12"/>
    </row>
    <row r="426">
      <c r="A426" s="12" t="s">
        <v>101</v>
      </c>
      <c r="B426" s="12"/>
      <c r="C426" s="12"/>
      <c r="D426" s="12"/>
      <c r="E426" s="12"/>
      <c r="F426" s="12"/>
      <c r="G426" s="12"/>
      <c r="H426" s="12"/>
      <c r="I426" s="12"/>
      <c r="J426" s="12"/>
      <c r="K426" s="12"/>
      <c r="L426" s="12"/>
      <c r="M426" s="12"/>
      <c r="N426" s="12"/>
      <c r="O426" s="12"/>
      <c r="P426" s="12"/>
      <c r="Q426" s="12"/>
      <c r="R426" s="12"/>
      <c r="S426" s="12"/>
      <c r="T426" s="12"/>
      <c r="U426" s="12"/>
    </row>
    <row r="427">
      <c r="A427" s="12" t="s">
        <v>101</v>
      </c>
      <c r="B427" s="12"/>
      <c r="C427" s="12"/>
      <c r="D427" s="12"/>
      <c r="E427" s="12"/>
      <c r="F427" s="12"/>
      <c r="G427" s="12"/>
      <c r="H427" s="12"/>
      <c r="I427" s="12"/>
      <c r="J427" s="12"/>
      <c r="K427" s="12"/>
      <c r="L427" s="12"/>
      <c r="M427" s="12"/>
      <c r="N427" s="12"/>
      <c r="O427" s="12"/>
      <c r="P427" s="12"/>
      <c r="Q427" s="12"/>
      <c r="R427" s="12"/>
      <c r="S427" s="12"/>
      <c r="T427" s="12"/>
      <c r="U427" s="12"/>
    </row>
    <row r="428">
      <c r="A428" s="12" t="s">
        <v>101</v>
      </c>
      <c r="B428" s="12"/>
      <c r="C428" s="12"/>
      <c r="D428" s="12"/>
      <c r="E428" s="12"/>
      <c r="F428" s="12"/>
      <c r="G428" s="12"/>
      <c r="H428" s="12"/>
      <c r="I428" s="12"/>
      <c r="J428" s="12"/>
      <c r="K428" s="12"/>
      <c r="L428" s="12"/>
      <c r="M428" s="12"/>
      <c r="N428" s="12"/>
      <c r="O428" s="12"/>
      <c r="P428" s="12"/>
      <c r="Q428" s="12"/>
      <c r="R428" s="12"/>
      <c r="S428" s="12"/>
      <c r="T428" s="12"/>
      <c r="U428" s="12"/>
    </row>
    <row r="429">
      <c r="A429" s="12" t="s">
        <v>101</v>
      </c>
      <c r="B429" s="12"/>
      <c r="C429" s="12"/>
      <c r="D429" s="12"/>
      <c r="E429" s="12"/>
      <c r="F429" s="12"/>
      <c r="G429" s="12"/>
      <c r="H429" s="12"/>
      <c r="I429" s="12"/>
      <c r="J429" s="12"/>
      <c r="K429" s="12"/>
      <c r="L429" s="12"/>
      <c r="M429" s="12"/>
      <c r="N429" s="12"/>
      <c r="O429" s="12"/>
      <c r="P429" s="12"/>
      <c r="Q429" s="12"/>
      <c r="R429" s="12"/>
      <c r="S429" s="12"/>
      <c r="T429" s="12"/>
      <c r="U429" s="12"/>
    </row>
    <row r="430">
      <c r="A430" s="12" t="s">
        <v>101</v>
      </c>
      <c r="B430" s="12"/>
      <c r="C430" s="12"/>
      <c r="D430" s="12"/>
      <c r="E430" s="12"/>
      <c r="F430" s="12"/>
      <c r="G430" s="12"/>
      <c r="H430" s="12"/>
      <c r="I430" s="12"/>
      <c r="J430" s="12"/>
      <c r="K430" s="12"/>
      <c r="L430" s="12"/>
      <c r="M430" s="12"/>
      <c r="N430" s="12"/>
      <c r="O430" s="12"/>
      <c r="P430" s="12"/>
      <c r="Q430" s="12"/>
      <c r="R430" s="12"/>
      <c r="S430" s="12"/>
      <c r="T430" s="12"/>
      <c r="U430" s="12"/>
    </row>
    <row r="431">
      <c r="A431" s="12" t="s">
        <v>101</v>
      </c>
      <c r="B431" s="12"/>
      <c r="C431" s="12"/>
      <c r="D431" s="12"/>
      <c r="E431" s="12"/>
      <c r="F431" s="12"/>
      <c r="G431" s="12"/>
      <c r="H431" s="12"/>
      <c r="I431" s="12"/>
      <c r="J431" s="12"/>
      <c r="K431" s="12"/>
      <c r="L431" s="12"/>
      <c r="M431" s="12"/>
      <c r="N431" s="12"/>
      <c r="O431" s="12"/>
      <c r="P431" s="12"/>
      <c r="Q431" s="12"/>
      <c r="R431" s="12"/>
      <c r="S431" s="12"/>
      <c r="T431" s="12"/>
      <c r="U431" s="12"/>
    </row>
    <row r="432">
      <c r="A432" s="12" t="s">
        <v>101</v>
      </c>
      <c r="B432" s="12"/>
      <c r="C432" s="12"/>
      <c r="D432" s="12"/>
      <c r="E432" s="12"/>
      <c r="F432" s="12"/>
      <c r="G432" s="12"/>
      <c r="H432" s="12"/>
      <c r="I432" s="12"/>
      <c r="J432" s="12"/>
      <c r="K432" s="12"/>
      <c r="L432" s="12"/>
      <c r="M432" s="12"/>
      <c r="N432" s="12"/>
      <c r="O432" s="12"/>
      <c r="P432" s="12"/>
      <c r="Q432" s="12"/>
      <c r="R432" s="12"/>
      <c r="S432" s="12"/>
      <c r="T432" s="12"/>
      <c r="U432" s="12"/>
    </row>
    <row r="433">
      <c r="A433" s="12" t="s">
        <v>101</v>
      </c>
      <c r="B433" s="12"/>
      <c r="C433" s="12"/>
      <c r="D433" s="12"/>
      <c r="E433" s="12"/>
      <c r="F433" s="12"/>
      <c r="G433" s="12"/>
      <c r="H433" s="12"/>
      <c r="I433" s="12"/>
      <c r="J433" s="12"/>
      <c r="K433" s="12"/>
      <c r="L433" s="12"/>
      <c r="M433" s="12"/>
      <c r="N433" s="12"/>
      <c r="O433" s="12"/>
      <c r="P433" s="12"/>
      <c r="Q433" s="12"/>
      <c r="R433" s="12"/>
      <c r="S433" s="12"/>
      <c r="T433" s="12"/>
      <c r="U433" s="12"/>
    </row>
    <row r="434">
      <c r="A434" s="12" t="s">
        <v>101</v>
      </c>
      <c r="B434" s="12"/>
      <c r="C434" s="12"/>
      <c r="D434" s="12"/>
      <c r="E434" s="12"/>
      <c r="F434" s="12"/>
      <c r="G434" s="12"/>
      <c r="H434" s="12"/>
      <c r="I434" s="12"/>
      <c r="J434" s="12"/>
      <c r="K434" s="12"/>
      <c r="L434" s="12"/>
      <c r="M434" s="12"/>
      <c r="N434" s="12"/>
      <c r="O434" s="12"/>
      <c r="P434" s="12"/>
      <c r="Q434" s="12"/>
      <c r="R434" s="12"/>
      <c r="S434" s="12"/>
      <c r="T434" s="12"/>
      <c r="U434" s="12"/>
    </row>
    <row r="435">
      <c r="A435" s="12" t="s">
        <v>101</v>
      </c>
      <c r="B435" s="12"/>
      <c r="C435" s="12"/>
      <c r="D435" s="12"/>
      <c r="E435" s="12"/>
      <c r="F435" s="12"/>
      <c r="G435" s="12"/>
      <c r="H435" s="12"/>
      <c r="I435" s="12"/>
      <c r="J435" s="12"/>
      <c r="K435" s="12"/>
      <c r="L435" s="12"/>
      <c r="M435" s="12"/>
      <c r="N435" s="12"/>
      <c r="O435" s="12"/>
      <c r="P435" s="12"/>
      <c r="Q435" s="12"/>
      <c r="R435" s="12"/>
      <c r="S435" s="12"/>
      <c r="T435" s="12"/>
      <c r="U435" s="12"/>
    </row>
    <row r="436">
      <c r="A436" s="12" t="s">
        <v>101</v>
      </c>
      <c r="B436" s="12"/>
      <c r="C436" s="12"/>
      <c r="D436" s="12"/>
      <c r="E436" s="12"/>
      <c r="F436" s="12"/>
      <c r="G436" s="12"/>
      <c r="H436" s="12"/>
      <c r="I436" s="12"/>
      <c r="J436" s="12"/>
      <c r="K436" s="12"/>
      <c r="L436" s="12"/>
      <c r="M436" s="12"/>
      <c r="N436" s="12"/>
      <c r="O436" s="12"/>
      <c r="P436" s="12"/>
      <c r="Q436" s="12"/>
      <c r="R436" s="12"/>
      <c r="S436" s="12"/>
      <c r="T436" s="12"/>
      <c r="U436" s="12"/>
    </row>
    <row r="437">
      <c r="A437" s="12" t="s">
        <v>101</v>
      </c>
      <c r="B437" s="12"/>
      <c r="C437" s="12"/>
      <c r="D437" s="12"/>
      <c r="E437" s="12"/>
      <c r="F437" s="12"/>
      <c r="G437" s="12"/>
      <c r="H437" s="12"/>
      <c r="I437" s="12"/>
      <c r="J437" s="12"/>
      <c r="K437" s="12"/>
      <c r="L437" s="12"/>
      <c r="M437" s="12"/>
      <c r="N437" s="12"/>
      <c r="O437" s="12"/>
      <c r="P437" s="12"/>
      <c r="Q437" s="12"/>
      <c r="R437" s="12"/>
      <c r="S437" s="12"/>
      <c r="T437" s="12"/>
      <c r="U437" s="12"/>
    </row>
    <row r="438">
      <c r="A438" s="12" t="s">
        <v>101</v>
      </c>
      <c r="B438" s="12"/>
      <c r="C438" s="12"/>
      <c r="D438" s="12"/>
      <c r="E438" s="12"/>
      <c r="F438" s="12"/>
      <c r="G438" s="12"/>
      <c r="H438" s="12"/>
      <c r="I438" s="12"/>
      <c r="J438" s="12"/>
      <c r="K438" s="12"/>
      <c r="L438" s="12"/>
      <c r="M438" s="12"/>
      <c r="N438" s="12"/>
      <c r="O438" s="12"/>
      <c r="P438" s="12"/>
      <c r="Q438" s="12"/>
      <c r="R438" s="12"/>
      <c r="S438" s="12"/>
      <c r="T438" s="12"/>
      <c r="U438" s="12"/>
    </row>
    <row r="439">
      <c r="A439" s="12" t="s">
        <v>101</v>
      </c>
      <c r="B439" s="12"/>
      <c r="C439" s="12"/>
      <c r="D439" s="12"/>
      <c r="E439" s="12"/>
      <c r="F439" s="12"/>
      <c r="G439" s="12"/>
      <c r="H439" s="12"/>
      <c r="I439" s="12"/>
      <c r="J439" s="12"/>
      <c r="K439" s="12"/>
      <c r="L439" s="12"/>
      <c r="M439" s="12"/>
      <c r="N439" s="12"/>
      <c r="O439" s="12"/>
      <c r="P439" s="12"/>
      <c r="Q439" s="12"/>
      <c r="R439" s="12"/>
      <c r="S439" s="12"/>
      <c r="T439" s="12"/>
      <c r="U439" s="12"/>
    </row>
    <row r="440">
      <c r="A440" s="12" t="s">
        <v>101</v>
      </c>
      <c r="B440" s="12"/>
      <c r="C440" s="12"/>
      <c r="D440" s="12"/>
      <c r="E440" s="12"/>
      <c r="F440" s="12"/>
      <c r="G440" s="12"/>
      <c r="H440" s="12"/>
      <c r="I440" s="12"/>
      <c r="J440" s="12"/>
      <c r="K440" s="12"/>
      <c r="L440" s="12"/>
      <c r="M440" s="12"/>
      <c r="N440" s="12"/>
      <c r="O440" s="12"/>
      <c r="P440" s="12"/>
      <c r="Q440" s="12"/>
      <c r="R440" s="12"/>
      <c r="S440" s="12"/>
      <c r="T440" s="12"/>
      <c r="U440" s="12"/>
    </row>
    <row r="441">
      <c r="A441" s="12" t="s">
        <v>101</v>
      </c>
      <c r="B441" s="12"/>
      <c r="C441" s="12"/>
      <c r="D441" s="12"/>
      <c r="E441" s="12"/>
      <c r="F441" s="12"/>
      <c r="G441" s="12"/>
      <c r="H441" s="12"/>
      <c r="I441" s="12"/>
      <c r="J441" s="12"/>
      <c r="K441" s="12"/>
      <c r="L441" s="12"/>
      <c r="M441" s="12"/>
      <c r="N441" s="12"/>
      <c r="O441" s="12"/>
      <c r="P441" s="12"/>
      <c r="Q441" s="12"/>
      <c r="R441" s="12"/>
      <c r="S441" s="12"/>
      <c r="T441" s="12"/>
      <c r="U441" s="12"/>
    </row>
    <row r="442">
      <c r="A442" s="12" t="s">
        <v>101</v>
      </c>
      <c r="B442" s="12"/>
      <c r="C442" s="12"/>
      <c r="D442" s="12"/>
      <c r="E442" s="12"/>
      <c r="F442" s="12"/>
      <c r="G442" s="12"/>
      <c r="H442" s="12"/>
      <c r="I442" s="12"/>
      <c r="J442" s="12"/>
      <c r="K442" s="12"/>
      <c r="L442" s="12"/>
      <c r="M442" s="12"/>
      <c r="N442" s="12"/>
      <c r="O442" s="12"/>
      <c r="P442" s="12"/>
      <c r="Q442" s="12"/>
      <c r="R442" s="12"/>
      <c r="S442" s="12"/>
      <c r="T442" s="12"/>
      <c r="U442" s="12"/>
    </row>
    <row r="443">
      <c r="A443" s="12" t="s">
        <v>101</v>
      </c>
      <c r="B443" s="12"/>
      <c r="C443" s="12"/>
      <c r="D443" s="12"/>
      <c r="E443" s="12"/>
      <c r="F443" s="12"/>
      <c r="G443" s="12"/>
      <c r="H443" s="12"/>
      <c r="I443" s="12"/>
      <c r="J443" s="12"/>
      <c r="K443" s="12"/>
      <c r="L443" s="12"/>
      <c r="M443" s="12"/>
      <c r="N443" s="12"/>
      <c r="O443" s="12"/>
      <c r="P443" s="12"/>
      <c r="Q443" s="12"/>
      <c r="R443" s="12"/>
      <c r="S443" s="12"/>
      <c r="T443" s="12"/>
      <c r="U443" s="12"/>
    </row>
    <row r="444">
      <c r="A444" s="12" t="s">
        <v>101</v>
      </c>
      <c r="B444" s="12"/>
      <c r="C444" s="12"/>
      <c r="D444" s="12"/>
      <c r="E444" s="12"/>
      <c r="F444" s="12"/>
      <c r="G444" s="12"/>
      <c r="H444" s="12"/>
      <c r="I444" s="12"/>
      <c r="J444" s="12"/>
      <c r="K444" s="12"/>
      <c r="L444" s="12"/>
      <c r="M444" s="12"/>
      <c r="N444" s="12"/>
      <c r="O444" s="12"/>
      <c r="P444" s="12"/>
      <c r="Q444" s="12"/>
      <c r="R444" s="12"/>
      <c r="S444" s="12"/>
      <c r="T444" s="12"/>
      <c r="U444" s="12"/>
    </row>
    <row r="445">
      <c r="A445" s="12" t="s">
        <v>101</v>
      </c>
      <c r="B445" s="12"/>
      <c r="C445" s="12"/>
      <c r="D445" s="12"/>
      <c r="E445" s="12"/>
      <c r="F445" s="12"/>
      <c r="G445" s="12"/>
      <c r="H445" s="12"/>
      <c r="I445" s="12"/>
      <c r="J445" s="12"/>
      <c r="K445" s="12"/>
      <c r="L445" s="12"/>
      <c r="M445" s="12"/>
      <c r="N445" s="12"/>
      <c r="O445" s="12"/>
      <c r="P445" s="12"/>
      <c r="Q445" s="12"/>
      <c r="R445" s="12"/>
      <c r="S445" s="12"/>
      <c r="T445" s="12"/>
      <c r="U445" s="12"/>
    </row>
    <row r="446">
      <c r="A446" s="12" t="s">
        <v>101</v>
      </c>
      <c r="B446" s="12"/>
      <c r="C446" s="12"/>
      <c r="D446" s="12"/>
      <c r="E446" s="12"/>
      <c r="F446" s="12"/>
      <c r="G446" s="12"/>
      <c r="H446" s="12"/>
      <c r="I446" s="12"/>
      <c r="J446" s="12"/>
      <c r="K446" s="12"/>
      <c r="L446" s="12"/>
      <c r="M446" s="12"/>
      <c r="N446" s="12"/>
      <c r="O446" s="12"/>
      <c r="P446" s="12"/>
      <c r="Q446" s="12"/>
      <c r="R446" s="12"/>
      <c r="S446" s="12"/>
      <c r="T446" s="12"/>
      <c r="U446" s="12"/>
    </row>
    <row r="447">
      <c r="A447" s="12" t="s">
        <v>101</v>
      </c>
      <c r="B447" s="12"/>
      <c r="C447" s="12"/>
      <c r="D447" s="12"/>
      <c r="E447" s="12"/>
      <c r="F447" s="12"/>
      <c r="G447" s="12"/>
      <c r="H447" s="12"/>
      <c r="I447" s="12"/>
      <c r="J447" s="12"/>
      <c r="K447" s="12"/>
      <c r="L447" s="12"/>
      <c r="M447" s="12"/>
      <c r="N447" s="12"/>
      <c r="O447" s="12"/>
      <c r="P447" s="12"/>
      <c r="Q447" s="12"/>
      <c r="R447" s="12"/>
      <c r="S447" s="12"/>
      <c r="T447" s="12"/>
      <c r="U447" s="12"/>
    </row>
    <row r="448">
      <c r="A448" s="12" t="s">
        <v>101</v>
      </c>
      <c r="B448" s="12"/>
      <c r="C448" s="12"/>
      <c r="D448" s="12"/>
      <c r="E448" s="12"/>
      <c r="F448" s="12"/>
      <c r="G448" s="12"/>
      <c r="H448" s="12"/>
      <c r="I448" s="12"/>
      <c r="J448" s="12"/>
      <c r="K448" s="12"/>
      <c r="L448" s="12"/>
      <c r="M448" s="12"/>
      <c r="N448" s="12"/>
      <c r="O448" s="12"/>
      <c r="P448" s="12"/>
      <c r="Q448" s="12"/>
      <c r="R448" s="12"/>
      <c r="S448" s="12"/>
      <c r="T448" s="12"/>
      <c r="U448" s="12"/>
    </row>
    <row r="449">
      <c r="A449" s="12" t="s">
        <v>101</v>
      </c>
      <c r="B449" s="12"/>
      <c r="C449" s="12"/>
      <c r="D449" s="12"/>
      <c r="E449" s="12"/>
      <c r="F449" s="12"/>
      <c r="G449" s="12"/>
      <c r="H449" s="12"/>
      <c r="I449" s="12"/>
      <c r="J449" s="12"/>
      <c r="K449" s="12"/>
      <c r="L449" s="12"/>
      <c r="M449" s="12"/>
      <c r="N449" s="12"/>
      <c r="O449" s="12"/>
      <c r="P449" s="12"/>
      <c r="Q449" s="12"/>
      <c r="R449" s="12"/>
      <c r="S449" s="12"/>
      <c r="T449" s="12"/>
      <c r="U449" s="12"/>
    </row>
    <row r="450">
      <c r="A450" s="12" t="s">
        <v>101</v>
      </c>
      <c r="B450" s="12"/>
      <c r="C450" s="12"/>
      <c r="D450" s="12"/>
      <c r="E450" s="12"/>
      <c r="F450" s="12"/>
      <c r="G450" s="12"/>
      <c r="H450" s="12"/>
      <c r="I450" s="12"/>
      <c r="J450" s="12"/>
      <c r="K450" s="12"/>
      <c r="L450" s="12"/>
      <c r="M450" s="12"/>
      <c r="N450" s="12"/>
      <c r="O450" s="12"/>
      <c r="P450" s="12"/>
      <c r="Q450" s="12"/>
      <c r="R450" s="12"/>
      <c r="S450" s="12"/>
      <c r="T450" s="12"/>
      <c r="U450" s="12"/>
    </row>
    <row r="451">
      <c r="A451" s="12" t="s">
        <v>101</v>
      </c>
      <c r="B451" s="12"/>
      <c r="C451" s="12"/>
      <c r="D451" s="12"/>
      <c r="E451" s="12"/>
      <c r="F451" s="12"/>
      <c r="G451" s="12"/>
      <c r="H451" s="12"/>
      <c r="I451" s="12"/>
      <c r="J451" s="12"/>
      <c r="K451" s="12"/>
      <c r="L451" s="12"/>
      <c r="M451" s="12"/>
      <c r="N451" s="12"/>
      <c r="O451" s="12"/>
      <c r="P451" s="12"/>
      <c r="Q451" s="12"/>
      <c r="R451" s="12"/>
      <c r="S451" s="12"/>
      <c r="T451" s="12"/>
      <c r="U451" s="12"/>
    </row>
    <row r="452">
      <c r="A452" s="12" t="s">
        <v>101</v>
      </c>
      <c r="B452" s="12"/>
      <c r="C452" s="12"/>
      <c r="D452" s="12"/>
      <c r="E452" s="12"/>
      <c r="F452" s="12"/>
      <c r="G452" s="12"/>
      <c r="H452" s="12"/>
      <c r="I452" s="12"/>
      <c r="J452" s="12"/>
      <c r="K452" s="12"/>
      <c r="L452" s="12"/>
      <c r="M452" s="12"/>
      <c r="N452" s="12"/>
      <c r="O452" s="12"/>
      <c r="P452" s="12"/>
      <c r="Q452" s="12"/>
      <c r="R452" s="12"/>
      <c r="S452" s="12"/>
      <c r="T452" s="12"/>
      <c r="U452" s="12"/>
    </row>
    <row r="453">
      <c r="A453" s="12" t="s">
        <v>101</v>
      </c>
      <c r="B453" s="12"/>
      <c r="C453" s="12"/>
      <c r="D453" s="12"/>
      <c r="E453" s="12"/>
      <c r="F453" s="12"/>
      <c r="G453" s="12"/>
      <c r="H453" s="12"/>
      <c r="I453" s="12"/>
      <c r="J453" s="12"/>
      <c r="K453" s="12"/>
      <c r="L453" s="12"/>
      <c r="M453" s="12"/>
      <c r="N453" s="12"/>
      <c r="O453" s="12"/>
      <c r="P453" s="12"/>
      <c r="Q453" s="12"/>
      <c r="R453" s="12"/>
      <c r="S453" s="12"/>
      <c r="T453" s="12"/>
      <c r="U453" s="12"/>
    </row>
    <row r="454">
      <c r="A454" s="12" t="s">
        <v>101</v>
      </c>
      <c r="B454" s="12"/>
      <c r="C454" s="12"/>
      <c r="D454" s="12"/>
      <c r="E454" s="12"/>
      <c r="F454" s="12"/>
      <c r="G454" s="12"/>
      <c r="H454" s="12"/>
      <c r="I454" s="12"/>
      <c r="J454" s="12"/>
      <c r="K454" s="12"/>
      <c r="L454" s="12"/>
      <c r="M454" s="12"/>
      <c r="N454" s="12"/>
      <c r="O454" s="12"/>
      <c r="P454" s="12"/>
      <c r="Q454" s="12"/>
      <c r="R454" s="12"/>
      <c r="S454" s="12"/>
      <c r="T454" s="12"/>
      <c r="U454" s="12"/>
    </row>
    <row r="455">
      <c r="A455" s="12" t="s">
        <v>101</v>
      </c>
      <c r="B455" s="12"/>
      <c r="C455" s="12"/>
      <c r="D455" s="12"/>
      <c r="E455" s="12"/>
      <c r="F455" s="12"/>
      <c r="G455" s="12"/>
      <c r="H455" s="12"/>
      <c r="I455" s="12"/>
      <c r="J455" s="12"/>
      <c r="K455" s="12"/>
      <c r="L455" s="12"/>
      <c r="M455" s="12"/>
      <c r="N455" s="12"/>
      <c r="O455" s="12"/>
      <c r="P455" s="12"/>
      <c r="Q455" s="12"/>
      <c r="R455" s="12"/>
      <c r="S455" s="12"/>
      <c r="T455" s="12"/>
      <c r="U455" s="12"/>
    </row>
    <row r="456">
      <c r="A456" s="12" t="s">
        <v>101</v>
      </c>
      <c r="B456" s="12"/>
      <c r="C456" s="12"/>
      <c r="D456" s="12"/>
      <c r="E456" s="12"/>
      <c r="F456" s="12"/>
      <c r="G456" s="12"/>
      <c r="H456" s="12"/>
      <c r="I456" s="12"/>
      <c r="J456" s="12"/>
      <c r="K456" s="12"/>
      <c r="L456" s="12"/>
      <c r="M456" s="12"/>
      <c r="N456" s="12"/>
      <c r="O456" s="12"/>
      <c r="P456" s="12"/>
      <c r="Q456" s="12"/>
      <c r="R456" s="12"/>
      <c r="S456" s="12"/>
      <c r="T456" s="12"/>
      <c r="U456" s="12"/>
    </row>
    <row r="457">
      <c r="A457" s="12" t="s">
        <v>101</v>
      </c>
      <c r="B457" s="12"/>
      <c r="C457" s="12"/>
      <c r="D457" s="12"/>
      <c r="E457" s="12"/>
      <c r="F457" s="12"/>
      <c r="G457" s="12"/>
      <c r="H457" s="12"/>
      <c r="I457" s="12"/>
      <c r="J457" s="12"/>
      <c r="K457" s="12"/>
      <c r="L457" s="12"/>
      <c r="M457" s="12"/>
      <c r="N457" s="12"/>
      <c r="O457" s="12"/>
      <c r="P457" s="12"/>
      <c r="Q457" s="12"/>
      <c r="R457" s="12"/>
      <c r="S457" s="12"/>
      <c r="T457" s="12"/>
      <c r="U457" s="12"/>
    </row>
    <row r="458">
      <c r="A458" s="12" t="s">
        <v>101</v>
      </c>
      <c r="B458" s="12"/>
      <c r="C458" s="12"/>
      <c r="D458" s="12"/>
      <c r="E458" s="12"/>
      <c r="F458" s="12"/>
      <c r="G458" s="12"/>
      <c r="H458" s="12"/>
      <c r="I458" s="12"/>
      <c r="J458" s="12"/>
      <c r="K458" s="12"/>
      <c r="L458" s="12"/>
      <c r="M458" s="12"/>
      <c r="N458" s="12"/>
      <c r="O458" s="12"/>
      <c r="P458" s="12"/>
      <c r="Q458" s="12"/>
      <c r="R458" s="12"/>
      <c r="S458" s="12"/>
      <c r="T458" s="12"/>
      <c r="U458" s="12"/>
    </row>
    <row r="459">
      <c r="A459" s="12" t="s">
        <v>101</v>
      </c>
      <c r="B459" s="12"/>
      <c r="C459" s="12"/>
      <c r="D459" s="12"/>
      <c r="E459" s="12"/>
      <c r="F459" s="12"/>
      <c r="G459" s="12"/>
      <c r="H459" s="12"/>
      <c r="I459" s="12"/>
      <c r="J459" s="12"/>
      <c r="K459" s="12"/>
      <c r="L459" s="12"/>
      <c r="M459" s="12"/>
      <c r="N459" s="12"/>
      <c r="O459" s="12"/>
      <c r="P459" s="12"/>
      <c r="Q459" s="12"/>
      <c r="R459" s="12"/>
      <c r="S459" s="12"/>
      <c r="T459" s="12"/>
      <c r="U459" s="12"/>
    </row>
    <row r="460">
      <c r="A460" s="12" t="s">
        <v>101</v>
      </c>
      <c r="B460" s="12"/>
      <c r="C460" s="12"/>
      <c r="D460" s="12"/>
      <c r="E460" s="12"/>
      <c r="F460" s="12"/>
      <c r="G460" s="12"/>
      <c r="H460" s="12"/>
      <c r="I460" s="12"/>
      <c r="J460" s="12"/>
      <c r="K460" s="12"/>
      <c r="L460" s="12"/>
      <c r="M460" s="12"/>
      <c r="N460" s="12"/>
      <c r="O460" s="12"/>
      <c r="P460" s="12"/>
      <c r="Q460" s="12"/>
      <c r="R460" s="12"/>
      <c r="S460" s="12"/>
      <c r="T460" s="12"/>
      <c r="U460" s="12"/>
    </row>
    <row r="461">
      <c r="A461" s="12" t="s">
        <v>101</v>
      </c>
      <c r="B461" s="12"/>
      <c r="C461" s="12"/>
      <c r="D461" s="12"/>
      <c r="E461" s="12"/>
      <c r="F461" s="12"/>
      <c r="G461" s="12"/>
      <c r="H461" s="12"/>
      <c r="I461" s="12"/>
      <c r="J461" s="12"/>
      <c r="K461" s="12"/>
      <c r="L461" s="12"/>
      <c r="M461" s="12"/>
      <c r="N461" s="12"/>
      <c r="O461" s="12"/>
      <c r="P461" s="12"/>
      <c r="Q461" s="12"/>
      <c r="R461" s="12"/>
      <c r="S461" s="12"/>
      <c r="T461" s="12"/>
      <c r="U461" s="12"/>
    </row>
    <row r="462">
      <c r="A462" s="12" t="s">
        <v>101</v>
      </c>
      <c r="B462" s="12"/>
      <c r="C462" s="12"/>
      <c r="D462" s="12"/>
      <c r="E462" s="12"/>
      <c r="F462" s="12"/>
      <c r="G462" s="12"/>
      <c r="H462" s="12"/>
      <c r="I462" s="12"/>
      <c r="J462" s="12"/>
      <c r="K462" s="12"/>
      <c r="L462" s="12"/>
      <c r="M462" s="12"/>
      <c r="N462" s="12"/>
      <c r="O462" s="12"/>
      <c r="P462" s="12"/>
      <c r="Q462" s="12"/>
      <c r="R462" s="12"/>
      <c r="S462" s="12"/>
      <c r="T462" s="12"/>
      <c r="U462" s="12"/>
    </row>
    <row r="463">
      <c r="A463" s="12" t="s">
        <v>101</v>
      </c>
      <c r="B463" s="12"/>
      <c r="C463" s="12"/>
      <c r="D463" s="12"/>
      <c r="E463" s="12"/>
      <c r="F463" s="12"/>
      <c r="G463" s="12"/>
      <c r="H463" s="12"/>
      <c r="I463" s="12"/>
      <c r="J463" s="12"/>
      <c r="K463" s="12"/>
      <c r="L463" s="12"/>
      <c r="M463" s="12"/>
      <c r="N463" s="12"/>
      <c r="O463" s="12"/>
      <c r="P463" s="12"/>
      <c r="Q463" s="12"/>
      <c r="R463" s="12"/>
      <c r="S463" s="12"/>
      <c r="T463" s="12"/>
      <c r="U463" s="12"/>
    </row>
    <row r="464">
      <c r="A464" s="12" t="s">
        <v>101</v>
      </c>
      <c r="B464" s="12"/>
      <c r="C464" s="12"/>
      <c r="D464" s="12"/>
      <c r="E464" s="12"/>
      <c r="F464" s="12"/>
      <c r="G464" s="12"/>
      <c r="H464" s="12"/>
      <c r="I464" s="12"/>
      <c r="J464" s="12"/>
      <c r="K464" s="12"/>
      <c r="L464" s="12"/>
      <c r="M464" s="12"/>
      <c r="N464" s="12"/>
      <c r="O464" s="12"/>
      <c r="P464" s="12"/>
      <c r="Q464" s="12"/>
      <c r="R464" s="12"/>
      <c r="S464" s="12"/>
      <c r="T464" s="12"/>
      <c r="U464" s="12"/>
    </row>
    <row r="465">
      <c r="A465" s="12" t="s">
        <v>101</v>
      </c>
      <c r="B465" s="12"/>
      <c r="C465" s="12"/>
      <c r="D465" s="12"/>
      <c r="E465" s="12"/>
      <c r="F465" s="12"/>
      <c r="G465" s="12"/>
      <c r="H465" s="12"/>
      <c r="I465" s="12"/>
      <c r="J465" s="12"/>
      <c r="K465" s="12"/>
      <c r="L465" s="12"/>
      <c r="M465" s="12"/>
      <c r="N465" s="12"/>
      <c r="O465" s="12"/>
      <c r="P465" s="12"/>
      <c r="Q465" s="12"/>
      <c r="R465" s="12"/>
      <c r="S465" s="12"/>
      <c r="T465" s="12"/>
      <c r="U465" s="12"/>
    </row>
    <row r="466">
      <c r="A466" s="12" t="s">
        <v>101</v>
      </c>
      <c r="B466" s="12"/>
      <c r="C466" s="12"/>
      <c r="D466" s="12"/>
      <c r="E466" s="12"/>
      <c r="F466" s="12"/>
      <c r="G466" s="12"/>
      <c r="H466" s="12"/>
      <c r="I466" s="12"/>
      <c r="J466" s="12"/>
      <c r="K466" s="12"/>
      <c r="L466" s="12"/>
      <c r="M466" s="12"/>
      <c r="N466" s="12"/>
      <c r="O466" s="12"/>
      <c r="P466" s="12"/>
      <c r="Q466" s="12"/>
      <c r="R466" s="12"/>
      <c r="S466" s="12"/>
      <c r="T466" s="12"/>
      <c r="U466" s="12"/>
    </row>
    <row r="467">
      <c r="A467" s="12" t="s">
        <v>101</v>
      </c>
      <c r="B467" s="12"/>
      <c r="C467" s="12"/>
      <c r="D467" s="12"/>
      <c r="E467" s="12"/>
      <c r="F467" s="12"/>
      <c r="G467" s="12"/>
      <c r="H467" s="12"/>
      <c r="I467" s="12"/>
      <c r="J467" s="12"/>
      <c r="K467" s="12"/>
      <c r="L467" s="12"/>
      <c r="M467" s="12"/>
      <c r="N467" s="12"/>
      <c r="O467" s="12"/>
      <c r="P467" s="12"/>
      <c r="Q467" s="12"/>
      <c r="R467" s="12"/>
      <c r="S467" s="12"/>
      <c r="T467" s="12"/>
      <c r="U467" s="12"/>
    </row>
    <row r="468">
      <c r="A468" s="12" t="s">
        <v>101</v>
      </c>
      <c r="B468" s="12"/>
      <c r="C468" s="12"/>
      <c r="D468" s="12"/>
      <c r="E468" s="12"/>
      <c r="F468" s="12"/>
      <c r="G468" s="12"/>
      <c r="H468" s="12"/>
      <c r="I468" s="12"/>
      <c r="J468" s="12"/>
      <c r="K468" s="12"/>
      <c r="L468" s="12"/>
      <c r="M468" s="12"/>
      <c r="N468" s="12"/>
      <c r="O468" s="12"/>
      <c r="P468" s="12"/>
      <c r="Q468" s="12"/>
      <c r="R468" s="12"/>
      <c r="S468" s="12"/>
      <c r="T468" s="12"/>
      <c r="U468" s="12"/>
    </row>
    <row r="469">
      <c r="A469" s="12" t="s">
        <v>101</v>
      </c>
      <c r="B469" s="12"/>
      <c r="C469" s="12"/>
      <c r="D469" s="12"/>
      <c r="E469" s="12"/>
      <c r="F469" s="12"/>
      <c r="G469" s="12"/>
      <c r="H469" s="12"/>
      <c r="I469" s="12"/>
      <c r="J469" s="12"/>
      <c r="K469" s="12"/>
      <c r="L469" s="12"/>
      <c r="M469" s="12"/>
      <c r="N469" s="12"/>
      <c r="O469" s="12"/>
      <c r="P469" s="12"/>
      <c r="Q469" s="12"/>
      <c r="R469" s="12"/>
      <c r="S469" s="12"/>
      <c r="T469" s="12"/>
      <c r="U469" s="12"/>
    </row>
    <row r="470">
      <c r="A470" s="12" t="s">
        <v>101</v>
      </c>
      <c r="B470" s="12"/>
      <c r="C470" s="12"/>
      <c r="D470" s="12"/>
      <c r="E470" s="12"/>
      <c r="F470" s="12"/>
      <c r="G470" s="12"/>
      <c r="H470" s="12"/>
      <c r="I470" s="12"/>
      <c r="J470" s="12"/>
      <c r="K470" s="12"/>
      <c r="L470" s="12"/>
      <c r="M470" s="12"/>
      <c r="N470" s="12"/>
      <c r="O470" s="12"/>
      <c r="P470" s="12"/>
      <c r="Q470" s="12"/>
      <c r="R470" s="12"/>
      <c r="S470" s="12"/>
      <c r="T470" s="12"/>
      <c r="U470" s="12"/>
    </row>
    <row r="471">
      <c r="A471" s="12" t="s">
        <v>101</v>
      </c>
      <c r="B471" s="12"/>
      <c r="C471" s="12"/>
      <c r="D471" s="12"/>
      <c r="E471" s="12"/>
      <c r="F471" s="12"/>
      <c r="G471" s="12"/>
      <c r="H471" s="12"/>
      <c r="I471" s="12"/>
      <c r="J471" s="12"/>
      <c r="K471" s="12"/>
      <c r="L471" s="12"/>
      <c r="M471" s="12"/>
      <c r="N471" s="12"/>
      <c r="O471" s="12"/>
      <c r="P471" s="12"/>
      <c r="Q471" s="12"/>
      <c r="R471" s="12"/>
      <c r="S471" s="12"/>
      <c r="T471" s="12"/>
      <c r="U471" s="12"/>
    </row>
    <row r="472">
      <c r="A472" s="12" t="s">
        <v>101</v>
      </c>
      <c r="B472" s="12"/>
      <c r="C472" s="12"/>
      <c r="D472" s="12"/>
      <c r="E472" s="12"/>
      <c r="F472" s="12"/>
      <c r="G472" s="12"/>
      <c r="H472" s="12"/>
      <c r="I472" s="12"/>
      <c r="J472" s="12"/>
      <c r="K472" s="12"/>
      <c r="L472" s="12"/>
      <c r="M472" s="12"/>
      <c r="N472" s="12"/>
      <c r="O472" s="12"/>
      <c r="P472" s="12"/>
      <c r="Q472" s="12"/>
      <c r="R472" s="12"/>
      <c r="S472" s="12"/>
      <c r="T472" s="12"/>
      <c r="U472" s="12"/>
    </row>
    <row r="473">
      <c r="A473" s="12" t="s">
        <v>101</v>
      </c>
      <c r="B473" s="12"/>
      <c r="C473" s="12"/>
      <c r="D473" s="12"/>
      <c r="E473" s="12"/>
      <c r="F473" s="12"/>
      <c r="G473" s="12"/>
      <c r="H473" s="12"/>
      <c r="I473" s="12"/>
      <c r="J473" s="12"/>
      <c r="K473" s="12"/>
      <c r="L473" s="12"/>
      <c r="M473" s="12"/>
      <c r="N473" s="12"/>
      <c r="O473" s="12"/>
      <c r="P473" s="12"/>
      <c r="Q473" s="12"/>
      <c r="R473" s="12"/>
      <c r="S473" s="12"/>
      <c r="T473" s="12"/>
      <c r="U473" s="12"/>
    </row>
    <row r="474">
      <c r="A474" s="12" t="s">
        <v>101</v>
      </c>
      <c r="B474" s="12"/>
      <c r="C474" s="12"/>
      <c r="D474" s="12"/>
      <c r="E474" s="12"/>
      <c r="F474" s="12"/>
      <c r="G474" s="12"/>
      <c r="H474" s="12"/>
      <c r="I474" s="12"/>
      <c r="J474" s="12"/>
      <c r="K474" s="12"/>
      <c r="L474" s="12"/>
      <c r="M474" s="12"/>
      <c r="N474" s="12"/>
      <c r="O474" s="12"/>
      <c r="P474" s="12"/>
      <c r="Q474" s="12"/>
      <c r="R474" s="12"/>
      <c r="S474" s="12"/>
      <c r="T474" s="12"/>
      <c r="U474" s="12"/>
    </row>
    <row r="475">
      <c r="A475" s="12" t="s">
        <v>101</v>
      </c>
      <c r="B475" s="12"/>
      <c r="C475" s="12"/>
      <c r="D475" s="12"/>
      <c r="E475" s="12"/>
      <c r="F475" s="12"/>
      <c r="G475" s="12"/>
      <c r="H475" s="12"/>
      <c r="I475" s="12"/>
      <c r="J475" s="12"/>
      <c r="K475" s="12"/>
      <c r="L475" s="12"/>
      <c r="M475" s="12"/>
      <c r="N475" s="12"/>
      <c r="O475" s="12"/>
      <c r="P475" s="12"/>
      <c r="Q475" s="12"/>
      <c r="R475" s="12"/>
      <c r="S475" s="12"/>
      <c r="T475" s="12"/>
      <c r="U475" s="12"/>
    </row>
    <row r="476">
      <c r="A476" s="12" t="s">
        <v>101</v>
      </c>
      <c r="B476" s="12"/>
      <c r="C476" s="12"/>
      <c r="D476" s="12"/>
      <c r="E476" s="12"/>
      <c r="F476" s="12"/>
      <c r="G476" s="12"/>
      <c r="H476" s="12"/>
      <c r="I476" s="12"/>
      <c r="J476" s="12"/>
      <c r="K476" s="12"/>
      <c r="L476" s="12"/>
      <c r="M476" s="12"/>
      <c r="N476" s="12"/>
      <c r="O476" s="12"/>
      <c r="P476" s="12"/>
      <c r="Q476" s="12"/>
      <c r="R476" s="12"/>
      <c r="S476" s="12"/>
      <c r="T476" s="12"/>
      <c r="U476" s="12"/>
    </row>
    <row r="477">
      <c r="A477" s="12" t="s">
        <v>101</v>
      </c>
      <c r="B477" s="12"/>
      <c r="C477" s="12"/>
      <c r="D477" s="12"/>
      <c r="E477" s="12"/>
      <c r="F477" s="12"/>
      <c r="G477" s="12"/>
      <c r="H477" s="12"/>
      <c r="I477" s="12"/>
      <c r="J477" s="12"/>
      <c r="K477" s="12"/>
      <c r="L477" s="12"/>
      <c r="M477" s="12"/>
      <c r="N477" s="12"/>
      <c r="O477" s="12"/>
      <c r="P477" s="12"/>
      <c r="Q477" s="12"/>
      <c r="R477" s="12"/>
      <c r="S477" s="12"/>
      <c r="T477" s="12"/>
      <c r="U477" s="12"/>
    </row>
    <row r="478">
      <c r="A478" s="12" t="s">
        <v>101</v>
      </c>
      <c r="B478" s="12"/>
      <c r="C478" s="12"/>
      <c r="D478" s="12"/>
      <c r="E478" s="12"/>
      <c r="F478" s="12"/>
      <c r="G478" s="12"/>
      <c r="H478" s="12"/>
      <c r="I478" s="12"/>
      <c r="J478" s="12"/>
      <c r="K478" s="12"/>
      <c r="L478" s="12"/>
      <c r="M478" s="12"/>
      <c r="N478" s="12"/>
      <c r="O478" s="12"/>
      <c r="P478" s="12"/>
      <c r="Q478" s="12"/>
      <c r="R478" s="12"/>
      <c r="S478" s="12"/>
      <c r="T478" s="12"/>
      <c r="U478" s="12"/>
    </row>
    <row r="479">
      <c r="A479" s="12" t="s">
        <v>101</v>
      </c>
      <c r="B479" s="12"/>
      <c r="C479" s="12"/>
      <c r="D479" s="12"/>
      <c r="E479" s="12"/>
      <c r="F479" s="12"/>
      <c r="G479" s="12"/>
      <c r="H479" s="12"/>
      <c r="I479" s="12"/>
      <c r="J479" s="12"/>
      <c r="K479" s="12"/>
      <c r="L479" s="12"/>
      <c r="M479" s="12"/>
      <c r="N479" s="12"/>
      <c r="O479" s="12"/>
      <c r="P479" s="12"/>
      <c r="Q479" s="12"/>
      <c r="R479" s="12"/>
      <c r="S479" s="12"/>
      <c r="T479" s="12"/>
      <c r="U479" s="12"/>
    </row>
    <row r="480">
      <c r="A480" s="12" t="s">
        <v>101</v>
      </c>
      <c r="B480" s="12"/>
      <c r="C480" s="12"/>
      <c r="D480" s="12"/>
      <c r="E480" s="12"/>
      <c r="F480" s="12"/>
      <c r="G480" s="12"/>
      <c r="H480" s="12"/>
      <c r="I480" s="12"/>
      <c r="J480" s="12"/>
      <c r="K480" s="12"/>
      <c r="L480" s="12"/>
      <c r="M480" s="12"/>
      <c r="N480" s="12"/>
      <c r="O480" s="12"/>
      <c r="P480" s="12"/>
      <c r="Q480" s="12"/>
      <c r="R480" s="12"/>
      <c r="S480" s="12"/>
      <c r="T480" s="12"/>
      <c r="U480" s="12"/>
    </row>
    <row r="481">
      <c r="A481" s="12" t="s">
        <v>101</v>
      </c>
      <c r="B481" s="12"/>
      <c r="C481" s="12"/>
      <c r="D481" s="12"/>
      <c r="E481" s="12"/>
      <c r="F481" s="12"/>
      <c r="G481" s="12"/>
      <c r="H481" s="12"/>
      <c r="I481" s="12"/>
      <c r="J481" s="12"/>
      <c r="K481" s="12"/>
      <c r="L481" s="12"/>
      <c r="M481" s="12"/>
      <c r="N481" s="12"/>
      <c r="O481" s="12"/>
      <c r="P481" s="12"/>
      <c r="Q481" s="12"/>
      <c r="R481" s="12"/>
      <c r="S481" s="12"/>
      <c r="T481" s="12"/>
      <c r="U481" s="12"/>
    </row>
    <row r="482">
      <c r="A482" s="12" t="s">
        <v>101</v>
      </c>
      <c r="B482" s="12"/>
      <c r="C482" s="12"/>
      <c r="D482" s="12"/>
      <c r="E482" s="12"/>
      <c r="F482" s="12"/>
      <c r="G482" s="12"/>
      <c r="H482" s="12"/>
      <c r="I482" s="12"/>
      <c r="J482" s="12"/>
      <c r="K482" s="12"/>
      <c r="L482" s="12"/>
      <c r="M482" s="12"/>
      <c r="N482" s="12"/>
      <c r="O482" s="12"/>
      <c r="P482" s="12"/>
      <c r="Q482" s="12"/>
      <c r="R482" s="12"/>
      <c r="S482" s="12"/>
      <c r="T482" s="12"/>
      <c r="U482" s="12"/>
    </row>
    <row r="483">
      <c r="A483" s="12" t="s">
        <v>101</v>
      </c>
      <c r="B483" s="12"/>
      <c r="C483" s="12"/>
      <c r="D483" s="12"/>
      <c r="E483" s="12"/>
      <c r="F483" s="12"/>
      <c r="G483" s="12"/>
      <c r="H483" s="12"/>
      <c r="I483" s="12"/>
      <c r="J483" s="12"/>
      <c r="K483" s="12"/>
      <c r="L483" s="12"/>
      <c r="M483" s="12"/>
      <c r="N483" s="12"/>
      <c r="O483" s="12"/>
      <c r="P483" s="12"/>
      <c r="Q483" s="12"/>
      <c r="R483" s="12"/>
      <c r="S483" s="12"/>
      <c r="T483" s="12"/>
      <c r="U483" s="12"/>
    </row>
    <row r="484">
      <c r="A484" s="12" t="s">
        <v>101</v>
      </c>
      <c r="B484" s="12"/>
      <c r="C484" s="12"/>
      <c r="D484" s="12"/>
      <c r="E484" s="12"/>
      <c r="F484" s="12"/>
      <c r="G484" s="12"/>
      <c r="H484" s="12"/>
      <c r="I484" s="12"/>
      <c r="J484" s="12"/>
      <c r="K484" s="12"/>
      <c r="L484" s="12"/>
      <c r="M484" s="12"/>
      <c r="N484" s="12"/>
      <c r="O484" s="12"/>
      <c r="P484" s="12"/>
      <c r="Q484" s="12"/>
      <c r="R484" s="12"/>
      <c r="S484" s="12"/>
      <c r="T484" s="12"/>
      <c r="U484" s="12"/>
    </row>
    <row r="485">
      <c r="A485" s="12" t="s">
        <v>101</v>
      </c>
      <c r="B485" s="12"/>
      <c r="C485" s="12"/>
      <c r="D485" s="12"/>
      <c r="E485" s="12"/>
      <c r="F485" s="12"/>
      <c r="G485" s="12"/>
      <c r="H485" s="12"/>
      <c r="I485" s="12"/>
      <c r="J485" s="12"/>
      <c r="K485" s="12"/>
      <c r="L485" s="12"/>
      <c r="M485" s="12"/>
      <c r="N485" s="12"/>
      <c r="O485" s="12"/>
      <c r="P485" s="12"/>
      <c r="Q485" s="12"/>
      <c r="R485" s="12"/>
      <c r="S485" s="12"/>
      <c r="T485" s="12"/>
      <c r="U485" s="12"/>
    </row>
    <row r="486">
      <c r="A486" s="12" t="s">
        <v>101</v>
      </c>
      <c r="B486" s="12"/>
      <c r="C486" s="12"/>
      <c r="D486" s="12"/>
      <c r="E486" s="12"/>
      <c r="F486" s="12"/>
      <c r="G486" s="12"/>
      <c r="H486" s="12"/>
      <c r="I486" s="12"/>
      <c r="J486" s="12"/>
      <c r="K486" s="12"/>
      <c r="L486" s="12"/>
      <c r="M486" s="12"/>
      <c r="N486" s="12"/>
      <c r="O486" s="12"/>
      <c r="P486" s="12"/>
      <c r="Q486" s="12"/>
      <c r="R486" s="12"/>
      <c r="S486" s="12"/>
      <c r="T486" s="12"/>
      <c r="U486" s="12"/>
    </row>
    <row r="487">
      <c r="A487" s="12" t="s">
        <v>101</v>
      </c>
      <c r="B487" s="12"/>
      <c r="C487" s="12"/>
      <c r="D487" s="12"/>
      <c r="E487" s="12"/>
      <c r="F487" s="12"/>
      <c r="G487" s="12"/>
      <c r="H487" s="12"/>
      <c r="I487" s="12"/>
      <c r="J487" s="12"/>
      <c r="K487" s="12"/>
      <c r="L487" s="12"/>
      <c r="M487" s="12"/>
      <c r="N487" s="12"/>
      <c r="O487" s="12"/>
      <c r="P487" s="12"/>
      <c r="Q487" s="12"/>
      <c r="R487" s="12"/>
      <c r="S487" s="12"/>
      <c r="T487" s="12"/>
      <c r="U487" s="12"/>
    </row>
    <row r="488">
      <c r="A488" s="12" t="s">
        <v>101</v>
      </c>
      <c r="B488" s="12"/>
      <c r="C488" s="12"/>
      <c r="D488" s="12"/>
      <c r="E488" s="12"/>
      <c r="F488" s="12"/>
      <c r="G488" s="12"/>
      <c r="H488" s="12"/>
      <c r="I488" s="12"/>
      <c r="J488" s="12"/>
      <c r="K488" s="12"/>
      <c r="L488" s="12"/>
      <c r="M488" s="12"/>
      <c r="N488" s="12"/>
      <c r="O488" s="12"/>
      <c r="P488" s="12"/>
      <c r="Q488" s="12"/>
      <c r="R488" s="12"/>
      <c r="S488" s="12"/>
      <c r="T488" s="12"/>
      <c r="U488" s="12"/>
    </row>
    <row r="489">
      <c r="A489" s="12" t="s">
        <v>101</v>
      </c>
      <c r="B489" s="12"/>
      <c r="C489" s="12"/>
      <c r="D489" s="12"/>
      <c r="E489" s="12"/>
      <c r="F489" s="12"/>
      <c r="G489" s="12"/>
      <c r="H489" s="12"/>
      <c r="I489" s="12"/>
      <c r="J489" s="12"/>
      <c r="K489" s="12"/>
      <c r="L489" s="12"/>
      <c r="M489" s="12"/>
      <c r="N489" s="12"/>
      <c r="O489" s="12"/>
      <c r="P489" s="12"/>
      <c r="Q489" s="12"/>
      <c r="R489" s="12"/>
      <c r="S489" s="12"/>
      <c r="T489" s="12"/>
      <c r="U489" s="12"/>
    </row>
    <row r="490">
      <c r="A490" s="12" t="s">
        <v>101</v>
      </c>
      <c r="B490" s="12"/>
      <c r="C490" s="12"/>
      <c r="D490" s="12"/>
      <c r="E490" s="12"/>
      <c r="F490" s="12"/>
      <c r="G490" s="12"/>
      <c r="H490" s="12"/>
      <c r="I490" s="12"/>
      <c r="J490" s="12"/>
      <c r="K490" s="12"/>
      <c r="L490" s="12"/>
      <c r="M490" s="12"/>
      <c r="N490" s="12"/>
      <c r="O490" s="12"/>
      <c r="P490" s="12"/>
      <c r="Q490" s="12"/>
      <c r="R490" s="12"/>
      <c r="S490" s="12"/>
      <c r="T490" s="12"/>
      <c r="U490" s="12"/>
    </row>
    <row r="491">
      <c r="A491" s="12" t="s">
        <v>101</v>
      </c>
      <c r="B491" s="12"/>
      <c r="C491" s="12"/>
      <c r="D491" s="12"/>
      <c r="E491" s="12"/>
      <c r="F491" s="12"/>
      <c r="G491" s="12"/>
      <c r="H491" s="12"/>
      <c r="I491" s="12"/>
      <c r="J491" s="12"/>
      <c r="K491" s="12"/>
      <c r="L491" s="12"/>
      <c r="M491" s="12"/>
      <c r="N491" s="12"/>
      <c r="O491" s="12"/>
      <c r="P491" s="12"/>
      <c r="Q491" s="12"/>
      <c r="R491" s="12"/>
      <c r="S491" s="12"/>
      <c r="T491" s="12"/>
      <c r="U491" s="12"/>
    </row>
    <row r="492">
      <c r="A492" s="12" t="s">
        <v>101</v>
      </c>
      <c r="B492" s="12"/>
      <c r="C492" s="12"/>
      <c r="D492" s="12"/>
      <c r="E492" s="12"/>
      <c r="F492" s="12"/>
      <c r="G492" s="12"/>
      <c r="H492" s="12"/>
      <c r="I492" s="12"/>
      <c r="J492" s="12"/>
      <c r="K492" s="12"/>
      <c r="L492" s="12"/>
      <c r="M492" s="12"/>
      <c r="N492" s="12"/>
      <c r="O492" s="12"/>
      <c r="P492" s="12"/>
      <c r="Q492" s="12"/>
      <c r="R492" s="12"/>
      <c r="S492" s="12"/>
      <c r="T492" s="12"/>
      <c r="U492" s="12"/>
    </row>
    <row r="493">
      <c r="A493" s="12" t="s">
        <v>101</v>
      </c>
      <c r="B493" s="12"/>
      <c r="C493" s="12"/>
      <c r="D493" s="12"/>
      <c r="E493" s="12"/>
      <c r="F493" s="12"/>
      <c r="G493" s="12"/>
      <c r="H493" s="12"/>
      <c r="I493" s="12"/>
      <c r="J493" s="12"/>
      <c r="K493" s="12"/>
      <c r="L493" s="12"/>
      <c r="M493" s="12"/>
      <c r="N493" s="12"/>
      <c r="O493" s="12"/>
      <c r="P493" s="12"/>
      <c r="Q493" s="12"/>
      <c r="R493" s="12"/>
      <c r="S493" s="12"/>
      <c r="T493" s="12"/>
      <c r="U493" s="12"/>
    </row>
    <row r="494">
      <c r="A494" s="12" t="s">
        <v>101</v>
      </c>
      <c r="B494" s="12"/>
      <c r="C494" s="12"/>
      <c r="D494" s="12"/>
      <c r="E494" s="12"/>
      <c r="F494" s="12"/>
      <c r="G494" s="12"/>
      <c r="H494" s="12"/>
      <c r="I494" s="12"/>
      <c r="J494" s="12"/>
      <c r="K494" s="12"/>
      <c r="L494" s="12"/>
      <c r="M494" s="12"/>
      <c r="N494" s="12"/>
      <c r="O494" s="12"/>
      <c r="P494" s="12"/>
      <c r="Q494" s="12"/>
      <c r="R494" s="12"/>
      <c r="S494" s="12"/>
      <c r="T494" s="12"/>
      <c r="U494" s="12"/>
    </row>
    <row r="495">
      <c r="A495" s="12" t="s">
        <v>101</v>
      </c>
      <c r="B495" s="12"/>
      <c r="C495" s="12"/>
      <c r="D495" s="12"/>
      <c r="E495" s="12"/>
      <c r="F495" s="12"/>
      <c r="G495" s="12"/>
      <c r="H495" s="12"/>
      <c r="I495" s="12"/>
      <c r="J495" s="12"/>
      <c r="K495" s="12"/>
      <c r="L495" s="12"/>
      <c r="M495" s="12"/>
      <c r="N495" s="12"/>
      <c r="O495" s="12"/>
      <c r="P495" s="12"/>
      <c r="Q495" s="12"/>
      <c r="R495" s="12"/>
      <c r="S495" s="12"/>
      <c r="T495" s="12"/>
      <c r="U495" s="12"/>
    </row>
    <row r="496">
      <c r="A496" s="12" t="s">
        <v>101</v>
      </c>
      <c r="B496" s="12"/>
      <c r="C496" s="12"/>
      <c r="D496" s="12"/>
      <c r="E496" s="12"/>
      <c r="F496" s="12"/>
      <c r="G496" s="12"/>
      <c r="H496" s="12"/>
      <c r="I496" s="12"/>
      <c r="J496" s="12"/>
      <c r="K496" s="12"/>
      <c r="L496" s="12"/>
      <c r="M496" s="12"/>
      <c r="N496" s="12"/>
      <c r="O496" s="12"/>
      <c r="P496" s="12"/>
      <c r="Q496" s="12"/>
      <c r="R496" s="12"/>
      <c r="S496" s="12"/>
      <c r="T496" s="12"/>
      <c r="U496" s="12"/>
    </row>
    <row r="497">
      <c r="A497" s="12" t="s">
        <v>101</v>
      </c>
      <c r="B497" s="12"/>
      <c r="C497" s="12"/>
      <c r="D497" s="12"/>
      <c r="E497" s="12"/>
      <c r="F497" s="12"/>
      <c r="G497" s="12"/>
      <c r="H497" s="12"/>
      <c r="I497" s="12"/>
      <c r="J497" s="12"/>
      <c r="K497" s="12"/>
      <c r="L497" s="12"/>
      <c r="M497" s="12"/>
      <c r="N497" s="12"/>
      <c r="O497" s="12"/>
      <c r="P497" s="12"/>
      <c r="Q497" s="12"/>
      <c r="R497" s="12"/>
      <c r="S497" s="12"/>
      <c r="T497" s="12"/>
      <c r="U497" s="12"/>
    </row>
    <row r="498">
      <c r="A498" s="12" t="s">
        <v>101</v>
      </c>
      <c r="B498" s="12"/>
      <c r="C498" s="12"/>
      <c r="D498" s="12"/>
      <c r="E498" s="12"/>
      <c r="F498" s="12"/>
      <c r="G498" s="12"/>
      <c r="H498" s="12"/>
      <c r="I498" s="12"/>
      <c r="J498" s="12"/>
      <c r="K498" s="12"/>
      <c r="L498" s="12"/>
      <c r="M498" s="12"/>
      <c r="N498" s="12"/>
      <c r="O498" s="12"/>
      <c r="P498" s="12"/>
      <c r="Q498" s="12"/>
      <c r="R498" s="12"/>
      <c r="S498" s="12"/>
      <c r="T498" s="12"/>
      <c r="U498" s="12"/>
    </row>
    <row r="499">
      <c r="A499" s="12" t="s">
        <v>101</v>
      </c>
      <c r="B499" s="12"/>
      <c r="C499" s="12"/>
      <c r="D499" s="12"/>
      <c r="E499" s="12"/>
      <c r="F499" s="12"/>
      <c r="G499" s="12"/>
      <c r="H499" s="12"/>
      <c r="I499" s="12"/>
      <c r="J499" s="12"/>
      <c r="K499" s="12"/>
      <c r="L499" s="12"/>
      <c r="M499" s="12"/>
      <c r="N499" s="12"/>
      <c r="O499" s="12"/>
      <c r="P499" s="12"/>
      <c r="Q499" s="12"/>
      <c r="R499" s="12"/>
      <c r="S499" s="12"/>
      <c r="T499" s="12"/>
      <c r="U499" s="12"/>
    </row>
    <row r="500">
      <c r="A500" s="12" t="s">
        <v>101</v>
      </c>
      <c r="B500" s="12"/>
      <c r="C500" s="12"/>
      <c r="D500" s="12"/>
      <c r="E500" s="12"/>
      <c r="F500" s="12"/>
      <c r="G500" s="12"/>
      <c r="H500" s="12"/>
      <c r="I500" s="12"/>
      <c r="J500" s="12"/>
      <c r="K500" s="12"/>
      <c r="L500" s="12"/>
      <c r="M500" s="12"/>
      <c r="N500" s="12"/>
      <c r="O500" s="12"/>
      <c r="P500" s="12"/>
      <c r="Q500" s="12"/>
      <c r="R500" s="12"/>
      <c r="S500" s="12"/>
      <c r="T500" s="12"/>
      <c r="U500" s="12"/>
    </row>
    <row r="501">
      <c r="A501" s="12" t="s">
        <v>101</v>
      </c>
      <c r="B501" s="12"/>
      <c r="C501" s="12"/>
      <c r="D501" s="12"/>
      <c r="E501" s="12"/>
      <c r="F501" s="12"/>
      <c r="G501" s="12"/>
      <c r="H501" s="12"/>
      <c r="I501" s="12"/>
      <c r="J501" s="12"/>
      <c r="K501" s="12"/>
      <c r="L501" s="12"/>
      <c r="M501" s="12"/>
      <c r="N501" s="12"/>
      <c r="O501" s="12"/>
      <c r="P501" s="12"/>
      <c r="Q501" s="12"/>
      <c r="R501" s="12"/>
      <c r="S501" s="12"/>
      <c r="T501" s="12"/>
      <c r="U501" s="12"/>
    </row>
    <row r="502">
      <c r="A502" s="12" t="s">
        <v>101</v>
      </c>
      <c r="B502" s="12"/>
      <c r="C502" s="12"/>
      <c r="D502" s="12"/>
      <c r="E502" s="12"/>
      <c r="F502" s="12"/>
      <c r="G502" s="12"/>
      <c r="H502" s="12"/>
      <c r="I502" s="12"/>
      <c r="J502" s="12"/>
      <c r="K502" s="12"/>
      <c r="L502" s="12"/>
      <c r="M502" s="12"/>
      <c r="N502" s="12"/>
      <c r="O502" s="12"/>
      <c r="P502" s="12"/>
      <c r="Q502" s="12"/>
      <c r="R502" s="12"/>
      <c r="S502" s="12"/>
      <c r="T502" s="12"/>
      <c r="U502" s="12"/>
    </row>
    <row r="503">
      <c r="A503" s="12" t="s">
        <v>101</v>
      </c>
      <c r="B503" s="12"/>
      <c r="C503" s="12"/>
      <c r="D503" s="12"/>
      <c r="E503" s="12"/>
      <c r="F503" s="12"/>
      <c r="G503" s="12"/>
      <c r="H503" s="12"/>
      <c r="I503" s="12"/>
      <c r="J503" s="12"/>
      <c r="K503" s="12"/>
      <c r="L503" s="12"/>
      <c r="M503" s="12"/>
      <c r="N503" s="12"/>
      <c r="O503" s="12"/>
      <c r="P503" s="12"/>
      <c r="Q503" s="12"/>
      <c r="R503" s="12"/>
      <c r="S503" s="12"/>
      <c r="T503" s="12"/>
      <c r="U503" s="12"/>
    </row>
    <row r="504">
      <c r="A504" s="12" t="s">
        <v>101</v>
      </c>
      <c r="B504" s="12"/>
      <c r="C504" s="12"/>
      <c r="D504" s="12"/>
      <c r="E504" s="12"/>
      <c r="F504" s="12"/>
      <c r="G504" s="12"/>
      <c r="H504" s="12"/>
      <c r="I504" s="12"/>
      <c r="J504" s="12"/>
      <c r="K504" s="12"/>
      <c r="L504" s="12"/>
      <c r="M504" s="12"/>
      <c r="N504" s="12"/>
      <c r="O504" s="12"/>
      <c r="P504" s="12"/>
      <c r="Q504" s="12"/>
      <c r="R504" s="12"/>
      <c r="S504" s="12"/>
      <c r="T504" s="12"/>
      <c r="U504" s="12"/>
    </row>
    <row r="505">
      <c r="A505" s="12" t="s">
        <v>101</v>
      </c>
      <c r="B505" s="12"/>
      <c r="C505" s="12"/>
      <c r="D505" s="12"/>
      <c r="E505" s="12"/>
      <c r="F505" s="12"/>
      <c r="G505" s="12"/>
      <c r="H505" s="12"/>
      <c r="I505" s="12"/>
      <c r="J505" s="12"/>
      <c r="K505" s="12"/>
      <c r="L505" s="12"/>
      <c r="M505" s="12"/>
      <c r="N505" s="12"/>
      <c r="O505" s="12"/>
      <c r="P505" s="12"/>
      <c r="Q505" s="12"/>
      <c r="R505" s="12"/>
      <c r="S505" s="12"/>
      <c r="T505" s="12"/>
      <c r="U505" s="12"/>
    </row>
    <row r="506">
      <c r="A506" s="12" t="s">
        <v>101</v>
      </c>
      <c r="B506" s="12"/>
      <c r="C506" s="12"/>
      <c r="D506" s="12"/>
      <c r="E506" s="12"/>
      <c r="F506" s="12"/>
      <c r="G506" s="12"/>
      <c r="H506" s="12"/>
      <c r="I506" s="12"/>
      <c r="J506" s="12"/>
      <c r="K506" s="12"/>
      <c r="L506" s="12"/>
      <c r="M506" s="12"/>
      <c r="N506" s="12"/>
      <c r="O506" s="12"/>
      <c r="P506" s="12"/>
      <c r="Q506" s="12"/>
      <c r="R506" s="12"/>
      <c r="S506" s="12"/>
      <c r="T506" s="12"/>
      <c r="U506" s="12"/>
    </row>
    <row r="507">
      <c r="A507" s="12" t="s">
        <v>101</v>
      </c>
      <c r="B507" s="12"/>
      <c r="C507" s="12"/>
      <c r="D507" s="12"/>
      <c r="E507" s="12"/>
      <c r="F507" s="12"/>
      <c r="G507" s="12"/>
      <c r="H507" s="12"/>
      <c r="I507" s="12"/>
      <c r="J507" s="12"/>
      <c r="K507" s="12"/>
      <c r="L507" s="12"/>
      <c r="M507" s="12"/>
      <c r="N507" s="12"/>
      <c r="O507" s="12"/>
      <c r="P507" s="12"/>
      <c r="Q507" s="12"/>
      <c r="R507" s="12"/>
      <c r="S507" s="12"/>
      <c r="T507" s="12"/>
      <c r="U507" s="12"/>
    </row>
    <row r="508">
      <c r="A508" s="12" t="s">
        <v>101</v>
      </c>
      <c r="B508" s="12"/>
      <c r="C508" s="12"/>
      <c r="D508" s="12"/>
      <c r="E508" s="12"/>
      <c r="F508" s="12"/>
      <c r="G508" s="12"/>
      <c r="H508" s="12"/>
      <c r="I508" s="12"/>
      <c r="J508" s="12"/>
      <c r="K508" s="12"/>
      <c r="L508" s="12"/>
      <c r="M508" s="12"/>
      <c r="N508" s="12"/>
      <c r="O508" s="12"/>
      <c r="P508" s="12"/>
      <c r="Q508" s="12"/>
      <c r="R508" s="12"/>
      <c r="S508" s="12"/>
      <c r="T508" s="12"/>
      <c r="U508" s="12"/>
    </row>
    <row r="509">
      <c r="A509" s="12" t="s">
        <v>101</v>
      </c>
      <c r="B509" s="12"/>
      <c r="C509" s="12"/>
      <c r="D509" s="12"/>
      <c r="E509" s="12"/>
      <c r="F509" s="12"/>
      <c r="G509" s="12"/>
      <c r="H509" s="12"/>
      <c r="I509" s="12"/>
      <c r="J509" s="12"/>
      <c r="K509" s="12"/>
      <c r="L509" s="12"/>
      <c r="M509" s="12"/>
      <c r="N509" s="12"/>
      <c r="O509" s="12"/>
      <c r="P509" s="12"/>
      <c r="Q509" s="12"/>
      <c r="R509" s="12"/>
      <c r="S509" s="12"/>
      <c r="T509" s="12"/>
      <c r="U509" s="12"/>
    </row>
    <row r="510">
      <c r="A510" s="12" t="s">
        <v>101</v>
      </c>
      <c r="B510" s="12"/>
      <c r="C510" s="12"/>
      <c r="D510" s="12"/>
      <c r="E510" s="12"/>
      <c r="F510" s="12"/>
      <c r="G510" s="12"/>
      <c r="H510" s="12"/>
      <c r="I510" s="12"/>
      <c r="J510" s="12"/>
      <c r="K510" s="12"/>
      <c r="L510" s="12"/>
      <c r="M510" s="12"/>
      <c r="N510" s="12"/>
      <c r="O510" s="12"/>
      <c r="P510" s="12"/>
      <c r="Q510" s="12"/>
      <c r="R510" s="12"/>
      <c r="S510" s="12"/>
      <c r="T510" s="12"/>
      <c r="U510" s="12"/>
    </row>
    <row r="511">
      <c r="A511" s="12" t="s">
        <v>101</v>
      </c>
      <c r="B511" s="12"/>
      <c r="C511" s="12"/>
      <c r="D511" s="12"/>
      <c r="E511" s="12"/>
      <c r="F511" s="12"/>
      <c r="G511" s="12"/>
      <c r="H511" s="12"/>
      <c r="I511" s="12"/>
      <c r="J511" s="12"/>
      <c r="K511" s="12"/>
      <c r="L511" s="12"/>
      <c r="M511" s="12"/>
      <c r="N511" s="12"/>
      <c r="O511" s="12"/>
      <c r="P511" s="12"/>
      <c r="Q511" s="12"/>
      <c r="R511" s="12"/>
      <c r="S511" s="12"/>
      <c r="T511" s="12"/>
      <c r="U511" s="12"/>
    </row>
    <row r="512">
      <c r="A512" s="12" t="s">
        <v>101</v>
      </c>
      <c r="B512" s="12"/>
      <c r="C512" s="12"/>
      <c r="D512" s="12"/>
      <c r="E512" s="12"/>
      <c r="F512" s="12"/>
      <c r="G512" s="12"/>
      <c r="H512" s="12"/>
      <c r="I512" s="12"/>
      <c r="J512" s="12"/>
      <c r="K512" s="12"/>
      <c r="L512" s="12"/>
      <c r="M512" s="12"/>
      <c r="N512" s="12"/>
      <c r="O512" s="12"/>
      <c r="P512" s="12"/>
      <c r="Q512" s="12"/>
      <c r="R512" s="12"/>
      <c r="S512" s="12"/>
      <c r="T512" s="12"/>
      <c r="U512" s="12"/>
    </row>
    <row r="513">
      <c r="A513" s="12" t="s">
        <v>101</v>
      </c>
      <c r="B513" s="12"/>
      <c r="C513" s="12"/>
      <c r="D513" s="12"/>
      <c r="E513" s="12"/>
      <c r="F513" s="12"/>
      <c r="G513" s="12"/>
      <c r="H513" s="12"/>
      <c r="I513" s="12"/>
      <c r="J513" s="12"/>
      <c r="K513" s="12"/>
      <c r="L513" s="12"/>
      <c r="M513" s="12"/>
      <c r="N513" s="12"/>
      <c r="O513" s="12"/>
      <c r="P513" s="12"/>
      <c r="Q513" s="12"/>
      <c r="R513" s="12"/>
      <c r="S513" s="12"/>
      <c r="T513" s="12"/>
      <c r="U513" s="12"/>
    </row>
    <row r="514">
      <c r="A514" s="12" t="s">
        <v>101</v>
      </c>
      <c r="B514" s="12"/>
      <c r="C514" s="12"/>
      <c r="D514" s="12"/>
      <c r="E514" s="12"/>
      <c r="F514" s="12"/>
      <c r="G514" s="12"/>
      <c r="H514" s="12"/>
      <c r="I514" s="12"/>
      <c r="J514" s="12"/>
      <c r="K514" s="12"/>
      <c r="L514" s="12"/>
      <c r="M514" s="12"/>
      <c r="N514" s="12"/>
      <c r="O514" s="12"/>
      <c r="P514" s="12"/>
      <c r="Q514" s="12"/>
      <c r="R514" s="12"/>
      <c r="S514" s="12"/>
      <c r="T514" s="12"/>
      <c r="U514" s="12"/>
    </row>
    <row r="515">
      <c r="A515" s="12" t="s">
        <v>101</v>
      </c>
      <c r="B515" s="12"/>
      <c r="C515" s="12"/>
      <c r="D515" s="12"/>
      <c r="E515" s="12"/>
      <c r="F515" s="12"/>
      <c r="G515" s="12"/>
      <c r="H515" s="12"/>
      <c r="I515" s="12"/>
      <c r="J515" s="12"/>
      <c r="K515" s="12"/>
      <c r="L515" s="12"/>
      <c r="M515" s="12"/>
      <c r="N515" s="12"/>
      <c r="O515" s="12"/>
      <c r="P515" s="12"/>
      <c r="Q515" s="12"/>
      <c r="R515" s="12"/>
      <c r="S515" s="12"/>
      <c r="T515" s="12"/>
      <c r="U515" s="12"/>
    </row>
    <row r="516">
      <c r="A516" s="12" t="s">
        <v>101</v>
      </c>
      <c r="B516" s="12"/>
      <c r="C516" s="12"/>
      <c r="D516" s="12"/>
      <c r="E516" s="12"/>
      <c r="F516" s="12"/>
      <c r="G516" s="12"/>
      <c r="H516" s="12"/>
      <c r="I516" s="12"/>
      <c r="J516" s="12"/>
      <c r="K516" s="12"/>
      <c r="L516" s="12"/>
      <c r="M516" s="12"/>
      <c r="N516" s="12"/>
      <c r="O516" s="12"/>
      <c r="P516" s="12"/>
      <c r="Q516" s="12"/>
      <c r="R516" s="12"/>
      <c r="S516" s="12"/>
      <c r="T516" s="12"/>
      <c r="U516" s="12"/>
    </row>
    <row r="517">
      <c r="A517" s="12" t="s">
        <v>101</v>
      </c>
      <c r="B517" s="12"/>
      <c r="C517" s="12"/>
      <c r="D517" s="12"/>
      <c r="E517" s="12"/>
      <c r="F517" s="12"/>
      <c r="G517" s="12"/>
      <c r="H517" s="12"/>
      <c r="I517" s="12"/>
      <c r="J517" s="12"/>
      <c r="K517" s="12"/>
      <c r="L517" s="12"/>
      <c r="M517" s="12"/>
      <c r="N517" s="12"/>
      <c r="O517" s="12"/>
      <c r="P517" s="12"/>
      <c r="Q517" s="12"/>
      <c r="R517" s="12"/>
      <c r="S517" s="12"/>
      <c r="T517" s="12"/>
      <c r="U517" s="12"/>
    </row>
    <row r="518">
      <c r="A518" s="12" t="s">
        <v>101</v>
      </c>
      <c r="B518" s="12"/>
      <c r="C518" s="12"/>
      <c r="D518" s="12"/>
      <c r="E518" s="12"/>
      <c r="F518" s="12"/>
      <c r="G518" s="12"/>
      <c r="H518" s="12"/>
      <c r="I518" s="12"/>
      <c r="J518" s="12"/>
      <c r="K518" s="12"/>
      <c r="L518" s="12"/>
      <c r="M518" s="12"/>
      <c r="N518" s="12"/>
      <c r="O518" s="12"/>
      <c r="P518" s="12"/>
      <c r="Q518" s="12"/>
      <c r="R518" s="12"/>
      <c r="S518" s="12"/>
      <c r="T518" s="12"/>
      <c r="U518" s="12"/>
    </row>
    <row r="519">
      <c r="A519" s="12" t="s">
        <v>101</v>
      </c>
      <c r="B519" s="12"/>
      <c r="C519" s="12"/>
      <c r="D519" s="12"/>
      <c r="E519" s="12"/>
      <c r="F519" s="12"/>
      <c r="G519" s="12"/>
      <c r="H519" s="12"/>
      <c r="I519" s="12"/>
      <c r="J519" s="12"/>
      <c r="K519" s="12"/>
      <c r="L519" s="12"/>
      <c r="M519" s="12"/>
      <c r="N519" s="12"/>
      <c r="O519" s="12"/>
      <c r="P519" s="12"/>
      <c r="Q519" s="12"/>
      <c r="R519" s="12"/>
      <c r="S519" s="12"/>
      <c r="T519" s="12"/>
      <c r="U519" s="12"/>
    </row>
    <row r="520">
      <c r="A520" s="12" t="s">
        <v>101</v>
      </c>
      <c r="B520" s="12"/>
      <c r="C520" s="12"/>
      <c r="D520" s="12"/>
      <c r="E520" s="12"/>
      <c r="F520" s="12"/>
      <c r="G520" s="12"/>
      <c r="H520" s="12"/>
      <c r="I520" s="12"/>
      <c r="J520" s="12"/>
      <c r="K520" s="12"/>
      <c r="L520" s="12"/>
      <c r="M520" s="12"/>
      <c r="N520" s="12"/>
      <c r="O520" s="12"/>
      <c r="P520" s="12"/>
      <c r="Q520" s="12"/>
      <c r="R520" s="12"/>
      <c r="S520" s="12"/>
      <c r="T520" s="12"/>
      <c r="U520" s="12"/>
    </row>
    <row r="521">
      <c r="A521" s="12" t="s">
        <v>101</v>
      </c>
      <c r="B521" s="12"/>
      <c r="C521" s="12"/>
      <c r="D521" s="12"/>
      <c r="E521" s="12"/>
      <c r="F521" s="12"/>
      <c r="G521" s="12"/>
      <c r="H521" s="12"/>
      <c r="I521" s="12"/>
      <c r="J521" s="12"/>
      <c r="K521" s="12"/>
      <c r="L521" s="12"/>
      <c r="M521" s="12"/>
      <c r="N521" s="12"/>
      <c r="O521" s="12"/>
      <c r="P521" s="12"/>
      <c r="Q521" s="12"/>
      <c r="R521" s="12"/>
      <c r="S521" s="12"/>
      <c r="T521" s="12"/>
      <c r="U521" s="12"/>
    </row>
    <row r="522">
      <c r="A522" s="12" t="s">
        <v>101</v>
      </c>
      <c r="B522" s="12"/>
      <c r="C522" s="12"/>
      <c r="D522" s="12"/>
      <c r="E522" s="12"/>
      <c r="F522" s="12"/>
      <c r="G522" s="12"/>
      <c r="H522" s="12"/>
      <c r="I522" s="12"/>
      <c r="J522" s="12"/>
      <c r="K522" s="12"/>
      <c r="L522" s="12"/>
      <c r="M522" s="12"/>
      <c r="N522" s="12"/>
      <c r="O522" s="12"/>
      <c r="P522" s="12"/>
      <c r="Q522" s="12"/>
      <c r="R522" s="12"/>
      <c r="S522" s="12"/>
      <c r="T522" s="12"/>
      <c r="U522" s="12"/>
    </row>
    <row r="523">
      <c r="A523" s="12" t="s">
        <v>101</v>
      </c>
      <c r="B523" s="12"/>
      <c r="C523" s="12"/>
      <c r="D523" s="12"/>
      <c r="E523" s="12"/>
      <c r="F523" s="12"/>
      <c r="G523" s="12"/>
      <c r="H523" s="12"/>
      <c r="I523" s="12"/>
      <c r="J523" s="12"/>
      <c r="K523" s="12"/>
      <c r="L523" s="12"/>
      <c r="M523" s="12"/>
      <c r="N523" s="12"/>
      <c r="O523" s="12"/>
      <c r="P523" s="12"/>
      <c r="Q523" s="12"/>
      <c r="R523" s="12"/>
      <c r="S523" s="12"/>
      <c r="T523" s="12"/>
      <c r="U523" s="12"/>
    </row>
    <row r="524">
      <c r="A524" s="12" t="s">
        <v>101</v>
      </c>
      <c r="B524" s="12"/>
      <c r="C524" s="12"/>
      <c r="D524" s="12"/>
      <c r="E524" s="12"/>
      <c r="F524" s="12"/>
      <c r="G524" s="12"/>
      <c r="H524" s="12"/>
      <c r="I524" s="12"/>
      <c r="J524" s="12"/>
      <c r="K524" s="12"/>
      <c r="L524" s="12"/>
      <c r="M524" s="12"/>
      <c r="N524" s="12"/>
      <c r="O524" s="12"/>
      <c r="P524" s="12"/>
      <c r="Q524" s="12"/>
      <c r="R524" s="12"/>
      <c r="S524" s="12"/>
      <c r="T524" s="12"/>
      <c r="U524" s="12"/>
    </row>
    <row r="525">
      <c r="A525" s="12" t="s">
        <v>101</v>
      </c>
      <c r="B525" s="12"/>
      <c r="C525" s="12"/>
      <c r="D525" s="12"/>
      <c r="E525" s="12"/>
      <c r="F525" s="12"/>
      <c r="G525" s="12"/>
      <c r="H525" s="12"/>
      <c r="I525" s="12"/>
      <c r="J525" s="12"/>
      <c r="K525" s="12"/>
      <c r="L525" s="12"/>
      <c r="M525" s="12"/>
      <c r="N525" s="12"/>
      <c r="O525" s="12"/>
      <c r="P525" s="12"/>
      <c r="Q525" s="12"/>
      <c r="R525" s="12"/>
      <c r="S525" s="12"/>
      <c r="T525" s="12"/>
      <c r="U525" s="12"/>
    </row>
    <row r="526">
      <c r="A526" s="12" t="s">
        <v>101</v>
      </c>
      <c r="B526" s="12"/>
      <c r="C526" s="12"/>
      <c r="D526" s="12"/>
      <c r="E526" s="12"/>
      <c r="F526" s="12"/>
      <c r="G526" s="12"/>
      <c r="H526" s="12"/>
      <c r="I526" s="12"/>
      <c r="J526" s="12"/>
      <c r="K526" s="12"/>
      <c r="L526" s="12"/>
      <c r="M526" s="12"/>
      <c r="N526" s="12"/>
      <c r="O526" s="12"/>
      <c r="P526" s="12"/>
      <c r="Q526" s="12"/>
      <c r="R526" s="12"/>
      <c r="S526" s="12"/>
      <c r="T526" s="12"/>
      <c r="U526" s="12"/>
    </row>
    <row r="527">
      <c r="A527" s="12" t="s">
        <v>101</v>
      </c>
      <c r="B527" s="12"/>
      <c r="C527" s="12"/>
      <c r="D527" s="12"/>
      <c r="E527" s="12"/>
      <c r="F527" s="12"/>
      <c r="G527" s="12"/>
      <c r="H527" s="12"/>
      <c r="I527" s="12"/>
      <c r="J527" s="12"/>
      <c r="K527" s="12"/>
      <c r="L527" s="12"/>
      <c r="M527" s="12"/>
      <c r="N527" s="12"/>
      <c r="O527" s="12"/>
      <c r="P527" s="12"/>
      <c r="Q527" s="12"/>
      <c r="R527" s="12"/>
      <c r="S527" s="12"/>
      <c r="T527" s="12"/>
      <c r="U527" s="12"/>
    </row>
    <row r="528">
      <c r="A528" s="12" t="s">
        <v>101</v>
      </c>
      <c r="B528" s="12"/>
      <c r="C528" s="12"/>
      <c r="D528" s="12"/>
      <c r="E528" s="12"/>
      <c r="F528" s="12"/>
      <c r="G528" s="12"/>
      <c r="H528" s="12"/>
      <c r="I528" s="12"/>
      <c r="J528" s="12"/>
      <c r="K528" s="12"/>
      <c r="L528" s="12"/>
      <c r="M528" s="12"/>
      <c r="N528" s="12"/>
      <c r="O528" s="12"/>
      <c r="P528" s="12"/>
      <c r="Q528" s="12"/>
      <c r="R528" s="12"/>
      <c r="S528" s="12"/>
      <c r="T528" s="12"/>
      <c r="U528" s="12"/>
    </row>
    <row r="529">
      <c r="A529" s="12" t="s">
        <v>101</v>
      </c>
      <c r="B529" s="12"/>
      <c r="C529" s="12"/>
      <c r="D529" s="12"/>
      <c r="E529" s="12"/>
      <c r="F529" s="12"/>
      <c r="G529" s="12"/>
      <c r="H529" s="12"/>
      <c r="I529" s="12"/>
      <c r="J529" s="12"/>
      <c r="K529" s="12"/>
      <c r="L529" s="12"/>
      <c r="M529" s="12"/>
      <c r="N529" s="12"/>
      <c r="O529" s="12"/>
      <c r="P529" s="12"/>
      <c r="Q529" s="12"/>
      <c r="R529" s="12"/>
      <c r="S529" s="12"/>
      <c r="T529" s="12"/>
      <c r="U529" s="12"/>
    </row>
    <row r="530">
      <c r="A530" s="12" t="s">
        <v>101</v>
      </c>
      <c r="B530" s="12"/>
      <c r="C530" s="12"/>
      <c r="D530" s="12"/>
      <c r="E530" s="12"/>
      <c r="F530" s="12"/>
      <c r="G530" s="12"/>
      <c r="H530" s="12"/>
      <c r="I530" s="12"/>
      <c r="J530" s="12"/>
      <c r="K530" s="12"/>
      <c r="L530" s="12"/>
      <c r="M530" s="12"/>
      <c r="N530" s="12"/>
      <c r="O530" s="12"/>
      <c r="P530" s="12"/>
      <c r="Q530" s="12"/>
      <c r="R530" s="12"/>
      <c r="S530" s="12"/>
      <c r="T530" s="12"/>
      <c r="U530" s="12"/>
    </row>
    <row r="531">
      <c r="A531" s="12" t="s">
        <v>101</v>
      </c>
      <c r="B531" s="12"/>
      <c r="C531" s="12"/>
      <c r="D531" s="12"/>
      <c r="E531" s="12"/>
      <c r="F531" s="12"/>
      <c r="G531" s="12"/>
      <c r="H531" s="12"/>
      <c r="I531" s="12"/>
      <c r="J531" s="12"/>
      <c r="K531" s="12"/>
      <c r="L531" s="12"/>
      <c r="M531" s="12"/>
      <c r="N531" s="12"/>
      <c r="O531" s="12"/>
      <c r="P531" s="12"/>
      <c r="Q531" s="12"/>
      <c r="R531" s="12"/>
      <c r="S531" s="12"/>
      <c r="T531" s="12"/>
      <c r="U531" s="12"/>
    </row>
    <row r="532">
      <c r="A532" s="12" t="s">
        <v>101</v>
      </c>
      <c r="B532" s="12"/>
      <c r="C532" s="12"/>
      <c r="D532" s="12"/>
      <c r="E532" s="12"/>
      <c r="F532" s="12"/>
      <c r="G532" s="12"/>
      <c r="H532" s="12"/>
      <c r="I532" s="12"/>
      <c r="J532" s="12"/>
      <c r="K532" s="12"/>
      <c r="L532" s="12"/>
      <c r="M532" s="12"/>
      <c r="N532" s="12"/>
      <c r="O532" s="12"/>
      <c r="P532" s="12"/>
      <c r="Q532" s="12"/>
      <c r="R532" s="12"/>
      <c r="S532" s="12"/>
      <c r="T532" s="12"/>
      <c r="U532" s="12"/>
    </row>
    <row r="533">
      <c r="A533" s="12" t="s">
        <v>101</v>
      </c>
      <c r="B533" s="12"/>
      <c r="C533" s="12"/>
      <c r="D533" s="12"/>
      <c r="E533" s="12"/>
      <c r="F533" s="12"/>
      <c r="G533" s="12"/>
      <c r="H533" s="12"/>
      <c r="I533" s="12"/>
      <c r="J533" s="12"/>
      <c r="K533" s="12"/>
      <c r="L533" s="12"/>
      <c r="M533" s="12"/>
      <c r="N533" s="12"/>
      <c r="O533" s="12"/>
      <c r="P533" s="12"/>
      <c r="Q533" s="12"/>
      <c r="R533" s="12"/>
      <c r="S533" s="12"/>
      <c r="T533" s="12"/>
      <c r="U533" s="12"/>
    </row>
    <row r="534">
      <c r="A534" s="12" t="s">
        <v>101</v>
      </c>
      <c r="B534" s="12"/>
      <c r="C534" s="12"/>
      <c r="D534" s="12"/>
      <c r="E534" s="12"/>
      <c r="F534" s="12"/>
      <c r="G534" s="12"/>
      <c r="H534" s="12"/>
      <c r="I534" s="12"/>
      <c r="J534" s="12"/>
      <c r="K534" s="12"/>
      <c r="L534" s="12"/>
      <c r="M534" s="12"/>
      <c r="N534" s="12"/>
      <c r="O534" s="12"/>
      <c r="P534" s="12"/>
      <c r="Q534" s="12"/>
      <c r="R534" s="12"/>
      <c r="S534" s="12"/>
      <c r="T534" s="12"/>
      <c r="U534" s="12"/>
    </row>
    <row r="535">
      <c r="A535" s="12" t="s">
        <v>101</v>
      </c>
      <c r="B535" s="12"/>
      <c r="C535" s="12"/>
      <c r="D535" s="12"/>
      <c r="E535" s="12"/>
      <c r="F535" s="12"/>
      <c r="G535" s="12"/>
      <c r="H535" s="12"/>
      <c r="I535" s="12"/>
      <c r="J535" s="12"/>
      <c r="K535" s="12"/>
      <c r="L535" s="12"/>
      <c r="M535" s="12"/>
      <c r="N535" s="12"/>
      <c r="O535" s="12"/>
      <c r="P535" s="12"/>
      <c r="Q535" s="12"/>
      <c r="R535" s="12"/>
      <c r="S535" s="12"/>
      <c r="T535" s="12"/>
      <c r="U535" s="12"/>
    </row>
    <row r="536">
      <c r="A536" s="12" t="s">
        <v>101</v>
      </c>
      <c r="B536" s="12"/>
      <c r="C536" s="12"/>
      <c r="D536" s="12"/>
      <c r="E536" s="12"/>
      <c r="F536" s="12"/>
      <c r="G536" s="12"/>
      <c r="H536" s="12"/>
      <c r="I536" s="12"/>
      <c r="J536" s="12"/>
      <c r="K536" s="12"/>
      <c r="L536" s="12"/>
      <c r="M536" s="12"/>
      <c r="N536" s="12"/>
      <c r="O536" s="12"/>
      <c r="P536" s="12"/>
      <c r="Q536" s="12"/>
      <c r="R536" s="12"/>
      <c r="S536" s="12"/>
      <c r="T536" s="12"/>
      <c r="U536" s="12"/>
    </row>
    <row r="537">
      <c r="A537" s="12" t="s">
        <v>101</v>
      </c>
      <c r="B537" s="12"/>
      <c r="C537" s="12"/>
      <c r="D537" s="12"/>
      <c r="E537" s="12"/>
      <c r="F537" s="12"/>
      <c r="G537" s="12"/>
      <c r="H537" s="12"/>
      <c r="I537" s="12"/>
      <c r="J537" s="12"/>
      <c r="K537" s="12"/>
      <c r="L537" s="12"/>
      <c r="M537" s="12"/>
      <c r="N537" s="12"/>
      <c r="O537" s="12"/>
      <c r="P537" s="12"/>
      <c r="Q537" s="12"/>
      <c r="R537" s="12"/>
      <c r="S537" s="12"/>
      <c r="T537" s="12"/>
      <c r="U537" s="12"/>
    </row>
    <row r="538">
      <c r="A538" s="12" t="s">
        <v>101</v>
      </c>
      <c r="B538" s="12"/>
      <c r="C538" s="12"/>
      <c r="D538" s="12"/>
      <c r="E538" s="12"/>
      <c r="F538" s="12"/>
      <c r="G538" s="12"/>
      <c r="H538" s="12"/>
      <c r="I538" s="12"/>
      <c r="J538" s="12"/>
      <c r="K538" s="12"/>
      <c r="L538" s="12"/>
      <c r="M538" s="12"/>
      <c r="N538" s="12"/>
      <c r="O538" s="12"/>
      <c r="P538" s="12"/>
      <c r="Q538" s="12"/>
      <c r="R538" s="12"/>
      <c r="S538" s="12"/>
      <c r="T538" s="12"/>
      <c r="U538" s="12"/>
    </row>
    <row r="539">
      <c r="A539" s="12" t="s">
        <v>101</v>
      </c>
      <c r="B539" s="12"/>
      <c r="C539" s="12"/>
      <c r="D539" s="12"/>
      <c r="E539" s="12"/>
      <c r="F539" s="12"/>
      <c r="G539" s="12"/>
      <c r="H539" s="12"/>
      <c r="I539" s="12"/>
      <c r="J539" s="12"/>
      <c r="K539" s="12"/>
      <c r="L539" s="12"/>
      <c r="M539" s="12"/>
      <c r="N539" s="12"/>
      <c r="O539" s="12"/>
      <c r="P539" s="12"/>
      <c r="Q539" s="12"/>
      <c r="R539" s="12"/>
      <c r="S539" s="12"/>
      <c r="T539" s="12"/>
      <c r="U539" s="12"/>
    </row>
    <row r="540">
      <c r="A540" s="12" t="s">
        <v>101</v>
      </c>
      <c r="B540" s="12"/>
      <c r="C540" s="12"/>
      <c r="D540" s="12"/>
      <c r="E540" s="12"/>
      <c r="F540" s="12"/>
      <c r="G540" s="12"/>
      <c r="H540" s="12"/>
      <c r="I540" s="12"/>
      <c r="J540" s="12"/>
      <c r="K540" s="12"/>
      <c r="L540" s="12"/>
      <c r="M540" s="12"/>
      <c r="N540" s="12"/>
      <c r="O540" s="12"/>
      <c r="P540" s="12"/>
      <c r="Q540" s="12"/>
      <c r="R540" s="12"/>
      <c r="S540" s="12"/>
      <c r="T540" s="12"/>
      <c r="U540" s="12"/>
    </row>
    <row r="541">
      <c r="A541" s="12" t="s">
        <v>101</v>
      </c>
      <c r="B541" s="12"/>
      <c r="C541" s="12"/>
      <c r="D541" s="12"/>
      <c r="E541" s="12"/>
      <c r="F541" s="12"/>
      <c r="G541" s="12"/>
      <c r="H541" s="12"/>
      <c r="I541" s="12"/>
      <c r="J541" s="12"/>
      <c r="K541" s="12"/>
      <c r="L541" s="12"/>
      <c r="M541" s="12"/>
      <c r="N541" s="12"/>
      <c r="O541" s="12"/>
      <c r="P541" s="12"/>
      <c r="Q541" s="12"/>
      <c r="R541" s="12"/>
      <c r="S541" s="12"/>
      <c r="T541" s="12"/>
      <c r="U541" s="12"/>
    </row>
    <row r="542">
      <c r="A542" s="12" t="s">
        <v>101</v>
      </c>
      <c r="B542" s="12"/>
      <c r="C542" s="12"/>
      <c r="D542" s="12"/>
      <c r="E542" s="12"/>
      <c r="F542" s="12"/>
      <c r="G542" s="12"/>
      <c r="H542" s="12"/>
      <c r="I542" s="12"/>
      <c r="J542" s="12"/>
      <c r="K542" s="12"/>
      <c r="L542" s="12"/>
      <c r="M542" s="12"/>
      <c r="N542" s="12"/>
      <c r="O542" s="12"/>
      <c r="P542" s="12"/>
      <c r="Q542" s="12"/>
      <c r="R542" s="12"/>
      <c r="S542" s="12"/>
      <c r="T542" s="12"/>
      <c r="U542" s="12"/>
    </row>
    <row r="543">
      <c r="A543" s="12" t="s">
        <v>101</v>
      </c>
      <c r="B543" s="12"/>
      <c r="C543" s="12"/>
      <c r="D543" s="12"/>
      <c r="E543" s="12"/>
      <c r="F543" s="12"/>
      <c r="G543" s="12"/>
      <c r="H543" s="12"/>
      <c r="I543" s="12"/>
      <c r="J543" s="12"/>
      <c r="K543" s="12"/>
      <c r="L543" s="12"/>
      <c r="M543" s="12"/>
      <c r="N543" s="12"/>
      <c r="O543" s="12"/>
      <c r="P543" s="12"/>
      <c r="Q543" s="12"/>
      <c r="R543" s="12"/>
      <c r="S543" s="12"/>
      <c r="T543" s="12"/>
      <c r="U543" s="12"/>
    </row>
    <row r="544">
      <c r="A544" s="12" t="s">
        <v>101</v>
      </c>
      <c r="B544" s="12"/>
      <c r="C544" s="12"/>
      <c r="D544" s="12"/>
      <c r="E544" s="12"/>
      <c r="F544" s="12"/>
      <c r="G544" s="12"/>
      <c r="H544" s="12"/>
      <c r="I544" s="12"/>
      <c r="J544" s="12"/>
      <c r="K544" s="12"/>
      <c r="L544" s="12"/>
      <c r="M544" s="12"/>
      <c r="N544" s="12"/>
      <c r="O544" s="12"/>
      <c r="P544" s="12"/>
      <c r="Q544" s="12"/>
      <c r="R544" s="12"/>
      <c r="S544" s="12"/>
      <c r="T544" s="12"/>
      <c r="U544" s="12"/>
    </row>
    <row r="545">
      <c r="A545" s="12" t="s">
        <v>101</v>
      </c>
      <c r="B545" s="12"/>
      <c r="C545" s="12"/>
      <c r="D545" s="12"/>
      <c r="E545" s="12"/>
      <c r="F545" s="12"/>
      <c r="G545" s="12"/>
      <c r="H545" s="12"/>
      <c r="I545" s="12"/>
      <c r="J545" s="12"/>
      <c r="K545" s="12"/>
      <c r="L545" s="12"/>
      <c r="M545" s="12"/>
      <c r="N545" s="12"/>
      <c r="O545" s="12"/>
      <c r="P545" s="12"/>
      <c r="Q545" s="12"/>
      <c r="R545" s="12"/>
      <c r="S545" s="12"/>
      <c r="T545" s="12"/>
      <c r="U545" s="12"/>
    </row>
    <row r="546">
      <c r="A546" s="12" t="s">
        <v>101</v>
      </c>
      <c r="B546" s="12"/>
      <c r="C546" s="12"/>
      <c r="D546" s="12"/>
      <c r="E546" s="12"/>
      <c r="F546" s="12"/>
      <c r="G546" s="12"/>
      <c r="H546" s="12"/>
      <c r="I546" s="12"/>
      <c r="J546" s="12"/>
      <c r="K546" s="12"/>
      <c r="L546" s="12"/>
      <c r="M546" s="12"/>
      <c r="N546" s="12"/>
      <c r="O546" s="12"/>
      <c r="P546" s="12"/>
      <c r="Q546" s="12"/>
      <c r="R546" s="12"/>
      <c r="S546" s="12"/>
      <c r="T546" s="12"/>
      <c r="U546" s="12"/>
    </row>
    <row r="547">
      <c r="A547" s="12" t="s">
        <v>101</v>
      </c>
      <c r="B547" s="12"/>
      <c r="C547" s="12"/>
      <c r="D547" s="12"/>
      <c r="E547" s="12"/>
      <c r="F547" s="12"/>
      <c r="G547" s="12"/>
      <c r="H547" s="12"/>
      <c r="I547" s="12"/>
      <c r="J547" s="12"/>
      <c r="K547" s="12"/>
      <c r="L547" s="12"/>
      <c r="M547" s="12"/>
      <c r="N547" s="12"/>
      <c r="O547" s="12"/>
      <c r="P547" s="12"/>
      <c r="Q547" s="12"/>
      <c r="R547" s="12"/>
      <c r="S547" s="12"/>
      <c r="T547" s="12"/>
      <c r="U547" s="12"/>
    </row>
    <row r="548">
      <c r="A548" s="12" t="s">
        <v>101</v>
      </c>
      <c r="B548" s="12"/>
      <c r="C548" s="12"/>
      <c r="D548" s="12"/>
      <c r="E548" s="12"/>
      <c r="F548" s="12"/>
      <c r="G548" s="12"/>
      <c r="H548" s="12"/>
      <c r="I548" s="12"/>
      <c r="J548" s="12"/>
      <c r="K548" s="12"/>
      <c r="L548" s="12"/>
      <c r="M548" s="12"/>
      <c r="N548" s="12"/>
      <c r="O548" s="12"/>
      <c r="P548" s="12"/>
      <c r="Q548" s="12"/>
      <c r="R548" s="12"/>
      <c r="S548" s="12"/>
      <c r="T548" s="12"/>
      <c r="U548" s="12"/>
    </row>
    <row r="549">
      <c r="A549" s="12" t="s">
        <v>101</v>
      </c>
      <c r="B549" s="12"/>
      <c r="C549" s="12"/>
      <c r="D549" s="12"/>
      <c r="E549" s="12"/>
      <c r="F549" s="12"/>
      <c r="G549" s="12"/>
      <c r="H549" s="12"/>
      <c r="I549" s="12"/>
      <c r="J549" s="12"/>
      <c r="K549" s="12"/>
      <c r="L549" s="12"/>
      <c r="M549" s="12"/>
      <c r="N549" s="12"/>
      <c r="O549" s="12"/>
      <c r="P549" s="12"/>
      <c r="Q549" s="12"/>
      <c r="R549" s="12"/>
      <c r="S549" s="12"/>
      <c r="T549" s="12"/>
      <c r="U549" s="12"/>
    </row>
    <row r="550">
      <c r="A550" s="12" t="s">
        <v>101</v>
      </c>
      <c r="B550" s="12"/>
      <c r="C550" s="12"/>
      <c r="D550" s="12"/>
      <c r="E550" s="12"/>
      <c r="F550" s="12"/>
      <c r="G550" s="12"/>
      <c r="H550" s="12"/>
      <c r="I550" s="12"/>
      <c r="J550" s="12"/>
      <c r="K550" s="12"/>
      <c r="L550" s="12"/>
      <c r="M550" s="12"/>
      <c r="N550" s="12"/>
      <c r="O550" s="12"/>
      <c r="P550" s="12"/>
      <c r="Q550" s="12"/>
      <c r="R550" s="12"/>
      <c r="S550" s="12"/>
      <c r="T550" s="12"/>
      <c r="U550" s="12"/>
    </row>
    <row r="551">
      <c r="A551" s="12" t="s">
        <v>101</v>
      </c>
      <c r="B551" s="12"/>
      <c r="C551" s="12"/>
      <c r="D551" s="12"/>
      <c r="E551" s="12"/>
      <c r="F551" s="12"/>
      <c r="G551" s="12"/>
      <c r="H551" s="12"/>
      <c r="I551" s="12"/>
      <c r="J551" s="12"/>
      <c r="K551" s="12"/>
      <c r="L551" s="12"/>
      <c r="M551" s="12"/>
      <c r="N551" s="12"/>
      <c r="O551" s="12"/>
      <c r="P551" s="12"/>
      <c r="Q551" s="12"/>
      <c r="R551" s="12"/>
      <c r="S551" s="12"/>
      <c r="T551" s="12"/>
      <c r="U551" s="12"/>
    </row>
    <row r="552">
      <c r="A552" s="12" t="s">
        <v>101</v>
      </c>
      <c r="B552" s="12"/>
      <c r="C552" s="12"/>
      <c r="D552" s="12"/>
      <c r="E552" s="12"/>
      <c r="F552" s="12"/>
      <c r="G552" s="12"/>
      <c r="H552" s="12"/>
      <c r="I552" s="12"/>
      <c r="J552" s="12"/>
      <c r="K552" s="12"/>
      <c r="L552" s="12"/>
      <c r="M552" s="12"/>
      <c r="N552" s="12"/>
      <c r="O552" s="12"/>
      <c r="P552" s="12"/>
      <c r="Q552" s="12"/>
      <c r="R552" s="12"/>
      <c r="S552" s="12"/>
      <c r="T552" s="12"/>
      <c r="U552" s="12"/>
    </row>
    <row r="553">
      <c r="A553" s="12" t="s">
        <v>101</v>
      </c>
      <c r="B553" s="12"/>
      <c r="C553" s="12"/>
      <c r="D553" s="12"/>
      <c r="E553" s="12"/>
      <c r="F553" s="12"/>
      <c r="G553" s="12"/>
      <c r="H553" s="12"/>
      <c r="I553" s="12"/>
      <c r="J553" s="12"/>
      <c r="K553" s="12"/>
      <c r="L553" s="12"/>
      <c r="M553" s="12"/>
      <c r="N553" s="12"/>
      <c r="O553" s="12"/>
      <c r="P553" s="12"/>
      <c r="Q553" s="12"/>
      <c r="R553" s="12"/>
      <c r="S553" s="12"/>
      <c r="T553" s="12"/>
      <c r="U553" s="12"/>
    </row>
    <row r="554">
      <c r="A554" s="12" t="s">
        <v>101</v>
      </c>
      <c r="B554" s="12"/>
      <c r="C554" s="12"/>
      <c r="D554" s="12"/>
      <c r="E554" s="12"/>
      <c r="F554" s="12"/>
      <c r="G554" s="12"/>
      <c r="H554" s="12"/>
      <c r="I554" s="12"/>
      <c r="J554" s="12"/>
      <c r="K554" s="12"/>
      <c r="L554" s="12"/>
      <c r="M554" s="12"/>
      <c r="N554" s="12"/>
      <c r="O554" s="12"/>
      <c r="P554" s="12"/>
      <c r="Q554" s="12"/>
      <c r="R554" s="12"/>
      <c r="S554" s="12"/>
      <c r="T554" s="12"/>
      <c r="U554" s="12"/>
    </row>
    <row r="555">
      <c r="A555" s="12" t="s">
        <v>101</v>
      </c>
      <c r="B555" s="12"/>
      <c r="C555" s="12"/>
      <c r="D555" s="12"/>
      <c r="E555" s="12"/>
      <c r="F555" s="12"/>
      <c r="G555" s="12"/>
      <c r="H555" s="12"/>
      <c r="I555" s="12"/>
      <c r="J555" s="12"/>
      <c r="K555" s="12"/>
      <c r="L555" s="12"/>
      <c r="M555" s="12"/>
      <c r="N555" s="12"/>
      <c r="O555" s="12"/>
      <c r="P555" s="12"/>
      <c r="Q555" s="12"/>
      <c r="R555" s="12"/>
      <c r="S555" s="12"/>
      <c r="T555" s="12"/>
      <c r="U555" s="12"/>
    </row>
    <row r="556">
      <c r="A556" s="12" t="s">
        <v>101</v>
      </c>
      <c r="B556" s="12"/>
      <c r="C556" s="12"/>
      <c r="D556" s="12"/>
      <c r="E556" s="12"/>
      <c r="F556" s="12"/>
      <c r="G556" s="12"/>
      <c r="H556" s="12"/>
      <c r="I556" s="12"/>
      <c r="J556" s="12"/>
      <c r="K556" s="12"/>
      <c r="L556" s="12"/>
      <c r="M556" s="12"/>
      <c r="N556" s="12"/>
      <c r="O556" s="12"/>
      <c r="P556" s="12"/>
      <c r="Q556" s="12"/>
      <c r="R556" s="12"/>
      <c r="S556" s="12"/>
      <c r="T556" s="12"/>
      <c r="U556" s="12"/>
    </row>
    <row r="557">
      <c r="A557" s="12" t="s">
        <v>101</v>
      </c>
      <c r="B557" s="12"/>
      <c r="C557" s="12"/>
      <c r="D557" s="12"/>
      <c r="E557" s="12"/>
      <c r="F557" s="12"/>
      <c r="G557" s="12"/>
      <c r="H557" s="12"/>
      <c r="I557" s="12"/>
      <c r="J557" s="12"/>
      <c r="K557" s="12"/>
      <c r="L557" s="12"/>
      <c r="M557" s="12"/>
      <c r="N557" s="12"/>
      <c r="O557" s="12"/>
      <c r="P557" s="12"/>
      <c r="Q557" s="12"/>
      <c r="R557" s="12"/>
      <c r="S557" s="12"/>
      <c r="T557" s="12"/>
      <c r="U557" s="12"/>
    </row>
    <row r="558">
      <c r="A558" s="12" t="s">
        <v>101</v>
      </c>
      <c r="B558" s="12"/>
      <c r="C558" s="12"/>
      <c r="D558" s="12"/>
      <c r="E558" s="12"/>
      <c r="F558" s="12"/>
      <c r="G558" s="12"/>
      <c r="H558" s="12"/>
      <c r="I558" s="12"/>
      <c r="J558" s="12"/>
      <c r="K558" s="12"/>
      <c r="L558" s="12"/>
      <c r="M558" s="12"/>
      <c r="N558" s="12"/>
      <c r="O558" s="12"/>
      <c r="P558" s="12"/>
      <c r="Q558" s="12"/>
      <c r="R558" s="12"/>
      <c r="S558" s="12"/>
      <c r="T558" s="12"/>
      <c r="U558" s="12"/>
    </row>
    <row r="559">
      <c r="A559" s="12" t="s">
        <v>101</v>
      </c>
      <c r="B559" s="12"/>
      <c r="C559" s="12"/>
      <c r="D559" s="12"/>
      <c r="E559" s="12"/>
      <c r="F559" s="12"/>
      <c r="G559" s="12"/>
      <c r="H559" s="12"/>
      <c r="I559" s="12"/>
      <c r="J559" s="12"/>
      <c r="K559" s="12"/>
      <c r="L559" s="12"/>
      <c r="M559" s="12"/>
      <c r="N559" s="12"/>
      <c r="O559" s="12"/>
      <c r="P559" s="12"/>
      <c r="Q559" s="12"/>
      <c r="R559" s="12"/>
      <c r="S559" s="12"/>
      <c r="T559" s="12"/>
      <c r="U559" s="12"/>
    </row>
    <row r="560">
      <c r="A560" s="12" t="s">
        <v>101</v>
      </c>
      <c r="B560" s="12"/>
      <c r="C560" s="12"/>
      <c r="D560" s="12"/>
      <c r="E560" s="12"/>
      <c r="F560" s="12"/>
      <c r="G560" s="12"/>
      <c r="H560" s="12"/>
      <c r="I560" s="12"/>
      <c r="J560" s="12"/>
      <c r="K560" s="12"/>
      <c r="L560" s="12"/>
      <c r="M560" s="12"/>
      <c r="N560" s="12"/>
      <c r="O560" s="12"/>
      <c r="P560" s="12"/>
      <c r="Q560" s="12"/>
      <c r="R560" s="12"/>
      <c r="S560" s="12"/>
      <c r="T560" s="12"/>
      <c r="U560" s="12"/>
    </row>
    <row r="561">
      <c r="A561" s="12" t="s">
        <v>101</v>
      </c>
      <c r="B561" s="12"/>
      <c r="C561" s="12"/>
      <c r="D561" s="12"/>
      <c r="E561" s="12"/>
      <c r="F561" s="12"/>
      <c r="G561" s="12"/>
      <c r="H561" s="12"/>
      <c r="I561" s="12"/>
      <c r="J561" s="12"/>
      <c r="K561" s="12"/>
      <c r="L561" s="12"/>
      <c r="M561" s="12"/>
      <c r="N561" s="12"/>
      <c r="O561" s="12"/>
      <c r="P561" s="12"/>
      <c r="Q561" s="12"/>
      <c r="R561" s="12"/>
      <c r="S561" s="12"/>
      <c r="T561" s="12"/>
      <c r="U561" s="12"/>
    </row>
    <row r="562">
      <c r="A562" s="12" t="s">
        <v>101</v>
      </c>
      <c r="B562" s="12"/>
      <c r="C562" s="12"/>
      <c r="D562" s="12"/>
      <c r="E562" s="12"/>
      <c r="F562" s="12"/>
      <c r="G562" s="12"/>
      <c r="H562" s="12"/>
      <c r="I562" s="12"/>
      <c r="J562" s="12"/>
      <c r="K562" s="12"/>
      <c r="L562" s="12"/>
      <c r="M562" s="12"/>
      <c r="N562" s="12"/>
      <c r="O562" s="12"/>
      <c r="P562" s="12"/>
      <c r="Q562" s="12"/>
      <c r="R562" s="12"/>
      <c r="S562" s="12"/>
      <c r="T562" s="12"/>
      <c r="U562" s="12"/>
    </row>
    <row r="563">
      <c r="A563" s="12" t="s">
        <v>101</v>
      </c>
      <c r="B563" s="12"/>
      <c r="C563" s="12"/>
      <c r="D563" s="12"/>
      <c r="E563" s="12"/>
      <c r="F563" s="12"/>
      <c r="G563" s="12"/>
      <c r="H563" s="12"/>
      <c r="I563" s="12"/>
      <c r="J563" s="12"/>
      <c r="K563" s="12"/>
      <c r="L563" s="12"/>
      <c r="M563" s="12"/>
      <c r="N563" s="12"/>
      <c r="O563" s="12"/>
      <c r="P563" s="12"/>
      <c r="Q563" s="12"/>
      <c r="R563" s="12"/>
      <c r="S563" s="12"/>
      <c r="T563" s="12"/>
      <c r="U563" s="12"/>
    </row>
    <row r="564">
      <c r="A564" s="12" t="s">
        <v>101</v>
      </c>
      <c r="B564" s="12"/>
      <c r="C564" s="12"/>
      <c r="D564" s="12"/>
      <c r="E564" s="12"/>
      <c r="F564" s="12"/>
      <c r="G564" s="12"/>
      <c r="H564" s="12"/>
      <c r="I564" s="12"/>
      <c r="J564" s="12"/>
      <c r="K564" s="12"/>
      <c r="L564" s="12"/>
      <c r="M564" s="12"/>
      <c r="N564" s="12"/>
      <c r="O564" s="12"/>
      <c r="P564" s="12"/>
      <c r="Q564" s="12"/>
      <c r="R564" s="12"/>
      <c r="S564" s="12"/>
      <c r="T564" s="12"/>
      <c r="U564" s="12"/>
    </row>
    <row r="565">
      <c r="A565" s="12" t="s">
        <v>101</v>
      </c>
      <c r="B565" s="12"/>
      <c r="C565" s="12"/>
      <c r="D565" s="12"/>
      <c r="E565" s="12"/>
      <c r="F565" s="12"/>
      <c r="G565" s="12"/>
      <c r="H565" s="12"/>
      <c r="I565" s="12"/>
      <c r="J565" s="12"/>
      <c r="K565" s="12"/>
      <c r="L565" s="12"/>
      <c r="M565" s="12"/>
      <c r="N565" s="12"/>
      <c r="O565" s="12"/>
      <c r="P565" s="12"/>
      <c r="Q565" s="12"/>
      <c r="R565" s="12"/>
      <c r="S565" s="12"/>
      <c r="T565" s="12"/>
      <c r="U565" s="12"/>
    </row>
    <row r="566">
      <c r="A566" s="12" t="s">
        <v>101</v>
      </c>
      <c r="B566" s="12"/>
      <c r="C566" s="12"/>
      <c r="D566" s="12"/>
      <c r="E566" s="12"/>
      <c r="F566" s="12"/>
      <c r="G566" s="12"/>
      <c r="H566" s="12"/>
      <c r="I566" s="12"/>
      <c r="J566" s="12"/>
      <c r="K566" s="12"/>
      <c r="L566" s="12"/>
      <c r="M566" s="12"/>
      <c r="N566" s="12"/>
      <c r="O566" s="12"/>
      <c r="P566" s="12"/>
      <c r="Q566" s="12"/>
      <c r="R566" s="12"/>
      <c r="S566" s="12"/>
      <c r="T566" s="12"/>
      <c r="U566" s="12"/>
    </row>
    <row r="567">
      <c r="A567" s="12" t="s">
        <v>101</v>
      </c>
      <c r="B567" s="12"/>
      <c r="C567" s="12"/>
      <c r="D567" s="12"/>
      <c r="E567" s="12"/>
      <c r="F567" s="12"/>
      <c r="G567" s="12"/>
      <c r="H567" s="12"/>
      <c r="I567" s="12"/>
      <c r="J567" s="12"/>
      <c r="K567" s="12"/>
      <c r="L567" s="12"/>
      <c r="M567" s="12"/>
      <c r="N567" s="12"/>
      <c r="O567" s="12"/>
      <c r="P567" s="12"/>
      <c r="Q567" s="12"/>
      <c r="R567" s="12"/>
      <c r="S567" s="12"/>
      <c r="T567" s="12"/>
      <c r="U567" s="12"/>
    </row>
    <row r="568">
      <c r="A568" s="12" t="s">
        <v>101</v>
      </c>
      <c r="B568" s="12"/>
      <c r="C568" s="12"/>
      <c r="D568" s="12"/>
      <c r="E568" s="12"/>
      <c r="F568" s="12"/>
      <c r="G568" s="12"/>
      <c r="H568" s="12"/>
      <c r="I568" s="12"/>
      <c r="J568" s="12"/>
      <c r="K568" s="12"/>
      <c r="L568" s="12"/>
      <c r="M568" s="12"/>
      <c r="N568" s="12"/>
      <c r="O568" s="12"/>
      <c r="P568" s="12"/>
      <c r="Q568" s="12"/>
      <c r="R568" s="12"/>
      <c r="S568" s="12"/>
      <c r="T568" s="12"/>
      <c r="U568" s="12"/>
    </row>
    <row r="569">
      <c r="A569" s="12" t="s">
        <v>101</v>
      </c>
      <c r="B569" s="12"/>
      <c r="C569" s="12"/>
      <c r="D569" s="12"/>
      <c r="E569" s="12"/>
      <c r="F569" s="12"/>
      <c r="G569" s="12"/>
      <c r="H569" s="12"/>
      <c r="I569" s="12"/>
      <c r="J569" s="12"/>
      <c r="K569" s="12"/>
      <c r="L569" s="12"/>
      <c r="M569" s="12"/>
      <c r="N569" s="12"/>
      <c r="O569" s="12"/>
      <c r="P569" s="12"/>
      <c r="Q569" s="12"/>
      <c r="R569" s="12"/>
      <c r="S569" s="12"/>
      <c r="T569" s="12"/>
      <c r="U569" s="12"/>
    </row>
    <row r="570">
      <c r="A570" s="12" t="s">
        <v>101</v>
      </c>
      <c r="B570" s="12"/>
      <c r="C570" s="12"/>
      <c r="D570" s="12"/>
      <c r="E570" s="12"/>
      <c r="F570" s="12"/>
      <c r="G570" s="12"/>
      <c r="H570" s="12"/>
      <c r="I570" s="12"/>
      <c r="J570" s="12"/>
      <c r="K570" s="12"/>
      <c r="L570" s="12"/>
      <c r="M570" s="12"/>
      <c r="N570" s="12"/>
      <c r="O570" s="12"/>
      <c r="P570" s="12"/>
      <c r="Q570" s="12"/>
      <c r="R570" s="12"/>
      <c r="S570" s="12"/>
      <c r="T570" s="12"/>
      <c r="U570" s="12"/>
    </row>
    <row r="571">
      <c r="A571" s="12" t="s">
        <v>101</v>
      </c>
      <c r="B571" s="12"/>
      <c r="C571" s="12"/>
      <c r="D571" s="12"/>
      <c r="E571" s="12"/>
      <c r="F571" s="12"/>
      <c r="G571" s="12"/>
      <c r="H571" s="12"/>
      <c r="I571" s="12"/>
      <c r="J571" s="12"/>
      <c r="K571" s="12"/>
      <c r="L571" s="12"/>
      <c r="M571" s="12"/>
      <c r="N571" s="12"/>
      <c r="O571" s="12"/>
      <c r="P571" s="12"/>
      <c r="Q571" s="12"/>
      <c r="R571" s="12"/>
      <c r="S571" s="12"/>
      <c r="T571" s="12"/>
      <c r="U571" s="12"/>
    </row>
    <row r="572">
      <c r="A572" s="12" t="s">
        <v>101</v>
      </c>
      <c r="B572" s="12"/>
      <c r="C572" s="12"/>
      <c r="D572" s="12"/>
      <c r="E572" s="12"/>
      <c r="F572" s="12"/>
      <c r="G572" s="12"/>
      <c r="H572" s="12"/>
      <c r="I572" s="12"/>
      <c r="J572" s="12"/>
      <c r="K572" s="12"/>
      <c r="L572" s="12"/>
      <c r="M572" s="12"/>
      <c r="N572" s="12"/>
      <c r="O572" s="12"/>
      <c r="P572" s="12"/>
      <c r="Q572" s="12"/>
      <c r="R572" s="12"/>
      <c r="S572" s="12"/>
      <c r="T572" s="12"/>
      <c r="U572" s="12"/>
    </row>
    <row r="573">
      <c r="A573" s="12" t="s">
        <v>101</v>
      </c>
      <c r="B573" s="12"/>
      <c r="C573" s="12"/>
      <c r="D573" s="12"/>
      <c r="E573" s="12"/>
      <c r="F573" s="12"/>
      <c r="G573" s="12"/>
      <c r="H573" s="12"/>
      <c r="I573" s="12"/>
      <c r="J573" s="12"/>
      <c r="K573" s="12"/>
      <c r="L573" s="12"/>
      <c r="M573" s="12"/>
      <c r="N573" s="12"/>
      <c r="O573" s="12"/>
      <c r="P573" s="12"/>
      <c r="Q573" s="12"/>
      <c r="R573" s="12"/>
      <c r="S573" s="12"/>
      <c r="T573" s="12"/>
      <c r="U573" s="12"/>
    </row>
    <row r="574">
      <c r="A574" s="12" t="s">
        <v>101</v>
      </c>
      <c r="B574" s="12"/>
      <c r="C574" s="12"/>
      <c r="D574" s="12"/>
      <c r="E574" s="12"/>
      <c r="F574" s="12"/>
      <c r="G574" s="12"/>
      <c r="H574" s="12"/>
      <c r="I574" s="12"/>
      <c r="J574" s="12"/>
      <c r="K574" s="12"/>
      <c r="L574" s="12"/>
      <c r="M574" s="12"/>
      <c r="N574" s="12"/>
      <c r="O574" s="12"/>
      <c r="P574" s="12"/>
      <c r="Q574" s="12"/>
      <c r="R574" s="12"/>
      <c r="S574" s="12"/>
      <c r="T574" s="12"/>
      <c r="U574" s="12"/>
    </row>
    <row r="575">
      <c r="A575" s="12" t="s">
        <v>101</v>
      </c>
      <c r="B575" s="12"/>
      <c r="C575" s="12"/>
      <c r="D575" s="12"/>
      <c r="E575" s="12"/>
      <c r="F575" s="12"/>
      <c r="G575" s="12"/>
      <c r="H575" s="12"/>
      <c r="I575" s="12"/>
      <c r="J575" s="12"/>
      <c r="K575" s="12"/>
      <c r="L575" s="12"/>
      <c r="M575" s="12"/>
      <c r="N575" s="12"/>
      <c r="O575" s="12"/>
      <c r="P575" s="12"/>
      <c r="Q575" s="12"/>
      <c r="R575" s="12"/>
      <c r="S575" s="12"/>
      <c r="T575" s="12"/>
      <c r="U575" s="12"/>
    </row>
    <row r="576">
      <c r="A576" s="12" t="s">
        <v>101</v>
      </c>
      <c r="B576" s="12"/>
      <c r="C576" s="12"/>
      <c r="D576" s="12"/>
      <c r="E576" s="12"/>
      <c r="F576" s="12"/>
      <c r="G576" s="12"/>
      <c r="H576" s="12"/>
      <c r="I576" s="12"/>
      <c r="J576" s="12"/>
      <c r="K576" s="12"/>
      <c r="L576" s="12"/>
      <c r="M576" s="12"/>
      <c r="N576" s="12"/>
      <c r="O576" s="12"/>
      <c r="P576" s="12"/>
      <c r="Q576" s="12"/>
      <c r="R576" s="12"/>
      <c r="S576" s="12"/>
      <c r="T576" s="12"/>
      <c r="U576" s="12"/>
    </row>
    <row r="577">
      <c r="A577" s="12" t="s">
        <v>101</v>
      </c>
      <c r="B577" s="12"/>
      <c r="C577" s="12"/>
      <c r="D577" s="12"/>
      <c r="E577" s="12"/>
      <c r="F577" s="12"/>
      <c r="G577" s="12"/>
      <c r="H577" s="12"/>
      <c r="I577" s="12"/>
      <c r="J577" s="12"/>
      <c r="K577" s="12"/>
      <c r="L577" s="12"/>
      <c r="M577" s="12"/>
      <c r="N577" s="12"/>
      <c r="O577" s="12"/>
      <c r="P577" s="12"/>
      <c r="Q577" s="12"/>
      <c r="R577" s="12"/>
      <c r="S577" s="12"/>
      <c r="T577" s="12"/>
      <c r="U577" s="12"/>
    </row>
    <row r="578">
      <c r="A578" s="12" t="s">
        <v>101</v>
      </c>
      <c r="B578" s="12"/>
      <c r="C578" s="12"/>
      <c r="D578" s="12"/>
      <c r="E578" s="12"/>
      <c r="F578" s="12"/>
      <c r="G578" s="12"/>
      <c r="H578" s="12"/>
      <c r="I578" s="12"/>
      <c r="J578" s="12"/>
      <c r="K578" s="12"/>
      <c r="L578" s="12"/>
      <c r="M578" s="12"/>
      <c r="N578" s="12"/>
      <c r="O578" s="12"/>
      <c r="P578" s="12"/>
      <c r="Q578" s="12"/>
      <c r="R578" s="12"/>
      <c r="S578" s="12"/>
      <c r="T578" s="12"/>
      <c r="U578" s="12"/>
    </row>
    <row r="579">
      <c r="A579" s="12" t="s">
        <v>101</v>
      </c>
      <c r="B579" s="12"/>
      <c r="C579" s="12"/>
      <c r="D579" s="12"/>
      <c r="E579" s="12"/>
      <c r="F579" s="12"/>
      <c r="G579" s="12"/>
      <c r="H579" s="12"/>
      <c r="I579" s="12"/>
      <c r="J579" s="12"/>
      <c r="K579" s="12"/>
      <c r="L579" s="12"/>
      <c r="M579" s="12"/>
      <c r="N579" s="12"/>
      <c r="O579" s="12"/>
      <c r="P579" s="12"/>
      <c r="Q579" s="12"/>
      <c r="R579" s="12"/>
      <c r="S579" s="12"/>
      <c r="T579" s="12"/>
      <c r="U579" s="12"/>
    </row>
    <row r="580">
      <c r="A580" s="12" t="s">
        <v>101</v>
      </c>
      <c r="B580" s="12"/>
      <c r="C580" s="12"/>
      <c r="D580" s="12"/>
      <c r="E580" s="12"/>
      <c r="F580" s="12"/>
      <c r="G580" s="12"/>
      <c r="H580" s="12"/>
      <c r="I580" s="12"/>
      <c r="J580" s="12"/>
      <c r="K580" s="12"/>
      <c r="L580" s="12"/>
      <c r="M580" s="12"/>
      <c r="N580" s="12"/>
      <c r="O580" s="12"/>
      <c r="P580" s="12"/>
      <c r="Q580" s="12"/>
      <c r="R580" s="12"/>
      <c r="S580" s="12"/>
      <c r="T580" s="12"/>
      <c r="U580" s="12"/>
    </row>
    <row r="581">
      <c r="A581" s="12" t="s">
        <v>101</v>
      </c>
      <c r="B581" s="12"/>
      <c r="C581" s="12"/>
      <c r="D581" s="12"/>
      <c r="E581" s="12"/>
      <c r="F581" s="12"/>
      <c r="G581" s="12"/>
      <c r="H581" s="12"/>
      <c r="I581" s="12"/>
      <c r="J581" s="12"/>
      <c r="K581" s="12"/>
      <c r="L581" s="12"/>
      <c r="M581" s="12"/>
      <c r="N581" s="12"/>
      <c r="O581" s="12"/>
      <c r="P581" s="12"/>
      <c r="Q581" s="12"/>
      <c r="R581" s="12"/>
      <c r="S581" s="12"/>
      <c r="T581" s="12"/>
      <c r="U581" s="12"/>
    </row>
    <row r="582">
      <c r="A582" s="12" t="s">
        <v>101</v>
      </c>
      <c r="B582" s="12"/>
      <c r="C582" s="12"/>
      <c r="D582" s="12"/>
      <c r="E582" s="12"/>
      <c r="F582" s="12"/>
      <c r="G582" s="12"/>
      <c r="H582" s="12"/>
      <c r="I582" s="12"/>
      <c r="J582" s="12"/>
      <c r="K582" s="12"/>
      <c r="L582" s="12"/>
      <c r="M582" s="12"/>
      <c r="N582" s="12"/>
      <c r="O582" s="12"/>
      <c r="P582" s="12"/>
      <c r="Q582" s="12"/>
      <c r="R582" s="12"/>
      <c r="S582" s="12"/>
      <c r="T582" s="12"/>
      <c r="U582" s="12"/>
    </row>
    <row r="583">
      <c r="A583" s="12" t="s">
        <v>101</v>
      </c>
      <c r="B583" s="12"/>
      <c r="C583" s="12"/>
      <c r="D583" s="12"/>
      <c r="E583" s="12"/>
      <c r="F583" s="12"/>
      <c r="G583" s="12"/>
      <c r="H583" s="12"/>
      <c r="I583" s="12"/>
      <c r="J583" s="12"/>
      <c r="K583" s="12"/>
      <c r="L583" s="12"/>
      <c r="M583" s="12"/>
      <c r="N583" s="12"/>
      <c r="O583" s="12"/>
      <c r="P583" s="12"/>
      <c r="Q583" s="12"/>
      <c r="R583" s="12"/>
      <c r="S583" s="12"/>
      <c r="T583" s="12"/>
      <c r="U583" s="12"/>
    </row>
    <row r="584">
      <c r="A584" s="12" t="s">
        <v>101</v>
      </c>
      <c r="B584" s="12"/>
      <c r="C584" s="12"/>
      <c r="D584" s="12"/>
      <c r="E584" s="12"/>
      <c r="F584" s="12"/>
      <c r="G584" s="12"/>
      <c r="H584" s="12"/>
      <c r="I584" s="12"/>
      <c r="J584" s="12"/>
      <c r="K584" s="12"/>
      <c r="L584" s="12"/>
      <c r="M584" s="12"/>
      <c r="N584" s="12"/>
      <c r="O584" s="12"/>
      <c r="P584" s="12"/>
      <c r="Q584" s="12"/>
      <c r="R584" s="12"/>
      <c r="S584" s="12"/>
      <c r="T584" s="12"/>
      <c r="U584" s="12"/>
    </row>
    <row r="585">
      <c r="A585" s="12" t="s">
        <v>101</v>
      </c>
      <c r="B585" s="12"/>
      <c r="C585" s="12"/>
      <c r="D585" s="12"/>
      <c r="E585" s="12"/>
      <c r="F585" s="12"/>
      <c r="G585" s="12"/>
      <c r="H585" s="12"/>
      <c r="I585" s="12"/>
      <c r="J585" s="12"/>
      <c r="K585" s="12"/>
      <c r="L585" s="12"/>
      <c r="M585" s="12"/>
      <c r="N585" s="12"/>
      <c r="O585" s="12"/>
      <c r="P585" s="12"/>
      <c r="Q585" s="12"/>
      <c r="R585" s="12"/>
      <c r="S585" s="12"/>
      <c r="T585" s="12"/>
      <c r="U585" s="12"/>
    </row>
    <row r="586">
      <c r="A586" s="12" t="s">
        <v>101</v>
      </c>
      <c r="B586" s="12"/>
      <c r="C586" s="12"/>
      <c r="D586" s="12"/>
      <c r="E586" s="12"/>
      <c r="F586" s="12"/>
      <c r="G586" s="12"/>
      <c r="H586" s="12"/>
      <c r="I586" s="12"/>
      <c r="J586" s="12"/>
      <c r="K586" s="12"/>
      <c r="L586" s="12"/>
      <c r="M586" s="12"/>
      <c r="N586" s="12"/>
      <c r="O586" s="12"/>
      <c r="P586" s="12"/>
      <c r="Q586" s="12"/>
      <c r="R586" s="12"/>
      <c r="S586" s="12"/>
      <c r="T586" s="12"/>
      <c r="U586" s="12"/>
    </row>
    <row r="587">
      <c r="A587" s="12" t="s">
        <v>101</v>
      </c>
      <c r="B587" s="12"/>
      <c r="C587" s="12"/>
      <c r="D587" s="12"/>
      <c r="E587" s="12"/>
      <c r="F587" s="12"/>
      <c r="G587" s="12"/>
      <c r="H587" s="12"/>
      <c r="I587" s="12"/>
      <c r="J587" s="12"/>
      <c r="K587" s="12"/>
      <c r="L587" s="12"/>
      <c r="M587" s="12"/>
      <c r="N587" s="12"/>
      <c r="O587" s="12"/>
      <c r="P587" s="12"/>
      <c r="Q587" s="12"/>
      <c r="R587" s="12"/>
      <c r="S587" s="12"/>
      <c r="T587" s="12"/>
      <c r="U587" s="12"/>
    </row>
    <row r="588">
      <c r="A588" s="12" t="s">
        <v>101</v>
      </c>
      <c r="B588" s="12"/>
      <c r="C588" s="12"/>
      <c r="D588" s="12"/>
      <c r="E588" s="12"/>
      <c r="F588" s="12"/>
      <c r="G588" s="12"/>
      <c r="H588" s="12"/>
      <c r="I588" s="12"/>
      <c r="J588" s="12"/>
      <c r="K588" s="12"/>
      <c r="L588" s="12"/>
      <c r="M588" s="12"/>
      <c r="N588" s="12"/>
      <c r="O588" s="12"/>
      <c r="P588" s="12"/>
      <c r="Q588" s="12"/>
      <c r="R588" s="12"/>
      <c r="S588" s="12"/>
      <c r="T588" s="12"/>
      <c r="U588" s="12"/>
    </row>
    <row r="589">
      <c r="A589" s="12" t="s">
        <v>101</v>
      </c>
      <c r="B589" s="12"/>
      <c r="C589" s="12"/>
      <c r="D589" s="12"/>
      <c r="E589" s="12"/>
      <c r="F589" s="12"/>
      <c r="G589" s="12"/>
      <c r="H589" s="12"/>
      <c r="I589" s="12"/>
      <c r="J589" s="12"/>
      <c r="K589" s="12"/>
      <c r="L589" s="12"/>
      <c r="M589" s="12"/>
      <c r="N589" s="12"/>
      <c r="O589" s="12"/>
      <c r="P589" s="12"/>
      <c r="Q589" s="12"/>
      <c r="R589" s="12"/>
      <c r="S589" s="12"/>
      <c r="T589" s="12"/>
      <c r="U589" s="12"/>
    </row>
    <row r="590">
      <c r="A590" s="12" t="s">
        <v>101</v>
      </c>
      <c r="B590" s="12"/>
      <c r="C590" s="12"/>
      <c r="D590" s="12"/>
      <c r="E590" s="12"/>
      <c r="F590" s="12"/>
      <c r="G590" s="12"/>
      <c r="H590" s="12"/>
      <c r="I590" s="12"/>
      <c r="J590" s="12"/>
      <c r="K590" s="12"/>
      <c r="L590" s="12"/>
      <c r="M590" s="12"/>
      <c r="N590" s="12"/>
      <c r="O590" s="12"/>
      <c r="P590" s="12"/>
      <c r="Q590" s="12"/>
      <c r="R590" s="12"/>
      <c r="S590" s="12"/>
      <c r="T590" s="12"/>
      <c r="U590" s="12"/>
    </row>
    <row r="591">
      <c r="A591" s="12" t="s">
        <v>101</v>
      </c>
      <c r="B591" s="12"/>
      <c r="C591" s="12"/>
      <c r="D591" s="12"/>
      <c r="E591" s="12"/>
      <c r="F591" s="12"/>
      <c r="G591" s="12"/>
      <c r="H591" s="12"/>
      <c r="I591" s="12"/>
      <c r="J591" s="12"/>
      <c r="K591" s="12"/>
      <c r="L591" s="12"/>
      <c r="M591" s="12"/>
      <c r="N591" s="12"/>
      <c r="O591" s="12"/>
      <c r="P591" s="12"/>
      <c r="Q591" s="12"/>
      <c r="R591" s="12"/>
      <c r="S591" s="12"/>
      <c r="T591" s="12"/>
      <c r="U591" s="12"/>
    </row>
    <row r="592">
      <c r="A592" s="12" t="s">
        <v>101</v>
      </c>
      <c r="B592" s="12"/>
      <c r="C592" s="12"/>
      <c r="D592" s="12"/>
      <c r="E592" s="12"/>
      <c r="F592" s="12"/>
      <c r="G592" s="12"/>
      <c r="H592" s="12"/>
      <c r="I592" s="12"/>
      <c r="J592" s="12"/>
      <c r="K592" s="12"/>
      <c r="L592" s="12"/>
      <c r="M592" s="12"/>
      <c r="N592" s="12"/>
      <c r="O592" s="12"/>
      <c r="P592" s="12"/>
      <c r="Q592" s="12"/>
      <c r="R592" s="12"/>
      <c r="S592" s="12"/>
      <c r="T592" s="12"/>
      <c r="U592" s="12"/>
    </row>
    <row r="593">
      <c r="A593" s="12" t="s">
        <v>101</v>
      </c>
      <c r="B593" s="12"/>
      <c r="C593" s="12"/>
      <c r="D593" s="12"/>
      <c r="E593" s="12"/>
      <c r="F593" s="12"/>
      <c r="G593" s="12"/>
      <c r="H593" s="12"/>
      <c r="I593" s="12"/>
      <c r="J593" s="12"/>
      <c r="K593" s="12"/>
      <c r="L593" s="12"/>
      <c r="M593" s="12"/>
      <c r="N593" s="12"/>
      <c r="O593" s="12"/>
      <c r="P593" s="12"/>
      <c r="Q593" s="12"/>
      <c r="R593" s="12"/>
      <c r="S593" s="12"/>
      <c r="T593" s="12"/>
      <c r="U593" s="12"/>
    </row>
    <row r="594">
      <c r="A594" s="12" t="s">
        <v>101</v>
      </c>
      <c r="B594" s="12"/>
      <c r="C594" s="12"/>
      <c r="D594" s="12"/>
      <c r="E594" s="12"/>
      <c r="F594" s="12"/>
      <c r="G594" s="12"/>
      <c r="H594" s="12"/>
      <c r="I594" s="12"/>
      <c r="J594" s="12"/>
      <c r="K594" s="12"/>
      <c r="L594" s="12"/>
      <c r="M594" s="12"/>
      <c r="N594" s="12"/>
      <c r="O594" s="12"/>
      <c r="P594" s="12"/>
      <c r="Q594" s="12"/>
      <c r="R594" s="12"/>
      <c r="S594" s="12"/>
      <c r="T594" s="12"/>
      <c r="U594" s="12"/>
    </row>
    <row r="595">
      <c r="A595" s="12" t="s">
        <v>101</v>
      </c>
      <c r="B595" s="12"/>
      <c r="C595" s="12"/>
      <c r="D595" s="12"/>
      <c r="E595" s="12"/>
      <c r="F595" s="12"/>
      <c r="G595" s="12"/>
      <c r="H595" s="12"/>
      <c r="I595" s="12"/>
      <c r="J595" s="12"/>
      <c r="K595" s="12"/>
      <c r="L595" s="12"/>
      <c r="M595" s="12"/>
      <c r="N595" s="12"/>
      <c r="O595" s="12"/>
      <c r="P595" s="12"/>
      <c r="Q595" s="12"/>
      <c r="R595" s="12"/>
      <c r="S595" s="12"/>
      <c r="T595" s="12"/>
      <c r="U595" s="12"/>
    </row>
    <row r="596">
      <c r="A596" s="12" t="s">
        <v>101</v>
      </c>
      <c r="B596" s="12"/>
      <c r="C596" s="12"/>
      <c r="D596" s="12"/>
      <c r="E596" s="12"/>
      <c r="F596" s="12"/>
      <c r="G596" s="12"/>
      <c r="H596" s="12"/>
      <c r="I596" s="12"/>
      <c r="J596" s="12"/>
      <c r="K596" s="12"/>
      <c r="L596" s="12"/>
      <c r="M596" s="12"/>
      <c r="N596" s="12"/>
      <c r="O596" s="12"/>
      <c r="P596" s="12"/>
      <c r="Q596" s="12"/>
      <c r="R596" s="12"/>
      <c r="S596" s="12"/>
      <c r="T596" s="12"/>
      <c r="U596" s="12"/>
    </row>
    <row r="597">
      <c r="A597" s="12" t="s">
        <v>101</v>
      </c>
      <c r="B597" s="12"/>
      <c r="C597" s="12"/>
      <c r="D597" s="12"/>
      <c r="E597" s="12"/>
      <c r="F597" s="12"/>
      <c r="G597" s="12"/>
      <c r="H597" s="12"/>
      <c r="I597" s="12"/>
      <c r="J597" s="12"/>
      <c r="K597" s="12"/>
      <c r="L597" s="12"/>
      <c r="M597" s="12"/>
      <c r="N597" s="12"/>
      <c r="O597" s="12"/>
      <c r="P597" s="12"/>
      <c r="Q597" s="12"/>
      <c r="R597" s="12"/>
      <c r="S597" s="12"/>
      <c r="T597" s="12"/>
      <c r="U597" s="12"/>
    </row>
    <row r="598">
      <c r="A598" s="12" t="s">
        <v>101</v>
      </c>
      <c r="B598" s="12"/>
      <c r="C598" s="12"/>
      <c r="D598" s="12"/>
      <c r="E598" s="12"/>
      <c r="F598" s="12"/>
      <c r="G598" s="12"/>
      <c r="H598" s="12"/>
      <c r="I598" s="12"/>
      <c r="J598" s="12"/>
      <c r="K598" s="12"/>
      <c r="L598" s="12"/>
      <c r="M598" s="12"/>
      <c r="N598" s="12"/>
      <c r="O598" s="12"/>
      <c r="P598" s="12"/>
      <c r="Q598" s="12"/>
      <c r="R598" s="12"/>
      <c r="S598" s="12"/>
      <c r="T598" s="12"/>
      <c r="U598" s="12"/>
    </row>
    <row r="599">
      <c r="A599" s="12" t="s">
        <v>101</v>
      </c>
      <c r="B599" s="12"/>
      <c r="C599" s="12"/>
      <c r="D599" s="12"/>
      <c r="E599" s="12"/>
      <c r="F599" s="12"/>
      <c r="G599" s="12"/>
      <c r="H599" s="12"/>
      <c r="I599" s="12"/>
      <c r="J599" s="12"/>
      <c r="K599" s="12"/>
      <c r="L599" s="12"/>
      <c r="M599" s="12"/>
      <c r="N599" s="12"/>
      <c r="O599" s="12"/>
      <c r="P599" s="12"/>
      <c r="Q599" s="12"/>
      <c r="R599" s="12"/>
      <c r="S599" s="12"/>
      <c r="T599" s="12"/>
      <c r="U599" s="12"/>
    </row>
    <row r="600">
      <c r="A600" s="12" t="s">
        <v>101</v>
      </c>
      <c r="B600" s="12"/>
      <c r="C600" s="12"/>
      <c r="D600" s="12"/>
      <c r="E600" s="12"/>
      <c r="F600" s="12"/>
      <c r="G600" s="12"/>
      <c r="H600" s="12"/>
      <c r="I600" s="12"/>
      <c r="J600" s="12"/>
      <c r="K600" s="12"/>
      <c r="L600" s="12"/>
      <c r="M600" s="12"/>
      <c r="N600" s="12"/>
      <c r="O600" s="12"/>
      <c r="P600" s="12"/>
      <c r="Q600" s="12"/>
      <c r="R600" s="12"/>
      <c r="S600" s="12"/>
      <c r="T600" s="12"/>
      <c r="U600" s="12"/>
    </row>
    <row r="601">
      <c r="A601" s="12" t="s">
        <v>101</v>
      </c>
      <c r="B601" s="12"/>
      <c r="C601" s="12"/>
      <c r="D601" s="12"/>
      <c r="E601" s="12"/>
      <c r="F601" s="12"/>
      <c r="G601" s="12"/>
      <c r="H601" s="12"/>
      <c r="I601" s="12"/>
      <c r="J601" s="12"/>
      <c r="K601" s="12"/>
      <c r="L601" s="12"/>
      <c r="M601" s="12"/>
      <c r="N601" s="12"/>
      <c r="O601" s="12"/>
      <c r="P601" s="12"/>
      <c r="Q601" s="12"/>
      <c r="R601" s="12"/>
      <c r="S601" s="12"/>
      <c r="T601" s="12"/>
      <c r="U601" s="12"/>
    </row>
    <row r="602">
      <c r="A602" s="12" t="s">
        <v>101</v>
      </c>
      <c r="B602" s="12"/>
      <c r="C602" s="12"/>
      <c r="D602" s="12"/>
      <c r="E602" s="12"/>
      <c r="F602" s="12"/>
      <c r="G602" s="12"/>
      <c r="H602" s="12"/>
      <c r="I602" s="12"/>
      <c r="J602" s="12"/>
      <c r="K602" s="12"/>
      <c r="L602" s="12"/>
      <c r="M602" s="12"/>
      <c r="N602" s="12"/>
      <c r="O602" s="12"/>
      <c r="P602" s="12"/>
      <c r="Q602" s="12"/>
      <c r="R602" s="12"/>
      <c r="S602" s="12"/>
      <c r="T602" s="12"/>
      <c r="U602" s="12"/>
    </row>
    <row r="603">
      <c r="A603" s="12" t="s">
        <v>101</v>
      </c>
      <c r="B603" s="12"/>
      <c r="C603" s="12"/>
      <c r="D603" s="12"/>
      <c r="E603" s="12"/>
      <c r="F603" s="12"/>
      <c r="G603" s="12"/>
      <c r="H603" s="12"/>
      <c r="I603" s="12"/>
      <c r="J603" s="12"/>
      <c r="K603" s="12"/>
      <c r="L603" s="12"/>
      <c r="M603" s="12"/>
      <c r="N603" s="12"/>
      <c r="O603" s="12"/>
      <c r="P603" s="12"/>
      <c r="Q603" s="12"/>
      <c r="R603" s="12"/>
      <c r="S603" s="12"/>
      <c r="T603" s="12"/>
      <c r="U603" s="12"/>
    </row>
    <row r="604">
      <c r="A604" s="12" t="s">
        <v>101</v>
      </c>
      <c r="B604" s="12"/>
      <c r="C604" s="12"/>
      <c r="D604" s="12"/>
      <c r="E604" s="12"/>
      <c r="F604" s="12"/>
      <c r="G604" s="12"/>
      <c r="H604" s="12"/>
      <c r="I604" s="12"/>
      <c r="J604" s="12"/>
      <c r="K604" s="12"/>
      <c r="L604" s="12"/>
      <c r="M604" s="12"/>
      <c r="N604" s="12"/>
      <c r="O604" s="12"/>
      <c r="P604" s="12"/>
      <c r="Q604" s="12"/>
      <c r="R604" s="12"/>
      <c r="S604" s="12"/>
      <c r="T604" s="12"/>
      <c r="U604" s="12"/>
    </row>
    <row r="605">
      <c r="A605" s="12" t="s">
        <v>101</v>
      </c>
      <c r="B605" s="12"/>
      <c r="C605" s="12"/>
      <c r="D605" s="12"/>
      <c r="E605" s="12"/>
      <c r="F605" s="12"/>
      <c r="G605" s="12"/>
      <c r="H605" s="12"/>
      <c r="I605" s="12"/>
      <c r="J605" s="12"/>
      <c r="K605" s="12"/>
      <c r="L605" s="12"/>
      <c r="M605" s="12"/>
      <c r="N605" s="12"/>
      <c r="O605" s="12"/>
      <c r="P605" s="12"/>
      <c r="Q605" s="12"/>
      <c r="R605" s="12"/>
      <c r="S605" s="12"/>
      <c r="T605" s="12"/>
      <c r="U605" s="12"/>
    </row>
    <row r="606">
      <c r="A606" s="12" t="s">
        <v>101</v>
      </c>
      <c r="B606" s="12"/>
      <c r="C606" s="12"/>
      <c r="D606" s="12"/>
      <c r="E606" s="12"/>
      <c r="F606" s="12"/>
      <c r="G606" s="12"/>
      <c r="H606" s="12"/>
      <c r="I606" s="12"/>
      <c r="J606" s="12"/>
      <c r="K606" s="12"/>
      <c r="L606" s="12"/>
      <c r="M606" s="12"/>
      <c r="N606" s="12"/>
      <c r="O606" s="12"/>
      <c r="P606" s="12"/>
      <c r="Q606" s="12"/>
      <c r="R606" s="12"/>
      <c r="S606" s="12"/>
      <c r="T606" s="12"/>
      <c r="U606" s="12"/>
    </row>
    <row r="607">
      <c r="A607" s="12" t="s">
        <v>101</v>
      </c>
      <c r="B607" s="12"/>
      <c r="C607" s="12"/>
      <c r="D607" s="12"/>
      <c r="E607" s="12"/>
      <c r="F607" s="12"/>
      <c r="G607" s="12"/>
      <c r="H607" s="12"/>
      <c r="I607" s="12"/>
      <c r="J607" s="12"/>
      <c r="K607" s="12"/>
      <c r="L607" s="12"/>
      <c r="M607" s="12"/>
      <c r="N607" s="12"/>
      <c r="O607" s="12"/>
      <c r="P607" s="12"/>
      <c r="Q607" s="12"/>
      <c r="R607" s="12"/>
      <c r="S607" s="12"/>
      <c r="T607" s="12"/>
      <c r="U607" s="12"/>
    </row>
    <row r="608">
      <c r="A608" s="12" t="s">
        <v>101</v>
      </c>
      <c r="B608" s="12"/>
      <c r="C608" s="12"/>
      <c r="D608" s="12"/>
      <c r="E608" s="12"/>
      <c r="F608" s="12"/>
      <c r="G608" s="12"/>
      <c r="H608" s="12"/>
      <c r="I608" s="12"/>
      <c r="J608" s="12"/>
      <c r="K608" s="12"/>
      <c r="L608" s="12"/>
      <c r="M608" s="12"/>
      <c r="N608" s="12"/>
      <c r="O608" s="12"/>
      <c r="P608" s="12"/>
      <c r="Q608" s="12"/>
      <c r="R608" s="12"/>
      <c r="S608" s="12"/>
      <c r="T608" s="12"/>
      <c r="U608" s="12"/>
    </row>
    <row r="609">
      <c r="A609" s="12" t="s">
        <v>101</v>
      </c>
      <c r="B609" s="12"/>
      <c r="C609" s="12"/>
      <c r="D609" s="12"/>
      <c r="E609" s="12"/>
      <c r="F609" s="12"/>
      <c r="G609" s="12"/>
      <c r="H609" s="12"/>
      <c r="I609" s="12"/>
      <c r="J609" s="12"/>
      <c r="K609" s="12"/>
      <c r="L609" s="12"/>
      <c r="M609" s="12"/>
      <c r="N609" s="12"/>
      <c r="O609" s="12"/>
      <c r="P609" s="12"/>
      <c r="Q609" s="12"/>
      <c r="R609" s="12"/>
      <c r="S609" s="12"/>
      <c r="T609" s="12"/>
      <c r="U609" s="12"/>
    </row>
    <row r="610">
      <c r="A610" s="12" t="s">
        <v>101</v>
      </c>
      <c r="B610" s="12"/>
      <c r="C610" s="12"/>
      <c r="D610" s="12"/>
      <c r="E610" s="12"/>
      <c r="F610" s="12"/>
      <c r="G610" s="12"/>
      <c r="H610" s="12"/>
      <c r="I610" s="12"/>
      <c r="J610" s="12"/>
      <c r="K610" s="12"/>
      <c r="L610" s="12"/>
      <c r="M610" s="12"/>
      <c r="N610" s="12"/>
      <c r="O610" s="12"/>
      <c r="P610" s="12"/>
      <c r="Q610" s="12"/>
      <c r="R610" s="12"/>
      <c r="S610" s="12"/>
      <c r="T610" s="12"/>
      <c r="U610" s="12"/>
    </row>
    <row r="611">
      <c r="A611" s="12" t="s">
        <v>101</v>
      </c>
      <c r="B611" s="12"/>
      <c r="C611" s="12"/>
      <c r="D611" s="12"/>
      <c r="E611" s="12"/>
      <c r="F611" s="12"/>
      <c r="G611" s="12"/>
      <c r="H611" s="12"/>
      <c r="I611" s="12"/>
      <c r="J611" s="12"/>
      <c r="K611" s="12"/>
      <c r="L611" s="12"/>
      <c r="M611" s="12"/>
      <c r="N611" s="12"/>
      <c r="O611" s="12"/>
      <c r="P611" s="12"/>
      <c r="Q611" s="12"/>
      <c r="R611" s="12"/>
      <c r="S611" s="12"/>
      <c r="T611" s="12"/>
      <c r="U611" s="12"/>
    </row>
    <row r="612">
      <c r="A612" s="12" t="s">
        <v>101</v>
      </c>
      <c r="B612" s="12"/>
      <c r="C612" s="12"/>
      <c r="D612" s="12"/>
      <c r="E612" s="12"/>
      <c r="F612" s="12"/>
      <c r="G612" s="12"/>
      <c r="H612" s="12"/>
      <c r="I612" s="12"/>
      <c r="J612" s="12"/>
      <c r="K612" s="12"/>
      <c r="L612" s="12"/>
      <c r="M612" s="12"/>
      <c r="N612" s="12"/>
      <c r="O612" s="12"/>
      <c r="P612" s="12"/>
      <c r="Q612" s="12"/>
      <c r="R612" s="12"/>
      <c r="S612" s="12"/>
      <c r="T612" s="12"/>
      <c r="U612" s="12"/>
    </row>
    <row r="613">
      <c r="A613" s="12" t="s">
        <v>101</v>
      </c>
      <c r="B613" s="12"/>
      <c r="C613" s="12"/>
      <c r="D613" s="12"/>
      <c r="E613" s="12"/>
      <c r="F613" s="12"/>
      <c r="G613" s="12"/>
      <c r="H613" s="12"/>
      <c r="I613" s="12"/>
      <c r="J613" s="12"/>
      <c r="K613" s="12"/>
      <c r="L613" s="12"/>
      <c r="M613" s="12"/>
      <c r="N613" s="12"/>
      <c r="O613" s="12"/>
      <c r="P613" s="12"/>
      <c r="Q613" s="12"/>
      <c r="R613" s="12"/>
      <c r="S613" s="12"/>
      <c r="T613" s="12"/>
      <c r="U613" s="12"/>
    </row>
    <row r="614">
      <c r="A614" s="12" t="s">
        <v>101</v>
      </c>
      <c r="B614" s="12"/>
      <c r="C614" s="12"/>
      <c r="D614" s="12"/>
      <c r="E614" s="12"/>
      <c r="F614" s="12"/>
      <c r="G614" s="12"/>
      <c r="H614" s="12"/>
      <c r="I614" s="12"/>
      <c r="J614" s="12"/>
      <c r="K614" s="12"/>
      <c r="L614" s="12"/>
      <c r="M614" s="12"/>
      <c r="N614" s="12"/>
      <c r="O614" s="12"/>
      <c r="P614" s="12"/>
      <c r="Q614" s="12"/>
      <c r="R614" s="12"/>
      <c r="S614" s="12"/>
      <c r="T614" s="12"/>
      <c r="U614" s="12"/>
    </row>
    <row r="615">
      <c r="A615" s="12" t="s">
        <v>101</v>
      </c>
      <c r="B615" s="12"/>
      <c r="C615" s="12"/>
      <c r="D615" s="12"/>
      <c r="E615" s="12"/>
      <c r="F615" s="12"/>
      <c r="G615" s="12"/>
      <c r="H615" s="12"/>
      <c r="I615" s="12"/>
      <c r="J615" s="12"/>
      <c r="K615" s="12"/>
      <c r="L615" s="12"/>
      <c r="M615" s="12"/>
      <c r="N615" s="12"/>
      <c r="O615" s="12"/>
      <c r="P615" s="12"/>
      <c r="Q615" s="12"/>
      <c r="R615" s="12"/>
      <c r="S615" s="12"/>
      <c r="T615" s="12"/>
      <c r="U615" s="12"/>
    </row>
    <row r="616">
      <c r="A616" s="12" t="s">
        <v>101</v>
      </c>
      <c r="B616" s="12"/>
      <c r="C616" s="12"/>
      <c r="D616" s="12"/>
      <c r="E616" s="12"/>
      <c r="F616" s="12"/>
      <c r="G616" s="12"/>
      <c r="H616" s="12"/>
      <c r="I616" s="12"/>
      <c r="J616" s="12"/>
      <c r="K616" s="12"/>
      <c r="L616" s="12"/>
      <c r="M616" s="12"/>
      <c r="N616" s="12"/>
      <c r="O616" s="12"/>
      <c r="P616" s="12"/>
      <c r="Q616" s="12"/>
      <c r="R616" s="12"/>
      <c r="S616" s="12"/>
      <c r="T616" s="12"/>
      <c r="U616" s="12"/>
    </row>
    <row r="617">
      <c r="A617" s="12" t="s">
        <v>101</v>
      </c>
      <c r="B617" s="12"/>
      <c r="C617" s="12"/>
      <c r="D617" s="12"/>
      <c r="E617" s="12"/>
      <c r="F617" s="12"/>
      <c r="G617" s="12"/>
      <c r="H617" s="12"/>
      <c r="I617" s="12"/>
      <c r="J617" s="12"/>
      <c r="K617" s="12"/>
      <c r="L617" s="12"/>
      <c r="M617" s="12"/>
      <c r="N617" s="12"/>
      <c r="O617" s="12"/>
      <c r="P617" s="12"/>
      <c r="Q617" s="12"/>
      <c r="R617" s="12"/>
      <c r="S617" s="12"/>
      <c r="T617" s="12"/>
      <c r="U617" s="12"/>
    </row>
    <row r="618">
      <c r="A618" s="12" t="s">
        <v>101</v>
      </c>
      <c r="B618" s="12"/>
      <c r="C618" s="12"/>
      <c r="D618" s="12"/>
      <c r="E618" s="12"/>
      <c r="F618" s="12"/>
      <c r="G618" s="12"/>
      <c r="H618" s="12"/>
      <c r="I618" s="12"/>
      <c r="J618" s="12"/>
      <c r="K618" s="12"/>
      <c r="L618" s="12"/>
      <c r="M618" s="12"/>
      <c r="N618" s="12"/>
      <c r="O618" s="12"/>
      <c r="P618" s="12"/>
      <c r="Q618" s="12"/>
      <c r="R618" s="12"/>
      <c r="S618" s="12"/>
      <c r="T618" s="12"/>
      <c r="U618" s="12"/>
    </row>
    <row r="619">
      <c r="A619" s="12" t="s">
        <v>101</v>
      </c>
      <c r="B619" s="12"/>
      <c r="C619" s="12"/>
      <c r="D619" s="12"/>
      <c r="E619" s="12"/>
      <c r="F619" s="12"/>
      <c r="G619" s="12"/>
      <c r="H619" s="12"/>
      <c r="I619" s="12"/>
      <c r="J619" s="12"/>
      <c r="K619" s="12"/>
      <c r="L619" s="12"/>
      <c r="M619" s="12"/>
      <c r="N619" s="12"/>
      <c r="O619" s="12"/>
      <c r="P619" s="12"/>
      <c r="Q619" s="12"/>
      <c r="R619" s="12"/>
      <c r="S619" s="12"/>
      <c r="T619" s="12"/>
      <c r="U619" s="12"/>
    </row>
    <row r="620">
      <c r="A620" s="12" t="s">
        <v>101</v>
      </c>
      <c r="B620" s="12"/>
      <c r="C620" s="12"/>
      <c r="D620" s="12"/>
      <c r="E620" s="12"/>
      <c r="F620" s="12"/>
      <c r="G620" s="12"/>
      <c r="H620" s="12"/>
      <c r="I620" s="12"/>
      <c r="J620" s="12"/>
      <c r="K620" s="12"/>
      <c r="L620" s="12"/>
      <c r="M620" s="12"/>
      <c r="N620" s="12"/>
      <c r="O620" s="12"/>
      <c r="P620" s="12"/>
      <c r="Q620" s="12"/>
      <c r="R620" s="12"/>
      <c r="S620" s="12"/>
      <c r="T620" s="12"/>
      <c r="U620" s="12"/>
    </row>
    <row r="621">
      <c r="A621" s="12" t="s">
        <v>101</v>
      </c>
      <c r="B621" s="12"/>
      <c r="C621" s="12"/>
      <c r="D621" s="12"/>
      <c r="E621" s="12"/>
      <c r="F621" s="12"/>
      <c r="G621" s="12"/>
      <c r="H621" s="12"/>
      <c r="I621" s="12"/>
      <c r="J621" s="12"/>
      <c r="K621" s="12"/>
      <c r="L621" s="12"/>
      <c r="M621" s="12"/>
      <c r="N621" s="12"/>
      <c r="O621" s="12"/>
      <c r="P621" s="12"/>
      <c r="Q621" s="12"/>
      <c r="R621" s="12"/>
      <c r="S621" s="12"/>
      <c r="T621" s="12"/>
      <c r="U621" s="12"/>
    </row>
    <row r="622">
      <c r="A622" s="12" t="s">
        <v>101</v>
      </c>
      <c r="B622" s="12"/>
      <c r="C622" s="12"/>
      <c r="D622" s="12"/>
      <c r="E622" s="12"/>
      <c r="F622" s="12"/>
      <c r="G622" s="12"/>
      <c r="H622" s="12"/>
      <c r="I622" s="12"/>
      <c r="J622" s="12"/>
      <c r="K622" s="12"/>
      <c r="L622" s="12"/>
      <c r="M622" s="12"/>
      <c r="N622" s="12"/>
      <c r="O622" s="12"/>
      <c r="P622" s="12"/>
      <c r="Q622" s="12"/>
      <c r="R622" s="12"/>
      <c r="S622" s="12"/>
      <c r="T622" s="12"/>
      <c r="U622" s="12"/>
    </row>
    <row r="623">
      <c r="A623" s="12" t="s">
        <v>101</v>
      </c>
      <c r="B623" s="12"/>
      <c r="C623" s="12"/>
      <c r="D623" s="12"/>
      <c r="E623" s="12"/>
      <c r="F623" s="12"/>
      <c r="G623" s="12"/>
      <c r="H623" s="12"/>
      <c r="I623" s="12"/>
      <c r="J623" s="12"/>
      <c r="K623" s="12"/>
      <c r="L623" s="12"/>
      <c r="M623" s="12"/>
      <c r="N623" s="12"/>
      <c r="O623" s="12"/>
      <c r="P623" s="12"/>
      <c r="Q623" s="12"/>
      <c r="R623" s="12"/>
      <c r="S623" s="12"/>
      <c r="T623" s="12"/>
      <c r="U623" s="12"/>
    </row>
    <row r="624">
      <c r="A624" s="12" t="s">
        <v>101</v>
      </c>
      <c r="B624" s="12"/>
      <c r="C624" s="12"/>
      <c r="D624" s="12"/>
      <c r="E624" s="12"/>
      <c r="F624" s="12"/>
      <c r="G624" s="12"/>
      <c r="H624" s="12"/>
      <c r="I624" s="12"/>
      <c r="J624" s="12"/>
      <c r="K624" s="12"/>
      <c r="L624" s="12"/>
      <c r="M624" s="12"/>
      <c r="N624" s="12"/>
      <c r="O624" s="12"/>
      <c r="P624" s="12"/>
      <c r="Q624" s="12"/>
      <c r="R624" s="12"/>
      <c r="S624" s="12"/>
      <c r="T624" s="12"/>
      <c r="U624" s="12"/>
    </row>
    <row r="625">
      <c r="A625" s="12" t="s">
        <v>101</v>
      </c>
      <c r="B625" s="12"/>
      <c r="C625" s="12"/>
      <c r="D625" s="12"/>
      <c r="E625" s="12"/>
      <c r="F625" s="12"/>
      <c r="G625" s="12"/>
      <c r="H625" s="12"/>
      <c r="I625" s="12"/>
      <c r="J625" s="12"/>
      <c r="K625" s="12"/>
      <c r="L625" s="12"/>
      <c r="M625" s="12"/>
      <c r="N625" s="12"/>
      <c r="O625" s="12"/>
      <c r="P625" s="12"/>
      <c r="Q625" s="12"/>
      <c r="R625" s="12"/>
      <c r="S625" s="12"/>
      <c r="T625" s="12"/>
      <c r="U625" s="12"/>
    </row>
    <row r="626">
      <c r="A626" s="12" t="s">
        <v>101</v>
      </c>
      <c r="B626" s="12"/>
      <c r="C626" s="12"/>
      <c r="D626" s="12"/>
      <c r="E626" s="12"/>
      <c r="F626" s="12"/>
      <c r="G626" s="12"/>
      <c r="H626" s="12"/>
      <c r="I626" s="12"/>
      <c r="J626" s="12"/>
      <c r="K626" s="12"/>
      <c r="L626" s="12"/>
      <c r="M626" s="12"/>
      <c r="N626" s="12"/>
      <c r="O626" s="12"/>
      <c r="P626" s="12"/>
      <c r="Q626" s="12"/>
      <c r="R626" s="12"/>
      <c r="S626" s="12"/>
      <c r="T626" s="12"/>
      <c r="U626" s="12"/>
    </row>
    <row r="627">
      <c r="A627" s="12" t="s">
        <v>101</v>
      </c>
      <c r="B627" s="12"/>
      <c r="C627" s="12"/>
      <c r="D627" s="12"/>
      <c r="E627" s="12"/>
      <c r="F627" s="12"/>
      <c r="G627" s="12"/>
      <c r="H627" s="12"/>
      <c r="I627" s="12"/>
      <c r="J627" s="12"/>
      <c r="K627" s="12"/>
      <c r="L627" s="12"/>
      <c r="M627" s="12"/>
      <c r="N627" s="12"/>
      <c r="O627" s="12"/>
      <c r="P627" s="12"/>
      <c r="Q627" s="12"/>
      <c r="R627" s="12"/>
      <c r="S627" s="12"/>
      <c r="T627" s="12"/>
      <c r="U627" s="12"/>
    </row>
    <row r="628">
      <c r="A628" s="12" t="s">
        <v>101</v>
      </c>
      <c r="B628" s="12"/>
      <c r="C628" s="12"/>
      <c r="D628" s="12"/>
      <c r="E628" s="12"/>
      <c r="F628" s="12"/>
      <c r="G628" s="12"/>
      <c r="H628" s="12"/>
      <c r="I628" s="12"/>
      <c r="J628" s="12"/>
      <c r="K628" s="12"/>
      <c r="L628" s="12"/>
      <c r="M628" s="12"/>
      <c r="N628" s="12"/>
      <c r="O628" s="12"/>
      <c r="P628" s="12"/>
      <c r="Q628" s="12"/>
      <c r="R628" s="12"/>
      <c r="S628" s="12"/>
      <c r="T628" s="12"/>
      <c r="U628" s="12"/>
    </row>
    <row r="629">
      <c r="A629" s="12" t="s">
        <v>101</v>
      </c>
      <c r="B629" s="12"/>
      <c r="C629" s="12"/>
      <c r="D629" s="12"/>
      <c r="E629" s="12"/>
      <c r="F629" s="12"/>
      <c r="G629" s="12"/>
      <c r="H629" s="12"/>
      <c r="I629" s="12"/>
      <c r="J629" s="12"/>
      <c r="K629" s="12"/>
      <c r="L629" s="12"/>
      <c r="M629" s="12"/>
      <c r="N629" s="12"/>
      <c r="O629" s="12"/>
      <c r="P629" s="12"/>
      <c r="Q629" s="12"/>
      <c r="R629" s="12"/>
      <c r="S629" s="12"/>
      <c r="T629" s="12"/>
      <c r="U629" s="12"/>
    </row>
    <row r="630">
      <c r="A630" s="12" t="s">
        <v>101</v>
      </c>
      <c r="B630" s="12"/>
      <c r="C630" s="12"/>
      <c r="D630" s="12"/>
      <c r="E630" s="12"/>
      <c r="F630" s="12"/>
      <c r="G630" s="12"/>
      <c r="H630" s="12"/>
      <c r="I630" s="12"/>
      <c r="J630" s="12"/>
      <c r="K630" s="12"/>
      <c r="L630" s="12"/>
      <c r="M630" s="12"/>
      <c r="N630" s="12"/>
      <c r="O630" s="12"/>
      <c r="P630" s="12"/>
      <c r="Q630" s="12"/>
      <c r="R630" s="12"/>
      <c r="S630" s="12"/>
      <c r="T630" s="12"/>
      <c r="U630" s="12"/>
    </row>
    <row r="631">
      <c r="A631" s="12" t="s">
        <v>101</v>
      </c>
      <c r="B631" s="12"/>
      <c r="C631" s="12"/>
      <c r="D631" s="12"/>
      <c r="E631" s="12"/>
      <c r="F631" s="12"/>
      <c r="G631" s="12"/>
      <c r="H631" s="12"/>
      <c r="I631" s="12"/>
      <c r="J631" s="12"/>
      <c r="K631" s="12"/>
      <c r="L631" s="12"/>
      <c r="M631" s="12"/>
      <c r="N631" s="12"/>
      <c r="O631" s="12"/>
      <c r="P631" s="12"/>
      <c r="Q631" s="12"/>
      <c r="R631" s="12"/>
      <c r="S631" s="12"/>
      <c r="T631" s="12"/>
      <c r="U631" s="12"/>
    </row>
    <row r="632">
      <c r="A632" s="12" t="s">
        <v>101</v>
      </c>
      <c r="B632" s="12"/>
      <c r="C632" s="12"/>
      <c r="D632" s="12"/>
      <c r="E632" s="12"/>
      <c r="F632" s="12"/>
      <c r="G632" s="12"/>
      <c r="H632" s="12"/>
      <c r="I632" s="12"/>
      <c r="J632" s="12"/>
      <c r="K632" s="12"/>
      <c r="L632" s="12"/>
      <c r="M632" s="12"/>
      <c r="N632" s="12"/>
      <c r="O632" s="12"/>
      <c r="P632" s="12"/>
      <c r="Q632" s="12"/>
      <c r="R632" s="12"/>
      <c r="S632" s="12"/>
      <c r="T632" s="12"/>
      <c r="U632" s="12"/>
    </row>
    <row r="633">
      <c r="A633" s="12" t="s">
        <v>101</v>
      </c>
      <c r="B633" s="12"/>
      <c r="C633" s="12"/>
      <c r="D633" s="12"/>
      <c r="E633" s="12"/>
      <c r="F633" s="12"/>
      <c r="G633" s="12"/>
      <c r="H633" s="12"/>
      <c r="I633" s="12"/>
      <c r="J633" s="12"/>
      <c r="K633" s="12"/>
      <c r="L633" s="12"/>
      <c r="M633" s="12"/>
      <c r="N633" s="12"/>
      <c r="O633" s="12"/>
      <c r="P633" s="12"/>
      <c r="Q633" s="12"/>
      <c r="R633" s="12"/>
      <c r="S633" s="12"/>
      <c r="T633" s="12"/>
      <c r="U633" s="12"/>
    </row>
    <row r="634">
      <c r="A634" s="12" t="s">
        <v>101</v>
      </c>
      <c r="B634" s="12"/>
      <c r="C634" s="12"/>
      <c r="D634" s="12"/>
      <c r="E634" s="12"/>
      <c r="F634" s="12"/>
      <c r="G634" s="12"/>
      <c r="H634" s="12"/>
      <c r="I634" s="12"/>
      <c r="J634" s="12"/>
      <c r="K634" s="12"/>
      <c r="L634" s="12"/>
      <c r="M634" s="12"/>
      <c r="N634" s="12"/>
      <c r="O634" s="12"/>
      <c r="P634" s="12"/>
      <c r="Q634" s="12"/>
      <c r="R634" s="12"/>
      <c r="S634" s="12"/>
      <c r="T634" s="12"/>
      <c r="U634" s="12"/>
    </row>
    <row r="635">
      <c r="A635" s="12" t="s">
        <v>101</v>
      </c>
      <c r="B635" s="12"/>
      <c r="C635" s="12"/>
      <c r="D635" s="12"/>
      <c r="E635" s="12"/>
      <c r="F635" s="12"/>
      <c r="G635" s="12"/>
      <c r="H635" s="12"/>
      <c r="I635" s="12"/>
      <c r="J635" s="12"/>
      <c r="K635" s="12"/>
      <c r="L635" s="12"/>
      <c r="M635" s="12"/>
      <c r="N635" s="12"/>
      <c r="O635" s="12"/>
      <c r="P635" s="12"/>
      <c r="Q635" s="12"/>
      <c r="R635" s="12"/>
      <c r="S635" s="12"/>
      <c r="T635" s="12"/>
      <c r="U635" s="12"/>
    </row>
    <row r="636">
      <c r="A636" s="12" t="s">
        <v>101</v>
      </c>
      <c r="B636" s="12"/>
      <c r="C636" s="12"/>
      <c r="D636" s="12"/>
      <c r="E636" s="12"/>
      <c r="F636" s="12"/>
      <c r="G636" s="12"/>
      <c r="H636" s="12"/>
      <c r="I636" s="12"/>
      <c r="J636" s="12"/>
      <c r="K636" s="12"/>
      <c r="L636" s="12"/>
      <c r="M636" s="12"/>
      <c r="N636" s="12"/>
      <c r="O636" s="12"/>
      <c r="P636" s="12"/>
      <c r="Q636" s="12"/>
      <c r="R636" s="12"/>
      <c r="S636" s="12"/>
      <c r="T636" s="12"/>
      <c r="U636" s="12"/>
    </row>
    <row r="637">
      <c r="A637" s="12" t="s">
        <v>101</v>
      </c>
      <c r="B637" s="12"/>
      <c r="C637" s="12"/>
      <c r="D637" s="12"/>
      <c r="E637" s="12"/>
      <c r="F637" s="12"/>
      <c r="G637" s="12"/>
      <c r="H637" s="12"/>
      <c r="I637" s="12"/>
      <c r="J637" s="12"/>
      <c r="K637" s="12"/>
      <c r="L637" s="12"/>
      <c r="M637" s="12"/>
      <c r="N637" s="12"/>
      <c r="O637" s="12"/>
      <c r="P637" s="12"/>
      <c r="Q637" s="12"/>
      <c r="R637" s="12"/>
      <c r="S637" s="12"/>
      <c r="T637" s="12"/>
      <c r="U637" s="12"/>
    </row>
    <row r="638">
      <c r="A638" s="12" t="s">
        <v>101</v>
      </c>
      <c r="B638" s="12"/>
      <c r="C638" s="12"/>
      <c r="D638" s="12"/>
      <c r="E638" s="12"/>
      <c r="F638" s="12"/>
      <c r="G638" s="12"/>
      <c r="H638" s="12"/>
      <c r="I638" s="12"/>
      <c r="J638" s="12"/>
      <c r="K638" s="12"/>
      <c r="L638" s="12"/>
      <c r="M638" s="12"/>
      <c r="N638" s="12"/>
      <c r="O638" s="12"/>
      <c r="P638" s="12"/>
      <c r="Q638" s="12"/>
      <c r="R638" s="12"/>
      <c r="S638" s="12"/>
      <c r="T638" s="12"/>
      <c r="U638" s="12"/>
    </row>
    <row r="639">
      <c r="A639" s="12" t="s">
        <v>101</v>
      </c>
      <c r="B639" s="12"/>
      <c r="C639" s="12"/>
      <c r="D639" s="12"/>
      <c r="E639" s="12"/>
      <c r="F639" s="12"/>
      <c r="G639" s="12"/>
      <c r="H639" s="12"/>
      <c r="I639" s="12"/>
      <c r="J639" s="12"/>
      <c r="K639" s="12"/>
      <c r="L639" s="12"/>
      <c r="M639" s="12"/>
      <c r="N639" s="12"/>
      <c r="O639" s="12"/>
      <c r="P639" s="12"/>
      <c r="Q639" s="12"/>
      <c r="R639" s="12"/>
      <c r="S639" s="12"/>
      <c r="T639" s="12"/>
      <c r="U639" s="12"/>
    </row>
    <row r="640">
      <c r="A640" s="12" t="s">
        <v>101</v>
      </c>
      <c r="B640" s="12"/>
      <c r="C640" s="12"/>
      <c r="D640" s="12"/>
      <c r="E640" s="12"/>
      <c r="F640" s="12"/>
      <c r="G640" s="12"/>
      <c r="H640" s="12"/>
      <c r="I640" s="12"/>
      <c r="J640" s="12"/>
      <c r="K640" s="12"/>
      <c r="L640" s="12"/>
      <c r="M640" s="12"/>
      <c r="N640" s="12"/>
      <c r="O640" s="12"/>
      <c r="P640" s="12"/>
      <c r="Q640" s="12"/>
      <c r="R640" s="12"/>
      <c r="S640" s="12"/>
      <c r="T640" s="12"/>
      <c r="U640" s="12"/>
    </row>
    <row r="641">
      <c r="A641" s="12" t="s">
        <v>101</v>
      </c>
      <c r="B641" s="12"/>
      <c r="C641" s="12"/>
      <c r="D641" s="12"/>
      <c r="E641" s="12"/>
      <c r="F641" s="12"/>
      <c r="G641" s="12"/>
      <c r="H641" s="12"/>
      <c r="I641" s="12"/>
      <c r="J641" s="12"/>
      <c r="K641" s="12"/>
      <c r="L641" s="12"/>
      <c r="M641" s="12"/>
      <c r="N641" s="12"/>
      <c r="O641" s="12"/>
      <c r="P641" s="12"/>
      <c r="Q641" s="12"/>
      <c r="R641" s="12"/>
      <c r="S641" s="12"/>
      <c r="T641" s="12"/>
      <c r="U641" s="12"/>
    </row>
    <row r="642">
      <c r="A642" s="12" t="s">
        <v>101</v>
      </c>
      <c r="B642" s="12"/>
      <c r="C642" s="12"/>
      <c r="D642" s="12"/>
      <c r="E642" s="12"/>
      <c r="F642" s="12"/>
      <c r="G642" s="12"/>
      <c r="H642" s="12"/>
      <c r="I642" s="12"/>
      <c r="J642" s="12"/>
      <c r="K642" s="12"/>
      <c r="L642" s="12"/>
      <c r="M642" s="12"/>
      <c r="N642" s="12"/>
      <c r="O642" s="12"/>
      <c r="P642" s="12"/>
      <c r="Q642" s="12"/>
      <c r="R642" s="12"/>
      <c r="S642" s="12"/>
      <c r="T642" s="12"/>
      <c r="U642" s="12"/>
    </row>
    <row r="643">
      <c r="A643" s="12" t="s">
        <v>101</v>
      </c>
      <c r="B643" s="12"/>
      <c r="C643" s="12"/>
      <c r="D643" s="12"/>
      <c r="E643" s="12"/>
      <c r="F643" s="12"/>
      <c r="G643" s="12"/>
      <c r="H643" s="12"/>
      <c r="I643" s="12"/>
      <c r="J643" s="12"/>
      <c r="K643" s="12"/>
      <c r="L643" s="12"/>
      <c r="M643" s="12"/>
      <c r="N643" s="12"/>
      <c r="O643" s="12"/>
      <c r="P643" s="12"/>
      <c r="Q643" s="12"/>
      <c r="R643" s="12"/>
      <c r="S643" s="12"/>
      <c r="T643" s="12"/>
      <c r="U643" s="12"/>
    </row>
    <row r="644">
      <c r="A644" s="12" t="s">
        <v>101</v>
      </c>
      <c r="B644" s="12"/>
      <c r="C644" s="12"/>
      <c r="D644" s="12"/>
      <c r="E644" s="12"/>
      <c r="F644" s="12"/>
      <c r="G644" s="12"/>
      <c r="H644" s="12"/>
      <c r="I644" s="12"/>
      <c r="J644" s="12"/>
      <c r="K644" s="12"/>
      <c r="L644" s="12"/>
      <c r="M644" s="12"/>
      <c r="N644" s="12"/>
      <c r="O644" s="12"/>
      <c r="P644" s="12"/>
      <c r="Q644" s="12"/>
      <c r="R644" s="12"/>
      <c r="S644" s="12"/>
      <c r="T644" s="12"/>
      <c r="U644" s="12"/>
    </row>
    <row r="645">
      <c r="A645" s="12" t="s">
        <v>101</v>
      </c>
      <c r="B645" s="12"/>
      <c r="C645" s="12"/>
      <c r="D645" s="12"/>
      <c r="E645" s="12"/>
      <c r="F645" s="12"/>
      <c r="G645" s="12"/>
      <c r="H645" s="12"/>
      <c r="I645" s="12"/>
      <c r="J645" s="12"/>
      <c r="K645" s="12"/>
      <c r="L645" s="12"/>
      <c r="M645" s="12"/>
      <c r="N645" s="12"/>
      <c r="O645" s="12"/>
      <c r="P645" s="12"/>
      <c r="Q645" s="12"/>
      <c r="R645" s="12"/>
      <c r="S645" s="12"/>
      <c r="T645" s="12"/>
      <c r="U645" s="12"/>
    </row>
    <row r="646">
      <c r="A646" s="12" t="s">
        <v>101</v>
      </c>
      <c r="B646" s="12"/>
      <c r="C646" s="12"/>
      <c r="D646" s="12"/>
      <c r="E646" s="12"/>
      <c r="F646" s="12"/>
      <c r="G646" s="12"/>
      <c r="H646" s="12"/>
      <c r="I646" s="12"/>
      <c r="J646" s="12"/>
      <c r="K646" s="12"/>
      <c r="L646" s="12"/>
      <c r="M646" s="12"/>
      <c r="N646" s="12"/>
      <c r="O646" s="12"/>
      <c r="P646" s="12"/>
      <c r="Q646" s="12"/>
      <c r="R646" s="12"/>
      <c r="S646" s="12"/>
      <c r="T646" s="12"/>
      <c r="U646" s="12"/>
    </row>
    <row r="647">
      <c r="A647" s="12" t="s">
        <v>101</v>
      </c>
      <c r="B647" s="12"/>
      <c r="C647" s="12"/>
      <c r="D647" s="12"/>
      <c r="E647" s="12"/>
      <c r="F647" s="12"/>
      <c r="G647" s="12"/>
      <c r="H647" s="12"/>
      <c r="I647" s="12"/>
      <c r="J647" s="12"/>
      <c r="K647" s="12"/>
      <c r="L647" s="12"/>
      <c r="M647" s="12"/>
      <c r="N647" s="12"/>
      <c r="O647" s="12"/>
      <c r="P647" s="12"/>
      <c r="Q647" s="12"/>
      <c r="R647" s="12"/>
      <c r="S647" s="12"/>
      <c r="T647" s="12"/>
      <c r="U647" s="12"/>
    </row>
    <row r="648">
      <c r="A648" s="12" t="s">
        <v>101</v>
      </c>
      <c r="B648" s="12"/>
      <c r="C648" s="12"/>
      <c r="D648" s="12"/>
      <c r="E648" s="12"/>
      <c r="F648" s="12"/>
      <c r="G648" s="12"/>
      <c r="H648" s="12"/>
      <c r="I648" s="12"/>
      <c r="J648" s="12"/>
      <c r="K648" s="12"/>
      <c r="L648" s="12"/>
      <c r="M648" s="12"/>
      <c r="N648" s="12"/>
      <c r="O648" s="12"/>
      <c r="P648" s="12"/>
      <c r="Q648" s="12"/>
      <c r="R648" s="12"/>
      <c r="S648" s="12"/>
      <c r="T648" s="12"/>
      <c r="U648" s="12"/>
    </row>
    <row r="649">
      <c r="A649" s="12" t="s">
        <v>101</v>
      </c>
      <c r="B649" s="12"/>
      <c r="C649" s="12"/>
      <c r="D649" s="12"/>
      <c r="E649" s="12"/>
      <c r="F649" s="12"/>
      <c r="G649" s="12"/>
      <c r="H649" s="12"/>
      <c r="I649" s="12"/>
      <c r="J649" s="12"/>
      <c r="K649" s="12"/>
      <c r="L649" s="12"/>
      <c r="M649" s="12"/>
      <c r="N649" s="12"/>
      <c r="O649" s="12"/>
      <c r="P649" s="12"/>
      <c r="Q649" s="12"/>
      <c r="R649" s="12"/>
      <c r="S649" s="12"/>
      <c r="T649" s="12"/>
      <c r="U649" s="12"/>
    </row>
    <row r="650">
      <c r="A650" s="12" t="s">
        <v>101</v>
      </c>
      <c r="B650" s="12"/>
      <c r="C650" s="12"/>
      <c r="D650" s="12"/>
      <c r="E650" s="12"/>
      <c r="F650" s="12"/>
      <c r="G650" s="12"/>
      <c r="H650" s="12"/>
      <c r="I650" s="12"/>
      <c r="J650" s="12"/>
      <c r="K650" s="12"/>
      <c r="L650" s="12"/>
      <c r="M650" s="12"/>
      <c r="N650" s="12"/>
      <c r="O650" s="12"/>
      <c r="P650" s="12"/>
      <c r="Q650" s="12"/>
      <c r="R650" s="12"/>
      <c r="S650" s="12"/>
      <c r="T650" s="12"/>
      <c r="U650" s="12"/>
    </row>
    <row r="651">
      <c r="A651" s="12" t="s">
        <v>101</v>
      </c>
      <c r="B651" s="12"/>
      <c r="C651" s="12"/>
      <c r="D651" s="12"/>
      <c r="E651" s="12"/>
      <c r="F651" s="12"/>
      <c r="G651" s="12"/>
      <c r="H651" s="12"/>
      <c r="I651" s="12"/>
      <c r="J651" s="12"/>
      <c r="K651" s="12"/>
      <c r="L651" s="12"/>
      <c r="M651" s="12"/>
      <c r="N651" s="12"/>
      <c r="O651" s="12"/>
      <c r="P651" s="12"/>
      <c r="Q651" s="12"/>
      <c r="R651" s="12"/>
      <c r="S651" s="12"/>
      <c r="T651" s="12"/>
      <c r="U651" s="12"/>
    </row>
    <row r="652">
      <c r="A652" s="12" t="s">
        <v>101</v>
      </c>
      <c r="B652" s="12"/>
      <c r="C652" s="12"/>
      <c r="D652" s="12"/>
      <c r="E652" s="12"/>
      <c r="F652" s="12"/>
      <c r="G652" s="12"/>
      <c r="H652" s="12"/>
      <c r="I652" s="12"/>
      <c r="J652" s="12"/>
      <c r="K652" s="12"/>
      <c r="L652" s="12"/>
      <c r="M652" s="12"/>
      <c r="N652" s="12"/>
      <c r="O652" s="12"/>
      <c r="P652" s="12"/>
      <c r="Q652" s="12"/>
      <c r="R652" s="12"/>
      <c r="S652" s="12"/>
      <c r="T652" s="12"/>
      <c r="U652" s="12"/>
    </row>
    <row r="653">
      <c r="A653" s="12" t="s">
        <v>101</v>
      </c>
      <c r="B653" s="12"/>
      <c r="C653" s="12"/>
      <c r="D653" s="12"/>
      <c r="E653" s="12"/>
      <c r="F653" s="12"/>
      <c r="G653" s="12"/>
      <c r="H653" s="12"/>
      <c r="I653" s="12"/>
      <c r="J653" s="12"/>
      <c r="K653" s="12"/>
      <c r="L653" s="12"/>
      <c r="M653" s="12"/>
      <c r="N653" s="12"/>
      <c r="O653" s="12"/>
      <c r="P653" s="12"/>
      <c r="Q653" s="12"/>
      <c r="R653" s="12"/>
      <c r="S653" s="12"/>
      <c r="T653" s="12"/>
      <c r="U653" s="12"/>
    </row>
    <row r="654">
      <c r="A654" s="12" t="s">
        <v>101</v>
      </c>
      <c r="B654" s="12"/>
      <c r="C654" s="12"/>
      <c r="D654" s="12"/>
      <c r="E654" s="12"/>
      <c r="F654" s="12"/>
      <c r="G654" s="12"/>
      <c r="H654" s="12"/>
      <c r="I654" s="12"/>
      <c r="J654" s="12"/>
      <c r="K654" s="12"/>
      <c r="L654" s="12"/>
      <c r="M654" s="12"/>
      <c r="N654" s="12"/>
      <c r="O654" s="12"/>
      <c r="P654" s="12"/>
      <c r="Q654" s="12"/>
      <c r="R654" s="12"/>
      <c r="S654" s="12"/>
      <c r="T654" s="12"/>
      <c r="U654" s="12"/>
    </row>
    <row r="655">
      <c r="A655" s="12" t="s">
        <v>101</v>
      </c>
      <c r="B655" s="12"/>
      <c r="C655" s="12"/>
      <c r="D655" s="12"/>
      <c r="E655" s="12"/>
      <c r="F655" s="12"/>
      <c r="G655" s="12"/>
      <c r="H655" s="12"/>
      <c r="I655" s="12"/>
      <c r="J655" s="12"/>
      <c r="K655" s="12"/>
      <c r="L655" s="12"/>
      <c r="M655" s="12"/>
      <c r="N655" s="12"/>
      <c r="O655" s="12"/>
      <c r="P655" s="12"/>
      <c r="Q655" s="12"/>
      <c r="R655" s="12"/>
      <c r="S655" s="12"/>
      <c r="T655" s="12"/>
      <c r="U655" s="12"/>
    </row>
    <row r="656">
      <c r="A656" s="12" t="s">
        <v>101</v>
      </c>
      <c r="B656" s="12"/>
      <c r="C656" s="12"/>
      <c r="D656" s="12"/>
      <c r="E656" s="12"/>
      <c r="F656" s="12"/>
      <c r="G656" s="12"/>
      <c r="H656" s="12"/>
      <c r="I656" s="12"/>
      <c r="J656" s="12"/>
      <c r="K656" s="12"/>
      <c r="L656" s="12"/>
      <c r="M656" s="12"/>
      <c r="N656" s="12"/>
      <c r="O656" s="12"/>
      <c r="P656" s="12"/>
      <c r="Q656" s="12"/>
      <c r="R656" s="12"/>
      <c r="S656" s="12"/>
      <c r="T656" s="12"/>
      <c r="U656" s="12"/>
    </row>
    <row r="657">
      <c r="A657" s="12" t="s">
        <v>101</v>
      </c>
      <c r="B657" s="12"/>
      <c r="C657" s="12"/>
      <c r="D657" s="12"/>
      <c r="E657" s="12"/>
      <c r="F657" s="12"/>
      <c r="G657" s="12"/>
      <c r="H657" s="12"/>
      <c r="I657" s="12"/>
      <c r="J657" s="12"/>
      <c r="K657" s="12"/>
      <c r="L657" s="12"/>
      <c r="M657" s="12"/>
      <c r="N657" s="12"/>
      <c r="O657" s="12"/>
      <c r="P657" s="12"/>
      <c r="Q657" s="12"/>
      <c r="R657" s="12"/>
      <c r="S657" s="12"/>
      <c r="T657" s="12"/>
      <c r="U657" s="12"/>
    </row>
    <row r="658">
      <c r="A658" s="12" t="s">
        <v>101</v>
      </c>
      <c r="B658" s="12"/>
      <c r="C658" s="12"/>
      <c r="D658" s="12"/>
      <c r="E658" s="12"/>
      <c r="F658" s="12"/>
      <c r="G658" s="12"/>
      <c r="H658" s="12"/>
      <c r="I658" s="12"/>
      <c r="J658" s="12"/>
      <c r="K658" s="12"/>
      <c r="L658" s="12"/>
      <c r="M658" s="12"/>
      <c r="N658" s="12"/>
      <c r="O658" s="12"/>
      <c r="P658" s="12"/>
      <c r="Q658" s="12"/>
      <c r="R658" s="12"/>
      <c r="S658" s="12"/>
      <c r="T658" s="12"/>
      <c r="U658" s="12"/>
    </row>
    <row r="659">
      <c r="A659" s="12" t="s">
        <v>101</v>
      </c>
      <c r="B659" s="12"/>
      <c r="C659" s="12"/>
      <c r="D659" s="12"/>
      <c r="E659" s="12"/>
      <c r="F659" s="12"/>
      <c r="G659" s="12"/>
      <c r="H659" s="12"/>
      <c r="I659" s="12"/>
      <c r="J659" s="12"/>
      <c r="K659" s="12"/>
      <c r="L659" s="12"/>
      <c r="M659" s="12"/>
      <c r="N659" s="12"/>
      <c r="O659" s="12"/>
      <c r="P659" s="12"/>
      <c r="Q659" s="12"/>
      <c r="R659" s="12"/>
      <c r="S659" s="12"/>
      <c r="T659" s="12"/>
      <c r="U659" s="12"/>
    </row>
    <row r="660">
      <c r="A660" s="12" t="s">
        <v>101</v>
      </c>
      <c r="B660" s="12"/>
      <c r="C660" s="12"/>
      <c r="D660" s="12"/>
      <c r="E660" s="12"/>
      <c r="F660" s="12"/>
      <c r="G660" s="12"/>
      <c r="H660" s="12"/>
      <c r="I660" s="12"/>
      <c r="J660" s="12"/>
      <c r="K660" s="12"/>
      <c r="L660" s="12"/>
      <c r="M660" s="12"/>
      <c r="N660" s="12"/>
      <c r="O660" s="12"/>
      <c r="P660" s="12"/>
      <c r="Q660" s="12"/>
      <c r="R660" s="12"/>
      <c r="S660" s="12"/>
      <c r="T660" s="12"/>
      <c r="U660" s="12"/>
    </row>
    <row r="661">
      <c r="A661" s="12" t="s">
        <v>101</v>
      </c>
      <c r="B661" s="12"/>
      <c r="C661" s="12"/>
      <c r="D661" s="12"/>
      <c r="E661" s="12"/>
      <c r="F661" s="12"/>
      <c r="G661" s="12"/>
      <c r="H661" s="12"/>
      <c r="I661" s="12"/>
      <c r="J661" s="12"/>
      <c r="K661" s="12"/>
      <c r="L661" s="12"/>
      <c r="M661" s="12"/>
      <c r="N661" s="12"/>
      <c r="O661" s="12"/>
      <c r="P661" s="12"/>
      <c r="Q661" s="12"/>
      <c r="R661" s="12"/>
      <c r="S661" s="12"/>
      <c r="T661" s="12"/>
      <c r="U661" s="12"/>
    </row>
    <row r="662">
      <c r="A662" s="12" t="s">
        <v>101</v>
      </c>
      <c r="B662" s="12"/>
      <c r="C662" s="12"/>
      <c r="D662" s="12"/>
      <c r="E662" s="12"/>
      <c r="F662" s="12"/>
      <c r="G662" s="12"/>
      <c r="H662" s="12"/>
      <c r="I662" s="12"/>
      <c r="J662" s="12"/>
      <c r="K662" s="12"/>
      <c r="L662" s="12"/>
      <c r="M662" s="12"/>
      <c r="N662" s="12"/>
      <c r="O662" s="12"/>
      <c r="P662" s="12"/>
      <c r="Q662" s="12"/>
      <c r="R662" s="12"/>
      <c r="S662" s="12"/>
      <c r="T662" s="12"/>
      <c r="U662" s="12"/>
    </row>
    <row r="663">
      <c r="A663" s="12" t="s">
        <v>101</v>
      </c>
      <c r="B663" s="12"/>
      <c r="C663" s="12"/>
      <c r="D663" s="12"/>
      <c r="E663" s="12"/>
      <c r="F663" s="12"/>
      <c r="G663" s="12"/>
      <c r="H663" s="12"/>
      <c r="I663" s="12"/>
      <c r="J663" s="12"/>
      <c r="K663" s="12"/>
      <c r="L663" s="12"/>
      <c r="M663" s="12"/>
      <c r="N663" s="12"/>
      <c r="O663" s="12"/>
      <c r="P663" s="12"/>
      <c r="Q663" s="12"/>
      <c r="R663" s="12"/>
      <c r="S663" s="12"/>
      <c r="T663" s="12"/>
      <c r="U663" s="12"/>
    </row>
    <row r="664">
      <c r="A664" s="12" t="s">
        <v>101</v>
      </c>
      <c r="B664" s="12"/>
      <c r="C664" s="12"/>
      <c r="D664" s="12"/>
      <c r="E664" s="12"/>
      <c r="F664" s="12"/>
      <c r="G664" s="12"/>
      <c r="H664" s="12"/>
      <c r="I664" s="12"/>
      <c r="J664" s="12"/>
      <c r="K664" s="12"/>
      <c r="L664" s="12"/>
      <c r="M664" s="12"/>
      <c r="N664" s="12"/>
      <c r="O664" s="12"/>
      <c r="P664" s="12"/>
      <c r="Q664" s="12"/>
      <c r="R664" s="12"/>
      <c r="S664" s="12"/>
      <c r="T664" s="12"/>
      <c r="U664" s="12"/>
    </row>
    <row r="665">
      <c r="A665" s="12" t="s">
        <v>101</v>
      </c>
      <c r="B665" s="12"/>
      <c r="C665" s="12"/>
      <c r="D665" s="12"/>
      <c r="E665" s="12"/>
      <c r="F665" s="12"/>
      <c r="G665" s="12"/>
      <c r="H665" s="12"/>
      <c r="I665" s="12"/>
      <c r="J665" s="12"/>
      <c r="K665" s="12"/>
      <c r="L665" s="12"/>
      <c r="M665" s="12"/>
      <c r="N665" s="12"/>
      <c r="O665" s="12"/>
      <c r="P665" s="12"/>
      <c r="Q665" s="12"/>
      <c r="R665" s="12"/>
      <c r="S665" s="12"/>
      <c r="T665" s="12"/>
      <c r="U665" s="12"/>
    </row>
    <row r="666">
      <c r="A666" s="12" t="s">
        <v>101</v>
      </c>
      <c r="B666" s="12"/>
      <c r="C666" s="12"/>
      <c r="D666" s="12"/>
      <c r="E666" s="12"/>
      <c r="F666" s="12"/>
      <c r="G666" s="12"/>
      <c r="H666" s="12"/>
      <c r="I666" s="12"/>
      <c r="J666" s="12"/>
      <c r="K666" s="12"/>
      <c r="L666" s="12"/>
      <c r="M666" s="12"/>
      <c r="N666" s="12"/>
      <c r="O666" s="12"/>
      <c r="P666" s="12"/>
      <c r="Q666" s="12"/>
      <c r="R666" s="12"/>
      <c r="S666" s="12"/>
      <c r="T666" s="12"/>
      <c r="U666" s="12"/>
    </row>
    <row r="667">
      <c r="A667" s="12" t="s">
        <v>101</v>
      </c>
      <c r="B667" s="12"/>
      <c r="C667" s="12"/>
      <c r="D667" s="12"/>
      <c r="E667" s="12"/>
      <c r="F667" s="12"/>
      <c r="G667" s="12"/>
      <c r="H667" s="12"/>
      <c r="I667" s="12"/>
      <c r="J667" s="12"/>
      <c r="K667" s="12"/>
      <c r="L667" s="12"/>
      <c r="M667" s="12"/>
      <c r="N667" s="12"/>
      <c r="O667" s="12"/>
      <c r="P667" s="12"/>
      <c r="Q667" s="12"/>
      <c r="R667" s="12"/>
      <c r="S667" s="12"/>
      <c r="T667" s="12"/>
      <c r="U667" s="12"/>
    </row>
    <row r="668">
      <c r="A668" s="12" t="s">
        <v>101</v>
      </c>
      <c r="B668" s="12"/>
      <c r="C668" s="12"/>
      <c r="D668" s="12"/>
      <c r="E668" s="12"/>
      <c r="F668" s="12"/>
      <c r="G668" s="12"/>
      <c r="H668" s="12"/>
      <c r="I668" s="12"/>
      <c r="J668" s="12"/>
      <c r="K668" s="12"/>
      <c r="L668" s="12"/>
      <c r="M668" s="12"/>
      <c r="N668" s="12"/>
      <c r="O668" s="12"/>
      <c r="P668" s="12"/>
      <c r="Q668" s="12"/>
      <c r="R668" s="12"/>
      <c r="S668" s="12"/>
      <c r="T668" s="12"/>
      <c r="U668" s="12"/>
    </row>
    <row r="669">
      <c r="A669" s="12" t="s">
        <v>101</v>
      </c>
      <c r="B669" s="12"/>
      <c r="C669" s="12"/>
      <c r="D669" s="12"/>
      <c r="E669" s="12"/>
      <c r="F669" s="12"/>
      <c r="G669" s="12"/>
      <c r="H669" s="12"/>
      <c r="I669" s="12"/>
      <c r="J669" s="12"/>
      <c r="K669" s="12"/>
      <c r="L669" s="12"/>
      <c r="M669" s="12"/>
      <c r="N669" s="12"/>
      <c r="O669" s="12"/>
      <c r="P669" s="12"/>
      <c r="Q669" s="12"/>
      <c r="R669" s="12"/>
      <c r="S669" s="12"/>
      <c r="T669" s="12"/>
      <c r="U669" s="12"/>
    </row>
    <row r="670">
      <c r="A670" s="12" t="s">
        <v>101</v>
      </c>
      <c r="B670" s="12"/>
      <c r="C670" s="12"/>
      <c r="D670" s="12"/>
      <c r="E670" s="12"/>
      <c r="F670" s="12"/>
      <c r="G670" s="12"/>
      <c r="H670" s="12"/>
      <c r="I670" s="12"/>
      <c r="J670" s="12"/>
      <c r="K670" s="12"/>
      <c r="L670" s="12"/>
      <c r="M670" s="12"/>
      <c r="N670" s="12"/>
      <c r="O670" s="12"/>
      <c r="P670" s="12"/>
      <c r="Q670" s="12"/>
      <c r="R670" s="12"/>
      <c r="S670" s="12"/>
      <c r="T670" s="12"/>
      <c r="U670" s="12"/>
    </row>
    <row r="671">
      <c r="A671" s="12" t="s">
        <v>101</v>
      </c>
      <c r="B671" s="12"/>
      <c r="C671" s="12"/>
      <c r="D671" s="12"/>
      <c r="E671" s="12"/>
      <c r="F671" s="12"/>
      <c r="G671" s="12"/>
      <c r="H671" s="12"/>
      <c r="I671" s="12"/>
      <c r="J671" s="12"/>
      <c r="K671" s="12"/>
      <c r="L671" s="12"/>
      <c r="M671" s="12"/>
      <c r="N671" s="12"/>
      <c r="O671" s="12"/>
      <c r="P671" s="12"/>
      <c r="Q671" s="12"/>
      <c r="R671" s="12"/>
      <c r="S671" s="12"/>
      <c r="T671" s="12"/>
      <c r="U671" s="12"/>
    </row>
    <row r="672">
      <c r="A672" s="12" t="s">
        <v>101</v>
      </c>
      <c r="B672" s="12"/>
      <c r="C672" s="12"/>
      <c r="D672" s="12"/>
      <c r="E672" s="12"/>
      <c r="F672" s="12"/>
      <c r="G672" s="12"/>
      <c r="H672" s="12"/>
      <c r="I672" s="12"/>
      <c r="J672" s="12"/>
      <c r="K672" s="12"/>
      <c r="L672" s="12"/>
      <c r="M672" s="12"/>
      <c r="N672" s="12"/>
      <c r="O672" s="12"/>
      <c r="P672" s="12"/>
      <c r="Q672" s="12"/>
      <c r="R672" s="12"/>
      <c r="S672" s="12"/>
      <c r="T672" s="12"/>
      <c r="U672" s="12"/>
    </row>
    <row r="673">
      <c r="A673" s="12" t="s">
        <v>101</v>
      </c>
      <c r="B673" s="12"/>
      <c r="C673" s="12"/>
      <c r="D673" s="12"/>
      <c r="E673" s="12"/>
      <c r="F673" s="12"/>
      <c r="G673" s="12"/>
      <c r="H673" s="12"/>
      <c r="I673" s="12"/>
      <c r="J673" s="12"/>
      <c r="K673" s="12"/>
      <c r="L673" s="12"/>
      <c r="M673" s="12"/>
      <c r="N673" s="12"/>
      <c r="O673" s="12"/>
      <c r="P673" s="12"/>
      <c r="Q673" s="12"/>
      <c r="R673" s="12"/>
      <c r="S673" s="12"/>
      <c r="T673" s="12"/>
      <c r="U673" s="12"/>
    </row>
    <row r="674">
      <c r="A674" s="12" t="s">
        <v>101</v>
      </c>
      <c r="B674" s="12"/>
      <c r="C674" s="12"/>
      <c r="D674" s="12"/>
      <c r="E674" s="12"/>
      <c r="F674" s="12"/>
      <c r="G674" s="12"/>
      <c r="H674" s="12"/>
      <c r="I674" s="12"/>
      <c r="J674" s="12"/>
      <c r="K674" s="12"/>
      <c r="L674" s="12"/>
      <c r="M674" s="12"/>
      <c r="N674" s="12"/>
      <c r="O674" s="12"/>
      <c r="P674" s="12"/>
      <c r="Q674" s="12"/>
      <c r="R674" s="12"/>
      <c r="S674" s="12"/>
      <c r="T674" s="12"/>
      <c r="U674" s="12"/>
    </row>
    <row r="675">
      <c r="A675" s="12" t="s">
        <v>101</v>
      </c>
      <c r="B675" s="12"/>
      <c r="C675" s="12"/>
      <c r="D675" s="12"/>
      <c r="E675" s="12"/>
      <c r="F675" s="12"/>
      <c r="G675" s="12"/>
      <c r="H675" s="12"/>
      <c r="I675" s="12"/>
      <c r="J675" s="12"/>
      <c r="K675" s="12"/>
      <c r="L675" s="12"/>
      <c r="M675" s="12"/>
      <c r="N675" s="12"/>
      <c r="O675" s="12"/>
      <c r="P675" s="12"/>
      <c r="Q675" s="12"/>
      <c r="R675" s="12"/>
      <c r="S675" s="12"/>
      <c r="T675" s="12"/>
      <c r="U675" s="12"/>
    </row>
    <row r="676">
      <c r="A676" s="12" t="s">
        <v>101</v>
      </c>
      <c r="B676" s="12"/>
      <c r="C676" s="12"/>
      <c r="D676" s="12"/>
      <c r="E676" s="12"/>
      <c r="F676" s="12"/>
      <c r="G676" s="12"/>
      <c r="H676" s="12"/>
      <c r="I676" s="12"/>
      <c r="J676" s="12"/>
      <c r="K676" s="12"/>
      <c r="L676" s="12"/>
      <c r="M676" s="12"/>
      <c r="N676" s="12"/>
      <c r="O676" s="12"/>
      <c r="P676" s="12"/>
      <c r="Q676" s="12"/>
      <c r="R676" s="12"/>
      <c r="S676" s="12"/>
      <c r="T676" s="12"/>
      <c r="U676" s="12"/>
    </row>
    <row r="677">
      <c r="A677" s="12" t="s">
        <v>101</v>
      </c>
      <c r="B677" s="12"/>
      <c r="C677" s="12"/>
      <c r="D677" s="12"/>
      <c r="E677" s="12"/>
      <c r="F677" s="12"/>
      <c r="G677" s="12"/>
      <c r="H677" s="12"/>
      <c r="I677" s="12"/>
      <c r="J677" s="12"/>
      <c r="K677" s="12"/>
      <c r="L677" s="12"/>
      <c r="M677" s="12"/>
      <c r="N677" s="12"/>
      <c r="O677" s="12"/>
      <c r="P677" s="12"/>
      <c r="Q677" s="12"/>
      <c r="R677" s="12"/>
      <c r="S677" s="12"/>
      <c r="T677" s="12"/>
      <c r="U677" s="12"/>
    </row>
    <row r="678">
      <c r="A678" s="12" t="s">
        <v>101</v>
      </c>
      <c r="B678" s="12"/>
      <c r="C678" s="12"/>
      <c r="D678" s="12"/>
      <c r="E678" s="12"/>
      <c r="F678" s="12"/>
      <c r="G678" s="12"/>
      <c r="H678" s="12"/>
      <c r="I678" s="12"/>
      <c r="J678" s="12"/>
      <c r="K678" s="12"/>
      <c r="L678" s="12"/>
      <c r="M678" s="12"/>
      <c r="N678" s="12"/>
      <c r="O678" s="12"/>
      <c r="P678" s="12"/>
      <c r="Q678" s="12"/>
      <c r="R678" s="12"/>
      <c r="S678" s="12"/>
      <c r="T678" s="12"/>
      <c r="U678" s="12"/>
    </row>
    <row r="679">
      <c r="A679" s="12" t="s">
        <v>101</v>
      </c>
      <c r="B679" s="12"/>
      <c r="C679" s="12"/>
      <c r="D679" s="12"/>
      <c r="E679" s="12"/>
      <c r="F679" s="12"/>
      <c r="G679" s="12"/>
      <c r="H679" s="12"/>
      <c r="I679" s="12"/>
      <c r="J679" s="12"/>
      <c r="K679" s="12"/>
      <c r="L679" s="12"/>
      <c r="M679" s="12"/>
      <c r="N679" s="12"/>
      <c r="O679" s="12"/>
      <c r="P679" s="12"/>
      <c r="Q679" s="12"/>
      <c r="R679" s="12"/>
      <c r="S679" s="12"/>
      <c r="T679" s="12"/>
      <c r="U679" s="12"/>
    </row>
    <row r="680">
      <c r="A680" s="12" t="s">
        <v>101</v>
      </c>
      <c r="B680" s="12"/>
      <c r="C680" s="12"/>
      <c r="D680" s="12"/>
      <c r="E680" s="12"/>
      <c r="F680" s="12"/>
      <c r="G680" s="12"/>
      <c r="H680" s="12"/>
      <c r="I680" s="12"/>
      <c r="J680" s="12"/>
      <c r="K680" s="12"/>
      <c r="L680" s="12"/>
      <c r="M680" s="12"/>
      <c r="N680" s="12"/>
      <c r="O680" s="12"/>
      <c r="P680" s="12"/>
      <c r="Q680" s="12"/>
      <c r="R680" s="12"/>
      <c r="S680" s="12"/>
      <c r="T680" s="12"/>
      <c r="U680" s="12"/>
    </row>
    <row r="681">
      <c r="A681" s="12" t="s">
        <v>101</v>
      </c>
      <c r="B681" s="12"/>
      <c r="C681" s="12"/>
      <c r="D681" s="12"/>
      <c r="E681" s="12"/>
      <c r="F681" s="12"/>
      <c r="G681" s="12"/>
      <c r="H681" s="12"/>
      <c r="I681" s="12"/>
      <c r="J681" s="12"/>
      <c r="K681" s="12"/>
      <c r="L681" s="12"/>
      <c r="M681" s="12"/>
      <c r="N681" s="12"/>
      <c r="O681" s="12"/>
      <c r="P681" s="12"/>
      <c r="Q681" s="12"/>
      <c r="R681" s="12"/>
      <c r="S681" s="12"/>
      <c r="T681" s="12"/>
      <c r="U681" s="12"/>
    </row>
    <row r="682">
      <c r="A682" s="12" t="s">
        <v>101</v>
      </c>
      <c r="B682" s="12"/>
      <c r="C682" s="12"/>
      <c r="D682" s="12"/>
      <c r="E682" s="12"/>
      <c r="F682" s="12"/>
      <c r="G682" s="12"/>
      <c r="H682" s="12"/>
      <c r="I682" s="12"/>
      <c r="J682" s="12"/>
      <c r="K682" s="12"/>
      <c r="L682" s="12"/>
      <c r="M682" s="12"/>
      <c r="N682" s="12"/>
      <c r="O682" s="12"/>
      <c r="P682" s="12"/>
      <c r="Q682" s="12"/>
      <c r="R682" s="12"/>
      <c r="S682" s="12"/>
      <c r="T682" s="12"/>
      <c r="U682" s="12"/>
    </row>
    <row r="683">
      <c r="A683" s="12" t="s">
        <v>101</v>
      </c>
      <c r="B683" s="12"/>
      <c r="C683" s="12"/>
      <c r="D683" s="12"/>
      <c r="E683" s="12"/>
      <c r="F683" s="12"/>
      <c r="G683" s="12"/>
      <c r="H683" s="12"/>
      <c r="I683" s="12"/>
      <c r="J683" s="12"/>
      <c r="K683" s="12"/>
      <c r="L683" s="12"/>
      <c r="M683" s="12"/>
      <c r="N683" s="12"/>
      <c r="O683" s="12"/>
      <c r="P683" s="12"/>
      <c r="Q683" s="12"/>
      <c r="R683" s="12"/>
      <c r="S683" s="12"/>
      <c r="T683" s="12"/>
      <c r="U683" s="12"/>
    </row>
    <row r="684">
      <c r="A684" s="12" t="s">
        <v>101</v>
      </c>
      <c r="B684" s="12"/>
      <c r="C684" s="12"/>
      <c r="D684" s="12"/>
      <c r="E684" s="12"/>
      <c r="F684" s="12"/>
      <c r="G684" s="12"/>
      <c r="H684" s="12"/>
      <c r="I684" s="12"/>
      <c r="J684" s="12"/>
      <c r="K684" s="12"/>
      <c r="L684" s="12"/>
      <c r="M684" s="12"/>
      <c r="N684" s="12"/>
      <c r="O684" s="12"/>
      <c r="P684" s="12"/>
      <c r="Q684" s="12"/>
      <c r="R684" s="12"/>
      <c r="S684" s="12"/>
      <c r="T684" s="12"/>
      <c r="U684" s="12"/>
    </row>
    <row r="685">
      <c r="A685" s="12" t="s">
        <v>101</v>
      </c>
      <c r="B685" s="12"/>
      <c r="C685" s="12"/>
      <c r="D685" s="12"/>
      <c r="E685" s="12"/>
      <c r="F685" s="12"/>
      <c r="G685" s="12"/>
      <c r="H685" s="12"/>
      <c r="I685" s="12"/>
      <c r="J685" s="12"/>
      <c r="K685" s="12"/>
      <c r="L685" s="12"/>
      <c r="M685" s="12"/>
      <c r="N685" s="12"/>
      <c r="O685" s="12"/>
      <c r="P685" s="12"/>
      <c r="Q685" s="12"/>
      <c r="R685" s="12"/>
      <c r="S685" s="12"/>
      <c r="T685" s="12"/>
      <c r="U685" s="12"/>
    </row>
    <row r="686">
      <c r="A686" s="12" t="s">
        <v>101</v>
      </c>
      <c r="B686" s="12"/>
      <c r="C686" s="12"/>
      <c r="D686" s="12"/>
      <c r="E686" s="12"/>
      <c r="F686" s="12"/>
      <c r="G686" s="12"/>
      <c r="H686" s="12"/>
      <c r="I686" s="12"/>
      <c r="J686" s="12"/>
      <c r="K686" s="12"/>
      <c r="L686" s="12"/>
      <c r="M686" s="12"/>
      <c r="N686" s="12"/>
      <c r="O686" s="12"/>
      <c r="P686" s="12"/>
      <c r="Q686" s="12"/>
      <c r="R686" s="12"/>
      <c r="S686" s="12"/>
      <c r="T686" s="12"/>
      <c r="U686" s="12"/>
    </row>
    <row r="687">
      <c r="A687" s="12" t="s">
        <v>101</v>
      </c>
      <c r="B687" s="12"/>
      <c r="C687" s="12"/>
      <c r="D687" s="12"/>
      <c r="E687" s="12"/>
      <c r="F687" s="12"/>
      <c r="G687" s="12"/>
      <c r="H687" s="12"/>
      <c r="I687" s="12"/>
      <c r="J687" s="12"/>
      <c r="K687" s="12"/>
      <c r="L687" s="12"/>
      <c r="M687" s="12"/>
      <c r="N687" s="12"/>
      <c r="O687" s="12"/>
      <c r="P687" s="12"/>
      <c r="Q687" s="12"/>
      <c r="R687" s="12"/>
      <c r="S687" s="12"/>
      <c r="T687" s="12"/>
      <c r="U687" s="12"/>
    </row>
    <row r="688">
      <c r="A688" s="12" t="s">
        <v>101</v>
      </c>
      <c r="B688" s="12"/>
      <c r="C688" s="12"/>
      <c r="D688" s="12"/>
      <c r="E688" s="12"/>
      <c r="F688" s="12"/>
      <c r="G688" s="12"/>
      <c r="H688" s="12"/>
      <c r="I688" s="12"/>
      <c r="J688" s="12"/>
      <c r="K688" s="12"/>
      <c r="L688" s="12"/>
      <c r="M688" s="12"/>
      <c r="N688" s="12"/>
      <c r="O688" s="12"/>
      <c r="P688" s="12"/>
      <c r="Q688" s="12"/>
      <c r="R688" s="12"/>
      <c r="S688" s="12"/>
      <c r="T688" s="12"/>
      <c r="U688" s="12"/>
    </row>
    <row r="689">
      <c r="A689" s="12" t="s">
        <v>101</v>
      </c>
      <c r="B689" s="12"/>
      <c r="C689" s="12"/>
      <c r="D689" s="12"/>
      <c r="E689" s="12"/>
      <c r="F689" s="12"/>
      <c r="G689" s="12"/>
      <c r="H689" s="12"/>
      <c r="I689" s="12"/>
      <c r="J689" s="12"/>
      <c r="K689" s="12"/>
      <c r="L689" s="12"/>
      <c r="M689" s="12"/>
      <c r="N689" s="12"/>
      <c r="O689" s="12"/>
      <c r="P689" s="12"/>
      <c r="Q689" s="12"/>
      <c r="R689" s="12"/>
      <c r="S689" s="12"/>
      <c r="T689" s="12"/>
      <c r="U689" s="12"/>
    </row>
    <row r="690">
      <c r="A690" s="12" t="s">
        <v>101</v>
      </c>
      <c r="B690" s="12"/>
      <c r="C690" s="12"/>
      <c r="D690" s="12"/>
      <c r="E690" s="12"/>
      <c r="F690" s="12"/>
      <c r="G690" s="12"/>
      <c r="H690" s="12"/>
      <c r="I690" s="12"/>
      <c r="J690" s="12"/>
      <c r="K690" s="12"/>
      <c r="L690" s="12"/>
      <c r="M690" s="12"/>
      <c r="N690" s="12"/>
      <c r="O690" s="12"/>
      <c r="P690" s="12"/>
      <c r="Q690" s="12"/>
      <c r="R690" s="12"/>
      <c r="S690" s="12"/>
      <c r="T690" s="12"/>
      <c r="U690" s="12"/>
    </row>
    <row r="691">
      <c r="A691" s="12" t="s">
        <v>101</v>
      </c>
      <c r="B691" s="12"/>
      <c r="C691" s="12"/>
      <c r="D691" s="12"/>
      <c r="E691" s="12"/>
      <c r="F691" s="12"/>
      <c r="G691" s="12"/>
      <c r="H691" s="12"/>
      <c r="I691" s="12"/>
      <c r="J691" s="12"/>
      <c r="K691" s="12"/>
      <c r="L691" s="12"/>
      <c r="M691" s="12"/>
      <c r="N691" s="12"/>
      <c r="O691" s="12"/>
      <c r="P691" s="12"/>
      <c r="Q691" s="12"/>
      <c r="R691" s="12"/>
      <c r="S691" s="12"/>
      <c r="T691" s="12"/>
      <c r="U691" s="12"/>
    </row>
    <row r="692">
      <c r="A692" s="12" t="s">
        <v>101</v>
      </c>
      <c r="B692" s="12"/>
      <c r="C692" s="12"/>
      <c r="D692" s="12"/>
      <c r="E692" s="12"/>
      <c r="F692" s="12"/>
      <c r="G692" s="12"/>
      <c r="H692" s="12"/>
      <c r="I692" s="12"/>
      <c r="J692" s="12"/>
      <c r="K692" s="12"/>
      <c r="L692" s="12"/>
      <c r="M692" s="12"/>
      <c r="N692" s="12"/>
      <c r="O692" s="12"/>
      <c r="P692" s="12"/>
      <c r="Q692" s="12"/>
      <c r="R692" s="12"/>
      <c r="S692" s="12"/>
      <c r="T692" s="12"/>
      <c r="U692" s="12"/>
    </row>
    <row r="693">
      <c r="A693" s="12" t="s">
        <v>101</v>
      </c>
      <c r="B693" s="12"/>
      <c r="C693" s="12"/>
      <c r="D693" s="12"/>
      <c r="E693" s="12"/>
      <c r="F693" s="12"/>
      <c r="G693" s="12"/>
      <c r="H693" s="12"/>
      <c r="I693" s="12"/>
      <c r="J693" s="12"/>
      <c r="K693" s="12"/>
      <c r="L693" s="12"/>
      <c r="M693" s="12"/>
      <c r="N693" s="12"/>
      <c r="O693" s="12"/>
      <c r="P693" s="12"/>
      <c r="Q693" s="12"/>
      <c r="R693" s="12"/>
      <c r="S693" s="12"/>
      <c r="T693" s="12"/>
      <c r="U693" s="12"/>
    </row>
    <row r="694">
      <c r="A694" s="12" t="s">
        <v>101</v>
      </c>
      <c r="B694" s="12"/>
      <c r="C694" s="12"/>
      <c r="D694" s="12"/>
      <c r="E694" s="12"/>
      <c r="F694" s="12"/>
      <c r="G694" s="12"/>
      <c r="H694" s="12"/>
      <c r="I694" s="12"/>
      <c r="J694" s="12"/>
      <c r="K694" s="12"/>
      <c r="L694" s="12"/>
      <c r="M694" s="12"/>
      <c r="N694" s="12"/>
      <c r="O694" s="12"/>
      <c r="P694" s="12"/>
      <c r="Q694" s="12"/>
      <c r="R694" s="12"/>
      <c r="S694" s="12"/>
      <c r="T694" s="12"/>
      <c r="U694" s="12"/>
    </row>
    <row r="695">
      <c r="A695" s="12" t="s">
        <v>101</v>
      </c>
      <c r="B695" s="12"/>
      <c r="C695" s="12"/>
      <c r="D695" s="12"/>
      <c r="E695" s="12"/>
      <c r="F695" s="12"/>
      <c r="G695" s="12"/>
      <c r="H695" s="12"/>
      <c r="I695" s="12"/>
      <c r="J695" s="12"/>
      <c r="K695" s="12"/>
      <c r="L695" s="12"/>
      <c r="M695" s="12"/>
      <c r="N695" s="12"/>
      <c r="O695" s="12"/>
      <c r="P695" s="12"/>
      <c r="Q695" s="12"/>
      <c r="R695" s="12"/>
      <c r="S695" s="12"/>
      <c r="T695" s="12"/>
      <c r="U695" s="12"/>
    </row>
    <row r="696">
      <c r="A696" s="12" t="s">
        <v>101</v>
      </c>
      <c r="B696" s="12"/>
      <c r="C696" s="12"/>
      <c r="D696" s="12"/>
      <c r="E696" s="12"/>
      <c r="F696" s="12"/>
      <c r="G696" s="12"/>
      <c r="H696" s="12"/>
      <c r="I696" s="12"/>
      <c r="J696" s="12"/>
      <c r="K696" s="12"/>
      <c r="L696" s="12"/>
      <c r="M696" s="12"/>
      <c r="N696" s="12"/>
      <c r="O696" s="12"/>
      <c r="P696" s="12"/>
      <c r="Q696" s="12"/>
      <c r="R696" s="12"/>
      <c r="S696" s="12"/>
      <c r="T696" s="12"/>
      <c r="U696" s="12"/>
    </row>
    <row r="697">
      <c r="A697" s="12" t="s">
        <v>101</v>
      </c>
      <c r="B697" s="12"/>
      <c r="C697" s="12"/>
      <c r="D697" s="12"/>
      <c r="E697" s="12"/>
      <c r="F697" s="12"/>
      <c r="G697" s="12"/>
      <c r="H697" s="12"/>
      <c r="I697" s="12"/>
      <c r="J697" s="12"/>
      <c r="K697" s="12"/>
      <c r="L697" s="12"/>
      <c r="M697" s="12"/>
      <c r="N697" s="12"/>
      <c r="O697" s="12"/>
      <c r="P697" s="12"/>
      <c r="Q697" s="12"/>
      <c r="R697" s="12"/>
      <c r="S697" s="12"/>
      <c r="T697" s="12"/>
      <c r="U697" s="12"/>
    </row>
    <row r="698">
      <c r="A698" s="12" t="s">
        <v>101</v>
      </c>
      <c r="B698" s="12"/>
      <c r="C698" s="12"/>
      <c r="D698" s="12"/>
      <c r="E698" s="12"/>
      <c r="F698" s="12"/>
      <c r="G698" s="12"/>
      <c r="H698" s="12"/>
      <c r="I698" s="12"/>
      <c r="J698" s="12"/>
      <c r="K698" s="12"/>
      <c r="L698" s="12"/>
      <c r="M698" s="12"/>
      <c r="N698" s="12"/>
      <c r="O698" s="12"/>
      <c r="P698" s="12"/>
      <c r="Q698" s="12"/>
      <c r="R698" s="12"/>
      <c r="S698" s="12"/>
      <c r="T698" s="12"/>
      <c r="U698" s="12"/>
    </row>
    <row r="699">
      <c r="A699" s="12" t="s">
        <v>101</v>
      </c>
      <c r="B699" s="12"/>
      <c r="C699" s="12"/>
      <c r="D699" s="12"/>
      <c r="E699" s="12"/>
      <c r="F699" s="12"/>
      <c r="G699" s="12"/>
      <c r="H699" s="12"/>
      <c r="I699" s="12"/>
      <c r="J699" s="12"/>
      <c r="K699" s="12"/>
      <c r="L699" s="12"/>
      <c r="M699" s="12"/>
      <c r="N699" s="12"/>
      <c r="O699" s="12"/>
      <c r="P699" s="12"/>
      <c r="Q699" s="12"/>
      <c r="R699" s="12"/>
      <c r="S699" s="12"/>
      <c r="T699" s="12"/>
      <c r="U699" s="12"/>
    </row>
    <row r="700">
      <c r="A700" s="12" t="s">
        <v>101</v>
      </c>
      <c r="B700" s="12"/>
      <c r="C700" s="12"/>
      <c r="D700" s="12"/>
      <c r="E700" s="12"/>
      <c r="F700" s="12"/>
      <c r="G700" s="12"/>
      <c r="H700" s="12"/>
      <c r="I700" s="12"/>
      <c r="J700" s="12"/>
      <c r="K700" s="12"/>
      <c r="L700" s="12"/>
      <c r="M700" s="12"/>
      <c r="N700" s="12"/>
      <c r="O700" s="12"/>
      <c r="P700" s="12"/>
      <c r="Q700" s="12"/>
      <c r="R700" s="12"/>
      <c r="S700" s="12"/>
      <c r="T700" s="12"/>
      <c r="U700" s="12"/>
    </row>
    <row r="701">
      <c r="A701" s="12" t="s">
        <v>101</v>
      </c>
      <c r="B701" s="12"/>
      <c r="C701" s="12"/>
      <c r="D701" s="12"/>
      <c r="E701" s="12"/>
      <c r="F701" s="12"/>
      <c r="G701" s="12"/>
      <c r="H701" s="12"/>
      <c r="I701" s="12"/>
      <c r="J701" s="12"/>
      <c r="K701" s="12"/>
      <c r="L701" s="12"/>
      <c r="M701" s="12"/>
      <c r="N701" s="12"/>
      <c r="O701" s="12"/>
      <c r="P701" s="12"/>
      <c r="Q701" s="12"/>
      <c r="R701" s="12"/>
      <c r="S701" s="12"/>
      <c r="T701" s="12"/>
      <c r="U701" s="12"/>
    </row>
    <row r="702">
      <c r="A702" s="12" t="s">
        <v>101</v>
      </c>
      <c r="B702" s="12"/>
      <c r="C702" s="12"/>
      <c r="D702" s="12"/>
      <c r="E702" s="12"/>
      <c r="F702" s="12"/>
      <c r="G702" s="12"/>
      <c r="H702" s="12"/>
      <c r="I702" s="12"/>
      <c r="J702" s="12"/>
      <c r="K702" s="12"/>
      <c r="L702" s="12"/>
      <c r="M702" s="12"/>
      <c r="N702" s="12"/>
      <c r="O702" s="12"/>
      <c r="P702" s="12"/>
      <c r="Q702" s="12"/>
      <c r="R702" s="12"/>
      <c r="S702" s="12"/>
      <c r="T702" s="12"/>
      <c r="U702" s="12"/>
    </row>
    <row r="703">
      <c r="A703" s="12" t="s">
        <v>101</v>
      </c>
      <c r="B703" s="12"/>
      <c r="C703" s="12"/>
      <c r="D703" s="12"/>
      <c r="E703" s="12"/>
      <c r="F703" s="12"/>
      <c r="G703" s="12"/>
      <c r="H703" s="12"/>
      <c r="I703" s="12"/>
      <c r="J703" s="12"/>
      <c r="K703" s="12"/>
      <c r="L703" s="12"/>
      <c r="M703" s="12"/>
      <c r="N703" s="12"/>
      <c r="O703" s="12"/>
      <c r="P703" s="12"/>
      <c r="Q703" s="12"/>
      <c r="R703" s="12"/>
      <c r="S703" s="12"/>
      <c r="T703" s="12"/>
      <c r="U703" s="12"/>
    </row>
    <row r="704">
      <c r="A704" s="12" t="s">
        <v>101</v>
      </c>
      <c r="B704" s="12"/>
      <c r="C704" s="12"/>
      <c r="D704" s="12"/>
      <c r="E704" s="12"/>
      <c r="F704" s="12"/>
      <c r="G704" s="12"/>
      <c r="H704" s="12"/>
      <c r="I704" s="12"/>
      <c r="J704" s="12"/>
      <c r="K704" s="12"/>
      <c r="L704" s="12"/>
      <c r="M704" s="12"/>
      <c r="N704" s="12"/>
      <c r="O704" s="12"/>
      <c r="P704" s="12"/>
      <c r="Q704" s="12"/>
      <c r="R704" s="12"/>
      <c r="S704" s="12"/>
      <c r="T704" s="12"/>
      <c r="U704" s="12"/>
    </row>
    <row r="705">
      <c r="A705" s="12" t="s">
        <v>101</v>
      </c>
      <c r="B705" s="12"/>
      <c r="C705" s="12"/>
      <c r="D705" s="12"/>
      <c r="E705" s="12"/>
      <c r="F705" s="12"/>
      <c r="G705" s="12"/>
      <c r="H705" s="12"/>
      <c r="I705" s="12"/>
      <c r="J705" s="12"/>
      <c r="K705" s="12"/>
      <c r="L705" s="12"/>
      <c r="M705" s="12"/>
      <c r="N705" s="12"/>
      <c r="O705" s="12"/>
      <c r="P705" s="12"/>
      <c r="Q705" s="12"/>
      <c r="R705" s="12"/>
      <c r="S705" s="12"/>
      <c r="T705" s="12"/>
      <c r="U705" s="12"/>
    </row>
    <row r="706">
      <c r="A706" s="12" t="s">
        <v>101</v>
      </c>
      <c r="B706" s="12"/>
      <c r="C706" s="12"/>
      <c r="D706" s="12"/>
      <c r="E706" s="12"/>
      <c r="F706" s="12"/>
      <c r="G706" s="12"/>
      <c r="H706" s="12"/>
      <c r="I706" s="12"/>
      <c r="J706" s="12"/>
      <c r="K706" s="12"/>
      <c r="L706" s="12"/>
      <c r="M706" s="12"/>
      <c r="N706" s="12"/>
      <c r="O706" s="12"/>
      <c r="P706" s="12"/>
      <c r="Q706" s="12"/>
      <c r="R706" s="12"/>
      <c r="S706" s="12"/>
      <c r="T706" s="12"/>
      <c r="U706" s="12"/>
    </row>
    <row r="707">
      <c r="A707" s="12" t="s">
        <v>101</v>
      </c>
      <c r="B707" s="12"/>
      <c r="C707" s="12"/>
      <c r="D707" s="12"/>
      <c r="E707" s="12"/>
      <c r="F707" s="12"/>
      <c r="G707" s="12"/>
      <c r="H707" s="12"/>
      <c r="I707" s="12"/>
      <c r="J707" s="12"/>
      <c r="K707" s="12"/>
      <c r="L707" s="12"/>
      <c r="M707" s="12"/>
      <c r="N707" s="12"/>
      <c r="O707" s="12"/>
      <c r="P707" s="12"/>
      <c r="Q707" s="12"/>
      <c r="R707" s="12"/>
      <c r="S707" s="12"/>
      <c r="T707" s="12"/>
      <c r="U707" s="12"/>
    </row>
    <row r="708">
      <c r="A708" s="12" t="s">
        <v>101</v>
      </c>
      <c r="B708" s="12"/>
      <c r="C708" s="12"/>
      <c r="D708" s="12"/>
      <c r="E708" s="12"/>
      <c r="F708" s="12"/>
      <c r="G708" s="12"/>
      <c r="H708" s="12"/>
      <c r="I708" s="12"/>
      <c r="J708" s="12"/>
      <c r="K708" s="12"/>
      <c r="L708" s="12"/>
      <c r="M708" s="12"/>
      <c r="N708" s="12"/>
      <c r="O708" s="12"/>
      <c r="P708" s="12"/>
      <c r="Q708" s="12"/>
      <c r="R708" s="12"/>
      <c r="S708" s="12"/>
      <c r="T708" s="12"/>
      <c r="U708" s="12"/>
    </row>
    <row r="709">
      <c r="A709" s="12" t="s">
        <v>101</v>
      </c>
      <c r="B709" s="12"/>
      <c r="C709" s="12"/>
      <c r="D709" s="12"/>
      <c r="E709" s="12"/>
      <c r="F709" s="12"/>
      <c r="G709" s="12"/>
      <c r="H709" s="12"/>
      <c r="I709" s="12"/>
      <c r="J709" s="12"/>
      <c r="K709" s="12"/>
      <c r="L709" s="12"/>
      <c r="M709" s="12"/>
      <c r="N709" s="12"/>
      <c r="O709" s="12"/>
      <c r="P709" s="12"/>
      <c r="Q709" s="12"/>
      <c r="R709" s="12"/>
      <c r="S709" s="12"/>
      <c r="T709" s="12"/>
      <c r="U709" s="12"/>
    </row>
    <row r="710">
      <c r="A710" s="12" t="s">
        <v>101</v>
      </c>
      <c r="B710" s="12"/>
      <c r="C710" s="12"/>
      <c r="D710" s="12"/>
      <c r="E710" s="12"/>
      <c r="F710" s="12"/>
      <c r="G710" s="12"/>
      <c r="H710" s="12"/>
      <c r="I710" s="12"/>
      <c r="J710" s="12"/>
      <c r="K710" s="12"/>
      <c r="L710" s="12"/>
      <c r="M710" s="12"/>
      <c r="N710" s="12"/>
      <c r="O710" s="12"/>
      <c r="P710" s="12"/>
      <c r="Q710" s="12"/>
      <c r="R710" s="12"/>
      <c r="S710" s="12"/>
      <c r="T710" s="12"/>
      <c r="U710" s="12"/>
    </row>
    <row r="711">
      <c r="A711" s="12" t="s">
        <v>101</v>
      </c>
      <c r="B711" s="12"/>
      <c r="C711" s="12"/>
      <c r="D711" s="12"/>
      <c r="E711" s="12"/>
      <c r="F711" s="12"/>
      <c r="G711" s="12"/>
      <c r="H711" s="12"/>
      <c r="I711" s="12"/>
      <c r="J711" s="12"/>
      <c r="K711" s="12"/>
      <c r="L711" s="12"/>
      <c r="M711" s="12"/>
      <c r="N711" s="12"/>
      <c r="O711" s="12"/>
      <c r="P711" s="12"/>
      <c r="Q711" s="12"/>
      <c r="R711" s="12"/>
      <c r="S711" s="12"/>
      <c r="T711" s="12"/>
      <c r="U711" s="12"/>
    </row>
    <row r="712">
      <c r="A712" s="12" t="s">
        <v>101</v>
      </c>
      <c r="B712" s="12"/>
      <c r="C712" s="12"/>
      <c r="D712" s="12"/>
      <c r="E712" s="12"/>
      <c r="F712" s="12"/>
      <c r="G712" s="12"/>
      <c r="H712" s="12"/>
      <c r="I712" s="12"/>
      <c r="J712" s="12"/>
      <c r="K712" s="12"/>
      <c r="L712" s="12"/>
      <c r="M712" s="12"/>
      <c r="N712" s="12"/>
      <c r="O712" s="12"/>
      <c r="P712" s="12"/>
      <c r="Q712" s="12"/>
      <c r="R712" s="12"/>
      <c r="S712" s="12"/>
      <c r="T712" s="12"/>
      <c r="U712" s="12"/>
    </row>
    <row r="713">
      <c r="A713" s="12" t="s">
        <v>101</v>
      </c>
      <c r="B713" s="12"/>
      <c r="C713" s="12"/>
      <c r="D713" s="12"/>
      <c r="E713" s="12"/>
      <c r="F713" s="12"/>
      <c r="G713" s="12"/>
      <c r="H713" s="12"/>
      <c r="I713" s="12"/>
      <c r="J713" s="12"/>
      <c r="K713" s="12"/>
      <c r="L713" s="12"/>
      <c r="M713" s="12"/>
      <c r="N713" s="12"/>
      <c r="O713" s="12"/>
      <c r="P713" s="12"/>
      <c r="Q713" s="12"/>
      <c r="R713" s="12"/>
      <c r="S713" s="12"/>
      <c r="T713" s="12"/>
      <c r="U713" s="12"/>
    </row>
    <row r="714">
      <c r="A714" s="12" t="s">
        <v>101</v>
      </c>
      <c r="B714" s="12"/>
      <c r="C714" s="12"/>
      <c r="D714" s="12"/>
      <c r="E714" s="12"/>
      <c r="F714" s="12"/>
      <c r="G714" s="12"/>
      <c r="H714" s="12"/>
      <c r="I714" s="12"/>
      <c r="J714" s="12"/>
      <c r="K714" s="12"/>
      <c r="L714" s="12"/>
      <c r="M714" s="12"/>
      <c r="N714" s="12"/>
      <c r="O714" s="12"/>
      <c r="P714" s="12"/>
      <c r="Q714" s="12"/>
      <c r="R714" s="12"/>
      <c r="S714" s="12"/>
      <c r="T714" s="12"/>
      <c r="U714" s="12"/>
    </row>
    <row r="715">
      <c r="A715" s="12" t="s">
        <v>101</v>
      </c>
      <c r="B715" s="12"/>
      <c r="C715" s="12"/>
      <c r="D715" s="12"/>
      <c r="E715" s="12"/>
      <c r="F715" s="12"/>
      <c r="G715" s="12"/>
      <c r="H715" s="12"/>
      <c r="I715" s="12"/>
      <c r="J715" s="12"/>
      <c r="K715" s="12"/>
      <c r="L715" s="12"/>
      <c r="M715" s="12"/>
      <c r="N715" s="12"/>
      <c r="O715" s="12"/>
      <c r="P715" s="12"/>
      <c r="Q715" s="12"/>
      <c r="R715" s="12"/>
      <c r="S715" s="12"/>
      <c r="T715" s="12"/>
      <c r="U715" s="12"/>
    </row>
    <row r="716">
      <c r="A716" s="12" t="s">
        <v>101</v>
      </c>
      <c r="B716" s="12"/>
      <c r="C716" s="12"/>
      <c r="D716" s="12"/>
      <c r="E716" s="12"/>
      <c r="F716" s="12"/>
      <c r="G716" s="12"/>
      <c r="H716" s="12"/>
      <c r="I716" s="12"/>
      <c r="J716" s="12"/>
      <c r="K716" s="12"/>
      <c r="L716" s="12"/>
      <c r="M716" s="12"/>
      <c r="N716" s="12"/>
      <c r="O716" s="12"/>
      <c r="P716" s="12"/>
      <c r="Q716" s="12"/>
      <c r="R716" s="12"/>
      <c r="S716" s="12"/>
      <c r="T716" s="12"/>
      <c r="U716" s="12"/>
    </row>
    <row r="717">
      <c r="A717" s="12" t="s">
        <v>101</v>
      </c>
      <c r="B717" s="12"/>
      <c r="C717" s="12"/>
      <c r="D717" s="12"/>
      <c r="E717" s="12"/>
      <c r="F717" s="12"/>
      <c r="G717" s="12"/>
      <c r="H717" s="12"/>
      <c r="I717" s="12"/>
      <c r="J717" s="12"/>
      <c r="K717" s="12"/>
      <c r="L717" s="12"/>
      <c r="M717" s="12"/>
      <c r="N717" s="12"/>
      <c r="O717" s="12"/>
      <c r="P717" s="12"/>
      <c r="Q717" s="12"/>
      <c r="R717" s="12"/>
      <c r="S717" s="12"/>
      <c r="T717" s="12"/>
      <c r="U717" s="12"/>
    </row>
    <row r="718">
      <c r="A718" s="12" t="s">
        <v>101</v>
      </c>
      <c r="B718" s="12"/>
      <c r="C718" s="12"/>
      <c r="D718" s="12"/>
      <c r="E718" s="12"/>
      <c r="F718" s="12"/>
      <c r="G718" s="12"/>
      <c r="H718" s="12"/>
      <c r="I718" s="12"/>
      <c r="J718" s="12"/>
      <c r="K718" s="12"/>
      <c r="L718" s="12"/>
      <c r="M718" s="12"/>
      <c r="N718" s="12"/>
      <c r="O718" s="12"/>
      <c r="P718" s="12"/>
      <c r="Q718" s="12"/>
      <c r="R718" s="12"/>
      <c r="S718" s="12"/>
      <c r="T718" s="12"/>
      <c r="U718" s="12"/>
    </row>
    <row r="719">
      <c r="A719" s="12" t="s">
        <v>101</v>
      </c>
      <c r="B719" s="12"/>
      <c r="C719" s="12"/>
      <c r="D719" s="12"/>
      <c r="E719" s="12"/>
      <c r="F719" s="12"/>
      <c r="G719" s="12"/>
      <c r="H719" s="12"/>
      <c r="I719" s="12"/>
      <c r="J719" s="12"/>
      <c r="K719" s="12"/>
      <c r="L719" s="12"/>
      <c r="M719" s="12"/>
      <c r="N719" s="12"/>
      <c r="O719" s="12"/>
      <c r="P719" s="12"/>
      <c r="Q719" s="12"/>
      <c r="R719" s="12"/>
      <c r="S719" s="12"/>
      <c r="T719" s="12"/>
      <c r="U719" s="12"/>
    </row>
    <row r="720">
      <c r="A720" s="12" t="s">
        <v>101</v>
      </c>
      <c r="B720" s="12"/>
      <c r="C720" s="12"/>
      <c r="D720" s="12"/>
      <c r="E720" s="12"/>
      <c r="F720" s="12"/>
      <c r="G720" s="12"/>
      <c r="H720" s="12"/>
      <c r="I720" s="12"/>
      <c r="J720" s="12"/>
      <c r="K720" s="12"/>
      <c r="L720" s="12"/>
      <c r="M720" s="12"/>
      <c r="N720" s="12"/>
      <c r="O720" s="12"/>
      <c r="P720" s="12"/>
      <c r="Q720" s="12"/>
      <c r="R720" s="12"/>
      <c r="S720" s="12"/>
      <c r="T720" s="12"/>
      <c r="U720" s="12"/>
    </row>
    <row r="721">
      <c r="A721" s="12" t="s">
        <v>101</v>
      </c>
      <c r="B721" s="12"/>
      <c r="C721" s="12"/>
      <c r="D721" s="12"/>
      <c r="E721" s="12"/>
      <c r="F721" s="12"/>
      <c r="G721" s="12"/>
      <c r="H721" s="12"/>
      <c r="I721" s="12"/>
      <c r="J721" s="12"/>
      <c r="K721" s="12"/>
      <c r="L721" s="12"/>
      <c r="M721" s="12"/>
      <c r="N721" s="12"/>
      <c r="O721" s="12"/>
      <c r="P721" s="12"/>
      <c r="Q721" s="12"/>
      <c r="R721" s="12"/>
      <c r="S721" s="12"/>
      <c r="T721" s="12"/>
      <c r="U721" s="12"/>
    </row>
    <row r="722">
      <c r="A722" s="12" t="s">
        <v>101</v>
      </c>
      <c r="B722" s="12"/>
      <c r="C722" s="12"/>
      <c r="D722" s="12"/>
      <c r="E722" s="12"/>
      <c r="F722" s="12"/>
      <c r="G722" s="12"/>
      <c r="H722" s="12"/>
      <c r="I722" s="12"/>
      <c r="J722" s="12"/>
      <c r="K722" s="12"/>
      <c r="L722" s="12"/>
      <c r="M722" s="12"/>
      <c r="N722" s="12"/>
      <c r="O722" s="12"/>
      <c r="P722" s="12"/>
      <c r="Q722" s="12"/>
      <c r="R722" s="12"/>
      <c r="S722" s="12"/>
      <c r="T722" s="12"/>
      <c r="U722" s="12"/>
    </row>
    <row r="723">
      <c r="A723" s="12" t="s">
        <v>101</v>
      </c>
      <c r="B723" s="12"/>
      <c r="C723" s="12"/>
      <c r="D723" s="12"/>
      <c r="E723" s="12"/>
      <c r="F723" s="12"/>
      <c r="G723" s="12"/>
      <c r="H723" s="12"/>
      <c r="I723" s="12"/>
      <c r="J723" s="12"/>
      <c r="K723" s="12"/>
      <c r="L723" s="12"/>
      <c r="M723" s="12"/>
      <c r="N723" s="12"/>
      <c r="O723" s="12"/>
      <c r="P723" s="12"/>
      <c r="Q723" s="12"/>
      <c r="R723" s="12"/>
      <c r="S723" s="12"/>
      <c r="T723" s="12"/>
      <c r="U723" s="12"/>
    </row>
    <row r="724">
      <c r="A724" s="12" t="s">
        <v>101</v>
      </c>
      <c r="B724" s="12"/>
      <c r="C724" s="12"/>
      <c r="D724" s="12"/>
      <c r="E724" s="12"/>
      <c r="F724" s="12"/>
      <c r="G724" s="12"/>
      <c r="H724" s="12"/>
      <c r="I724" s="12"/>
      <c r="J724" s="12"/>
      <c r="K724" s="12"/>
      <c r="L724" s="12"/>
      <c r="M724" s="12"/>
      <c r="N724" s="12"/>
      <c r="O724" s="12"/>
      <c r="P724" s="12"/>
      <c r="Q724" s="12"/>
      <c r="R724" s="12"/>
      <c r="S724" s="12"/>
      <c r="T724" s="12"/>
      <c r="U724" s="12"/>
    </row>
    <row r="725">
      <c r="A725" s="12" t="s">
        <v>101</v>
      </c>
      <c r="B725" s="12"/>
      <c r="C725" s="12"/>
      <c r="D725" s="12"/>
      <c r="E725" s="12"/>
      <c r="F725" s="12"/>
      <c r="G725" s="12"/>
      <c r="H725" s="12"/>
      <c r="I725" s="12"/>
      <c r="J725" s="12"/>
      <c r="K725" s="12"/>
      <c r="L725" s="12"/>
      <c r="M725" s="12"/>
      <c r="N725" s="12"/>
      <c r="O725" s="12"/>
      <c r="P725" s="12"/>
      <c r="Q725" s="12"/>
      <c r="R725" s="12"/>
      <c r="S725" s="12"/>
      <c r="T725" s="12"/>
      <c r="U725" s="12"/>
    </row>
    <row r="726">
      <c r="A726" s="12" t="s">
        <v>101</v>
      </c>
      <c r="B726" s="12"/>
      <c r="C726" s="12"/>
      <c r="D726" s="12"/>
      <c r="E726" s="12"/>
      <c r="F726" s="12"/>
      <c r="G726" s="12"/>
      <c r="H726" s="12"/>
      <c r="I726" s="12"/>
      <c r="J726" s="12"/>
      <c r="K726" s="12"/>
      <c r="L726" s="12"/>
      <c r="M726" s="12"/>
      <c r="N726" s="12"/>
      <c r="O726" s="12"/>
      <c r="P726" s="12"/>
      <c r="Q726" s="12"/>
      <c r="R726" s="12"/>
      <c r="S726" s="12"/>
      <c r="T726" s="12"/>
      <c r="U726" s="12"/>
    </row>
    <row r="727">
      <c r="A727" s="12" t="s">
        <v>101</v>
      </c>
      <c r="B727" s="12"/>
      <c r="C727" s="12"/>
      <c r="D727" s="12"/>
      <c r="E727" s="12"/>
      <c r="F727" s="12"/>
      <c r="G727" s="12"/>
      <c r="H727" s="12"/>
      <c r="I727" s="12"/>
      <c r="J727" s="12"/>
      <c r="K727" s="12"/>
      <c r="L727" s="12"/>
      <c r="M727" s="12"/>
      <c r="N727" s="12"/>
      <c r="O727" s="12"/>
      <c r="P727" s="12"/>
      <c r="Q727" s="12"/>
      <c r="R727" s="12"/>
      <c r="S727" s="12"/>
      <c r="T727" s="12"/>
      <c r="U727" s="12"/>
    </row>
    <row r="728">
      <c r="A728" s="12" t="s">
        <v>101</v>
      </c>
      <c r="B728" s="12"/>
      <c r="C728" s="12"/>
      <c r="D728" s="12"/>
      <c r="E728" s="12"/>
      <c r="F728" s="12"/>
      <c r="G728" s="12"/>
      <c r="H728" s="12"/>
      <c r="I728" s="12"/>
      <c r="J728" s="12"/>
      <c r="K728" s="12"/>
      <c r="L728" s="12"/>
      <c r="M728" s="12"/>
      <c r="N728" s="12"/>
      <c r="O728" s="12"/>
      <c r="P728" s="12"/>
      <c r="Q728" s="12"/>
      <c r="R728" s="12"/>
      <c r="S728" s="12"/>
      <c r="T728" s="12"/>
      <c r="U728" s="12"/>
    </row>
    <row r="729">
      <c r="A729" s="12" t="s">
        <v>101</v>
      </c>
      <c r="B729" s="12"/>
      <c r="C729" s="12"/>
      <c r="D729" s="12"/>
      <c r="E729" s="12"/>
      <c r="F729" s="12"/>
      <c r="G729" s="12"/>
      <c r="H729" s="12"/>
      <c r="I729" s="12"/>
      <c r="J729" s="12"/>
      <c r="K729" s="12"/>
      <c r="L729" s="12"/>
      <c r="M729" s="12"/>
      <c r="N729" s="12"/>
      <c r="O729" s="12"/>
      <c r="P729" s="12"/>
      <c r="Q729" s="12"/>
      <c r="R729" s="12"/>
      <c r="S729" s="12"/>
      <c r="T729" s="12"/>
      <c r="U729" s="12"/>
    </row>
    <row r="730">
      <c r="A730" s="12" t="s">
        <v>101</v>
      </c>
      <c r="B730" s="12"/>
      <c r="C730" s="12"/>
      <c r="D730" s="12"/>
      <c r="E730" s="12"/>
      <c r="F730" s="12"/>
      <c r="G730" s="12"/>
      <c r="H730" s="12"/>
      <c r="I730" s="12"/>
      <c r="J730" s="12"/>
      <c r="K730" s="12"/>
      <c r="L730" s="12"/>
      <c r="M730" s="12"/>
      <c r="N730" s="12"/>
      <c r="O730" s="12"/>
      <c r="P730" s="12"/>
      <c r="Q730" s="12"/>
      <c r="R730" s="12"/>
      <c r="S730" s="12"/>
      <c r="T730" s="12"/>
      <c r="U730" s="12"/>
    </row>
    <row r="731">
      <c r="A731" s="12" t="s">
        <v>101</v>
      </c>
      <c r="B731" s="12"/>
      <c r="C731" s="12"/>
      <c r="D731" s="12"/>
      <c r="E731" s="12"/>
      <c r="F731" s="12"/>
      <c r="G731" s="12"/>
      <c r="H731" s="12"/>
      <c r="I731" s="12"/>
      <c r="J731" s="12"/>
      <c r="K731" s="12"/>
      <c r="L731" s="12"/>
      <c r="M731" s="12"/>
      <c r="N731" s="12"/>
      <c r="O731" s="12"/>
      <c r="P731" s="12"/>
      <c r="Q731" s="12"/>
      <c r="R731" s="12"/>
      <c r="S731" s="12"/>
      <c r="T731" s="12"/>
      <c r="U731" s="12"/>
    </row>
    <row r="732">
      <c r="A732" s="12" t="s">
        <v>101</v>
      </c>
      <c r="B732" s="12"/>
      <c r="C732" s="12"/>
      <c r="D732" s="12"/>
      <c r="E732" s="12"/>
      <c r="F732" s="12"/>
      <c r="G732" s="12"/>
      <c r="H732" s="12"/>
      <c r="I732" s="12"/>
      <c r="J732" s="12"/>
      <c r="K732" s="12"/>
      <c r="L732" s="12"/>
      <c r="M732" s="12"/>
      <c r="N732" s="12"/>
      <c r="O732" s="12"/>
      <c r="P732" s="12"/>
      <c r="Q732" s="12"/>
      <c r="R732" s="12"/>
      <c r="S732" s="12"/>
      <c r="T732" s="12"/>
      <c r="U732" s="12"/>
    </row>
    <row r="733">
      <c r="A733" s="12" t="s">
        <v>101</v>
      </c>
      <c r="B733" s="12"/>
      <c r="C733" s="12"/>
      <c r="D733" s="12"/>
      <c r="E733" s="12"/>
      <c r="F733" s="12"/>
      <c r="G733" s="12"/>
      <c r="H733" s="12"/>
      <c r="I733" s="12"/>
      <c r="J733" s="12"/>
      <c r="K733" s="12"/>
      <c r="L733" s="12"/>
      <c r="M733" s="12"/>
      <c r="N733" s="12"/>
      <c r="O733" s="12"/>
      <c r="P733" s="12"/>
      <c r="Q733" s="12"/>
      <c r="R733" s="12"/>
      <c r="S733" s="12"/>
      <c r="T733" s="12"/>
      <c r="U733" s="12"/>
    </row>
    <row r="734">
      <c r="A734" s="12" t="s">
        <v>101</v>
      </c>
      <c r="B734" s="12"/>
      <c r="C734" s="12"/>
      <c r="D734" s="12"/>
      <c r="E734" s="12"/>
      <c r="F734" s="12"/>
      <c r="G734" s="12"/>
      <c r="H734" s="12"/>
      <c r="I734" s="12"/>
      <c r="J734" s="12"/>
      <c r="K734" s="12"/>
      <c r="L734" s="12"/>
      <c r="M734" s="12"/>
      <c r="N734" s="12"/>
      <c r="O734" s="12"/>
      <c r="P734" s="12"/>
      <c r="Q734" s="12"/>
      <c r="R734" s="12"/>
      <c r="S734" s="12"/>
      <c r="T734" s="12"/>
      <c r="U734" s="12"/>
    </row>
    <row r="735">
      <c r="A735" s="12" t="s">
        <v>101</v>
      </c>
      <c r="B735" s="12"/>
      <c r="C735" s="12"/>
      <c r="D735" s="12"/>
      <c r="E735" s="12"/>
      <c r="F735" s="12"/>
      <c r="G735" s="12"/>
      <c r="H735" s="12"/>
      <c r="I735" s="12"/>
      <c r="J735" s="12"/>
      <c r="K735" s="12"/>
      <c r="L735" s="12"/>
      <c r="M735" s="12"/>
      <c r="N735" s="12"/>
      <c r="O735" s="12"/>
      <c r="P735" s="12"/>
      <c r="Q735" s="12"/>
      <c r="R735" s="12"/>
      <c r="S735" s="12"/>
      <c r="T735" s="12"/>
      <c r="U735" s="12"/>
    </row>
    <row r="736">
      <c r="A736" s="12" t="s">
        <v>101</v>
      </c>
      <c r="B736" s="12"/>
      <c r="C736" s="12"/>
      <c r="D736" s="12"/>
      <c r="E736" s="12"/>
      <c r="F736" s="12"/>
      <c r="G736" s="12"/>
      <c r="H736" s="12"/>
      <c r="I736" s="12"/>
      <c r="J736" s="12"/>
      <c r="K736" s="12"/>
      <c r="L736" s="12"/>
      <c r="M736" s="12"/>
      <c r="N736" s="12"/>
      <c r="O736" s="12"/>
      <c r="P736" s="12"/>
      <c r="Q736" s="12"/>
      <c r="R736" s="12"/>
      <c r="S736" s="12"/>
      <c r="T736" s="12"/>
      <c r="U736" s="12"/>
    </row>
    <row r="737">
      <c r="A737" s="12" t="s">
        <v>101</v>
      </c>
      <c r="B737" s="12"/>
      <c r="C737" s="12"/>
      <c r="D737" s="12"/>
      <c r="E737" s="12"/>
      <c r="F737" s="12"/>
      <c r="G737" s="12"/>
      <c r="H737" s="12"/>
      <c r="I737" s="12"/>
      <c r="J737" s="12"/>
      <c r="K737" s="12"/>
      <c r="L737" s="12"/>
      <c r="M737" s="12"/>
      <c r="N737" s="12"/>
      <c r="O737" s="12"/>
      <c r="P737" s="12"/>
      <c r="Q737" s="12"/>
      <c r="R737" s="12"/>
      <c r="S737" s="12"/>
      <c r="T737" s="12"/>
      <c r="U737" s="12"/>
    </row>
    <row r="738">
      <c r="A738" s="12" t="s">
        <v>101</v>
      </c>
      <c r="B738" s="12"/>
      <c r="C738" s="12"/>
      <c r="D738" s="12"/>
      <c r="E738" s="12"/>
      <c r="F738" s="12"/>
      <c r="G738" s="12"/>
      <c r="H738" s="12"/>
      <c r="I738" s="12"/>
      <c r="J738" s="12"/>
      <c r="K738" s="12"/>
      <c r="L738" s="12"/>
      <c r="M738" s="12"/>
      <c r="N738" s="12"/>
      <c r="O738" s="12"/>
      <c r="P738" s="12"/>
      <c r="Q738" s="12"/>
      <c r="R738" s="12"/>
      <c r="S738" s="12"/>
      <c r="T738" s="12"/>
      <c r="U738" s="12"/>
    </row>
    <row r="739">
      <c r="A739" s="12" t="s">
        <v>101</v>
      </c>
      <c r="B739" s="12"/>
      <c r="C739" s="12"/>
      <c r="D739" s="12"/>
      <c r="E739" s="12"/>
      <c r="F739" s="12"/>
      <c r="G739" s="12"/>
      <c r="H739" s="12"/>
      <c r="I739" s="12"/>
      <c r="J739" s="12"/>
      <c r="K739" s="12"/>
      <c r="L739" s="12"/>
      <c r="M739" s="12"/>
      <c r="N739" s="12"/>
      <c r="O739" s="12"/>
      <c r="P739" s="12"/>
      <c r="Q739" s="12"/>
      <c r="R739" s="12"/>
      <c r="S739" s="12"/>
      <c r="T739" s="12"/>
      <c r="U739" s="12"/>
    </row>
    <row r="740">
      <c r="A740" s="12" t="s">
        <v>101</v>
      </c>
      <c r="B740" s="12"/>
      <c r="C740" s="12"/>
      <c r="D740" s="12"/>
      <c r="E740" s="12"/>
      <c r="F740" s="12"/>
      <c r="G740" s="12"/>
      <c r="H740" s="12"/>
      <c r="I740" s="12"/>
      <c r="J740" s="12"/>
      <c r="K740" s="12"/>
      <c r="L740" s="12"/>
      <c r="M740" s="12"/>
      <c r="N740" s="12"/>
      <c r="O740" s="12"/>
      <c r="P740" s="12"/>
      <c r="Q740" s="12"/>
      <c r="R740" s="12"/>
      <c r="S740" s="12"/>
      <c r="T740" s="12"/>
      <c r="U740" s="12"/>
    </row>
    <row r="741">
      <c r="A741" s="12" t="s">
        <v>101</v>
      </c>
      <c r="B741" s="12"/>
      <c r="C741" s="12"/>
      <c r="D741" s="12"/>
      <c r="E741" s="12"/>
      <c r="F741" s="12"/>
      <c r="G741" s="12"/>
      <c r="H741" s="12"/>
      <c r="I741" s="12"/>
      <c r="J741" s="12"/>
      <c r="K741" s="12"/>
      <c r="L741" s="12"/>
      <c r="M741" s="12"/>
      <c r="N741" s="12"/>
      <c r="O741" s="12"/>
      <c r="P741" s="12"/>
      <c r="Q741" s="12"/>
      <c r="R741" s="12"/>
      <c r="S741" s="12"/>
      <c r="T741" s="12"/>
      <c r="U741" s="12"/>
    </row>
    <row r="742">
      <c r="A742" s="12" t="s">
        <v>101</v>
      </c>
      <c r="B742" s="12"/>
      <c r="C742" s="12"/>
      <c r="D742" s="12"/>
      <c r="E742" s="12"/>
      <c r="F742" s="12"/>
      <c r="G742" s="12"/>
      <c r="H742" s="12"/>
      <c r="I742" s="12"/>
      <c r="J742" s="12"/>
      <c r="K742" s="12"/>
      <c r="L742" s="12"/>
      <c r="M742" s="12"/>
      <c r="N742" s="12"/>
      <c r="O742" s="12"/>
      <c r="P742" s="12"/>
      <c r="Q742" s="12"/>
      <c r="R742" s="12"/>
      <c r="S742" s="12"/>
      <c r="T742" s="12"/>
      <c r="U742" s="12"/>
    </row>
    <row r="743">
      <c r="A743" s="12" t="s">
        <v>101</v>
      </c>
      <c r="B743" s="12"/>
      <c r="C743" s="12"/>
      <c r="D743" s="12"/>
      <c r="E743" s="12"/>
      <c r="F743" s="12"/>
      <c r="G743" s="12"/>
      <c r="H743" s="12"/>
      <c r="I743" s="12"/>
      <c r="J743" s="12"/>
      <c r="K743" s="12"/>
      <c r="L743" s="12"/>
      <c r="M743" s="12"/>
      <c r="N743" s="12"/>
      <c r="O743" s="12"/>
      <c r="P743" s="12"/>
      <c r="Q743" s="12"/>
      <c r="R743" s="12"/>
      <c r="S743" s="12"/>
      <c r="T743" s="12"/>
      <c r="U743" s="12"/>
    </row>
    <row r="744">
      <c r="A744" s="12" t="s">
        <v>101</v>
      </c>
      <c r="B744" s="12"/>
      <c r="C744" s="12"/>
      <c r="D744" s="12"/>
      <c r="E744" s="12"/>
      <c r="F744" s="12"/>
      <c r="G744" s="12"/>
      <c r="H744" s="12"/>
      <c r="I744" s="12"/>
      <c r="J744" s="12"/>
      <c r="K744" s="12"/>
      <c r="L744" s="12"/>
      <c r="M744" s="12"/>
      <c r="N744" s="12"/>
      <c r="O744" s="12"/>
      <c r="P744" s="12"/>
      <c r="Q744" s="12"/>
      <c r="R744" s="12"/>
      <c r="S744" s="12"/>
      <c r="T744" s="12"/>
      <c r="U744" s="12"/>
    </row>
    <row r="745">
      <c r="A745" s="12" t="s">
        <v>101</v>
      </c>
      <c r="B745" s="12"/>
      <c r="C745" s="12"/>
      <c r="D745" s="12"/>
      <c r="E745" s="12"/>
      <c r="F745" s="12"/>
      <c r="G745" s="12"/>
      <c r="H745" s="12"/>
      <c r="I745" s="12"/>
      <c r="J745" s="12"/>
      <c r="K745" s="12"/>
      <c r="L745" s="12"/>
      <c r="M745" s="12"/>
      <c r="N745" s="12"/>
      <c r="O745" s="12"/>
      <c r="P745" s="12"/>
      <c r="Q745" s="12"/>
      <c r="R745" s="12"/>
      <c r="S745" s="12"/>
      <c r="T745" s="12"/>
      <c r="U745" s="12"/>
    </row>
    <row r="746">
      <c r="A746" s="12" t="s">
        <v>101</v>
      </c>
      <c r="B746" s="12"/>
      <c r="C746" s="12"/>
      <c r="D746" s="12"/>
      <c r="E746" s="12"/>
      <c r="F746" s="12"/>
      <c r="G746" s="12"/>
      <c r="H746" s="12"/>
      <c r="I746" s="12"/>
      <c r="J746" s="12"/>
      <c r="K746" s="12"/>
      <c r="L746" s="12"/>
      <c r="M746" s="12"/>
      <c r="N746" s="12"/>
      <c r="O746" s="12"/>
      <c r="P746" s="12"/>
      <c r="Q746" s="12"/>
      <c r="R746" s="12"/>
      <c r="S746" s="12"/>
      <c r="T746" s="12"/>
      <c r="U746" s="12"/>
    </row>
    <row r="747">
      <c r="A747" s="12" t="s">
        <v>101</v>
      </c>
      <c r="B747" s="12"/>
      <c r="C747" s="12"/>
      <c r="D747" s="12"/>
      <c r="E747" s="12"/>
      <c r="F747" s="12"/>
      <c r="G747" s="12"/>
      <c r="H747" s="12"/>
      <c r="I747" s="12"/>
      <c r="J747" s="12"/>
      <c r="K747" s="12"/>
      <c r="L747" s="12"/>
      <c r="M747" s="12"/>
      <c r="N747" s="12"/>
      <c r="O747" s="12"/>
      <c r="P747" s="12"/>
      <c r="Q747" s="12"/>
      <c r="R747" s="12"/>
      <c r="S747" s="12"/>
      <c r="T747" s="12"/>
      <c r="U747" s="12"/>
    </row>
    <row r="748">
      <c r="A748" s="12" t="s">
        <v>101</v>
      </c>
      <c r="B748" s="12"/>
      <c r="C748" s="12"/>
      <c r="D748" s="12"/>
      <c r="E748" s="12"/>
      <c r="F748" s="12"/>
      <c r="G748" s="12"/>
      <c r="H748" s="12"/>
      <c r="I748" s="12"/>
      <c r="J748" s="12"/>
      <c r="K748" s="12"/>
      <c r="L748" s="12"/>
      <c r="M748" s="12"/>
      <c r="N748" s="12"/>
      <c r="O748" s="12"/>
      <c r="P748" s="12"/>
      <c r="Q748" s="12"/>
      <c r="R748" s="12"/>
      <c r="S748" s="12"/>
      <c r="T748" s="12"/>
      <c r="U748" s="12"/>
    </row>
    <row r="749">
      <c r="A749" s="12" t="s">
        <v>101</v>
      </c>
      <c r="B749" s="12"/>
      <c r="C749" s="12"/>
      <c r="D749" s="12"/>
      <c r="E749" s="12"/>
      <c r="F749" s="12"/>
      <c r="G749" s="12"/>
      <c r="H749" s="12"/>
      <c r="I749" s="12"/>
      <c r="J749" s="12"/>
      <c r="K749" s="12"/>
      <c r="L749" s="12"/>
      <c r="M749" s="12"/>
      <c r="N749" s="12"/>
      <c r="O749" s="12"/>
      <c r="P749" s="12"/>
      <c r="Q749" s="12"/>
      <c r="R749" s="12"/>
      <c r="S749" s="12"/>
      <c r="T749" s="12"/>
      <c r="U749" s="12"/>
    </row>
    <row r="750">
      <c r="A750" s="12" t="s">
        <v>101</v>
      </c>
      <c r="B750" s="12"/>
      <c r="C750" s="12"/>
      <c r="D750" s="12"/>
      <c r="E750" s="12"/>
      <c r="F750" s="12"/>
      <c r="G750" s="12"/>
      <c r="H750" s="12"/>
      <c r="I750" s="12"/>
      <c r="J750" s="12"/>
      <c r="K750" s="12"/>
      <c r="L750" s="12"/>
      <c r="M750" s="12"/>
      <c r="N750" s="12"/>
      <c r="O750" s="12"/>
      <c r="P750" s="12"/>
      <c r="Q750" s="12"/>
      <c r="R750" s="12"/>
      <c r="S750" s="12"/>
      <c r="T750" s="12"/>
      <c r="U750" s="12"/>
    </row>
    <row r="751">
      <c r="A751" s="12" t="s">
        <v>101</v>
      </c>
      <c r="B751" s="12"/>
      <c r="C751" s="12"/>
      <c r="D751" s="12"/>
      <c r="E751" s="12"/>
      <c r="F751" s="12"/>
      <c r="G751" s="12"/>
      <c r="H751" s="12"/>
      <c r="I751" s="12"/>
      <c r="J751" s="12"/>
      <c r="K751" s="12"/>
      <c r="L751" s="12"/>
      <c r="M751" s="12"/>
      <c r="N751" s="12"/>
      <c r="O751" s="12"/>
      <c r="P751" s="12"/>
      <c r="Q751" s="12"/>
      <c r="R751" s="12"/>
      <c r="S751" s="12"/>
      <c r="T751" s="12"/>
      <c r="U751" s="12"/>
    </row>
    <row r="752">
      <c r="A752" s="12" t="s">
        <v>101</v>
      </c>
      <c r="B752" s="12"/>
      <c r="C752" s="12"/>
      <c r="D752" s="12"/>
      <c r="E752" s="12"/>
      <c r="F752" s="12"/>
      <c r="G752" s="12"/>
      <c r="H752" s="12"/>
      <c r="I752" s="12"/>
      <c r="J752" s="12"/>
      <c r="K752" s="12"/>
      <c r="L752" s="12"/>
      <c r="M752" s="12"/>
      <c r="N752" s="12"/>
      <c r="O752" s="12"/>
      <c r="P752" s="12"/>
      <c r="Q752" s="12"/>
      <c r="R752" s="12"/>
      <c r="S752" s="12"/>
      <c r="T752" s="12"/>
      <c r="U752" s="12"/>
    </row>
    <row r="753">
      <c r="A753" s="12" t="s">
        <v>101</v>
      </c>
      <c r="B753" s="12"/>
      <c r="C753" s="12"/>
      <c r="D753" s="12"/>
      <c r="E753" s="12"/>
      <c r="F753" s="12"/>
      <c r="G753" s="12"/>
      <c r="H753" s="12"/>
      <c r="I753" s="12"/>
      <c r="J753" s="12"/>
      <c r="K753" s="12"/>
      <c r="L753" s="12"/>
      <c r="M753" s="12"/>
      <c r="N753" s="12"/>
      <c r="O753" s="12"/>
      <c r="P753" s="12"/>
      <c r="Q753" s="12"/>
      <c r="R753" s="12"/>
      <c r="S753" s="12"/>
      <c r="T753" s="12"/>
      <c r="U753" s="12"/>
    </row>
    <row r="754">
      <c r="A754" s="12" t="s">
        <v>101</v>
      </c>
      <c r="B754" s="12"/>
      <c r="C754" s="12"/>
      <c r="D754" s="12"/>
      <c r="E754" s="12"/>
      <c r="F754" s="12"/>
      <c r="G754" s="12"/>
      <c r="H754" s="12"/>
      <c r="I754" s="12"/>
      <c r="J754" s="12"/>
      <c r="K754" s="12"/>
      <c r="L754" s="12"/>
      <c r="M754" s="12"/>
      <c r="N754" s="12"/>
      <c r="O754" s="12"/>
      <c r="P754" s="12"/>
      <c r="Q754" s="12"/>
      <c r="R754" s="12"/>
      <c r="S754" s="12"/>
      <c r="T754" s="12"/>
      <c r="U754" s="12"/>
    </row>
    <row r="755">
      <c r="A755" s="12" t="s">
        <v>101</v>
      </c>
      <c r="B755" s="12"/>
      <c r="C755" s="12"/>
      <c r="D755" s="12"/>
      <c r="E755" s="12"/>
      <c r="F755" s="12"/>
      <c r="G755" s="12"/>
      <c r="H755" s="12"/>
      <c r="I755" s="12"/>
      <c r="J755" s="12"/>
      <c r="K755" s="12"/>
      <c r="L755" s="12"/>
      <c r="M755" s="12"/>
      <c r="N755" s="12"/>
      <c r="O755" s="12"/>
      <c r="P755" s="12"/>
      <c r="Q755" s="12"/>
      <c r="R755" s="12"/>
      <c r="S755" s="12"/>
      <c r="T755" s="12"/>
      <c r="U755" s="12"/>
    </row>
    <row r="756">
      <c r="A756" s="12" t="s">
        <v>101</v>
      </c>
      <c r="B756" s="12"/>
      <c r="C756" s="12"/>
      <c r="D756" s="12"/>
      <c r="E756" s="12"/>
      <c r="F756" s="12"/>
      <c r="G756" s="12"/>
      <c r="H756" s="12"/>
      <c r="I756" s="12"/>
      <c r="J756" s="12"/>
      <c r="K756" s="12"/>
      <c r="L756" s="12"/>
      <c r="M756" s="12"/>
      <c r="N756" s="12"/>
      <c r="O756" s="12"/>
      <c r="P756" s="12"/>
      <c r="Q756" s="12"/>
      <c r="R756" s="12"/>
      <c r="S756" s="12"/>
      <c r="T756" s="12"/>
      <c r="U756" s="12"/>
    </row>
    <row r="757">
      <c r="A757" s="12" t="s">
        <v>101</v>
      </c>
      <c r="B757" s="12"/>
      <c r="C757" s="12"/>
      <c r="D757" s="12"/>
      <c r="E757" s="12"/>
      <c r="F757" s="12"/>
      <c r="G757" s="12"/>
      <c r="H757" s="12"/>
      <c r="I757" s="12"/>
      <c r="J757" s="12"/>
      <c r="K757" s="12"/>
      <c r="L757" s="12"/>
      <c r="M757" s="12"/>
      <c r="N757" s="12"/>
      <c r="O757" s="12"/>
      <c r="P757" s="12"/>
      <c r="Q757" s="12"/>
      <c r="R757" s="12"/>
      <c r="S757" s="12"/>
      <c r="T757" s="12"/>
      <c r="U757" s="12"/>
    </row>
    <row r="758">
      <c r="A758" s="12" t="s">
        <v>101</v>
      </c>
      <c r="B758" s="12"/>
      <c r="C758" s="12"/>
      <c r="D758" s="12"/>
      <c r="E758" s="12"/>
      <c r="F758" s="12"/>
      <c r="G758" s="12"/>
      <c r="H758" s="12"/>
      <c r="I758" s="12"/>
      <c r="J758" s="12"/>
      <c r="K758" s="12"/>
      <c r="L758" s="12"/>
      <c r="M758" s="12"/>
      <c r="N758" s="12"/>
      <c r="O758" s="12"/>
      <c r="P758" s="12"/>
      <c r="Q758" s="12"/>
      <c r="R758" s="12"/>
      <c r="S758" s="12"/>
      <c r="T758" s="12"/>
      <c r="U758" s="12"/>
    </row>
    <row r="759">
      <c r="A759" s="12" t="s">
        <v>101</v>
      </c>
      <c r="B759" s="12"/>
      <c r="C759" s="12"/>
      <c r="D759" s="12"/>
      <c r="E759" s="12"/>
      <c r="F759" s="12"/>
      <c r="G759" s="12"/>
      <c r="H759" s="12"/>
      <c r="I759" s="12"/>
      <c r="J759" s="12"/>
      <c r="K759" s="12"/>
      <c r="L759" s="12"/>
      <c r="M759" s="12"/>
      <c r="N759" s="12"/>
      <c r="O759" s="12"/>
      <c r="P759" s="12"/>
      <c r="Q759" s="12"/>
      <c r="R759" s="12"/>
      <c r="S759" s="12"/>
      <c r="T759" s="12"/>
      <c r="U759" s="12"/>
    </row>
    <row r="760">
      <c r="A760" s="12" t="s">
        <v>101</v>
      </c>
      <c r="B760" s="12"/>
      <c r="C760" s="12"/>
      <c r="D760" s="12"/>
      <c r="E760" s="12"/>
      <c r="F760" s="12"/>
      <c r="G760" s="12"/>
      <c r="H760" s="12"/>
      <c r="I760" s="12"/>
      <c r="J760" s="12"/>
      <c r="K760" s="12"/>
      <c r="L760" s="12"/>
      <c r="M760" s="12"/>
      <c r="N760" s="12"/>
      <c r="O760" s="12"/>
      <c r="P760" s="12"/>
      <c r="Q760" s="12"/>
      <c r="R760" s="12"/>
      <c r="S760" s="12"/>
      <c r="T760" s="12"/>
      <c r="U760" s="12"/>
    </row>
    <row r="761">
      <c r="A761" s="12" t="s">
        <v>101</v>
      </c>
      <c r="B761" s="12"/>
      <c r="C761" s="12"/>
      <c r="D761" s="12"/>
      <c r="E761" s="12"/>
      <c r="F761" s="12"/>
      <c r="G761" s="12"/>
      <c r="H761" s="12"/>
      <c r="I761" s="12"/>
      <c r="J761" s="12"/>
      <c r="K761" s="12"/>
      <c r="L761" s="12"/>
      <c r="M761" s="12"/>
      <c r="N761" s="12"/>
      <c r="O761" s="12"/>
      <c r="P761" s="12"/>
      <c r="Q761" s="12"/>
      <c r="R761" s="12"/>
      <c r="S761" s="12"/>
      <c r="T761" s="12"/>
      <c r="U761" s="12"/>
    </row>
    <row r="762">
      <c r="A762" s="12" t="s">
        <v>101</v>
      </c>
      <c r="B762" s="12"/>
      <c r="C762" s="12"/>
      <c r="D762" s="12"/>
      <c r="E762" s="12"/>
      <c r="F762" s="12"/>
      <c r="G762" s="12"/>
      <c r="H762" s="12"/>
      <c r="I762" s="12"/>
      <c r="J762" s="12"/>
      <c r="K762" s="12"/>
      <c r="L762" s="12"/>
      <c r="M762" s="12"/>
      <c r="N762" s="12"/>
      <c r="O762" s="12"/>
      <c r="P762" s="12"/>
      <c r="Q762" s="12"/>
      <c r="R762" s="12"/>
      <c r="S762" s="12"/>
      <c r="T762" s="12"/>
      <c r="U762" s="12"/>
    </row>
    <row r="763">
      <c r="A763" s="12" t="s">
        <v>101</v>
      </c>
      <c r="B763" s="12"/>
      <c r="C763" s="12"/>
      <c r="D763" s="12"/>
      <c r="E763" s="12"/>
      <c r="F763" s="12"/>
      <c r="G763" s="12"/>
      <c r="H763" s="12"/>
      <c r="I763" s="12"/>
      <c r="J763" s="12"/>
      <c r="K763" s="12"/>
      <c r="L763" s="12"/>
      <c r="M763" s="12"/>
      <c r="N763" s="12"/>
      <c r="O763" s="12"/>
      <c r="P763" s="12"/>
      <c r="Q763" s="12"/>
      <c r="R763" s="12"/>
      <c r="S763" s="12"/>
      <c r="T763" s="12"/>
      <c r="U763" s="12"/>
    </row>
    <row r="764">
      <c r="A764" s="12" t="s">
        <v>101</v>
      </c>
      <c r="B764" s="12"/>
      <c r="C764" s="12"/>
      <c r="D764" s="12"/>
      <c r="E764" s="12"/>
      <c r="F764" s="12"/>
      <c r="G764" s="12"/>
      <c r="H764" s="12"/>
      <c r="I764" s="12"/>
      <c r="J764" s="12"/>
      <c r="K764" s="12"/>
      <c r="L764" s="12"/>
      <c r="M764" s="12"/>
      <c r="N764" s="12"/>
      <c r="O764" s="12"/>
      <c r="P764" s="12"/>
      <c r="Q764" s="12"/>
      <c r="R764" s="12"/>
      <c r="S764" s="12"/>
      <c r="T764" s="12"/>
      <c r="U764" s="12"/>
    </row>
    <row r="765">
      <c r="A765" s="12" t="s">
        <v>101</v>
      </c>
      <c r="B765" s="12"/>
      <c r="C765" s="12"/>
      <c r="D765" s="12"/>
      <c r="E765" s="12"/>
      <c r="F765" s="12"/>
      <c r="G765" s="12"/>
      <c r="H765" s="12"/>
      <c r="I765" s="12"/>
      <c r="J765" s="12"/>
      <c r="K765" s="12"/>
      <c r="L765" s="12"/>
      <c r="M765" s="12"/>
      <c r="N765" s="12"/>
      <c r="O765" s="12"/>
      <c r="P765" s="12"/>
      <c r="Q765" s="12"/>
      <c r="R765" s="12"/>
      <c r="S765" s="12"/>
      <c r="T765" s="12"/>
      <c r="U765" s="12"/>
    </row>
    <row r="766">
      <c r="A766" s="12" t="s">
        <v>101</v>
      </c>
      <c r="B766" s="12"/>
      <c r="C766" s="12"/>
      <c r="D766" s="12"/>
      <c r="E766" s="12"/>
      <c r="F766" s="12"/>
      <c r="G766" s="12"/>
      <c r="H766" s="12"/>
      <c r="I766" s="12"/>
      <c r="J766" s="12"/>
      <c r="K766" s="12"/>
      <c r="L766" s="12"/>
      <c r="M766" s="12"/>
      <c r="N766" s="12"/>
      <c r="O766" s="12"/>
      <c r="P766" s="12"/>
      <c r="Q766" s="12"/>
      <c r="R766" s="12"/>
      <c r="S766" s="12"/>
      <c r="T766" s="12"/>
      <c r="U766" s="12"/>
    </row>
    <row r="767">
      <c r="A767" s="12" t="s">
        <v>101</v>
      </c>
      <c r="B767" s="12"/>
      <c r="C767" s="12"/>
      <c r="D767" s="12"/>
      <c r="E767" s="12"/>
      <c r="F767" s="12"/>
      <c r="G767" s="12"/>
      <c r="H767" s="12"/>
      <c r="I767" s="12"/>
      <c r="J767" s="12"/>
      <c r="K767" s="12"/>
      <c r="L767" s="12"/>
      <c r="M767" s="12"/>
      <c r="N767" s="12"/>
      <c r="O767" s="12"/>
      <c r="P767" s="12"/>
      <c r="Q767" s="12"/>
      <c r="R767" s="12"/>
      <c r="S767" s="12"/>
      <c r="T767" s="12"/>
      <c r="U767" s="12"/>
    </row>
    <row r="768">
      <c r="A768" s="12" t="s">
        <v>101</v>
      </c>
      <c r="B768" s="12"/>
      <c r="C768" s="12"/>
      <c r="D768" s="12"/>
      <c r="E768" s="12"/>
      <c r="F768" s="12"/>
      <c r="G768" s="12"/>
      <c r="H768" s="12"/>
      <c r="I768" s="12"/>
      <c r="J768" s="12"/>
      <c r="K768" s="12"/>
      <c r="L768" s="12"/>
      <c r="M768" s="12"/>
      <c r="N768" s="12"/>
      <c r="O768" s="12"/>
      <c r="P768" s="12"/>
      <c r="Q768" s="12"/>
      <c r="R768" s="12"/>
      <c r="S768" s="12"/>
      <c r="T768" s="12"/>
      <c r="U768" s="12"/>
    </row>
    <row r="769">
      <c r="A769" s="12" t="s">
        <v>101</v>
      </c>
      <c r="B769" s="12"/>
      <c r="C769" s="12"/>
      <c r="D769" s="12"/>
      <c r="E769" s="12"/>
      <c r="F769" s="12"/>
      <c r="G769" s="12"/>
      <c r="H769" s="12"/>
      <c r="I769" s="12"/>
      <c r="J769" s="12"/>
      <c r="K769" s="12"/>
      <c r="L769" s="12"/>
      <c r="M769" s="12"/>
      <c r="N769" s="12"/>
      <c r="O769" s="12"/>
      <c r="P769" s="12"/>
      <c r="Q769" s="12"/>
      <c r="R769" s="12"/>
      <c r="S769" s="12"/>
      <c r="T769" s="12"/>
      <c r="U769" s="12"/>
    </row>
    <row r="770">
      <c r="A770" s="12" t="s">
        <v>101</v>
      </c>
      <c r="B770" s="12"/>
      <c r="C770" s="12"/>
      <c r="D770" s="12"/>
      <c r="E770" s="12"/>
      <c r="F770" s="12"/>
      <c r="G770" s="12"/>
      <c r="H770" s="12"/>
      <c r="I770" s="12"/>
      <c r="J770" s="12"/>
      <c r="K770" s="12"/>
      <c r="L770" s="12"/>
      <c r="M770" s="12"/>
      <c r="N770" s="12"/>
      <c r="O770" s="12"/>
      <c r="P770" s="12"/>
      <c r="Q770" s="12"/>
      <c r="R770" s="12"/>
      <c r="S770" s="12"/>
      <c r="T770" s="12"/>
      <c r="U770" s="12"/>
    </row>
    <row r="771">
      <c r="A771" s="12" t="s">
        <v>101</v>
      </c>
      <c r="B771" s="12"/>
      <c r="C771" s="12"/>
      <c r="D771" s="12"/>
      <c r="E771" s="12"/>
      <c r="F771" s="12"/>
      <c r="G771" s="12"/>
      <c r="H771" s="12"/>
      <c r="I771" s="12"/>
      <c r="J771" s="12"/>
      <c r="K771" s="12"/>
      <c r="L771" s="12"/>
      <c r="M771" s="12"/>
      <c r="N771" s="12"/>
      <c r="O771" s="12"/>
      <c r="P771" s="12"/>
      <c r="Q771" s="12"/>
      <c r="R771" s="12"/>
      <c r="S771" s="12"/>
      <c r="T771" s="12"/>
      <c r="U771" s="12"/>
    </row>
    <row r="772">
      <c r="A772" s="12" t="s">
        <v>101</v>
      </c>
      <c r="B772" s="12"/>
      <c r="C772" s="12"/>
      <c r="D772" s="12"/>
      <c r="E772" s="12"/>
      <c r="F772" s="12"/>
      <c r="G772" s="12"/>
      <c r="H772" s="12"/>
      <c r="I772" s="12"/>
      <c r="J772" s="12"/>
      <c r="K772" s="12"/>
      <c r="L772" s="12"/>
      <c r="M772" s="12"/>
      <c r="N772" s="12"/>
      <c r="O772" s="12"/>
      <c r="P772" s="12"/>
      <c r="Q772" s="12"/>
      <c r="R772" s="12"/>
      <c r="S772" s="12"/>
      <c r="T772" s="12"/>
      <c r="U772" s="12"/>
    </row>
    <row r="773">
      <c r="A773" s="12" t="s">
        <v>101</v>
      </c>
      <c r="B773" s="12"/>
      <c r="C773" s="12"/>
      <c r="D773" s="12"/>
      <c r="E773" s="12"/>
      <c r="F773" s="12"/>
      <c r="G773" s="12"/>
      <c r="H773" s="12"/>
      <c r="I773" s="12"/>
      <c r="J773" s="12"/>
      <c r="K773" s="12"/>
      <c r="L773" s="12"/>
      <c r="M773" s="12"/>
      <c r="N773" s="12"/>
      <c r="O773" s="12"/>
      <c r="P773" s="12"/>
      <c r="Q773" s="12"/>
      <c r="R773" s="12"/>
      <c r="S773" s="12"/>
      <c r="T773" s="12"/>
      <c r="U773" s="12"/>
    </row>
    <row r="774">
      <c r="A774" s="12" t="s">
        <v>101</v>
      </c>
      <c r="B774" s="12"/>
      <c r="C774" s="12"/>
      <c r="D774" s="12"/>
      <c r="E774" s="12"/>
      <c r="F774" s="12"/>
      <c r="G774" s="12"/>
      <c r="H774" s="12"/>
      <c r="I774" s="12"/>
      <c r="J774" s="12"/>
      <c r="K774" s="12"/>
      <c r="L774" s="12"/>
      <c r="M774" s="12"/>
      <c r="N774" s="12"/>
      <c r="O774" s="12"/>
      <c r="P774" s="12"/>
      <c r="Q774" s="12"/>
      <c r="R774" s="12"/>
      <c r="S774" s="12"/>
      <c r="T774" s="12"/>
      <c r="U774" s="12"/>
    </row>
    <row r="775">
      <c r="A775" s="12" t="s">
        <v>101</v>
      </c>
      <c r="B775" s="12"/>
      <c r="C775" s="12"/>
      <c r="D775" s="12"/>
      <c r="E775" s="12"/>
      <c r="F775" s="12"/>
      <c r="G775" s="12"/>
      <c r="H775" s="12"/>
      <c r="I775" s="12"/>
      <c r="J775" s="12"/>
      <c r="K775" s="12"/>
      <c r="L775" s="12"/>
      <c r="M775" s="12"/>
      <c r="N775" s="12"/>
      <c r="O775" s="12"/>
      <c r="P775" s="12"/>
      <c r="Q775" s="12"/>
      <c r="R775" s="12"/>
      <c r="S775" s="12"/>
      <c r="T775" s="12"/>
      <c r="U775" s="12"/>
    </row>
    <row r="776">
      <c r="A776" s="12" t="s">
        <v>101</v>
      </c>
      <c r="B776" s="12"/>
      <c r="C776" s="12"/>
      <c r="D776" s="12"/>
      <c r="E776" s="12"/>
      <c r="F776" s="12"/>
      <c r="G776" s="12"/>
      <c r="H776" s="12"/>
      <c r="I776" s="12"/>
      <c r="J776" s="12"/>
      <c r="K776" s="12"/>
      <c r="L776" s="12"/>
      <c r="M776" s="12"/>
      <c r="N776" s="12"/>
      <c r="O776" s="12"/>
      <c r="P776" s="12"/>
      <c r="Q776" s="12"/>
      <c r="R776" s="12"/>
      <c r="S776" s="12"/>
      <c r="T776" s="12"/>
      <c r="U776" s="12"/>
    </row>
    <row r="777">
      <c r="A777" s="12" t="s">
        <v>101</v>
      </c>
      <c r="B777" s="12"/>
      <c r="C777" s="12"/>
      <c r="D777" s="12"/>
      <c r="E777" s="12"/>
      <c r="F777" s="12"/>
      <c r="G777" s="12"/>
      <c r="H777" s="12"/>
      <c r="I777" s="12"/>
      <c r="J777" s="12"/>
      <c r="K777" s="12"/>
      <c r="L777" s="12"/>
      <c r="M777" s="12"/>
      <c r="N777" s="12"/>
      <c r="O777" s="12"/>
      <c r="P777" s="12"/>
      <c r="Q777" s="12"/>
      <c r="R777" s="12"/>
      <c r="S777" s="12"/>
      <c r="T777" s="12"/>
      <c r="U777" s="12"/>
    </row>
    <row r="778">
      <c r="A778" s="12" t="s">
        <v>101</v>
      </c>
      <c r="B778" s="12"/>
      <c r="C778" s="12"/>
      <c r="D778" s="12"/>
      <c r="E778" s="12"/>
      <c r="F778" s="12"/>
      <c r="G778" s="12"/>
      <c r="H778" s="12"/>
      <c r="I778" s="12"/>
      <c r="J778" s="12"/>
      <c r="K778" s="12"/>
      <c r="L778" s="12"/>
      <c r="M778" s="12"/>
      <c r="N778" s="12"/>
      <c r="O778" s="12"/>
      <c r="P778" s="12"/>
      <c r="Q778" s="12"/>
      <c r="R778" s="12"/>
      <c r="S778" s="12"/>
      <c r="T778" s="12"/>
      <c r="U778" s="12"/>
    </row>
    <row r="779">
      <c r="A779" s="12" t="s">
        <v>101</v>
      </c>
      <c r="B779" s="12"/>
      <c r="C779" s="12"/>
      <c r="D779" s="12"/>
      <c r="E779" s="12"/>
      <c r="F779" s="12"/>
      <c r="G779" s="12"/>
      <c r="H779" s="12"/>
      <c r="I779" s="12"/>
      <c r="J779" s="12"/>
      <c r="K779" s="12"/>
      <c r="L779" s="12"/>
      <c r="M779" s="12"/>
      <c r="N779" s="12"/>
      <c r="O779" s="12"/>
      <c r="P779" s="12"/>
      <c r="Q779" s="12"/>
      <c r="R779" s="12"/>
      <c r="S779" s="12"/>
      <c r="T779" s="12"/>
      <c r="U779" s="12"/>
    </row>
    <row r="780">
      <c r="A780" s="12" t="s">
        <v>101</v>
      </c>
      <c r="B780" s="12"/>
      <c r="C780" s="12"/>
      <c r="D780" s="12"/>
      <c r="E780" s="12"/>
      <c r="F780" s="12"/>
      <c r="G780" s="12"/>
      <c r="H780" s="12"/>
      <c r="I780" s="12"/>
      <c r="J780" s="12"/>
      <c r="K780" s="12"/>
      <c r="L780" s="12"/>
      <c r="M780" s="12"/>
      <c r="N780" s="12"/>
      <c r="O780" s="12"/>
      <c r="P780" s="12"/>
      <c r="Q780" s="12"/>
      <c r="R780" s="12"/>
      <c r="S780" s="12"/>
      <c r="T780" s="12"/>
      <c r="U780" s="12"/>
    </row>
    <row r="781">
      <c r="A781" s="12" t="s">
        <v>101</v>
      </c>
      <c r="B781" s="12"/>
      <c r="C781" s="12"/>
      <c r="D781" s="12"/>
      <c r="E781" s="12"/>
      <c r="F781" s="12"/>
      <c r="G781" s="12"/>
      <c r="H781" s="12"/>
      <c r="I781" s="12"/>
      <c r="J781" s="12"/>
      <c r="K781" s="12"/>
      <c r="L781" s="12"/>
      <c r="M781" s="12"/>
      <c r="N781" s="12"/>
      <c r="O781" s="12"/>
      <c r="P781" s="12"/>
      <c r="Q781" s="12"/>
      <c r="R781" s="12"/>
      <c r="S781" s="12"/>
      <c r="T781" s="12"/>
      <c r="U781" s="12"/>
    </row>
    <row r="782">
      <c r="A782" s="12" t="s">
        <v>101</v>
      </c>
      <c r="B782" s="12"/>
      <c r="C782" s="12"/>
      <c r="D782" s="12"/>
      <c r="E782" s="12"/>
      <c r="F782" s="12"/>
      <c r="G782" s="12"/>
      <c r="H782" s="12"/>
      <c r="I782" s="12"/>
      <c r="J782" s="12"/>
      <c r="K782" s="12"/>
      <c r="L782" s="12"/>
      <c r="M782" s="12"/>
      <c r="N782" s="12"/>
      <c r="O782" s="12"/>
      <c r="P782" s="12"/>
      <c r="Q782" s="12"/>
      <c r="R782" s="12"/>
      <c r="S782" s="12"/>
      <c r="T782" s="12"/>
      <c r="U782" s="12"/>
    </row>
    <row r="783">
      <c r="A783" s="12" t="s">
        <v>101</v>
      </c>
      <c r="B783" s="12"/>
      <c r="C783" s="12"/>
      <c r="D783" s="12"/>
      <c r="E783" s="12"/>
      <c r="F783" s="12"/>
      <c r="G783" s="12"/>
      <c r="H783" s="12"/>
      <c r="I783" s="12"/>
      <c r="J783" s="12"/>
      <c r="K783" s="12"/>
      <c r="L783" s="12"/>
      <c r="M783" s="12"/>
      <c r="N783" s="12"/>
      <c r="O783" s="12"/>
      <c r="P783" s="12"/>
      <c r="Q783" s="12"/>
      <c r="R783" s="12"/>
      <c r="S783" s="12"/>
      <c r="T783" s="12"/>
      <c r="U783" s="12"/>
    </row>
    <row r="784">
      <c r="A784" s="12" t="s">
        <v>101</v>
      </c>
      <c r="B784" s="12"/>
      <c r="C784" s="12"/>
      <c r="D784" s="12"/>
      <c r="E784" s="12"/>
      <c r="F784" s="12"/>
      <c r="G784" s="12"/>
      <c r="H784" s="12"/>
      <c r="I784" s="12"/>
      <c r="J784" s="12"/>
      <c r="K784" s="12"/>
      <c r="L784" s="12"/>
      <c r="M784" s="12"/>
      <c r="N784" s="12"/>
      <c r="O784" s="12"/>
      <c r="P784" s="12"/>
      <c r="Q784" s="12"/>
      <c r="R784" s="12"/>
      <c r="S784" s="12"/>
      <c r="T784" s="12"/>
      <c r="U784" s="12"/>
    </row>
    <row r="785">
      <c r="A785" s="12" t="s">
        <v>101</v>
      </c>
      <c r="B785" s="12"/>
      <c r="C785" s="12"/>
      <c r="D785" s="12"/>
      <c r="E785" s="12"/>
      <c r="F785" s="12"/>
      <c r="G785" s="12"/>
      <c r="H785" s="12"/>
      <c r="I785" s="12"/>
      <c r="J785" s="12"/>
      <c r="K785" s="12"/>
      <c r="L785" s="12"/>
      <c r="M785" s="12"/>
      <c r="N785" s="12"/>
      <c r="O785" s="12"/>
      <c r="P785" s="12"/>
      <c r="Q785" s="12"/>
      <c r="R785" s="12"/>
      <c r="S785" s="12"/>
      <c r="T785" s="12"/>
      <c r="U785" s="12"/>
    </row>
    <row r="786">
      <c r="A786" s="12" t="s">
        <v>101</v>
      </c>
      <c r="B786" s="12"/>
      <c r="C786" s="12"/>
      <c r="D786" s="12"/>
      <c r="E786" s="12"/>
      <c r="F786" s="12"/>
      <c r="G786" s="12"/>
      <c r="H786" s="12"/>
      <c r="I786" s="12"/>
      <c r="J786" s="12"/>
      <c r="K786" s="12"/>
      <c r="L786" s="12"/>
      <c r="M786" s="12"/>
      <c r="N786" s="12"/>
      <c r="O786" s="12"/>
      <c r="P786" s="12"/>
      <c r="Q786" s="12"/>
      <c r="R786" s="12"/>
      <c r="S786" s="12"/>
      <c r="T786" s="12"/>
      <c r="U786" s="12"/>
    </row>
    <row r="787">
      <c r="A787" s="12" t="s">
        <v>101</v>
      </c>
      <c r="B787" s="12"/>
      <c r="C787" s="12"/>
      <c r="D787" s="12"/>
      <c r="E787" s="12"/>
      <c r="F787" s="12"/>
      <c r="G787" s="12"/>
      <c r="H787" s="12"/>
      <c r="I787" s="12"/>
      <c r="J787" s="12"/>
      <c r="K787" s="12"/>
      <c r="L787" s="12"/>
      <c r="M787" s="12"/>
      <c r="N787" s="12"/>
      <c r="O787" s="12"/>
      <c r="P787" s="12"/>
      <c r="Q787" s="12"/>
      <c r="R787" s="12"/>
      <c r="S787" s="12"/>
      <c r="T787" s="12"/>
      <c r="U787" s="12"/>
    </row>
    <row r="788">
      <c r="A788" s="12" t="s">
        <v>101</v>
      </c>
      <c r="B788" s="12"/>
      <c r="C788" s="12"/>
      <c r="D788" s="12"/>
      <c r="E788" s="12"/>
      <c r="F788" s="12"/>
      <c r="G788" s="12"/>
      <c r="H788" s="12"/>
      <c r="I788" s="12"/>
      <c r="J788" s="12"/>
      <c r="K788" s="12"/>
      <c r="L788" s="12"/>
      <c r="M788" s="12"/>
      <c r="N788" s="12"/>
      <c r="O788" s="12"/>
      <c r="P788" s="12"/>
      <c r="Q788" s="12"/>
      <c r="R788" s="12"/>
      <c r="S788" s="12"/>
      <c r="T788" s="12"/>
      <c r="U788" s="12"/>
    </row>
    <row r="789">
      <c r="A789" s="12" t="s">
        <v>101</v>
      </c>
      <c r="B789" s="12"/>
      <c r="C789" s="12"/>
      <c r="D789" s="12"/>
      <c r="E789" s="12"/>
      <c r="F789" s="12"/>
      <c r="G789" s="12"/>
      <c r="H789" s="12"/>
      <c r="I789" s="12"/>
      <c r="J789" s="12"/>
      <c r="K789" s="12"/>
      <c r="L789" s="12"/>
      <c r="M789" s="12"/>
      <c r="N789" s="12"/>
      <c r="O789" s="12"/>
      <c r="P789" s="12"/>
      <c r="Q789" s="12"/>
      <c r="R789" s="12"/>
      <c r="S789" s="12"/>
      <c r="T789" s="12"/>
      <c r="U789" s="12"/>
    </row>
    <row r="790">
      <c r="A790" s="12" t="s">
        <v>101</v>
      </c>
      <c r="B790" s="12"/>
      <c r="C790" s="12"/>
      <c r="D790" s="12"/>
      <c r="E790" s="12"/>
      <c r="F790" s="12"/>
      <c r="G790" s="12"/>
      <c r="H790" s="12"/>
      <c r="I790" s="12"/>
      <c r="J790" s="12"/>
      <c r="K790" s="12"/>
      <c r="L790" s="12"/>
      <c r="M790" s="12"/>
      <c r="N790" s="12"/>
      <c r="O790" s="12"/>
      <c r="P790" s="12"/>
      <c r="Q790" s="12"/>
      <c r="R790" s="12"/>
      <c r="S790" s="12"/>
      <c r="T790" s="12"/>
      <c r="U790" s="12"/>
    </row>
    <row r="791">
      <c r="A791" s="12" t="s">
        <v>101</v>
      </c>
      <c r="B791" s="12"/>
      <c r="C791" s="12"/>
      <c r="D791" s="12"/>
      <c r="E791" s="12"/>
      <c r="F791" s="12"/>
      <c r="G791" s="12"/>
      <c r="H791" s="12"/>
      <c r="I791" s="12"/>
      <c r="J791" s="12"/>
      <c r="K791" s="12"/>
      <c r="L791" s="12"/>
      <c r="M791" s="12"/>
      <c r="N791" s="12"/>
      <c r="O791" s="12"/>
      <c r="P791" s="12"/>
      <c r="Q791" s="12"/>
      <c r="R791" s="12"/>
      <c r="S791" s="12"/>
      <c r="T791" s="12"/>
      <c r="U791" s="12"/>
    </row>
    <row r="792">
      <c r="A792" s="12" t="s">
        <v>101</v>
      </c>
      <c r="B792" s="12"/>
      <c r="C792" s="12"/>
      <c r="D792" s="12"/>
      <c r="E792" s="12"/>
      <c r="F792" s="12"/>
      <c r="G792" s="12"/>
      <c r="H792" s="12"/>
      <c r="I792" s="12"/>
      <c r="J792" s="12"/>
      <c r="K792" s="12"/>
      <c r="L792" s="12"/>
      <c r="M792" s="12"/>
      <c r="N792" s="12"/>
      <c r="O792" s="12"/>
      <c r="P792" s="12"/>
      <c r="Q792" s="12"/>
      <c r="R792" s="12"/>
      <c r="S792" s="12"/>
      <c r="T792" s="12"/>
      <c r="U792" s="12"/>
    </row>
    <row r="793">
      <c r="A793" s="12" t="s">
        <v>101</v>
      </c>
      <c r="B793" s="12"/>
      <c r="C793" s="12"/>
      <c r="D793" s="12"/>
      <c r="E793" s="12"/>
      <c r="F793" s="12"/>
      <c r="G793" s="12"/>
      <c r="H793" s="12"/>
      <c r="I793" s="12"/>
      <c r="J793" s="12"/>
      <c r="K793" s="12"/>
      <c r="L793" s="12"/>
      <c r="M793" s="12"/>
      <c r="N793" s="12"/>
      <c r="O793" s="12"/>
      <c r="P793" s="12"/>
      <c r="Q793" s="12"/>
      <c r="R793" s="12"/>
      <c r="S793" s="12"/>
      <c r="T793" s="12"/>
      <c r="U793" s="12"/>
    </row>
    <row r="794">
      <c r="A794" s="12" t="s">
        <v>101</v>
      </c>
      <c r="B794" s="12"/>
      <c r="C794" s="12"/>
      <c r="D794" s="12"/>
      <c r="E794" s="12"/>
      <c r="F794" s="12"/>
      <c r="G794" s="12"/>
      <c r="H794" s="12"/>
      <c r="I794" s="12"/>
      <c r="J794" s="12"/>
      <c r="K794" s="12"/>
      <c r="L794" s="12"/>
      <c r="M794" s="12"/>
      <c r="N794" s="12"/>
      <c r="O794" s="12"/>
      <c r="P794" s="12"/>
      <c r="Q794" s="12"/>
      <c r="R794" s="12"/>
      <c r="S794" s="12"/>
      <c r="T794" s="12"/>
      <c r="U794" s="12"/>
    </row>
    <row r="795">
      <c r="A795" s="12" t="s">
        <v>101</v>
      </c>
      <c r="B795" s="12"/>
      <c r="C795" s="12"/>
      <c r="D795" s="12"/>
      <c r="E795" s="12"/>
      <c r="F795" s="12"/>
      <c r="G795" s="12"/>
      <c r="H795" s="12"/>
      <c r="I795" s="12"/>
      <c r="J795" s="12"/>
      <c r="K795" s="12"/>
      <c r="L795" s="12"/>
      <c r="M795" s="12"/>
      <c r="N795" s="12"/>
      <c r="O795" s="12"/>
      <c r="P795" s="12"/>
      <c r="Q795" s="12"/>
      <c r="R795" s="12"/>
      <c r="S795" s="12"/>
      <c r="T795" s="12"/>
      <c r="U795" s="12"/>
    </row>
    <row r="796">
      <c r="A796" s="12" t="s">
        <v>101</v>
      </c>
      <c r="B796" s="12"/>
      <c r="C796" s="12"/>
      <c r="D796" s="12"/>
      <c r="E796" s="12"/>
      <c r="F796" s="12"/>
      <c r="G796" s="12"/>
      <c r="H796" s="12"/>
      <c r="I796" s="12"/>
      <c r="J796" s="12"/>
      <c r="K796" s="12"/>
      <c r="L796" s="12"/>
      <c r="M796" s="12"/>
      <c r="N796" s="12"/>
      <c r="O796" s="12"/>
      <c r="P796" s="12"/>
      <c r="Q796" s="12"/>
      <c r="R796" s="12"/>
      <c r="S796" s="12"/>
      <c r="T796" s="12"/>
      <c r="U796" s="12"/>
    </row>
    <row r="797">
      <c r="A797" s="12" t="s">
        <v>101</v>
      </c>
      <c r="B797" s="12"/>
      <c r="C797" s="12"/>
      <c r="D797" s="12"/>
      <c r="E797" s="12"/>
      <c r="F797" s="12"/>
      <c r="G797" s="12"/>
      <c r="H797" s="12"/>
      <c r="I797" s="12"/>
      <c r="J797" s="12"/>
      <c r="K797" s="12"/>
      <c r="L797" s="12"/>
      <c r="M797" s="12"/>
      <c r="N797" s="12"/>
      <c r="O797" s="12"/>
      <c r="P797" s="12"/>
      <c r="Q797" s="12"/>
      <c r="R797" s="12"/>
      <c r="S797" s="12"/>
      <c r="T797" s="12"/>
      <c r="U797" s="12"/>
    </row>
    <row r="798">
      <c r="A798" s="12" t="s">
        <v>101</v>
      </c>
      <c r="B798" s="12"/>
      <c r="C798" s="12"/>
      <c r="D798" s="12"/>
      <c r="E798" s="12"/>
      <c r="F798" s="12"/>
      <c r="G798" s="12"/>
      <c r="H798" s="12"/>
      <c r="I798" s="12"/>
      <c r="J798" s="12"/>
      <c r="K798" s="12"/>
      <c r="L798" s="12"/>
      <c r="M798" s="12"/>
      <c r="N798" s="12"/>
      <c r="O798" s="12"/>
      <c r="P798" s="12"/>
      <c r="Q798" s="12"/>
      <c r="R798" s="12"/>
      <c r="S798" s="12"/>
      <c r="T798" s="12"/>
      <c r="U798" s="12"/>
    </row>
    <row r="799">
      <c r="A799" s="12" t="s">
        <v>101</v>
      </c>
      <c r="B799" s="12"/>
      <c r="C799" s="12"/>
      <c r="D799" s="12"/>
      <c r="E799" s="12"/>
      <c r="F799" s="12"/>
      <c r="G799" s="12"/>
      <c r="H799" s="12"/>
      <c r="I799" s="12"/>
      <c r="J799" s="12"/>
      <c r="K799" s="12"/>
      <c r="L799" s="12"/>
      <c r="M799" s="12"/>
      <c r="N799" s="12"/>
      <c r="O799" s="12"/>
      <c r="P799" s="12"/>
      <c r="Q799" s="12"/>
      <c r="R799" s="12"/>
      <c r="S799" s="12"/>
      <c r="T799" s="12"/>
      <c r="U799" s="12"/>
    </row>
    <row r="800">
      <c r="A800" s="12" t="s">
        <v>101</v>
      </c>
      <c r="B800" s="12"/>
      <c r="C800" s="12"/>
      <c r="D800" s="12"/>
      <c r="E800" s="12"/>
      <c r="F800" s="12"/>
      <c r="G800" s="12"/>
      <c r="H800" s="12"/>
      <c r="I800" s="12"/>
      <c r="J800" s="12"/>
      <c r="K800" s="12"/>
      <c r="L800" s="12"/>
      <c r="M800" s="12"/>
      <c r="N800" s="12"/>
      <c r="O800" s="12"/>
      <c r="P800" s="12"/>
      <c r="Q800" s="12"/>
      <c r="R800" s="12"/>
      <c r="S800" s="12"/>
      <c r="T800" s="12"/>
      <c r="U800" s="12"/>
    </row>
    <row r="801">
      <c r="A801" s="12" t="s">
        <v>101</v>
      </c>
      <c r="B801" s="12"/>
      <c r="C801" s="12"/>
      <c r="D801" s="12"/>
      <c r="E801" s="12"/>
      <c r="F801" s="12"/>
      <c r="G801" s="12"/>
      <c r="H801" s="12"/>
      <c r="I801" s="12"/>
      <c r="J801" s="12"/>
      <c r="K801" s="12"/>
      <c r="L801" s="12"/>
      <c r="M801" s="12"/>
      <c r="N801" s="12"/>
      <c r="O801" s="12"/>
      <c r="P801" s="12"/>
      <c r="Q801" s="12"/>
      <c r="R801" s="12"/>
      <c r="S801" s="12"/>
      <c r="T801" s="12"/>
      <c r="U801" s="12"/>
    </row>
    <row r="802">
      <c r="A802" s="12" t="s">
        <v>101</v>
      </c>
      <c r="B802" s="12"/>
      <c r="C802" s="12"/>
      <c r="D802" s="12"/>
      <c r="E802" s="12"/>
      <c r="F802" s="12"/>
      <c r="G802" s="12"/>
      <c r="H802" s="12"/>
      <c r="I802" s="12"/>
      <c r="J802" s="12"/>
      <c r="K802" s="12"/>
      <c r="L802" s="12"/>
      <c r="M802" s="12"/>
      <c r="N802" s="12"/>
      <c r="O802" s="12"/>
      <c r="P802" s="12"/>
      <c r="Q802" s="12"/>
      <c r="R802" s="12"/>
      <c r="S802" s="12"/>
      <c r="T802" s="12"/>
      <c r="U802" s="12"/>
    </row>
    <row r="803">
      <c r="A803" s="12" t="s">
        <v>101</v>
      </c>
      <c r="B803" s="12"/>
      <c r="C803" s="12"/>
      <c r="D803" s="12"/>
      <c r="E803" s="12"/>
      <c r="F803" s="12"/>
      <c r="G803" s="12"/>
      <c r="H803" s="12"/>
      <c r="I803" s="12"/>
      <c r="J803" s="12"/>
      <c r="K803" s="12"/>
      <c r="L803" s="12"/>
      <c r="M803" s="12"/>
      <c r="N803" s="12"/>
      <c r="O803" s="12"/>
      <c r="P803" s="12"/>
      <c r="Q803" s="12"/>
      <c r="R803" s="12"/>
      <c r="S803" s="12"/>
      <c r="T803" s="12"/>
      <c r="U803" s="12"/>
    </row>
    <row r="804">
      <c r="A804" s="12" t="s">
        <v>101</v>
      </c>
      <c r="B804" s="12"/>
      <c r="C804" s="12"/>
      <c r="D804" s="12"/>
      <c r="E804" s="12"/>
      <c r="F804" s="12"/>
      <c r="G804" s="12"/>
      <c r="H804" s="12"/>
      <c r="I804" s="12"/>
      <c r="J804" s="12"/>
      <c r="K804" s="12"/>
      <c r="L804" s="12"/>
      <c r="M804" s="12"/>
      <c r="N804" s="12"/>
      <c r="O804" s="12"/>
      <c r="P804" s="12"/>
      <c r="Q804" s="12"/>
      <c r="R804" s="12"/>
      <c r="S804" s="12"/>
      <c r="T804" s="12"/>
      <c r="U804" s="12"/>
    </row>
    <row r="805">
      <c r="A805" s="12" t="s">
        <v>101</v>
      </c>
      <c r="B805" s="12"/>
      <c r="C805" s="12"/>
      <c r="D805" s="12"/>
      <c r="E805" s="12"/>
      <c r="F805" s="12"/>
      <c r="G805" s="12"/>
      <c r="H805" s="12"/>
      <c r="I805" s="12"/>
      <c r="J805" s="12"/>
      <c r="K805" s="12"/>
      <c r="L805" s="12"/>
      <c r="M805" s="12"/>
      <c r="N805" s="12"/>
      <c r="O805" s="12"/>
      <c r="P805" s="12"/>
      <c r="Q805" s="12"/>
      <c r="R805" s="12"/>
      <c r="S805" s="12"/>
      <c r="T805" s="12"/>
      <c r="U805" s="12"/>
    </row>
    <row r="806">
      <c r="A806" s="12" t="s">
        <v>101</v>
      </c>
      <c r="B806" s="12"/>
      <c r="C806" s="12"/>
      <c r="D806" s="12"/>
      <c r="E806" s="12"/>
      <c r="F806" s="12"/>
      <c r="G806" s="12"/>
      <c r="H806" s="12"/>
      <c r="I806" s="12"/>
      <c r="J806" s="12"/>
      <c r="K806" s="12"/>
      <c r="L806" s="12"/>
      <c r="M806" s="12"/>
      <c r="N806" s="12"/>
      <c r="O806" s="12"/>
      <c r="P806" s="12"/>
      <c r="Q806" s="12"/>
      <c r="R806" s="12"/>
      <c r="S806" s="12"/>
      <c r="T806" s="12"/>
      <c r="U806" s="12"/>
    </row>
    <row r="807">
      <c r="A807" s="12" t="s">
        <v>101</v>
      </c>
      <c r="B807" s="12"/>
      <c r="C807" s="12"/>
      <c r="D807" s="12"/>
      <c r="E807" s="12"/>
      <c r="F807" s="12"/>
      <c r="G807" s="12"/>
      <c r="H807" s="12"/>
      <c r="I807" s="12"/>
      <c r="J807" s="12"/>
      <c r="K807" s="12"/>
      <c r="L807" s="12"/>
      <c r="M807" s="12"/>
      <c r="N807" s="12"/>
      <c r="O807" s="12"/>
      <c r="P807" s="12"/>
      <c r="Q807" s="12"/>
      <c r="R807" s="12"/>
      <c r="S807" s="12"/>
      <c r="T807" s="12"/>
      <c r="U807" s="12"/>
    </row>
    <row r="808">
      <c r="A808" s="12" t="s">
        <v>101</v>
      </c>
      <c r="B808" s="12"/>
      <c r="C808" s="12"/>
      <c r="D808" s="12"/>
      <c r="E808" s="12"/>
      <c r="F808" s="12"/>
      <c r="G808" s="12"/>
      <c r="H808" s="12"/>
      <c r="I808" s="12"/>
      <c r="J808" s="12"/>
      <c r="K808" s="12"/>
      <c r="L808" s="12"/>
      <c r="M808" s="12"/>
      <c r="N808" s="12"/>
      <c r="O808" s="12"/>
      <c r="P808" s="12"/>
      <c r="Q808" s="12"/>
      <c r="R808" s="12"/>
      <c r="S808" s="12"/>
      <c r="T808" s="12"/>
      <c r="U808" s="12"/>
    </row>
    <row r="809">
      <c r="A809" s="12" t="s">
        <v>101</v>
      </c>
      <c r="B809" s="12"/>
      <c r="C809" s="12"/>
      <c r="D809" s="12"/>
      <c r="E809" s="12"/>
      <c r="F809" s="12"/>
      <c r="G809" s="12"/>
      <c r="H809" s="12"/>
      <c r="I809" s="12"/>
      <c r="J809" s="12"/>
      <c r="K809" s="12"/>
      <c r="L809" s="12"/>
      <c r="M809" s="12"/>
      <c r="N809" s="12"/>
      <c r="O809" s="12"/>
      <c r="P809" s="12"/>
      <c r="Q809" s="12"/>
      <c r="R809" s="12"/>
      <c r="S809" s="12"/>
      <c r="T809" s="12"/>
      <c r="U809" s="12"/>
    </row>
    <row r="810">
      <c r="A810" s="12" t="s">
        <v>101</v>
      </c>
      <c r="B810" s="12"/>
      <c r="C810" s="12"/>
      <c r="D810" s="12"/>
      <c r="E810" s="12"/>
      <c r="F810" s="12"/>
      <c r="G810" s="12"/>
      <c r="H810" s="12"/>
      <c r="I810" s="12"/>
      <c r="J810" s="12"/>
      <c r="K810" s="12"/>
      <c r="L810" s="12"/>
      <c r="M810" s="12"/>
      <c r="N810" s="12"/>
      <c r="O810" s="12"/>
      <c r="P810" s="12"/>
      <c r="Q810" s="12"/>
      <c r="R810" s="12"/>
      <c r="S810" s="12"/>
      <c r="T810" s="12"/>
      <c r="U810" s="12"/>
    </row>
    <row r="811">
      <c r="A811" s="12" t="s">
        <v>101</v>
      </c>
      <c r="B811" s="12"/>
      <c r="C811" s="12"/>
      <c r="D811" s="12"/>
      <c r="E811" s="12"/>
      <c r="F811" s="12"/>
      <c r="G811" s="12"/>
      <c r="H811" s="12"/>
      <c r="I811" s="12"/>
      <c r="J811" s="12"/>
      <c r="K811" s="12"/>
      <c r="L811" s="12"/>
      <c r="M811" s="12"/>
      <c r="N811" s="12"/>
      <c r="O811" s="12"/>
      <c r="P811" s="12"/>
      <c r="Q811" s="12"/>
      <c r="R811" s="12"/>
      <c r="S811" s="12"/>
      <c r="T811" s="12"/>
      <c r="U811" s="12"/>
    </row>
    <row r="812">
      <c r="A812" s="12" t="s">
        <v>101</v>
      </c>
      <c r="B812" s="12"/>
      <c r="C812" s="12"/>
      <c r="D812" s="12"/>
      <c r="E812" s="12"/>
      <c r="F812" s="12"/>
      <c r="G812" s="12"/>
      <c r="H812" s="12"/>
      <c r="I812" s="12"/>
      <c r="J812" s="12"/>
      <c r="K812" s="12"/>
      <c r="L812" s="12"/>
      <c r="M812" s="12"/>
      <c r="N812" s="12"/>
      <c r="O812" s="12"/>
      <c r="P812" s="12"/>
      <c r="Q812" s="12"/>
      <c r="R812" s="12"/>
      <c r="S812" s="12"/>
      <c r="T812" s="12"/>
      <c r="U812" s="12"/>
    </row>
    <row r="813">
      <c r="A813" s="12" t="s">
        <v>101</v>
      </c>
      <c r="B813" s="12"/>
      <c r="C813" s="12"/>
      <c r="D813" s="12"/>
      <c r="E813" s="12"/>
      <c r="F813" s="12"/>
      <c r="G813" s="12"/>
      <c r="H813" s="12"/>
      <c r="I813" s="12"/>
      <c r="J813" s="12"/>
      <c r="K813" s="12"/>
      <c r="L813" s="12"/>
      <c r="M813" s="12"/>
      <c r="N813" s="12"/>
      <c r="O813" s="12"/>
      <c r="P813" s="12"/>
      <c r="Q813" s="12"/>
      <c r="R813" s="12"/>
      <c r="S813" s="12"/>
      <c r="T813" s="12"/>
      <c r="U813" s="12"/>
    </row>
    <row r="814">
      <c r="A814" s="12" t="s">
        <v>101</v>
      </c>
      <c r="B814" s="12"/>
      <c r="C814" s="12"/>
      <c r="D814" s="12"/>
      <c r="E814" s="12"/>
      <c r="F814" s="12"/>
      <c r="G814" s="12"/>
      <c r="H814" s="12"/>
      <c r="I814" s="12"/>
      <c r="J814" s="12"/>
      <c r="K814" s="12"/>
      <c r="L814" s="12"/>
      <c r="M814" s="12"/>
      <c r="N814" s="12"/>
      <c r="O814" s="12"/>
      <c r="P814" s="12"/>
      <c r="Q814" s="12"/>
      <c r="R814" s="12"/>
      <c r="S814" s="12"/>
      <c r="T814" s="12"/>
      <c r="U814" s="12"/>
    </row>
    <row r="815">
      <c r="A815" s="12" t="s">
        <v>101</v>
      </c>
      <c r="B815" s="12"/>
      <c r="C815" s="12"/>
      <c r="D815" s="12"/>
      <c r="E815" s="12"/>
      <c r="F815" s="12"/>
      <c r="G815" s="12"/>
      <c r="H815" s="12"/>
      <c r="I815" s="12"/>
      <c r="J815" s="12"/>
      <c r="K815" s="12"/>
      <c r="L815" s="12"/>
      <c r="M815" s="12"/>
      <c r="N815" s="12"/>
      <c r="O815" s="12"/>
      <c r="P815" s="12"/>
      <c r="Q815" s="12"/>
      <c r="R815" s="12"/>
      <c r="S815" s="12"/>
      <c r="T815" s="12"/>
      <c r="U815" s="12"/>
    </row>
    <row r="816">
      <c r="A816" s="12" t="s">
        <v>101</v>
      </c>
      <c r="B816" s="12"/>
      <c r="C816" s="12"/>
      <c r="D816" s="12"/>
      <c r="E816" s="12"/>
      <c r="F816" s="12"/>
      <c r="G816" s="12"/>
      <c r="H816" s="12"/>
      <c r="I816" s="12"/>
      <c r="J816" s="12"/>
      <c r="K816" s="12"/>
      <c r="L816" s="12"/>
      <c r="M816" s="12"/>
      <c r="N816" s="12"/>
      <c r="O816" s="12"/>
      <c r="P816" s="12"/>
      <c r="Q816" s="12"/>
      <c r="R816" s="12"/>
      <c r="S816" s="12"/>
      <c r="T816" s="12"/>
      <c r="U816" s="12"/>
    </row>
    <row r="817">
      <c r="A817" s="12" t="s">
        <v>101</v>
      </c>
      <c r="B817" s="12"/>
      <c r="C817" s="12"/>
      <c r="D817" s="12"/>
      <c r="E817" s="12"/>
      <c r="F817" s="12"/>
      <c r="G817" s="12"/>
      <c r="H817" s="12"/>
      <c r="I817" s="12"/>
      <c r="J817" s="12"/>
      <c r="K817" s="12"/>
      <c r="L817" s="12"/>
      <c r="M817" s="12"/>
      <c r="N817" s="12"/>
      <c r="O817" s="12"/>
      <c r="P817" s="12"/>
      <c r="Q817" s="12"/>
      <c r="R817" s="12"/>
      <c r="S817" s="12"/>
      <c r="T817" s="12"/>
      <c r="U817" s="12"/>
    </row>
    <row r="818">
      <c r="A818" s="12" t="s">
        <v>101</v>
      </c>
      <c r="B818" s="12"/>
      <c r="C818" s="12"/>
      <c r="D818" s="12"/>
      <c r="E818" s="12"/>
      <c r="F818" s="12"/>
      <c r="G818" s="12"/>
      <c r="H818" s="12"/>
      <c r="I818" s="12"/>
      <c r="J818" s="12"/>
      <c r="K818" s="12"/>
      <c r="L818" s="12"/>
      <c r="M818" s="12"/>
      <c r="N818" s="12"/>
      <c r="O818" s="12"/>
      <c r="P818" s="12"/>
      <c r="Q818" s="12"/>
      <c r="R818" s="12"/>
      <c r="S818" s="12"/>
      <c r="T818" s="12"/>
      <c r="U818" s="12"/>
    </row>
    <row r="819">
      <c r="A819" s="12" t="s">
        <v>101</v>
      </c>
      <c r="B819" s="12"/>
      <c r="C819" s="12"/>
      <c r="D819" s="12"/>
      <c r="E819" s="12"/>
      <c r="F819" s="12"/>
      <c r="G819" s="12"/>
      <c r="H819" s="12"/>
      <c r="I819" s="12"/>
      <c r="J819" s="12"/>
      <c r="K819" s="12"/>
      <c r="L819" s="12"/>
      <c r="M819" s="12"/>
      <c r="N819" s="12"/>
      <c r="O819" s="12"/>
      <c r="P819" s="12"/>
      <c r="Q819" s="12"/>
      <c r="R819" s="12"/>
      <c r="S819" s="12"/>
      <c r="T819" s="12"/>
      <c r="U819" s="12"/>
    </row>
    <row r="820">
      <c r="A820" s="12" t="s">
        <v>101</v>
      </c>
      <c r="B820" s="12"/>
      <c r="C820" s="12"/>
      <c r="D820" s="12"/>
      <c r="E820" s="12"/>
      <c r="F820" s="12"/>
      <c r="G820" s="12"/>
      <c r="H820" s="12"/>
      <c r="I820" s="12"/>
      <c r="J820" s="12"/>
      <c r="K820" s="12"/>
      <c r="L820" s="12"/>
      <c r="M820" s="12"/>
      <c r="N820" s="12"/>
      <c r="O820" s="12"/>
      <c r="P820" s="12"/>
      <c r="Q820" s="12"/>
      <c r="R820" s="12"/>
      <c r="S820" s="12"/>
      <c r="T820" s="12"/>
      <c r="U820" s="12"/>
    </row>
    <row r="821">
      <c r="A821" s="12" t="s">
        <v>101</v>
      </c>
      <c r="B821" s="12"/>
      <c r="C821" s="12"/>
      <c r="D821" s="12"/>
      <c r="E821" s="12"/>
      <c r="F821" s="12"/>
      <c r="G821" s="12"/>
      <c r="H821" s="12"/>
      <c r="I821" s="12"/>
      <c r="J821" s="12"/>
      <c r="K821" s="12"/>
      <c r="L821" s="12"/>
      <c r="M821" s="12"/>
      <c r="N821" s="12"/>
      <c r="O821" s="12"/>
      <c r="P821" s="12"/>
      <c r="Q821" s="12"/>
      <c r="R821" s="12"/>
      <c r="S821" s="12"/>
      <c r="T821" s="12"/>
      <c r="U821" s="12"/>
    </row>
    <row r="822">
      <c r="A822" s="12" t="s">
        <v>101</v>
      </c>
      <c r="B822" s="12"/>
      <c r="C822" s="12"/>
      <c r="D822" s="12"/>
      <c r="E822" s="12"/>
      <c r="F822" s="12"/>
      <c r="G822" s="12"/>
      <c r="H822" s="12"/>
      <c r="I822" s="12"/>
      <c r="J822" s="12"/>
      <c r="K822" s="12"/>
      <c r="L822" s="12"/>
      <c r="M822" s="12"/>
      <c r="N822" s="12"/>
      <c r="O822" s="12"/>
      <c r="P822" s="12"/>
      <c r="Q822" s="12"/>
      <c r="R822" s="12"/>
      <c r="S822" s="12"/>
      <c r="T822" s="12"/>
      <c r="U822" s="12"/>
    </row>
    <row r="823">
      <c r="A823" s="12" t="s">
        <v>101</v>
      </c>
      <c r="B823" s="12"/>
      <c r="C823" s="12"/>
      <c r="D823" s="12"/>
      <c r="E823" s="12"/>
      <c r="F823" s="12"/>
      <c r="G823" s="12"/>
      <c r="H823" s="12"/>
      <c r="I823" s="12"/>
      <c r="J823" s="12"/>
      <c r="K823" s="12"/>
      <c r="L823" s="12"/>
      <c r="M823" s="12"/>
      <c r="N823" s="12"/>
      <c r="O823" s="12"/>
      <c r="P823" s="12"/>
      <c r="Q823" s="12"/>
      <c r="R823" s="12"/>
      <c r="S823" s="12"/>
      <c r="T823" s="12"/>
      <c r="U823" s="12"/>
    </row>
    <row r="824">
      <c r="A824" s="12" t="s">
        <v>101</v>
      </c>
      <c r="B824" s="12"/>
      <c r="C824" s="12"/>
      <c r="D824" s="12"/>
      <c r="E824" s="12"/>
      <c r="F824" s="12"/>
      <c r="G824" s="12"/>
      <c r="H824" s="12"/>
      <c r="I824" s="12"/>
      <c r="J824" s="12"/>
      <c r="K824" s="12"/>
      <c r="L824" s="12"/>
      <c r="M824" s="12"/>
      <c r="N824" s="12"/>
      <c r="O824" s="12"/>
      <c r="P824" s="12"/>
      <c r="Q824" s="12"/>
      <c r="R824" s="12"/>
      <c r="S824" s="12"/>
      <c r="T824" s="12"/>
      <c r="U824" s="12"/>
    </row>
    <row r="825">
      <c r="A825" s="12" t="s">
        <v>101</v>
      </c>
      <c r="B825" s="12"/>
      <c r="C825" s="12"/>
      <c r="D825" s="12"/>
      <c r="E825" s="12"/>
      <c r="F825" s="12"/>
      <c r="G825" s="12"/>
      <c r="H825" s="12"/>
      <c r="I825" s="12"/>
      <c r="J825" s="12"/>
      <c r="K825" s="12"/>
      <c r="L825" s="12"/>
      <c r="M825" s="12"/>
      <c r="N825" s="12"/>
      <c r="O825" s="12"/>
      <c r="P825" s="12"/>
      <c r="Q825" s="12"/>
      <c r="R825" s="12"/>
      <c r="S825" s="12"/>
      <c r="T825" s="12"/>
      <c r="U825" s="12"/>
    </row>
    <row r="826">
      <c r="A826" s="12" t="s">
        <v>101</v>
      </c>
      <c r="B826" s="12"/>
      <c r="C826" s="12"/>
      <c r="D826" s="12"/>
      <c r="E826" s="12"/>
      <c r="F826" s="12"/>
      <c r="G826" s="12"/>
      <c r="H826" s="12"/>
      <c r="I826" s="12"/>
      <c r="J826" s="12"/>
      <c r="K826" s="12"/>
      <c r="L826" s="12"/>
      <c r="M826" s="12"/>
      <c r="N826" s="12"/>
      <c r="O826" s="12"/>
      <c r="P826" s="12"/>
      <c r="Q826" s="12"/>
      <c r="R826" s="12"/>
      <c r="S826" s="12"/>
      <c r="T826" s="12"/>
      <c r="U826" s="12"/>
    </row>
    <row r="827">
      <c r="A827" s="12" t="s">
        <v>101</v>
      </c>
      <c r="B827" s="12"/>
      <c r="C827" s="12"/>
      <c r="D827" s="12"/>
      <c r="E827" s="12"/>
      <c r="F827" s="12"/>
      <c r="G827" s="12"/>
      <c r="H827" s="12"/>
      <c r="I827" s="12"/>
      <c r="J827" s="12"/>
      <c r="K827" s="12"/>
      <c r="L827" s="12"/>
      <c r="M827" s="12"/>
      <c r="N827" s="12"/>
      <c r="O827" s="12"/>
      <c r="P827" s="12"/>
      <c r="Q827" s="12"/>
      <c r="R827" s="12"/>
      <c r="S827" s="12"/>
      <c r="T827" s="12"/>
      <c r="U827" s="12"/>
    </row>
    <row r="828">
      <c r="A828" s="12" t="s">
        <v>101</v>
      </c>
      <c r="B828" s="12"/>
      <c r="C828" s="12"/>
      <c r="D828" s="12"/>
      <c r="E828" s="12"/>
      <c r="F828" s="12"/>
      <c r="G828" s="12"/>
      <c r="H828" s="12"/>
      <c r="I828" s="12"/>
      <c r="J828" s="12"/>
      <c r="K828" s="12"/>
      <c r="L828" s="12"/>
      <c r="M828" s="12"/>
      <c r="N828" s="12"/>
      <c r="O828" s="12"/>
      <c r="P828" s="12"/>
      <c r="Q828" s="12"/>
      <c r="R828" s="12"/>
      <c r="S828" s="12"/>
      <c r="T828" s="12"/>
      <c r="U828" s="12"/>
    </row>
    <row r="829">
      <c r="A829" s="12" t="s">
        <v>101</v>
      </c>
      <c r="B829" s="12"/>
      <c r="C829" s="12"/>
      <c r="D829" s="12"/>
      <c r="E829" s="12"/>
      <c r="F829" s="12"/>
      <c r="G829" s="12"/>
      <c r="H829" s="12"/>
      <c r="I829" s="12"/>
      <c r="J829" s="12"/>
      <c r="K829" s="12"/>
      <c r="L829" s="12"/>
      <c r="M829" s="12"/>
      <c r="N829" s="12"/>
      <c r="O829" s="12"/>
      <c r="P829" s="12"/>
      <c r="Q829" s="12"/>
      <c r="R829" s="12"/>
      <c r="S829" s="12"/>
      <c r="T829" s="12"/>
      <c r="U829" s="12"/>
    </row>
    <row r="830">
      <c r="A830" s="12" t="s">
        <v>101</v>
      </c>
      <c r="B830" s="12"/>
      <c r="C830" s="12"/>
      <c r="D830" s="12"/>
      <c r="E830" s="12"/>
      <c r="F830" s="12"/>
      <c r="G830" s="12"/>
      <c r="H830" s="12"/>
      <c r="I830" s="12"/>
      <c r="J830" s="12"/>
      <c r="K830" s="12"/>
      <c r="L830" s="12"/>
      <c r="M830" s="12"/>
      <c r="N830" s="12"/>
      <c r="O830" s="12"/>
      <c r="P830" s="12"/>
      <c r="Q830" s="12"/>
      <c r="R830" s="12"/>
      <c r="S830" s="12"/>
      <c r="T830" s="12"/>
      <c r="U830" s="12"/>
    </row>
    <row r="831">
      <c r="A831" s="12" t="s">
        <v>101</v>
      </c>
      <c r="B831" s="12"/>
      <c r="C831" s="12"/>
      <c r="D831" s="12"/>
      <c r="E831" s="12"/>
      <c r="F831" s="12"/>
      <c r="G831" s="12"/>
      <c r="H831" s="12"/>
      <c r="I831" s="12"/>
      <c r="J831" s="12"/>
      <c r="K831" s="12"/>
      <c r="L831" s="12"/>
      <c r="M831" s="12"/>
      <c r="N831" s="12"/>
      <c r="O831" s="12"/>
      <c r="P831" s="12"/>
      <c r="Q831" s="12"/>
      <c r="R831" s="12"/>
      <c r="S831" s="12"/>
      <c r="T831" s="12"/>
      <c r="U831" s="12"/>
    </row>
    <row r="832">
      <c r="A832" s="12" t="s">
        <v>101</v>
      </c>
      <c r="B832" s="12"/>
      <c r="C832" s="12"/>
      <c r="D832" s="12"/>
      <c r="E832" s="12"/>
      <c r="F832" s="12"/>
      <c r="G832" s="12"/>
      <c r="H832" s="12"/>
      <c r="I832" s="12"/>
      <c r="J832" s="12"/>
      <c r="K832" s="12"/>
      <c r="L832" s="12"/>
      <c r="M832" s="12"/>
      <c r="N832" s="12"/>
      <c r="O832" s="12"/>
      <c r="P832" s="12"/>
      <c r="Q832" s="12"/>
      <c r="R832" s="12"/>
      <c r="S832" s="12"/>
      <c r="T832" s="12"/>
      <c r="U832" s="12"/>
    </row>
    <row r="833">
      <c r="A833" s="12" t="s">
        <v>101</v>
      </c>
      <c r="B833" s="12"/>
      <c r="C833" s="12"/>
      <c r="D833" s="12"/>
      <c r="E833" s="12"/>
      <c r="F833" s="12"/>
      <c r="G833" s="12"/>
      <c r="H833" s="12"/>
      <c r="I833" s="12"/>
      <c r="J833" s="12"/>
      <c r="K833" s="12"/>
      <c r="L833" s="12"/>
      <c r="M833" s="12"/>
      <c r="N833" s="12"/>
      <c r="O833" s="12"/>
      <c r="P833" s="12"/>
      <c r="Q833" s="12"/>
      <c r="R833" s="12"/>
      <c r="S833" s="12"/>
      <c r="T833" s="12"/>
      <c r="U833" s="12"/>
    </row>
    <row r="834">
      <c r="A834" s="12" t="s">
        <v>101</v>
      </c>
      <c r="B834" s="12"/>
      <c r="C834" s="12"/>
      <c r="D834" s="12"/>
      <c r="E834" s="12"/>
      <c r="F834" s="12"/>
      <c r="G834" s="12"/>
      <c r="H834" s="12"/>
      <c r="I834" s="12"/>
      <c r="J834" s="12"/>
      <c r="K834" s="12"/>
      <c r="L834" s="12"/>
      <c r="M834" s="12"/>
      <c r="N834" s="12"/>
      <c r="O834" s="12"/>
      <c r="P834" s="12"/>
      <c r="Q834" s="12"/>
      <c r="R834" s="12"/>
      <c r="S834" s="12"/>
      <c r="T834" s="12"/>
      <c r="U834" s="12"/>
    </row>
    <row r="835">
      <c r="A835" s="12" t="s">
        <v>101</v>
      </c>
      <c r="B835" s="12"/>
      <c r="C835" s="12"/>
      <c r="D835" s="12"/>
      <c r="E835" s="12"/>
      <c r="F835" s="12"/>
      <c r="G835" s="12"/>
      <c r="H835" s="12"/>
      <c r="I835" s="12"/>
      <c r="J835" s="12"/>
      <c r="K835" s="12"/>
      <c r="L835" s="12"/>
      <c r="M835" s="12"/>
      <c r="N835" s="12"/>
      <c r="O835" s="12"/>
      <c r="P835" s="12"/>
      <c r="Q835" s="12"/>
      <c r="R835" s="12"/>
      <c r="S835" s="12"/>
      <c r="T835" s="12"/>
      <c r="U835" s="12"/>
    </row>
    <row r="836">
      <c r="A836" s="12" t="s">
        <v>101</v>
      </c>
      <c r="B836" s="12"/>
      <c r="C836" s="12"/>
      <c r="D836" s="12"/>
      <c r="E836" s="12"/>
      <c r="F836" s="12"/>
      <c r="G836" s="12"/>
      <c r="H836" s="12"/>
      <c r="I836" s="12"/>
      <c r="J836" s="12"/>
      <c r="K836" s="12"/>
      <c r="L836" s="12"/>
      <c r="M836" s="12"/>
      <c r="N836" s="12"/>
      <c r="O836" s="12"/>
      <c r="P836" s="12"/>
      <c r="Q836" s="12"/>
      <c r="R836" s="12"/>
      <c r="S836" s="12"/>
      <c r="T836" s="12"/>
      <c r="U836" s="12"/>
    </row>
    <row r="837">
      <c r="A837" s="12" t="s">
        <v>101</v>
      </c>
      <c r="B837" s="12"/>
      <c r="C837" s="12"/>
      <c r="D837" s="12"/>
      <c r="E837" s="12"/>
      <c r="F837" s="12"/>
      <c r="G837" s="12"/>
      <c r="H837" s="12"/>
      <c r="I837" s="12"/>
      <c r="J837" s="12"/>
      <c r="K837" s="12"/>
      <c r="L837" s="12"/>
      <c r="M837" s="12"/>
      <c r="N837" s="12"/>
      <c r="O837" s="12"/>
      <c r="P837" s="12"/>
      <c r="Q837" s="12"/>
      <c r="R837" s="12"/>
      <c r="S837" s="12"/>
      <c r="T837" s="12"/>
      <c r="U837" s="12"/>
    </row>
    <row r="838">
      <c r="A838" s="12" t="s">
        <v>101</v>
      </c>
      <c r="B838" s="12"/>
      <c r="C838" s="12"/>
      <c r="D838" s="12"/>
      <c r="E838" s="12"/>
      <c r="F838" s="12"/>
      <c r="G838" s="12"/>
      <c r="H838" s="12"/>
      <c r="I838" s="12"/>
      <c r="J838" s="12"/>
      <c r="K838" s="12"/>
      <c r="L838" s="12"/>
      <c r="M838" s="12"/>
      <c r="N838" s="12"/>
      <c r="O838" s="12"/>
      <c r="P838" s="12"/>
      <c r="Q838" s="12"/>
      <c r="R838" s="12"/>
      <c r="S838" s="12"/>
      <c r="T838" s="12"/>
      <c r="U838" s="12"/>
    </row>
    <row r="839">
      <c r="A839" s="12" t="s">
        <v>101</v>
      </c>
      <c r="B839" s="12"/>
      <c r="C839" s="12"/>
      <c r="D839" s="12"/>
      <c r="E839" s="12"/>
      <c r="F839" s="12"/>
      <c r="G839" s="12"/>
      <c r="H839" s="12"/>
      <c r="I839" s="12"/>
      <c r="J839" s="12"/>
      <c r="K839" s="12"/>
      <c r="L839" s="12"/>
      <c r="M839" s="12"/>
      <c r="N839" s="12"/>
      <c r="O839" s="12"/>
      <c r="P839" s="12"/>
      <c r="Q839" s="12"/>
      <c r="R839" s="12"/>
      <c r="S839" s="12"/>
      <c r="T839" s="12"/>
      <c r="U839" s="12"/>
    </row>
    <row r="840">
      <c r="A840" s="12" t="s">
        <v>101</v>
      </c>
      <c r="B840" s="12"/>
      <c r="C840" s="12"/>
      <c r="D840" s="12"/>
      <c r="E840" s="12"/>
      <c r="F840" s="12"/>
      <c r="G840" s="12"/>
      <c r="H840" s="12"/>
      <c r="I840" s="12"/>
      <c r="J840" s="12"/>
      <c r="K840" s="12"/>
      <c r="L840" s="12"/>
      <c r="M840" s="12"/>
      <c r="N840" s="12"/>
      <c r="O840" s="12"/>
      <c r="P840" s="12"/>
      <c r="Q840" s="12"/>
      <c r="R840" s="12"/>
      <c r="S840" s="12"/>
      <c r="T840" s="12"/>
      <c r="U840" s="12"/>
    </row>
    <row r="841">
      <c r="A841" s="12" t="s">
        <v>101</v>
      </c>
      <c r="B841" s="12"/>
      <c r="C841" s="12"/>
      <c r="D841" s="12"/>
      <c r="E841" s="12"/>
      <c r="F841" s="12"/>
      <c r="G841" s="12"/>
      <c r="H841" s="12"/>
      <c r="I841" s="12"/>
      <c r="J841" s="12"/>
      <c r="K841" s="12"/>
      <c r="L841" s="12"/>
      <c r="M841" s="12"/>
      <c r="N841" s="12"/>
      <c r="O841" s="12"/>
      <c r="P841" s="12"/>
      <c r="Q841" s="12"/>
      <c r="R841" s="12"/>
      <c r="S841" s="12"/>
      <c r="T841" s="12"/>
      <c r="U841" s="12"/>
    </row>
    <row r="842">
      <c r="A842" s="12" t="s">
        <v>101</v>
      </c>
      <c r="B842" s="12"/>
      <c r="C842" s="12"/>
      <c r="D842" s="12"/>
      <c r="E842" s="12"/>
      <c r="F842" s="12"/>
      <c r="G842" s="12"/>
      <c r="H842" s="12"/>
      <c r="I842" s="12"/>
      <c r="J842" s="12"/>
      <c r="K842" s="12"/>
      <c r="L842" s="12"/>
      <c r="M842" s="12"/>
      <c r="N842" s="12"/>
      <c r="O842" s="12"/>
      <c r="P842" s="12"/>
      <c r="Q842" s="12"/>
      <c r="R842" s="12"/>
      <c r="S842" s="12"/>
      <c r="T842" s="12"/>
      <c r="U842" s="12"/>
    </row>
    <row r="843">
      <c r="A843" s="12" t="s">
        <v>101</v>
      </c>
      <c r="B843" s="12"/>
      <c r="C843" s="12"/>
      <c r="D843" s="12"/>
      <c r="E843" s="12"/>
      <c r="F843" s="12"/>
      <c r="G843" s="12"/>
      <c r="H843" s="12"/>
      <c r="I843" s="12"/>
      <c r="J843" s="12"/>
      <c r="K843" s="12"/>
      <c r="L843" s="12"/>
      <c r="M843" s="12"/>
      <c r="N843" s="12"/>
      <c r="O843" s="12"/>
      <c r="P843" s="12"/>
      <c r="Q843" s="12"/>
      <c r="R843" s="12"/>
      <c r="S843" s="12"/>
      <c r="T843" s="12"/>
      <c r="U843" s="12"/>
    </row>
    <row r="844">
      <c r="A844" s="12" t="s">
        <v>101</v>
      </c>
      <c r="B844" s="12"/>
      <c r="C844" s="12"/>
      <c r="D844" s="12"/>
      <c r="E844" s="12"/>
      <c r="F844" s="12"/>
      <c r="G844" s="12"/>
      <c r="H844" s="12"/>
      <c r="I844" s="12"/>
      <c r="J844" s="12"/>
      <c r="K844" s="12"/>
      <c r="L844" s="12"/>
      <c r="M844" s="12"/>
      <c r="N844" s="12"/>
      <c r="O844" s="12"/>
      <c r="P844" s="12"/>
      <c r="Q844" s="12"/>
      <c r="R844" s="12"/>
      <c r="S844" s="12"/>
      <c r="T844" s="12"/>
      <c r="U844" s="12"/>
    </row>
    <row r="845">
      <c r="A845" s="12" t="s">
        <v>101</v>
      </c>
      <c r="B845" s="12"/>
      <c r="C845" s="12"/>
      <c r="D845" s="12"/>
      <c r="E845" s="12"/>
      <c r="F845" s="12"/>
      <c r="G845" s="12"/>
      <c r="H845" s="12"/>
      <c r="I845" s="12"/>
      <c r="J845" s="12"/>
      <c r="K845" s="12"/>
      <c r="L845" s="12"/>
      <c r="M845" s="12"/>
      <c r="N845" s="12"/>
      <c r="O845" s="12"/>
      <c r="P845" s="12"/>
      <c r="Q845" s="12"/>
      <c r="R845" s="12"/>
      <c r="S845" s="12"/>
      <c r="T845" s="12"/>
      <c r="U845" s="12"/>
    </row>
    <row r="846">
      <c r="A846" s="12" t="s">
        <v>101</v>
      </c>
      <c r="B846" s="12"/>
      <c r="C846" s="12"/>
      <c r="D846" s="12"/>
      <c r="E846" s="12"/>
      <c r="F846" s="12"/>
      <c r="G846" s="12"/>
      <c r="H846" s="12"/>
      <c r="I846" s="12"/>
      <c r="J846" s="12"/>
      <c r="K846" s="12"/>
      <c r="L846" s="12"/>
      <c r="M846" s="12"/>
      <c r="N846" s="12"/>
      <c r="O846" s="12"/>
      <c r="P846" s="12"/>
      <c r="Q846" s="12"/>
      <c r="R846" s="12"/>
      <c r="S846" s="12"/>
      <c r="T846" s="12"/>
      <c r="U846" s="12"/>
    </row>
    <row r="847">
      <c r="A847" s="12" t="s">
        <v>101</v>
      </c>
      <c r="B847" s="12"/>
      <c r="C847" s="12"/>
      <c r="D847" s="12"/>
      <c r="E847" s="12"/>
      <c r="F847" s="12"/>
      <c r="G847" s="12"/>
      <c r="H847" s="12"/>
      <c r="I847" s="12"/>
      <c r="J847" s="12"/>
      <c r="K847" s="12"/>
      <c r="L847" s="12"/>
      <c r="M847" s="12"/>
      <c r="N847" s="12"/>
      <c r="O847" s="12"/>
      <c r="P847" s="12"/>
      <c r="Q847" s="12"/>
      <c r="R847" s="12"/>
      <c r="S847" s="12"/>
      <c r="T847" s="12"/>
      <c r="U847" s="12"/>
    </row>
    <row r="848">
      <c r="A848" s="12" t="s">
        <v>101</v>
      </c>
      <c r="B848" s="12"/>
      <c r="C848" s="12"/>
      <c r="D848" s="12"/>
      <c r="E848" s="12"/>
      <c r="F848" s="12"/>
      <c r="G848" s="12"/>
      <c r="H848" s="12"/>
      <c r="I848" s="12"/>
      <c r="J848" s="12"/>
      <c r="K848" s="12"/>
      <c r="L848" s="12"/>
      <c r="M848" s="12"/>
      <c r="N848" s="12"/>
      <c r="O848" s="12"/>
      <c r="P848" s="12"/>
      <c r="Q848" s="12"/>
      <c r="R848" s="12"/>
      <c r="S848" s="12"/>
      <c r="T848" s="12"/>
      <c r="U848" s="12"/>
    </row>
    <row r="849">
      <c r="A849" s="12" t="s">
        <v>101</v>
      </c>
      <c r="B849" s="12"/>
      <c r="C849" s="12"/>
      <c r="D849" s="12"/>
      <c r="E849" s="12"/>
      <c r="F849" s="12"/>
      <c r="G849" s="12"/>
      <c r="H849" s="12"/>
      <c r="I849" s="12"/>
      <c r="J849" s="12"/>
      <c r="K849" s="12"/>
      <c r="L849" s="12"/>
      <c r="M849" s="12"/>
      <c r="N849" s="12"/>
      <c r="O849" s="12"/>
      <c r="P849" s="12"/>
      <c r="Q849" s="12"/>
      <c r="R849" s="12"/>
      <c r="S849" s="12"/>
      <c r="T849" s="12"/>
      <c r="U849" s="12"/>
    </row>
    <row r="850">
      <c r="A850" s="12" t="s">
        <v>101</v>
      </c>
      <c r="B850" s="12"/>
      <c r="C850" s="12"/>
      <c r="D850" s="12"/>
      <c r="E850" s="12"/>
      <c r="F850" s="12"/>
      <c r="G850" s="12"/>
      <c r="H850" s="12"/>
      <c r="I850" s="12"/>
      <c r="J850" s="12"/>
      <c r="K850" s="12"/>
      <c r="L850" s="12"/>
      <c r="M850" s="12"/>
      <c r="N850" s="12"/>
      <c r="O850" s="12"/>
      <c r="P850" s="12"/>
      <c r="Q850" s="12"/>
      <c r="R850" s="12"/>
      <c r="S850" s="12"/>
      <c r="T850" s="12"/>
      <c r="U850" s="12"/>
    </row>
    <row r="851">
      <c r="A851" s="12" t="s">
        <v>101</v>
      </c>
      <c r="B851" s="12"/>
      <c r="C851" s="12"/>
      <c r="D851" s="12"/>
      <c r="E851" s="12"/>
      <c r="F851" s="12"/>
      <c r="G851" s="12"/>
      <c r="H851" s="12"/>
      <c r="I851" s="12"/>
      <c r="J851" s="12"/>
      <c r="K851" s="12"/>
      <c r="L851" s="12"/>
      <c r="M851" s="12"/>
      <c r="N851" s="12"/>
      <c r="O851" s="12"/>
      <c r="P851" s="12"/>
      <c r="Q851" s="12"/>
      <c r="R851" s="12"/>
      <c r="S851" s="12"/>
      <c r="T851" s="12"/>
      <c r="U851" s="12"/>
    </row>
    <row r="852">
      <c r="A852" s="12" t="s">
        <v>101</v>
      </c>
      <c r="B852" s="12"/>
      <c r="C852" s="12"/>
      <c r="D852" s="12"/>
      <c r="E852" s="12"/>
      <c r="F852" s="12"/>
      <c r="G852" s="12"/>
      <c r="H852" s="12"/>
      <c r="I852" s="12"/>
      <c r="J852" s="12"/>
      <c r="K852" s="12"/>
      <c r="L852" s="12"/>
      <c r="M852" s="12"/>
      <c r="N852" s="12"/>
      <c r="O852" s="12"/>
      <c r="P852" s="12"/>
      <c r="Q852" s="12"/>
      <c r="R852" s="12"/>
      <c r="S852" s="12"/>
      <c r="T852" s="12"/>
      <c r="U852" s="12"/>
    </row>
    <row r="853">
      <c r="A853" s="12" t="s">
        <v>101</v>
      </c>
      <c r="B853" s="12"/>
      <c r="C853" s="12"/>
      <c r="D853" s="12"/>
      <c r="E853" s="12"/>
      <c r="F853" s="12"/>
      <c r="G853" s="12"/>
      <c r="H853" s="12"/>
      <c r="I853" s="12"/>
      <c r="J853" s="12"/>
      <c r="K853" s="12"/>
      <c r="L853" s="12"/>
      <c r="M853" s="12"/>
      <c r="N853" s="12"/>
      <c r="O853" s="12"/>
      <c r="P853" s="12"/>
      <c r="Q853" s="12"/>
      <c r="R853" s="12"/>
      <c r="S853" s="12"/>
      <c r="T853" s="12"/>
      <c r="U853" s="12"/>
    </row>
    <row r="854">
      <c r="A854" s="12" t="s">
        <v>101</v>
      </c>
      <c r="B854" s="12"/>
      <c r="C854" s="12"/>
      <c r="D854" s="12"/>
      <c r="E854" s="12"/>
      <c r="F854" s="12"/>
      <c r="G854" s="12"/>
      <c r="H854" s="12"/>
      <c r="I854" s="12"/>
      <c r="J854" s="12"/>
      <c r="K854" s="12"/>
      <c r="L854" s="12"/>
      <c r="M854" s="12"/>
      <c r="N854" s="12"/>
      <c r="O854" s="12"/>
      <c r="P854" s="12"/>
      <c r="Q854" s="12"/>
      <c r="R854" s="12"/>
      <c r="S854" s="12"/>
      <c r="T854" s="12"/>
      <c r="U854" s="12"/>
    </row>
    <row r="855">
      <c r="A855" s="12" t="s">
        <v>101</v>
      </c>
      <c r="B855" s="12"/>
      <c r="C855" s="12"/>
      <c r="D855" s="12"/>
      <c r="E855" s="12"/>
      <c r="F855" s="12"/>
      <c r="G855" s="12"/>
      <c r="H855" s="12"/>
      <c r="I855" s="12"/>
      <c r="J855" s="12"/>
      <c r="K855" s="12"/>
      <c r="L855" s="12"/>
      <c r="M855" s="12"/>
      <c r="N855" s="12"/>
      <c r="O855" s="12"/>
      <c r="P855" s="12"/>
      <c r="Q855" s="12"/>
      <c r="R855" s="12"/>
      <c r="S855" s="12"/>
      <c r="T855" s="12"/>
      <c r="U855" s="12"/>
    </row>
    <row r="856">
      <c r="A856" s="12" t="s">
        <v>101</v>
      </c>
      <c r="B856" s="12"/>
      <c r="C856" s="12"/>
      <c r="D856" s="12"/>
      <c r="E856" s="12"/>
      <c r="F856" s="12"/>
      <c r="G856" s="12"/>
      <c r="H856" s="12"/>
      <c r="I856" s="12"/>
      <c r="J856" s="12"/>
      <c r="K856" s="12"/>
      <c r="L856" s="12"/>
      <c r="M856" s="12"/>
      <c r="N856" s="12"/>
      <c r="O856" s="12"/>
      <c r="P856" s="12"/>
      <c r="Q856" s="12"/>
      <c r="R856" s="12"/>
      <c r="S856" s="12"/>
      <c r="T856" s="12"/>
      <c r="U856" s="12"/>
    </row>
    <row r="857">
      <c r="A857" s="12" t="s">
        <v>101</v>
      </c>
      <c r="B857" s="12"/>
      <c r="C857" s="12"/>
      <c r="D857" s="12"/>
      <c r="E857" s="12"/>
      <c r="F857" s="12"/>
      <c r="G857" s="12"/>
      <c r="H857" s="12"/>
      <c r="I857" s="12"/>
      <c r="J857" s="12"/>
      <c r="K857" s="12"/>
      <c r="L857" s="12"/>
      <c r="M857" s="12"/>
      <c r="N857" s="12"/>
      <c r="O857" s="12"/>
      <c r="P857" s="12"/>
      <c r="Q857" s="12"/>
      <c r="R857" s="12"/>
      <c r="S857" s="12"/>
      <c r="T857" s="12"/>
      <c r="U857" s="12"/>
    </row>
    <row r="858">
      <c r="A858" s="12" t="s">
        <v>101</v>
      </c>
      <c r="B858" s="12"/>
      <c r="C858" s="12"/>
      <c r="D858" s="12"/>
      <c r="E858" s="12"/>
      <c r="F858" s="12"/>
      <c r="G858" s="12"/>
      <c r="H858" s="12"/>
      <c r="I858" s="12"/>
      <c r="J858" s="12"/>
      <c r="K858" s="12"/>
      <c r="L858" s="12"/>
      <c r="M858" s="12"/>
      <c r="N858" s="12"/>
      <c r="O858" s="12"/>
      <c r="P858" s="12"/>
      <c r="Q858" s="12"/>
      <c r="R858" s="12"/>
      <c r="S858" s="12"/>
      <c r="T858" s="12"/>
      <c r="U858" s="12"/>
    </row>
    <row r="859">
      <c r="A859" s="12" t="s">
        <v>101</v>
      </c>
      <c r="B859" s="12"/>
      <c r="C859" s="12"/>
      <c r="D859" s="12"/>
      <c r="E859" s="12"/>
      <c r="F859" s="12"/>
      <c r="G859" s="12"/>
      <c r="H859" s="12"/>
      <c r="I859" s="12"/>
      <c r="J859" s="12"/>
      <c r="K859" s="12"/>
      <c r="L859" s="12"/>
      <c r="M859" s="12"/>
      <c r="N859" s="12"/>
      <c r="O859" s="12"/>
      <c r="P859" s="12"/>
      <c r="Q859" s="12"/>
      <c r="R859" s="12"/>
      <c r="S859" s="12"/>
      <c r="T859" s="12"/>
      <c r="U859" s="12"/>
    </row>
    <row r="860">
      <c r="A860" s="12" t="s">
        <v>101</v>
      </c>
      <c r="B860" s="12"/>
      <c r="C860" s="12"/>
      <c r="D860" s="12"/>
      <c r="E860" s="12"/>
      <c r="F860" s="12"/>
      <c r="G860" s="12"/>
      <c r="H860" s="12"/>
      <c r="I860" s="12"/>
      <c r="J860" s="12"/>
      <c r="K860" s="12"/>
      <c r="L860" s="12"/>
      <c r="M860" s="12"/>
      <c r="N860" s="12"/>
      <c r="O860" s="12"/>
      <c r="P860" s="12"/>
      <c r="Q860" s="12"/>
      <c r="R860" s="12"/>
      <c r="S860" s="12"/>
      <c r="T860" s="12"/>
      <c r="U860" s="12"/>
    </row>
    <row r="861">
      <c r="A861" s="12" t="s">
        <v>101</v>
      </c>
      <c r="B861" s="12"/>
      <c r="C861" s="12"/>
      <c r="D861" s="12"/>
      <c r="E861" s="12"/>
      <c r="F861" s="12"/>
      <c r="G861" s="12"/>
      <c r="H861" s="12"/>
      <c r="I861" s="12"/>
      <c r="J861" s="12"/>
      <c r="K861" s="12"/>
      <c r="L861" s="12"/>
      <c r="M861" s="12"/>
      <c r="N861" s="12"/>
      <c r="O861" s="12"/>
      <c r="P861" s="12"/>
      <c r="Q861" s="12"/>
      <c r="R861" s="12"/>
      <c r="S861" s="12"/>
      <c r="T861" s="12"/>
      <c r="U861" s="12"/>
    </row>
    <row r="862">
      <c r="A862" s="12" t="s">
        <v>101</v>
      </c>
      <c r="B862" s="12"/>
      <c r="C862" s="12"/>
      <c r="D862" s="12"/>
      <c r="E862" s="12"/>
      <c r="F862" s="12"/>
      <c r="G862" s="12"/>
      <c r="H862" s="12"/>
      <c r="I862" s="12"/>
      <c r="J862" s="12"/>
      <c r="K862" s="12"/>
      <c r="L862" s="12"/>
      <c r="M862" s="12"/>
      <c r="N862" s="12"/>
      <c r="O862" s="12"/>
      <c r="P862" s="12"/>
      <c r="Q862" s="12"/>
      <c r="R862" s="12"/>
      <c r="S862" s="12"/>
      <c r="T862" s="12"/>
      <c r="U862" s="12"/>
    </row>
    <row r="863">
      <c r="A863" s="12" t="s">
        <v>101</v>
      </c>
      <c r="B863" s="12"/>
      <c r="C863" s="12"/>
      <c r="D863" s="12"/>
      <c r="E863" s="12"/>
      <c r="F863" s="12"/>
      <c r="G863" s="12"/>
      <c r="H863" s="12"/>
      <c r="I863" s="12"/>
      <c r="J863" s="12"/>
      <c r="K863" s="12"/>
      <c r="L863" s="12"/>
      <c r="M863" s="12"/>
      <c r="N863" s="12"/>
      <c r="O863" s="12"/>
      <c r="P863" s="12"/>
      <c r="Q863" s="12"/>
      <c r="R863" s="12"/>
      <c r="S863" s="12"/>
      <c r="T863" s="12"/>
      <c r="U863" s="12"/>
    </row>
    <row r="864">
      <c r="A864" s="12" t="s">
        <v>101</v>
      </c>
      <c r="B864" s="12"/>
      <c r="C864" s="12"/>
      <c r="D864" s="12"/>
      <c r="E864" s="12"/>
      <c r="F864" s="12"/>
      <c r="G864" s="12"/>
      <c r="H864" s="12"/>
      <c r="I864" s="12"/>
      <c r="J864" s="12"/>
      <c r="K864" s="12"/>
      <c r="L864" s="12"/>
      <c r="M864" s="12"/>
      <c r="N864" s="12"/>
      <c r="O864" s="12"/>
      <c r="P864" s="12"/>
      <c r="Q864" s="12"/>
      <c r="R864" s="12"/>
      <c r="S864" s="12"/>
      <c r="T864" s="12"/>
      <c r="U864" s="12"/>
    </row>
    <row r="865">
      <c r="A865" s="12" t="s">
        <v>101</v>
      </c>
      <c r="B865" s="12"/>
      <c r="C865" s="12"/>
      <c r="D865" s="12"/>
      <c r="E865" s="12"/>
      <c r="F865" s="12"/>
      <c r="G865" s="12"/>
      <c r="H865" s="12"/>
      <c r="I865" s="12"/>
      <c r="J865" s="12"/>
      <c r="K865" s="12"/>
      <c r="L865" s="12"/>
      <c r="M865" s="12"/>
      <c r="N865" s="12"/>
      <c r="O865" s="12"/>
      <c r="P865" s="12"/>
      <c r="Q865" s="12"/>
      <c r="R865" s="12"/>
      <c r="S865" s="12"/>
      <c r="T865" s="12"/>
      <c r="U865" s="12"/>
    </row>
    <row r="866">
      <c r="A866" s="12" t="s">
        <v>101</v>
      </c>
      <c r="B866" s="12"/>
      <c r="C866" s="12"/>
      <c r="D866" s="12"/>
      <c r="E866" s="12"/>
      <c r="F866" s="12"/>
      <c r="G866" s="12"/>
      <c r="H866" s="12"/>
      <c r="I866" s="12"/>
      <c r="J866" s="12"/>
      <c r="K866" s="12"/>
      <c r="L866" s="12"/>
      <c r="M866" s="12"/>
      <c r="N866" s="12"/>
      <c r="O866" s="12"/>
      <c r="P866" s="12"/>
      <c r="Q866" s="12"/>
      <c r="R866" s="12"/>
      <c r="S866" s="12"/>
      <c r="T866" s="12"/>
      <c r="U866" s="12"/>
    </row>
    <row r="867">
      <c r="A867" s="12" t="s">
        <v>101</v>
      </c>
      <c r="B867" s="12"/>
      <c r="C867" s="12"/>
      <c r="D867" s="12"/>
      <c r="E867" s="12"/>
      <c r="F867" s="12"/>
      <c r="G867" s="12"/>
      <c r="H867" s="12"/>
      <c r="I867" s="12"/>
      <c r="J867" s="12"/>
      <c r="K867" s="12"/>
      <c r="L867" s="12"/>
      <c r="M867" s="12"/>
      <c r="N867" s="12"/>
      <c r="O867" s="12"/>
      <c r="P867" s="12"/>
      <c r="Q867" s="12"/>
      <c r="R867" s="12"/>
      <c r="S867" s="12"/>
      <c r="T867" s="12"/>
      <c r="U867" s="12"/>
    </row>
    <row r="868">
      <c r="A868" s="12" t="s">
        <v>101</v>
      </c>
      <c r="B868" s="12"/>
      <c r="C868" s="12"/>
      <c r="D868" s="12"/>
      <c r="E868" s="12"/>
      <c r="F868" s="12"/>
      <c r="G868" s="12"/>
      <c r="H868" s="12"/>
      <c r="I868" s="12"/>
      <c r="J868" s="12"/>
      <c r="K868" s="12"/>
      <c r="L868" s="12"/>
      <c r="M868" s="12"/>
      <c r="N868" s="12"/>
      <c r="O868" s="12"/>
      <c r="P868" s="12"/>
      <c r="Q868" s="12"/>
      <c r="R868" s="12"/>
      <c r="S868" s="12"/>
      <c r="T868" s="12"/>
      <c r="U868" s="12"/>
    </row>
    <row r="869">
      <c r="A869" s="12" t="s">
        <v>101</v>
      </c>
      <c r="B869" s="12"/>
      <c r="C869" s="12"/>
      <c r="D869" s="12"/>
      <c r="E869" s="12"/>
      <c r="F869" s="12"/>
      <c r="G869" s="12"/>
      <c r="H869" s="12"/>
      <c r="I869" s="12"/>
      <c r="J869" s="12"/>
      <c r="K869" s="12"/>
      <c r="L869" s="12"/>
      <c r="M869" s="12"/>
      <c r="N869" s="12"/>
      <c r="O869" s="12"/>
      <c r="P869" s="12"/>
      <c r="Q869" s="12"/>
      <c r="R869" s="12"/>
      <c r="S869" s="12"/>
      <c r="T869" s="12"/>
      <c r="U869" s="12"/>
    </row>
    <row r="870">
      <c r="A870" s="12" t="s">
        <v>101</v>
      </c>
      <c r="B870" s="12"/>
      <c r="C870" s="12"/>
      <c r="D870" s="12"/>
      <c r="E870" s="12"/>
      <c r="F870" s="12"/>
      <c r="G870" s="12"/>
      <c r="H870" s="12"/>
      <c r="I870" s="12"/>
      <c r="J870" s="12"/>
      <c r="K870" s="12"/>
      <c r="L870" s="12"/>
      <c r="M870" s="12"/>
      <c r="N870" s="12"/>
      <c r="O870" s="12"/>
      <c r="P870" s="12"/>
      <c r="Q870" s="12"/>
      <c r="R870" s="12"/>
      <c r="S870" s="12"/>
      <c r="T870" s="12"/>
      <c r="U870" s="12"/>
    </row>
    <row r="871">
      <c r="A871" s="12" t="s">
        <v>101</v>
      </c>
      <c r="B871" s="12"/>
      <c r="C871" s="12"/>
      <c r="D871" s="12"/>
      <c r="E871" s="12"/>
      <c r="F871" s="12"/>
      <c r="G871" s="12"/>
      <c r="H871" s="12"/>
      <c r="I871" s="12"/>
      <c r="J871" s="12"/>
      <c r="K871" s="12"/>
      <c r="L871" s="12"/>
      <c r="M871" s="12"/>
      <c r="N871" s="12"/>
      <c r="O871" s="12"/>
      <c r="P871" s="12"/>
      <c r="Q871" s="12"/>
      <c r="R871" s="12"/>
      <c r="S871" s="12"/>
      <c r="T871" s="12"/>
      <c r="U871" s="12"/>
    </row>
    <row r="872">
      <c r="A872" s="12" t="s">
        <v>101</v>
      </c>
      <c r="B872" s="12"/>
      <c r="C872" s="12"/>
      <c r="D872" s="12"/>
      <c r="E872" s="12"/>
      <c r="F872" s="12"/>
      <c r="G872" s="12"/>
      <c r="H872" s="12"/>
      <c r="I872" s="12"/>
      <c r="J872" s="12"/>
      <c r="K872" s="12"/>
      <c r="L872" s="12"/>
      <c r="M872" s="12"/>
      <c r="N872" s="12"/>
      <c r="O872" s="12"/>
      <c r="P872" s="12"/>
      <c r="Q872" s="12"/>
      <c r="R872" s="12"/>
      <c r="S872" s="12"/>
      <c r="T872" s="12"/>
      <c r="U872" s="12"/>
    </row>
    <row r="873">
      <c r="A873" s="12" t="s">
        <v>101</v>
      </c>
      <c r="B873" s="12"/>
      <c r="C873" s="12"/>
      <c r="D873" s="12"/>
      <c r="E873" s="12"/>
      <c r="F873" s="12"/>
      <c r="G873" s="12"/>
      <c r="H873" s="12"/>
      <c r="I873" s="12"/>
      <c r="J873" s="12"/>
      <c r="K873" s="12"/>
      <c r="L873" s="12"/>
      <c r="M873" s="12"/>
      <c r="N873" s="12"/>
      <c r="O873" s="12"/>
      <c r="P873" s="12"/>
      <c r="Q873" s="12"/>
      <c r="R873" s="12"/>
      <c r="S873" s="12"/>
      <c r="T873" s="12"/>
      <c r="U873" s="12"/>
    </row>
    <row r="874">
      <c r="A874" s="12" t="s">
        <v>101</v>
      </c>
      <c r="B874" s="12"/>
      <c r="C874" s="12"/>
      <c r="D874" s="12"/>
      <c r="E874" s="12"/>
      <c r="F874" s="12"/>
      <c r="G874" s="12"/>
      <c r="H874" s="12"/>
      <c r="I874" s="12"/>
      <c r="J874" s="12"/>
      <c r="K874" s="12"/>
      <c r="L874" s="12"/>
      <c r="M874" s="12"/>
      <c r="N874" s="12"/>
      <c r="O874" s="12"/>
      <c r="P874" s="12"/>
      <c r="Q874" s="12"/>
      <c r="R874" s="12"/>
      <c r="S874" s="12"/>
      <c r="T874" s="12"/>
      <c r="U874" s="12"/>
    </row>
    <row r="875">
      <c r="A875" s="12" t="s">
        <v>101</v>
      </c>
      <c r="B875" s="12"/>
      <c r="C875" s="12"/>
      <c r="D875" s="12"/>
      <c r="E875" s="12"/>
      <c r="F875" s="12"/>
      <c r="G875" s="12"/>
      <c r="H875" s="12"/>
      <c r="I875" s="12"/>
      <c r="J875" s="12"/>
      <c r="K875" s="12"/>
      <c r="L875" s="12"/>
      <c r="M875" s="12"/>
      <c r="N875" s="12"/>
      <c r="O875" s="12"/>
      <c r="P875" s="12"/>
      <c r="Q875" s="12"/>
      <c r="R875" s="12"/>
      <c r="S875" s="12"/>
      <c r="T875" s="12"/>
      <c r="U875" s="12"/>
    </row>
    <row r="876">
      <c r="A876" s="12" t="s">
        <v>101</v>
      </c>
      <c r="B876" s="12"/>
      <c r="C876" s="12"/>
      <c r="D876" s="12"/>
      <c r="E876" s="12"/>
      <c r="F876" s="12"/>
      <c r="G876" s="12"/>
      <c r="H876" s="12"/>
      <c r="I876" s="12"/>
      <c r="J876" s="12"/>
      <c r="K876" s="12"/>
      <c r="L876" s="12"/>
      <c r="M876" s="12"/>
      <c r="N876" s="12"/>
      <c r="O876" s="12"/>
      <c r="P876" s="12"/>
      <c r="Q876" s="12"/>
      <c r="R876" s="12"/>
      <c r="S876" s="12"/>
      <c r="T876" s="12"/>
      <c r="U876" s="12"/>
    </row>
    <row r="877">
      <c r="A877" s="12" t="s">
        <v>101</v>
      </c>
      <c r="B877" s="12"/>
      <c r="C877" s="12"/>
      <c r="D877" s="12"/>
      <c r="E877" s="12"/>
      <c r="F877" s="12"/>
      <c r="G877" s="12"/>
      <c r="H877" s="12"/>
      <c r="I877" s="12"/>
      <c r="J877" s="12"/>
      <c r="K877" s="12"/>
      <c r="L877" s="12"/>
      <c r="M877" s="12"/>
      <c r="N877" s="12"/>
      <c r="O877" s="12"/>
      <c r="P877" s="12"/>
      <c r="Q877" s="12"/>
      <c r="R877" s="12"/>
      <c r="S877" s="12"/>
      <c r="T877" s="12"/>
      <c r="U877" s="12"/>
    </row>
    <row r="878">
      <c r="A878" s="12" t="s">
        <v>101</v>
      </c>
      <c r="B878" s="12"/>
      <c r="C878" s="12"/>
      <c r="D878" s="12"/>
      <c r="E878" s="12"/>
      <c r="F878" s="12"/>
      <c r="G878" s="12"/>
      <c r="H878" s="12"/>
      <c r="I878" s="12"/>
      <c r="J878" s="12"/>
      <c r="K878" s="12"/>
      <c r="L878" s="12"/>
      <c r="M878" s="12"/>
      <c r="N878" s="12"/>
      <c r="O878" s="12"/>
      <c r="P878" s="12"/>
      <c r="Q878" s="12"/>
      <c r="R878" s="12"/>
      <c r="S878" s="12"/>
      <c r="T878" s="12"/>
      <c r="U878" s="12"/>
    </row>
    <row r="879">
      <c r="A879" s="12" t="s">
        <v>101</v>
      </c>
      <c r="B879" s="12"/>
      <c r="C879" s="12"/>
      <c r="D879" s="12"/>
      <c r="E879" s="12"/>
      <c r="F879" s="12"/>
      <c r="G879" s="12"/>
      <c r="H879" s="12"/>
      <c r="I879" s="12"/>
      <c r="J879" s="12"/>
      <c r="K879" s="12"/>
      <c r="L879" s="12"/>
      <c r="M879" s="12"/>
      <c r="N879" s="12"/>
      <c r="O879" s="12"/>
      <c r="P879" s="12"/>
      <c r="Q879" s="12"/>
      <c r="R879" s="12"/>
      <c r="S879" s="12"/>
      <c r="T879" s="12"/>
      <c r="U879" s="12"/>
    </row>
    <row r="880">
      <c r="A880" s="12" t="s">
        <v>101</v>
      </c>
      <c r="B880" s="12"/>
      <c r="C880" s="12"/>
      <c r="D880" s="12"/>
      <c r="E880" s="12"/>
      <c r="F880" s="12"/>
      <c r="G880" s="12"/>
      <c r="H880" s="12"/>
      <c r="I880" s="12"/>
      <c r="J880" s="12"/>
      <c r="K880" s="12"/>
      <c r="L880" s="12"/>
      <c r="M880" s="12"/>
      <c r="N880" s="12"/>
      <c r="O880" s="12"/>
      <c r="P880" s="12"/>
      <c r="Q880" s="12"/>
      <c r="R880" s="12"/>
      <c r="S880" s="12"/>
      <c r="T880" s="12"/>
      <c r="U880" s="12"/>
    </row>
    <row r="881">
      <c r="A881" s="12" t="s">
        <v>101</v>
      </c>
      <c r="B881" s="12"/>
      <c r="C881" s="12"/>
      <c r="D881" s="12"/>
      <c r="E881" s="12"/>
      <c r="F881" s="12"/>
      <c r="G881" s="12"/>
      <c r="H881" s="12"/>
      <c r="I881" s="12"/>
      <c r="J881" s="12"/>
      <c r="K881" s="12"/>
      <c r="L881" s="12"/>
      <c r="M881" s="12"/>
      <c r="N881" s="12"/>
      <c r="O881" s="12"/>
      <c r="P881" s="12"/>
      <c r="Q881" s="12"/>
      <c r="R881" s="12"/>
      <c r="S881" s="12"/>
      <c r="T881" s="12"/>
      <c r="U881" s="12"/>
    </row>
    <row r="882">
      <c r="A882" s="12" t="s">
        <v>101</v>
      </c>
      <c r="B882" s="12"/>
      <c r="C882" s="12"/>
      <c r="D882" s="12"/>
      <c r="E882" s="12"/>
      <c r="F882" s="12"/>
      <c r="G882" s="12"/>
      <c r="H882" s="12"/>
      <c r="I882" s="12"/>
      <c r="J882" s="12"/>
      <c r="K882" s="12"/>
      <c r="L882" s="12"/>
      <c r="M882" s="12"/>
      <c r="N882" s="12"/>
      <c r="O882" s="12"/>
      <c r="P882" s="12"/>
      <c r="Q882" s="12"/>
      <c r="R882" s="12"/>
      <c r="S882" s="12"/>
      <c r="T882" s="12"/>
      <c r="U882" s="12"/>
    </row>
    <row r="883">
      <c r="A883" s="12" t="s">
        <v>101</v>
      </c>
      <c r="B883" s="12"/>
      <c r="C883" s="12"/>
      <c r="D883" s="12"/>
      <c r="E883" s="12"/>
      <c r="F883" s="12"/>
      <c r="G883" s="12"/>
      <c r="H883" s="12"/>
      <c r="I883" s="12"/>
      <c r="J883" s="12"/>
      <c r="K883" s="12"/>
      <c r="L883" s="12"/>
      <c r="M883" s="12"/>
      <c r="N883" s="12"/>
      <c r="O883" s="12"/>
      <c r="P883" s="12"/>
      <c r="Q883" s="12"/>
      <c r="R883" s="12"/>
      <c r="S883" s="12"/>
      <c r="T883" s="12"/>
      <c r="U883" s="12"/>
    </row>
    <row r="884">
      <c r="A884" s="12" t="s">
        <v>101</v>
      </c>
      <c r="B884" s="12"/>
      <c r="C884" s="12"/>
      <c r="D884" s="12"/>
      <c r="E884" s="12"/>
      <c r="F884" s="12"/>
      <c r="G884" s="12"/>
      <c r="H884" s="12"/>
      <c r="I884" s="12"/>
      <c r="J884" s="12"/>
      <c r="K884" s="12"/>
      <c r="L884" s="12"/>
      <c r="M884" s="12"/>
      <c r="N884" s="12"/>
      <c r="O884" s="12"/>
      <c r="P884" s="12"/>
      <c r="Q884" s="12"/>
      <c r="R884" s="12"/>
      <c r="S884" s="12"/>
      <c r="T884" s="12"/>
      <c r="U884" s="12"/>
    </row>
    <row r="885">
      <c r="A885" s="12" t="s">
        <v>101</v>
      </c>
      <c r="B885" s="12"/>
      <c r="C885" s="12"/>
      <c r="D885" s="12"/>
      <c r="E885" s="12"/>
      <c r="F885" s="12"/>
      <c r="G885" s="12"/>
      <c r="H885" s="12"/>
      <c r="I885" s="12"/>
      <c r="J885" s="12"/>
      <c r="K885" s="12"/>
      <c r="L885" s="12"/>
      <c r="M885" s="12"/>
      <c r="N885" s="12"/>
      <c r="O885" s="12"/>
      <c r="P885" s="12"/>
      <c r="Q885" s="12"/>
      <c r="R885" s="12"/>
      <c r="S885" s="12"/>
      <c r="T885" s="12"/>
      <c r="U885" s="12"/>
    </row>
    <row r="886">
      <c r="A886" s="12" t="s">
        <v>101</v>
      </c>
      <c r="B886" s="12"/>
      <c r="C886" s="12"/>
      <c r="D886" s="12"/>
      <c r="E886" s="12"/>
      <c r="F886" s="12"/>
      <c r="G886" s="12"/>
      <c r="H886" s="12"/>
      <c r="I886" s="12"/>
      <c r="J886" s="12"/>
      <c r="K886" s="12"/>
      <c r="L886" s="12"/>
      <c r="M886" s="12"/>
      <c r="N886" s="12"/>
      <c r="O886" s="12"/>
      <c r="P886" s="12"/>
      <c r="Q886" s="12"/>
      <c r="R886" s="12"/>
      <c r="S886" s="12"/>
      <c r="T886" s="12"/>
      <c r="U886" s="12"/>
    </row>
    <row r="887">
      <c r="A887" s="12" t="s">
        <v>101</v>
      </c>
      <c r="B887" s="12"/>
      <c r="C887" s="12"/>
      <c r="D887" s="12"/>
      <c r="E887" s="12"/>
      <c r="F887" s="12"/>
      <c r="G887" s="12"/>
      <c r="H887" s="12"/>
      <c r="I887" s="12"/>
      <c r="J887" s="12"/>
      <c r="K887" s="12"/>
      <c r="L887" s="12"/>
      <c r="M887" s="12"/>
      <c r="N887" s="12"/>
      <c r="O887" s="12"/>
      <c r="P887" s="12"/>
      <c r="Q887" s="12"/>
      <c r="R887" s="12"/>
      <c r="S887" s="12"/>
      <c r="T887" s="12"/>
      <c r="U887" s="12"/>
    </row>
    <row r="888">
      <c r="A888" s="12" t="s">
        <v>101</v>
      </c>
      <c r="B888" s="12"/>
      <c r="C888" s="12"/>
      <c r="D888" s="12"/>
      <c r="E888" s="12"/>
      <c r="F888" s="12"/>
      <c r="G888" s="12"/>
      <c r="H888" s="12"/>
      <c r="I888" s="12"/>
      <c r="J888" s="12"/>
      <c r="K888" s="12"/>
      <c r="L888" s="12"/>
      <c r="M888" s="12"/>
      <c r="N888" s="12"/>
      <c r="O888" s="12"/>
      <c r="P888" s="12"/>
      <c r="Q888" s="12"/>
      <c r="R888" s="12"/>
      <c r="S888" s="12"/>
      <c r="T888" s="12"/>
      <c r="U888" s="12"/>
    </row>
    <row r="889">
      <c r="A889" s="12" t="s">
        <v>101</v>
      </c>
      <c r="B889" s="12"/>
      <c r="C889" s="12"/>
      <c r="D889" s="12"/>
      <c r="E889" s="12"/>
      <c r="F889" s="12"/>
      <c r="G889" s="12"/>
      <c r="H889" s="12"/>
      <c r="I889" s="12"/>
      <c r="J889" s="12"/>
      <c r="K889" s="12"/>
      <c r="L889" s="12"/>
      <c r="M889" s="12"/>
      <c r="N889" s="12"/>
      <c r="O889" s="12"/>
      <c r="P889" s="12"/>
      <c r="Q889" s="12"/>
      <c r="R889" s="12"/>
      <c r="S889" s="12"/>
      <c r="T889" s="12"/>
      <c r="U889" s="12"/>
    </row>
    <row r="890">
      <c r="A890" s="12" t="s">
        <v>101</v>
      </c>
      <c r="B890" s="12"/>
      <c r="C890" s="12"/>
      <c r="D890" s="12"/>
      <c r="E890" s="12"/>
      <c r="F890" s="12"/>
      <c r="G890" s="12"/>
      <c r="H890" s="12"/>
      <c r="I890" s="12"/>
      <c r="J890" s="12"/>
      <c r="K890" s="12"/>
      <c r="L890" s="12"/>
      <c r="M890" s="12"/>
      <c r="N890" s="12"/>
      <c r="O890" s="12"/>
      <c r="P890" s="12"/>
      <c r="Q890" s="12"/>
      <c r="R890" s="12"/>
      <c r="S890" s="12"/>
      <c r="T890" s="12"/>
      <c r="U890" s="12"/>
    </row>
    <row r="891">
      <c r="A891" s="12" t="s">
        <v>101</v>
      </c>
      <c r="B891" s="12"/>
      <c r="C891" s="12"/>
      <c r="D891" s="12"/>
      <c r="E891" s="12"/>
      <c r="F891" s="12"/>
      <c r="G891" s="12"/>
      <c r="H891" s="12"/>
      <c r="I891" s="12"/>
      <c r="J891" s="12"/>
      <c r="K891" s="12"/>
      <c r="L891" s="12"/>
      <c r="M891" s="12"/>
      <c r="N891" s="12"/>
      <c r="O891" s="12"/>
      <c r="P891" s="12"/>
      <c r="Q891" s="12"/>
      <c r="R891" s="12"/>
      <c r="S891" s="12"/>
      <c r="T891" s="12"/>
      <c r="U891" s="12"/>
    </row>
    <row r="892">
      <c r="A892" s="12" t="s">
        <v>101</v>
      </c>
      <c r="B892" s="12"/>
      <c r="C892" s="12"/>
      <c r="D892" s="12"/>
      <c r="E892" s="12"/>
      <c r="F892" s="12"/>
      <c r="G892" s="12"/>
      <c r="H892" s="12"/>
      <c r="I892" s="12"/>
      <c r="J892" s="12"/>
      <c r="K892" s="12"/>
      <c r="L892" s="12"/>
      <c r="M892" s="12"/>
      <c r="N892" s="12"/>
      <c r="O892" s="12"/>
      <c r="P892" s="12"/>
      <c r="Q892" s="12"/>
      <c r="R892" s="12"/>
      <c r="S892" s="12"/>
      <c r="T892" s="12"/>
      <c r="U892" s="12"/>
    </row>
    <row r="893">
      <c r="A893" s="12" t="s">
        <v>101</v>
      </c>
      <c r="B893" s="12"/>
      <c r="C893" s="12"/>
      <c r="D893" s="12"/>
      <c r="E893" s="12"/>
      <c r="F893" s="12"/>
      <c r="G893" s="12"/>
      <c r="H893" s="12"/>
      <c r="I893" s="12"/>
      <c r="J893" s="12"/>
      <c r="K893" s="12"/>
      <c r="L893" s="12"/>
      <c r="M893" s="12"/>
      <c r="N893" s="12"/>
      <c r="O893" s="12"/>
      <c r="P893" s="12"/>
      <c r="Q893" s="12"/>
      <c r="R893" s="12"/>
      <c r="S893" s="12"/>
      <c r="T893" s="12"/>
      <c r="U893" s="12"/>
    </row>
    <row r="894">
      <c r="A894" s="12" t="s">
        <v>101</v>
      </c>
      <c r="B894" s="12"/>
      <c r="C894" s="12"/>
      <c r="D894" s="12"/>
      <c r="E894" s="12"/>
      <c r="F894" s="12"/>
      <c r="G894" s="12"/>
      <c r="H894" s="12"/>
      <c r="I894" s="12"/>
      <c r="J894" s="12"/>
      <c r="K894" s="12"/>
      <c r="L894" s="12"/>
      <c r="M894" s="12"/>
      <c r="N894" s="12"/>
      <c r="O894" s="12"/>
      <c r="P894" s="12"/>
      <c r="Q894" s="12"/>
      <c r="R894" s="12"/>
      <c r="S894" s="12"/>
      <c r="T894" s="12"/>
      <c r="U894" s="12"/>
    </row>
    <row r="895">
      <c r="A895" s="12" t="s">
        <v>101</v>
      </c>
      <c r="B895" s="12"/>
      <c r="C895" s="12"/>
      <c r="D895" s="12"/>
      <c r="E895" s="12"/>
      <c r="F895" s="12"/>
      <c r="G895" s="12"/>
      <c r="H895" s="12"/>
      <c r="I895" s="12"/>
      <c r="J895" s="12"/>
      <c r="K895" s="12"/>
      <c r="L895" s="12"/>
      <c r="M895" s="12"/>
      <c r="N895" s="12"/>
      <c r="O895" s="12"/>
      <c r="P895" s="12"/>
      <c r="Q895" s="12"/>
      <c r="R895" s="12"/>
      <c r="S895" s="12"/>
      <c r="T895" s="12"/>
      <c r="U895" s="12"/>
    </row>
    <row r="896">
      <c r="A896" s="12" t="s">
        <v>101</v>
      </c>
      <c r="B896" s="12"/>
      <c r="C896" s="12"/>
      <c r="D896" s="12"/>
      <c r="E896" s="12"/>
      <c r="F896" s="12"/>
      <c r="G896" s="12"/>
      <c r="H896" s="12"/>
      <c r="I896" s="12"/>
      <c r="J896" s="12"/>
      <c r="K896" s="12"/>
      <c r="L896" s="12"/>
      <c r="M896" s="12"/>
      <c r="N896" s="12"/>
      <c r="O896" s="12"/>
      <c r="P896" s="12"/>
      <c r="Q896" s="12"/>
      <c r="R896" s="12"/>
      <c r="S896" s="12"/>
      <c r="T896" s="12"/>
      <c r="U896" s="12"/>
    </row>
    <row r="897">
      <c r="A897" s="12" t="s">
        <v>101</v>
      </c>
      <c r="B897" s="12"/>
      <c r="C897" s="12"/>
      <c r="D897" s="12"/>
      <c r="E897" s="12"/>
      <c r="F897" s="12"/>
      <c r="G897" s="12"/>
      <c r="H897" s="12"/>
      <c r="I897" s="12"/>
      <c r="J897" s="12"/>
      <c r="K897" s="12"/>
      <c r="L897" s="12"/>
      <c r="M897" s="12"/>
      <c r="N897" s="12"/>
      <c r="O897" s="12"/>
      <c r="P897" s="12"/>
      <c r="Q897" s="12"/>
      <c r="R897" s="12"/>
      <c r="S897" s="12"/>
      <c r="T897" s="12"/>
      <c r="U897" s="12"/>
    </row>
    <row r="898">
      <c r="A898" s="12" t="s">
        <v>101</v>
      </c>
      <c r="B898" s="12"/>
      <c r="C898" s="12"/>
      <c r="D898" s="12"/>
      <c r="E898" s="12"/>
      <c r="F898" s="12"/>
      <c r="G898" s="12"/>
      <c r="H898" s="12"/>
      <c r="I898" s="12"/>
      <c r="J898" s="12"/>
      <c r="K898" s="12"/>
      <c r="L898" s="12"/>
      <c r="M898" s="12"/>
      <c r="N898" s="12"/>
      <c r="O898" s="12"/>
      <c r="P898" s="12"/>
      <c r="Q898" s="12"/>
      <c r="R898" s="12"/>
      <c r="S898" s="12"/>
      <c r="T898" s="12"/>
      <c r="U898" s="12"/>
    </row>
    <row r="899">
      <c r="A899" s="12" t="s">
        <v>101</v>
      </c>
      <c r="B899" s="12"/>
      <c r="C899" s="12"/>
      <c r="D899" s="12"/>
      <c r="E899" s="12"/>
      <c r="F899" s="12"/>
      <c r="G899" s="12"/>
      <c r="H899" s="12"/>
      <c r="I899" s="12"/>
      <c r="J899" s="12"/>
      <c r="K899" s="12"/>
      <c r="L899" s="12"/>
      <c r="M899" s="12"/>
      <c r="N899" s="12"/>
      <c r="O899" s="12"/>
      <c r="P899" s="12"/>
      <c r="Q899" s="12"/>
      <c r="R899" s="12"/>
      <c r="S899" s="12"/>
      <c r="T899" s="12"/>
      <c r="U899" s="12"/>
    </row>
    <row r="900">
      <c r="A900" s="12" t="s">
        <v>101</v>
      </c>
      <c r="B900" s="12"/>
      <c r="C900" s="12"/>
      <c r="D900" s="12"/>
      <c r="E900" s="12"/>
      <c r="F900" s="12"/>
      <c r="G900" s="12"/>
      <c r="H900" s="12"/>
      <c r="I900" s="12"/>
      <c r="J900" s="12"/>
      <c r="K900" s="12"/>
      <c r="L900" s="12"/>
      <c r="M900" s="12"/>
      <c r="N900" s="12"/>
      <c r="O900" s="12"/>
      <c r="P900" s="12"/>
      <c r="Q900" s="12"/>
      <c r="R900" s="12"/>
      <c r="S900" s="12"/>
      <c r="T900" s="12"/>
      <c r="U900" s="12"/>
    </row>
    <row r="901">
      <c r="A901" s="12" t="s">
        <v>101</v>
      </c>
      <c r="B901" s="12"/>
      <c r="C901" s="12"/>
      <c r="D901" s="12"/>
      <c r="E901" s="12"/>
      <c r="F901" s="12"/>
      <c r="G901" s="12"/>
      <c r="H901" s="12"/>
      <c r="I901" s="12"/>
      <c r="J901" s="12"/>
      <c r="K901" s="12"/>
      <c r="L901" s="12"/>
      <c r="M901" s="12"/>
      <c r="N901" s="12"/>
      <c r="O901" s="12"/>
      <c r="P901" s="12"/>
      <c r="Q901" s="12"/>
      <c r="R901" s="12"/>
      <c r="S901" s="12"/>
      <c r="T901" s="12"/>
      <c r="U901" s="12"/>
    </row>
    <row r="902">
      <c r="A902" s="12" t="s">
        <v>101</v>
      </c>
      <c r="B902" s="12"/>
      <c r="C902" s="12"/>
      <c r="D902" s="12"/>
      <c r="E902" s="12"/>
      <c r="F902" s="12"/>
      <c r="G902" s="12"/>
      <c r="H902" s="12"/>
      <c r="I902" s="12"/>
      <c r="J902" s="12"/>
      <c r="K902" s="12"/>
      <c r="L902" s="12"/>
      <c r="M902" s="12"/>
      <c r="N902" s="12"/>
      <c r="O902" s="12"/>
      <c r="P902" s="12"/>
      <c r="Q902" s="12"/>
      <c r="R902" s="12"/>
      <c r="S902" s="12"/>
      <c r="T902" s="12"/>
      <c r="U902" s="12"/>
    </row>
    <row r="903">
      <c r="A903" s="12" t="s">
        <v>101</v>
      </c>
      <c r="B903" s="12"/>
      <c r="C903" s="12"/>
      <c r="D903" s="12"/>
      <c r="E903" s="12"/>
      <c r="F903" s="12"/>
      <c r="G903" s="12"/>
      <c r="H903" s="12"/>
      <c r="I903" s="12"/>
      <c r="J903" s="12"/>
      <c r="K903" s="12"/>
      <c r="L903" s="12"/>
      <c r="M903" s="12"/>
      <c r="N903" s="12"/>
      <c r="O903" s="12"/>
      <c r="P903" s="12"/>
      <c r="Q903" s="12"/>
      <c r="R903" s="12"/>
      <c r="S903" s="12"/>
      <c r="T903" s="12"/>
      <c r="U903" s="12"/>
    </row>
    <row r="904">
      <c r="A904" s="12" t="s">
        <v>101</v>
      </c>
      <c r="B904" s="12"/>
      <c r="C904" s="12"/>
      <c r="D904" s="12"/>
      <c r="E904" s="12"/>
      <c r="F904" s="12"/>
      <c r="G904" s="12"/>
      <c r="H904" s="12"/>
      <c r="I904" s="12"/>
      <c r="J904" s="12"/>
      <c r="K904" s="12"/>
      <c r="L904" s="12"/>
      <c r="M904" s="12"/>
      <c r="N904" s="12"/>
      <c r="O904" s="12"/>
      <c r="P904" s="12"/>
      <c r="Q904" s="12"/>
      <c r="R904" s="12"/>
      <c r="S904" s="12"/>
      <c r="T904" s="12"/>
      <c r="U904" s="12"/>
    </row>
    <row r="905">
      <c r="A905" s="12" t="s">
        <v>101</v>
      </c>
      <c r="B905" s="12"/>
      <c r="C905" s="12"/>
      <c r="D905" s="12"/>
      <c r="E905" s="12"/>
      <c r="F905" s="12"/>
      <c r="G905" s="12"/>
      <c r="H905" s="12"/>
      <c r="I905" s="12"/>
      <c r="J905" s="12"/>
      <c r="K905" s="12"/>
      <c r="L905" s="12"/>
      <c r="M905" s="12"/>
      <c r="N905" s="12"/>
      <c r="O905" s="12"/>
      <c r="P905" s="12"/>
      <c r="Q905" s="12"/>
      <c r="R905" s="12"/>
      <c r="S905" s="12"/>
      <c r="T905" s="12"/>
      <c r="U905" s="12"/>
    </row>
    <row r="906">
      <c r="A906" s="12" t="s">
        <v>101</v>
      </c>
      <c r="B906" s="12"/>
      <c r="C906" s="12"/>
      <c r="D906" s="12"/>
      <c r="E906" s="12"/>
      <c r="F906" s="12"/>
      <c r="G906" s="12"/>
      <c r="H906" s="12"/>
      <c r="I906" s="12"/>
      <c r="J906" s="12"/>
      <c r="K906" s="12"/>
      <c r="L906" s="12"/>
      <c r="M906" s="12"/>
      <c r="N906" s="12"/>
      <c r="O906" s="12"/>
      <c r="P906" s="12"/>
      <c r="Q906" s="12"/>
      <c r="R906" s="12"/>
      <c r="S906" s="12"/>
      <c r="T906" s="12"/>
      <c r="U906" s="12"/>
    </row>
    <row r="907">
      <c r="A907" s="12" t="s">
        <v>101</v>
      </c>
      <c r="B907" s="12"/>
      <c r="C907" s="12"/>
      <c r="D907" s="12"/>
      <c r="E907" s="12"/>
      <c r="F907" s="12"/>
      <c r="G907" s="12"/>
      <c r="H907" s="12"/>
      <c r="I907" s="12"/>
      <c r="J907" s="12"/>
      <c r="K907" s="12"/>
      <c r="L907" s="12"/>
      <c r="M907" s="12"/>
      <c r="N907" s="12"/>
      <c r="O907" s="12"/>
      <c r="P907" s="12"/>
      <c r="Q907" s="12"/>
      <c r="R907" s="12"/>
      <c r="S907" s="12"/>
      <c r="T907" s="12"/>
      <c r="U907" s="12"/>
    </row>
    <row r="908">
      <c r="A908" s="12" t="s">
        <v>101</v>
      </c>
      <c r="B908" s="12"/>
      <c r="C908" s="12"/>
      <c r="D908" s="12"/>
      <c r="E908" s="12"/>
      <c r="F908" s="12"/>
      <c r="G908" s="12"/>
      <c r="H908" s="12"/>
      <c r="I908" s="12"/>
      <c r="J908" s="12"/>
      <c r="K908" s="12"/>
      <c r="L908" s="12"/>
      <c r="M908" s="12"/>
      <c r="N908" s="12"/>
      <c r="O908" s="12"/>
      <c r="P908" s="12"/>
      <c r="Q908" s="12"/>
      <c r="R908" s="12"/>
      <c r="S908" s="12"/>
      <c r="T908" s="12"/>
      <c r="U908" s="12"/>
    </row>
    <row r="909">
      <c r="A909" s="12" t="s">
        <v>101</v>
      </c>
      <c r="B909" s="12"/>
      <c r="C909" s="12"/>
      <c r="D909" s="12"/>
      <c r="E909" s="12"/>
      <c r="F909" s="12"/>
      <c r="G909" s="12"/>
      <c r="H909" s="12"/>
      <c r="I909" s="12"/>
      <c r="J909" s="12"/>
      <c r="K909" s="12"/>
      <c r="L909" s="12"/>
      <c r="M909" s="12"/>
      <c r="N909" s="12"/>
      <c r="O909" s="12"/>
      <c r="P909" s="12"/>
      <c r="Q909" s="12"/>
      <c r="R909" s="12"/>
      <c r="S909" s="12"/>
      <c r="T909" s="12"/>
      <c r="U909" s="12"/>
    </row>
    <row r="910">
      <c r="A910" s="12" t="s">
        <v>101</v>
      </c>
      <c r="B910" s="12"/>
      <c r="C910" s="12"/>
      <c r="D910" s="12"/>
      <c r="E910" s="12"/>
      <c r="F910" s="12"/>
      <c r="G910" s="12"/>
      <c r="H910" s="12"/>
      <c r="I910" s="12"/>
      <c r="J910" s="12"/>
      <c r="K910" s="12"/>
      <c r="L910" s="12"/>
      <c r="M910" s="12"/>
      <c r="N910" s="12"/>
      <c r="O910" s="12"/>
      <c r="P910" s="12"/>
      <c r="Q910" s="12"/>
      <c r="R910" s="12"/>
      <c r="S910" s="12"/>
      <c r="T910" s="12"/>
      <c r="U910" s="12"/>
    </row>
    <row r="911">
      <c r="A911" s="12" t="s">
        <v>101</v>
      </c>
      <c r="B911" s="12"/>
      <c r="C911" s="12"/>
      <c r="D911" s="12"/>
      <c r="E911" s="12"/>
      <c r="F911" s="12"/>
      <c r="G911" s="12"/>
      <c r="H911" s="12"/>
      <c r="I911" s="12"/>
      <c r="J911" s="12"/>
      <c r="K911" s="12"/>
      <c r="L911" s="12"/>
      <c r="M911" s="12"/>
      <c r="N911" s="12"/>
      <c r="O911" s="12"/>
      <c r="P911" s="12"/>
      <c r="Q911" s="12"/>
      <c r="R911" s="12"/>
      <c r="S911" s="12"/>
      <c r="T911" s="12"/>
      <c r="U911" s="12"/>
    </row>
    <row r="912">
      <c r="A912" s="12" t="s">
        <v>101</v>
      </c>
      <c r="B912" s="12"/>
      <c r="C912" s="12"/>
      <c r="D912" s="12"/>
      <c r="E912" s="12"/>
      <c r="F912" s="12"/>
      <c r="G912" s="12"/>
      <c r="H912" s="12"/>
      <c r="I912" s="12"/>
      <c r="J912" s="12"/>
      <c r="K912" s="12"/>
      <c r="L912" s="12"/>
      <c r="M912" s="12"/>
      <c r="N912" s="12"/>
      <c r="O912" s="12"/>
      <c r="P912" s="12"/>
      <c r="Q912" s="12"/>
      <c r="R912" s="12"/>
      <c r="S912" s="12"/>
      <c r="T912" s="12"/>
      <c r="U912" s="12"/>
    </row>
    <row r="913">
      <c r="A913" s="12" t="s">
        <v>101</v>
      </c>
      <c r="B913" s="12"/>
      <c r="C913" s="12"/>
      <c r="D913" s="12"/>
      <c r="E913" s="12"/>
      <c r="F913" s="12"/>
      <c r="G913" s="12"/>
      <c r="H913" s="12"/>
      <c r="I913" s="12"/>
      <c r="J913" s="12"/>
      <c r="K913" s="12"/>
      <c r="L913" s="12"/>
      <c r="M913" s="12"/>
      <c r="N913" s="12"/>
      <c r="O913" s="12"/>
      <c r="P913" s="12"/>
      <c r="Q913" s="12"/>
      <c r="R913" s="12"/>
      <c r="S913" s="12"/>
      <c r="T913" s="12"/>
      <c r="U913" s="12"/>
    </row>
    <row r="914">
      <c r="A914" s="12" t="s">
        <v>101</v>
      </c>
      <c r="B914" s="12"/>
      <c r="C914" s="12"/>
      <c r="D914" s="12"/>
      <c r="E914" s="12"/>
      <c r="F914" s="12"/>
      <c r="G914" s="12"/>
      <c r="H914" s="12"/>
      <c r="I914" s="12"/>
      <c r="J914" s="12"/>
      <c r="K914" s="12"/>
      <c r="L914" s="12"/>
      <c r="M914" s="12"/>
      <c r="N914" s="12"/>
      <c r="O914" s="12"/>
      <c r="P914" s="12"/>
      <c r="Q914" s="12"/>
      <c r="R914" s="12"/>
      <c r="S914" s="12"/>
      <c r="T914" s="12"/>
      <c r="U914" s="12"/>
    </row>
    <row r="915">
      <c r="A915" s="12" t="s">
        <v>101</v>
      </c>
      <c r="B915" s="12"/>
      <c r="C915" s="12"/>
      <c r="D915" s="12"/>
      <c r="E915" s="12"/>
      <c r="F915" s="12"/>
      <c r="G915" s="12"/>
      <c r="H915" s="12"/>
      <c r="I915" s="12"/>
      <c r="J915" s="12"/>
      <c r="K915" s="12"/>
      <c r="L915" s="12"/>
      <c r="M915" s="12"/>
      <c r="N915" s="12"/>
      <c r="O915" s="12"/>
      <c r="P915" s="12"/>
      <c r="Q915" s="12"/>
      <c r="R915" s="12"/>
      <c r="S915" s="12"/>
      <c r="T915" s="12"/>
      <c r="U915" s="12"/>
    </row>
    <row r="916">
      <c r="A916" s="12" t="s">
        <v>101</v>
      </c>
      <c r="B916" s="12"/>
      <c r="C916" s="12"/>
      <c r="D916" s="12"/>
      <c r="E916" s="12"/>
      <c r="F916" s="12"/>
      <c r="G916" s="12"/>
      <c r="H916" s="12"/>
      <c r="I916" s="12"/>
      <c r="J916" s="12"/>
      <c r="K916" s="12"/>
      <c r="L916" s="12"/>
      <c r="M916" s="12"/>
      <c r="N916" s="12"/>
      <c r="O916" s="12"/>
      <c r="P916" s="12"/>
      <c r="Q916" s="12"/>
      <c r="R916" s="12"/>
      <c r="S916" s="12"/>
      <c r="T916" s="12"/>
      <c r="U916" s="12"/>
    </row>
    <row r="917">
      <c r="A917" s="12" t="s">
        <v>101</v>
      </c>
      <c r="B917" s="12"/>
      <c r="C917" s="12"/>
      <c r="D917" s="12"/>
      <c r="E917" s="12"/>
      <c r="F917" s="12"/>
      <c r="G917" s="12"/>
      <c r="H917" s="12"/>
      <c r="I917" s="12"/>
      <c r="J917" s="12"/>
      <c r="K917" s="12"/>
      <c r="L917" s="12"/>
      <c r="M917" s="12"/>
      <c r="N917" s="12"/>
      <c r="O917" s="12"/>
      <c r="P917" s="12"/>
      <c r="Q917" s="12"/>
      <c r="R917" s="12"/>
      <c r="S917" s="12"/>
      <c r="T917" s="12"/>
      <c r="U917" s="12"/>
    </row>
    <row r="918">
      <c r="A918" s="12" t="s">
        <v>101</v>
      </c>
      <c r="B918" s="12"/>
      <c r="C918" s="12"/>
      <c r="D918" s="12"/>
      <c r="E918" s="12"/>
      <c r="F918" s="12"/>
      <c r="G918" s="12"/>
      <c r="H918" s="12"/>
      <c r="I918" s="12"/>
      <c r="J918" s="12"/>
      <c r="K918" s="12"/>
      <c r="L918" s="12"/>
      <c r="M918" s="12"/>
      <c r="N918" s="12"/>
      <c r="O918" s="12"/>
      <c r="P918" s="12"/>
      <c r="Q918" s="12"/>
      <c r="R918" s="12"/>
      <c r="S918" s="12"/>
      <c r="T918" s="12"/>
      <c r="U918" s="12"/>
    </row>
    <row r="919">
      <c r="A919" s="12" t="s">
        <v>101</v>
      </c>
      <c r="B919" s="12"/>
      <c r="C919" s="12"/>
      <c r="D919" s="12"/>
      <c r="E919" s="12"/>
      <c r="F919" s="12"/>
      <c r="G919" s="12"/>
      <c r="H919" s="12"/>
      <c r="I919" s="12"/>
      <c r="J919" s="12"/>
      <c r="K919" s="12"/>
      <c r="L919" s="12"/>
      <c r="M919" s="12"/>
      <c r="N919" s="12"/>
      <c r="O919" s="12"/>
      <c r="P919" s="12"/>
      <c r="Q919" s="12"/>
      <c r="R919" s="12"/>
      <c r="S919" s="12"/>
      <c r="T919" s="12"/>
      <c r="U919" s="12"/>
    </row>
    <row r="920">
      <c r="A920" s="12" t="s">
        <v>101</v>
      </c>
      <c r="B920" s="12"/>
      <c r="C920" s="12"/>
      <c r="D920" s="12"/>
      <c r="E920" s="12"/>
      <c r="F920" s="12"/>
      <c r="G920" s="12"/>
      <c r="H920" s="12"/>
      <c r="I920" s="12"/>
      <c r="J920" s="12"/>
      <c r="K920" s="12"/>
      <c r="L920" s="12"/>
      <c r="M920" s="12"/>
      <c r="N920" s="12"/>
      <c r="O920" s="12"/>
      <c r="P920" s="12"/>
      <c r="Q920" s="12"/>
      <c r="R920" s="12"/>
      <c r="S920" s="12"/>
      <c r="T920" s="12"/>
      <c r="U920" s="12"/>
    </row>
    <row r="921">
      <c r="A921" s="12" t="s">
        <v>101</v>
      </c>
      <c r="B921" s="12"/>
      <c r="C921" s="12"/>
      <c r="D921" s="12"/>
      <c r="E921" s="12"/>
      <c r="F921" s="12"/>
      <c r="G921" s="12"/>
      <c r="H921" s="12"/>
      <c r="I921" s="12"/>
      <c r="J921" s="12"/>
      <c r="K921" s="12"/>
      <c r="L921" s="12"/>
      <c r="M921" s="12"/>
      <c r="N921" s="12"/>
      <c r="O921" s="12"/>
      <c r="P921" s="12"/>
      <c r="Q921" s="12"/>
      <c r="R921" s="12"/>
      <c r="S921" s="12"/>
      <c r="T921" s="12"/>
      <c r="U921" s="12"/>
    </row>
    <row r="922">
      <c r="A922" s="12" t="s">
        <v>101</v>
      </c>
      <c r="B922" s="12"/>
      <c r="C922" s="12"/>
      <c r="D922" s="12"/>
      <c r="E922" s="12"/>
      <c r="F922" s="12"/>
      <c r="G922" s="12"/>
      <c r="H922" s="12"/>
      <c r="I922" s="12"/>
      <c r="J922" s="12"/>
      <c r="K922" s="12"/>
      <c r="L922" s="12"/>
      <c r="M922" s="12"/>
      <c r="N922" s="12"/>
      <c r="O922" s="12"/>
      <c r="P922" s="12"/>
      <c r="Q922" s="12"/>
      <c r="R922" s="12"/>
      <c r="S922" s="12"/>
      <c r="T922" s="12"/>
      <c r="U922" s="12"/>
    </row>
    <row r="923">
      <c r="A923" s="12" t="s">
        <v>101</v>
      </c>
      <c r="B923" s="12"/>
      <c r="C923" s="12"/>
      <c r="D923" s="12"/>
      <c r="E923" s="12"/>
      <c r="F923" s="12"/>
      <c r="G923" s="12"/>
      <c r="H923" s="12"/>
      <c r="I923" s="12"/>
      <c r="J923" s="12"/>
      <c r="K923" s="12"/>
      <c r="L923" s="12"/>
      <c r="M923" s="12"/>
      <c r="N923" s="12"/>
      <c r="O923" s="12"/>
      <c r="P923" s="12"/>
      <c r="Q923" s="12"/>
      <c r="R923" s="12"/>
      <c r="S923" s="12"/>
      <c r="T923" s="12"/>
      <c r="U923" s="12"/>
    </row>
    <row r="924">
      <c r="A924" s="12" t="s">
        <v>101</v>
      </c>
      <c r="B924" s="12"/>
      <c r="C924" s="12"/>
      <c r="D924" s="12"/>
      <c r="E924" s="12"/>
      <c r="F924" s="12"/>
      <c r="G924" s="12"/>
      <c r="H924" s="12"/>
      <c r="I924" s="12"/>
      <c r="J924" s="12"/>
      <c r="K924" s="12"/>
      <c r="L924" s="12"/>
      <c r="M924" s="12"/>
      <c r="N924" s="12"/>
      <c r="O924" s="12"/>
      <c r="P924" s="12"/>
      <c r="Q924" s="12"/>
      <c r="R924" s="12"/>
      <c r="S924" s="12"/>
      <c r="T924" s="12"/>
      <c r="U924" s="12"/>
    </row>
    <row r="925">
      <c r="A925" s="12" t="s">
        <v>101</v>
      </c>
      <c r="B925" s="12"/>
      <c r="C925" s="12"/>
      <c r="D925" s="12"/>
      <c r="E925" s="12"/>
      <c r="F925" s="12"/>
      <c r="G925" s="12"/>
      <c r="H925" s="12"/>
      <c r="I925" s="12"/>
      <c r="J925" s="12"/>
      <c r="K925" s="12"/>
      <c r="L925" s="12"/>
      <c r="M925" s="12"/>
      <c r="N925" s="12"/>
      <c r="O925" s="12"/>
      <c r="P925" s="12"/>
      <c r="Q925" s="12"/>
      <c r="R925" s="12"/>
      <c r="S925" s="12"/>
      <c r="T925" s="12"/>
      <c r="U925" s="12"/>
    </row>
    <row r="926">
      <c r="A926" s="12" t="s">
        <v>101</v>
      </c>
      <c r="B926" s="12"/>
      <c r="C926" s="12"/>
      <c r="D926" s="12"/>
      <c r="E926" s="12"/>
      <c r="F926" s="12"/>
      <c r="G926" s="12"/>
      <c r="H926" s="12"/>
      <c r="I926" s="12"/>
      <c r="J926" s="12"/>
      <c r="K926" s="12"/>
      <c r="L926" s="12"/>
      <c r="M926" s="12"/>
      <c r="N926" s="12"/>
      <c r="O926" s="12"/>
      <c r="P926" s="12"/>
      <c r="Q926" s="12"/>
      <c r="R926" s="12"/>
      <c r="S926" s="12"/>
      <c r="T926" s="12"/>
      <c r="U926" s="12"/>
    </row>
    <row r="927">
      <c r="A927" s="12" t="s">
        <v>101</v>
      </c>
      <c r="B927" s="12"/>
      <c r="C927" s="12"/>
      <c r="D927" s="12"/>
      <c r="E927" s="12"/>
      <c r="F927" s="12"/>
      <c r="G927" s="12"/>
      <c r="H927" s="12"/>
      <c r="I927" s="12"/>
      <c r="J927" s="12"/>
      <c r="K927" s="12"/>
      <c r="L927" s="12"/>
      <c r="M927" s="12"/>
      <c r="N927" s="12"/>
      <c r="O927" s="12"/>
      <c r="P927" s="12"/>
      <c r="Q927" s="12"/>
      <c r="R927" s="12"/>
      <c r="S927" s="12"/>
      <c r="T927" s="12"/>
      <c r="U927" s="12"/>
    </row>
    <row r="928">
      <c r="A928" s="12" t="s">
        <v>101</v>
      </c>
      <c r="B928" s="12"/>
      <c r="C928" s="12"/>
      <c r="D928" s="12"/>
      <c r="E928" s="12"/>
      <c r="F928" s="12"/>
      <c r="G928" s="12"/>
      <c r="H928" s="12"/>
      <c r="I928" s="12"/>
      <c r="J928" s="12"/>
      <c r="K928" s="12"/>
      <c r="L928" s="12"/>
      <c r="M928" s="12"/>
      <c r="N928" s="12"/>
      <c r="O928" s="12"/>
      <c r="P928" s="12"/>
      <c r="Q928" s="12"/>
      <c r="R928" s="12"/>
      <c r="S928" s="12"/>
      <c r="T928" s="12"/>
      <c r="U928" s="12"/>
    </row>
    <row r="929">
      <c r="A929" s="12" t="s">
        <v>101</v>
      </c>
      <c r="B929" s="12"/>
      <c r="C929" s="12"/>
      <c r="D929" s="12"/>
      <c r="E929" s="12"/>
      <c r="F929" s="12"/>
      <c r="G929" s="12"/>
      <c r="H929" s="12"/>
      <c r="I929" s="12"/>
      <c r="J929" s="12"/>
      <c r="K929" s="12"/>
      <c r="L929" s="12"/>
      <c r="M929" s="12"/>
      <c r="N929" s="12"/>
      <c r="O929" s="12"/>
      <c r="P929" s="12"/>
      <c r="Q929" s="12"/>
      <c r="R929" s="12"/>
      <c r="S929" s="12"/>
      <c r="T929" s="12"/>
      <c r="U929" s="12"/>
    </row>
    <row r="930">
      <c r="A930" s="12" t="s">
        <v>101</v>
      </c>
      <c r="B930" s="12"/>
      <c r="C930" s="12"/>
      <c r="D930" s="12"/>
      <c r="E930" s="12"/>
      <c r="F930" s="12"/>
      <c r="G930" s="12"/>
      <c r="H930" s="12"/>
      <c r="I930" s="12"/>
      <c r="J930" s="12"/>
      <c r="K930" s="12"/>
      <c r="L930" s="12"/>
      <c r="M930" s="12"/>
      <c r="N930" s="12"/>
      <c r="O930" s="12"/>
      <c r="P930" s="12"/>
      <c r="Q930" s="12"/>
      <c r="R930" s="12"/>
      <c r="S930" s="12"/>
      <c r="T930" s="12"/>
      <c r="U930" s="12"/>
    </row>
    <row r="931">
      <c r="A931" s="12" t="s">
        <v>101</v>
      </c>
      <c r="B931" s="12"/>
      <c r="C931" s="12"/>
      <c r="D931" s="12"/>
      <c r="E931" s="12"/>
      <c r="F931" s="12"/>
      <c r="G931" s="12"/>
      <c r="H931" s="12"/>
      <c r="I931" s="12"/>
      <c r="J931" s="12"/>
      <c r="K931" s="12"/>
      <c r="L931" s="12"/>
      <c r="M931" s="12"/>
      <c r="N931" s="12"/>
      <c r="O931" s="12"/>
      <c r="P931" s="12"/>
      <c r="Q931" s="12"/>
      <c r="R931" s="12"/>
      <c r="S931" s="12"/>
      <c r="T931" s="12"/>
      <c r="U931" s="12"/>
    </row>
    <row r="932">
      <c r="A932" s="12" t="s">
        <v>101</v>
      </c>
      <c r="B932" s="12"/>
      <c r="C932" s="12"/>
      <c r="D932" s="12"/>
      <c r="E932" s="12"/>
      <c r="F932" s="12"/>
      <c r="G932" s="12"/>
      <c r="H932" s="12"/>
      <c r="I932" s="12"/>
      <c r="J932" s="12"/>
      <c r="K932" s="12"/>
      <c r="L932" s="12"/>
      <c r="M932" s="12"/>
      <c r="N932" s="12"/>
      <c r="O932" s="12"/>
      <c r="P932" s="12"/>
      <c r="Q932" s="12"/>
      <c r="R932" s="12"/>
      <c r="S932" s="12"/>
      <c r="T932" s="12"/>
      <c r="U932" s="12"/>
    </row>
    <row r="933">
      <c r="A933" s="12" t="s">
        <v>101</v>
      </c>
      <c r="B933" s="12"/>
      <c r="C933" s="12"/>
      <c r="D933" s="12"/>
      <c r="E933" s="12"/>
      <c r="F933" s="12"/>
      <c r="G933" s="12"/>
      <c r="H933" s="12"/>
      <c r="I933" s="12"/>
      <c r="J933" s="12"/>
      <c r="K933" s="12"/>
      <c r="L933" s="12"/>
      <c r="M933" s="12"/>
      <c r="N933" s="12"/>
      <c r="O933" s="12"/>
      <c r="P933" s="12"/>
      <c r="Q933" s="12"/>
      <c r="R933" s="12"/>
      <c r="S933" s="12"/>
      <c r="T933" s="12"/>
      <c r="U933" s="12"/>
    </row>
    <row r="934">
      <c r="A934" s="12" t="s">
        <v>101</v>
      </c>
      <c r="B934" s="12"/>
      <c r="C934" s="12"/>
      <c r="D934" s="12"/>
      <c r="E934" s="12"/>
      <c r="F934" s="12"/>
      <c r="G934" s="12"/>
      <c r="H934" s="12"/>
      <c r="I934" s="12"/>
      <c r="J934" s="12"/>
      <c r="K934" s="12"/>
      <c r="L934" s="12"/>
      <c r="M934" s="12"/>
      <c r="N934" s="12"/>
      <c r="O934" s="12"/>
      <c r="P934" s="12"/>
      <c r="Q934" s="12"/>
      <c r="R934" s="12"/>
      <c r="S934" s="12"/>
      <c r="T934" s="12"/>
      <c r="U934" s="12"/>
    </row>
    <row r="935">
      <c r="A935" s="12" t="s">
        <v>101</v>
      </c>
      <c r="B935" s="12"/>
      <c r="C935" s="12"/>
      <c r="D935" s="12"/>
      <c r="E935" s="12"/>
      <c r="F935" s="12"/>
      <c r="G935" s="12"/>
      <c r="H935" s="12"/>
      <c r="I935" s="12"/>
      <c r="J935" s="12"/>
      <c r="K935" s="12"/>
      <c r="L935" s="12"/>
      <c r="M935" s="12"/>
      <c r="N935" s="12"/>
      <c r="O935" s="12"/>
      <c r="P935" s="12"/>
      <c r="Q935" s="12"/>
      <c r="R935" s="12"/>
      <c r="S935" s="12"/>
      <c r="T935" s="12"/>
      <c r="U935" s="12"/>
    </row>
    <row r="936">
      <c r="A936" s="12" t="s">
        <v>101</v>
      </c>
      <c r="B936" s="12"/>
      <c r="C936" s="12"/>
      <c r="D936" s="12"/>
      <c r="E936" s="12"/>
      <c r="F936" s="12"/>
      <c r="G936" s="12"/>
      <c r="H936" s="12"/>
      <c r="I936" s="12"/>
      <c r="J936" s="12"/>
      <c r="K936" s="12"/>
      <c r="L936" s="12"/>
      <c r="M936" s="12"/>
      <c r="N936" s="12"/>
      <c r="O936" s="12"/>
      <c r="P936" s="12"/>
      <c r="Q936" s="12"/>
      <c r="R936" s="12"/>
      <c r="S936" s="12"/>
      <c r="T936" s="12"/>
      <c r="U936" s="12"/>
    </row>
    <row r="937">
      <c r="A937" s="12" t="s">
        <v>101</v>
      </c>
      <c r="B937" s="12"/>
      <c r="C937" s="12"/>
      <c r="D937" s="12"/>
      <c r="E937" s="12"/>
      <c r="F937" s="12"/>
      <c r="G937" s="12"/>
      <c r="H937" s="12"/>
      <c r="I937" s="12"/>
      <c r="J937" s="12"/>
      <c r="K937" s="12"/>
      <c r="L937" s="12"/>
      <c r="M937" s="12"/>
      <c r="N937" s="12"/>
      <c r="O937" s="12"/>
      <c r="P937" s="12"/>
      <c r="Q937" s="12"/>
      <c r="R937" s="12"/>
      <c r="S937" s="12"/>
      <c r="T937" s="12"/>
      <c r="U937" s="12"/>
    </row>
    <row r="938">
      <c r="A938" s="12" t="s">
        <v>101</v>
      </c>
      <c r="B938" s="12"/>
      <c r="C938" s="12"/>
      <c r="D938" s="12"/>
      <c r="E938" s="12"/>
      <c r="F938" s="12"/>
      <c r="G938" s="12"/>
      <c r="H938" s="12"/>
      <c r="I938" s="12"/>
      <c r="J938" s="12"/>
      <c r="K938" s="12"/>
      <c r="L938" s="12"/>
      <c r="M938" s="12"/>
      <c r="N938" s="12"/>
      <c r="O938" s="12"/>
      <c r="P938" s="12"/>
      <c r="Q938" s="12"/>
      <c r="R938" s="12"/>
      <c r="S938" s="12"/>
      <c r="T938" s="12"/>
      <c r="U938" s="12"/>
    </row>
    <row r="939">
      <c r="A939" s="12" t="s">
        <v>101</v>
      </c>
      <c r="B939" s="12"/>
      <c r="C939" s="12"/>
      <c r="D939" s="12"/>
      <c r="E939" s="12"/>
      <c r="F939" s="12"/>
      <c r="G939" s="12"/>
      <c r="H939" s="12"/>
      <c r="I939" s="12"/>
      <c r="J939" s="12"/>
      <c r="K939" s="12"/>
      <c r="L939" s="12"/>
      <c r="M939" s="12"/>
      <c r="N939" s="12"/>
      <c r="O939" s="12"/>
      <c r="P939" s="12"/>
      <c r="Q939" s="12"/>
      <c r="R939" s="12"/>
      <c r="S939" s="12"/>
      <c r="T939" s="12"/>
      <c r="U939" s="12"/>
    </row>
    <row r="940">
      <c r="A940" s="12" t="s">
        <v>101</v>
      </c>
      <c r="B940" s="12"/>
      <c r="C940" s="12"/>
      <c r="D940" s="12"/>
      <c r="E940" s="12"/>
      <c r="F940" s="12"/>
      <c r="G940" s="12"/>
      <c r="H940" s="12"/>
      <c r="I940" s="12"/>
      <c r="J940" s="12"/>
      <c r="K940" s="12"/>
      <c r="L940" s="12"/>
      <c r="M940" s="12"/>
      <c r="N940" s="12"/>
      <c r="O940" s="12"/>
      <c r="P940" s="12"/>
      <c r="Q940" s="12"/>
      <c r="R940" s="12"/>
      <c r="S940" s="12"/>
      <c r="T940" s="12"/>
      <c r="U940" s="12"/>
    </row>
    <row r="941">
      <c r="A941" s="12" t="s">
        <v>101</v>
      </c>
      <c r="B941" s="12"/>
      <c r="C941" s="12"/>
      <c r="D941" s="12"/>
      <c r="E941" s="12"/>
      <c r="F941" s="12"/>
      <c r="G941" s="12"/>
      <c r="H941" s="12"/>
      <c r="I941" s="12"/>
      <c r="J941" s="12"/>
      <c r="K941" s="12"/>
      <c r="L941" s="12"/>
      <c r="M941" s="12"/>
      <c r="N941" s="12"/>
      <c r="O941" s="12"/>
      <c r="P941" s="12"/>
      <c r="Q941" s="12"/>
      <c r="R941" s="12"/>
      <c r="S941" s="12"/>
      <c r="T941" s="12"/>
      <c r="U941" s="12"/>
    </row>
    <row r="942">
      <c r="A942" s="12" t="s">
        <v>101</v>
      </c>
      <c r="B942" s="12"/>
      <c r="C942" s="12"/>
      <c r="D942" s="12"/>
      <c r="E942" s="12"/>
      <c r="F942" s="12"/>
      <c r="G942" s="12"/>
      <c r="H942" s="12"/>
      <c r="I942" s="12"/>
      <c r="J942" s="12"/>
      <c r="K942" s="12"/>
      <c r="L942" s="12"/>
      <c r="M942" s="12"/>
      <c r="N942" s="12"/>
      <c r="O942" s="12"/>
      <c r="P942" s="12"/>
      <c r="Q942" s="12"/>
      <c r="R942" s="12"/>
      <c r="S942" s="12"/>
      <c r="T942" s="12"/>
      <c r="U942" s="12"/>
    </row>
    <row r="943">
      <c r="A943" s="12" t="s">
        <v>101</v>
      </c>
      <c r="B943" s="12"/>
      <c r="C943" s="12"/>
      <c r="D943" s="12"/>
      <c r="E943" s="12"/>
      <c r="F943" s="12"/>
      <c r="G943" s="12"/>
      <c r="H943" s="12"/>
      <c r="I943" s="12"/>
      <c r="J943" s="12"/>
      <c r="K943" s="12"/>
      <c r="L943" s="12"/>
      <c r="M943" s="12"/>
      <c r="N943" s="12"/>
      <c r="O943" s="12"/>
      <c r="P943" s="12"/>
      <c r="Q943" s="12"/>
      <c r="R943" s="12"/>
      <c r="S943" s="12"/>
      <c r="T943" s="12"/>
      <c r="U943" s="12"/>
    </row>
    <row r="944">
      <c r="A944" s="12" t="s">
        <v>101</v>
      </c>
      <c r="B944" s="12"/>
      <c r="C944" s="12"/>
      <c r="D944" s="12"/>
      <c r="E944" s="12"/>
      <c r="F944" s="12"/>
      <c r="G944" s="12"/>
      <c r="H944" s="12"/>
      <c r="I944" s="12"/>
      <c r="J944" s="12"/>
      <c r="K944" s="12"/>
      <c r="L944" s="12"/>
      <c r="M944" s="12"/>
      <c r="N944" s="12"/>
      <c r="O944" s="12"/>
      <c r="P944" s="12"/>
      <c r="Q944" s="12"/>
      <c r="R944" s="12"/>
      <c r="S944" s="12"/>
      <c r="T944" s="12"/>
      <c r="U944" s="12"/>
    </row>
    <row r="945">
      <c r="A945" s="12" t="s">
        <v>101</v>
      </c>
      <c r="B945" s="12"/>
      <c r="C945" s="12"/>
      <c r="D945" s="12"/>
      <c r="E945" s="12"/>
      <c r="F945" s="12"/>
      <c r="G945" s="12"/>
      <c r="H945" s="12"/>
      <c r="I945" s="12"/>
      <c r="J945" s="12"/>
      <c r="K945" s="12"/>
      <c r="L945" s="12"/>
      <c r="M945" s="12"/>
      <c r="N945" s="12"/>
      <c r="O945" s="12"/>
      <c r="P945" s="12"/>
      <c r="Q945" s="12"/>
      <c r="R945" s="12"/>
      <c r="S945" s="12"/>
      <c r="T945" s="12"/>
      <c r="U945" s="12"/>
    </row>
    <row r="946">
      <c r="A946" s="12" t="s">
        <v>101</v>
      </c>
      <c r="B946" s="12"/>
      <c r="C946" s="12"/>
      <c r="D946" s="12"/>
      <c r="E946" s="12"/>
      <c r="F946" s="12"/>
      <c r="G946" s="12"/>
      <c r="H946" s="12"/>
      <c r="I946" s="12"/>
      <c r="J946" s="12"/>
      <c r="K946" s="12"/>
      <c r="L946" s="12"/>
      <c r="M946" s="12"/>
      <c r="N946" s="12"/>
      <c r="O946" s="12"/>
      <c r="P946" s="12"/>
      <c r="Q946" s="12"/>
      <c r="R946" s="12"/>
      <c r="S946" s="12"/>
      <c r="T946" s="12"/>
      <c r="U946" s="12"/>
    </row>
    <row r="947">
      <c r="A947" s="12" t="s">
        <v>101</v>
      </c>
      <c r="B947" s="12"/>
      <c r="C947" s="12"/>
      <c r="D947" s="12"/>
      <c r="E947" s="12"/>
      <c r="F947" s="12"/>
      <c r="G947" s="12"/>
      <c r="H947" s="12"/>
      <c r="I947" s="12"/>
      <c r="J947" s="12"/>
      <c r="K947" s="12"/>
      <c r="L947" s="12"/>
      <c r="M947" s="12"/>
      <c r="N947" s="12"/>
      <c r="O947" s="12"/>
      <c r="P947" s="12"/>
      <c r="Q947" s="12"/>
      <c r="R947" s="12"/>
      <c r="S947" s="12"/>
      <c r="T947" s="12"/>
      <c r="U947" s="12"/>
    </row>
    <row r="948">
      <c r="A948" s="12" t="s">
        <v>101</v>
      </c>
      <c r="B948" s="12"/>
      <c r="C948" s="12"/>
      <c r="D948" s="12"/>
      <c r="E948" s="12"/>
      <c r="F948" s="12"/>
      <c r="G948" s="12"/>
      <c r="H948" s="12"/>
      <c r="I948" s="12"/>
      <c r="J948" s="12"/>
      <c r="K948" s="12"/>
      <c r="L948" s="12"/>
      <c r="M948" s="12"/>
      <c r="N948" s="12"/>
      <c r="O948" s="12"/>
      <c r="P948" s="12"/>
      <c r="Q948" s="12"/>
      <c r="R948" s="12"/>
      <c r="S948" s="12"/>
      <c r="T948" s="12"/>
      <c r="U948" s="12"/>
    </row>
    <row r="949">
      <c r="A949" s="12" t="s">
        <v>101</v>
      </c>
      <c r="B949" s="12"/>
      <c r="C949" s="12"/>
      <c r="D949" s="12"/>
      <c r="E949" s="12"/>
      <c r="F949" s="12"/>
      <c r="G949" s="12"/>
      <c r="H949" s="12"/>
      <c r="I949" s="12"/>
      <c r="J949" s="12"/>
      <c r="K949" s="12"/>
      <c r="L949" s="12"/>
      <c r="M949" s="12"/>
      <c r="N949" s="12"/>
      <c r="O949" s="12"/>
      <c r="P949" s="12"/>
      <c r="Q949" s="12"/>
      <c r="R949" s="12"/>
      <c r="S949" s="12"/>
      <c r="T949" s="12"/>
      <c r="U949" s="12"/>
    </row>
    <row r="950">
      <c r="A950" s="12" t="s">
        <v>101</v>
      </c>
      <c r="B950" s="12"/>
      <c r="C950" s="12"/>
      <c r="D950" s="12"/>
      <c r="E950" s="12"/>
      <c r="F950" s="12"/>
      <c r="G950" s="12"/>
      <c r="H950" s="12"/>
      <c r="I950" s="12"/>
      <c r="J950" s="12"/>
      <c r="K950" s="12"/>
      <c r="L950" s="12"/>
      <c r="M950" s="12"/>
      <c r="N950" s="12"/>
      <c r="O950" s="12"/>
      <c r="P950" s="12"/>
      <c r="Q950" s="12"/>
      <c r="R950" s="12"/>
      <c r="S950" s="12"/>
      <c r="T950" s="12"/>
      <c r="U950" s="12"/>
    </row>
    <row r="951">
      <c r="A951" s="12" t="s">
        <v>101</v>
      </c>
      <c r="B951" s="12"/>
      <c r="C951" s="12"/>
      <c r="D951" s="12"/>
      <c r="E951" s="12"/>
      <c r="F951" s="12"/>
      <c r="G951" s="12"/>
      <c r="H951" s="12"/>
      <c r="I951" s="12"/>
      <c r="J951" s="12"/>
      <c r="K951" s="12"/>
      <c r="L951" s="12"/>
      <c r="M951" s="12"/>
      <c r="N951" s="12"/>
      <c r="O951" s="12"/>
      <c r="P951" s="12"/>
      <c r="Q951" s="12"/>
      <c r="R951" s="12"/>
      <c r="S951" s="12"/>
      <c r="T951" s="12"/>
      <c r="U951" s="12"/>
    </row>
    <row r="952">
      <c r="A952" s="12" t="s">
        <v>101</v>
      </c>
      <c r="B952" s="12"/>
      <c r="C952" s="12"/>
      <c r="D952" s="12"/>
      <c r="E952" s="12"/>
      <c r="F952" s="12"/>
      <c r="G952" s="12"/>
      <c r="H952" s="12"/>
      <c r="I952" s="12"/>
      <c r="J952" s="12"/>
      <c r="K952" s="12"/>
      <c r="L952" s="12"/>
      <c r="M952" s="12"/>
      <c r="N952" s="12"/>
      <c r="O952" s="12"/>
      <c r="P952" s="12"/>
      <c r="Q952" s="12"/>
      <c r="R952" s="12"/>
      <c r="S952" s="12"/>
      <c r="T952" s="12"/>
      <c r="U952" s="12"/>
    </row>
    <row r="953">
      <c r="A953" s="12" t="s">
        <v>101</v>
      </c>
      <c r="B953" s="12"/>
      <c r="C953" s="12"/>
      <c r="D953" s="12"/>
      <c r="E953" s="12"/>
      <c r="F953" s="12"/>
      <c r="G953" s="12"/>
      <c r="H953" s="12"/>
      <c r="I953" s="12"/>
      <c r="J953" s="12"/>
      <c r="K953" s="12"/>
      <c r="L953" s="12"/>
      <c r="M953" s="12"/>
      <c r="N953" s="12"/>
      <c r="O953" s="12"/>
      <c r="P953" s="12"/>
      <c r="Q953" s="12"/>
      <c r="R953" s="12"/>
      <c r="S953" s="12"/>
      <c r="T953" s="12"/>
      <c r="U953" s="12"/>
    </row>
    <row r="954">
      <c r="A954" s="12" t="s">
        <v>101</v>
      </c>
      <c r="B954" s="12"/>
      <c r="C954" s="12"/>
      <c r="D954" s="12"/>
      <c r="E954" s="12"/>
      <c r="F954" s="12"/>
      <c r="G954" s="12"/>
      <c r="H954" s="12"/>
      <c r="I954" s="12"/>
      <c r="J954" s="12"/>
      <c r="K954" s="12"/>
      <c r="L954" s="12"/>
      <c r="M954" s="12"/>
      <c r="N954" s="12"/>
      <c r="O954" s="12"/>
      <c r="P954" s="12"/>
      <c r="Q954" s="12"/>
      <c r="R954" s="12"/>
      <c r="S954" s="12"/>
      <c r="T954" s="12"/>
      <c r="U954" s="12"/>
    </row>
    <row r="955">
      <c r="A955" s="12" t="s">
        <v>101</v>
      </c>
      <c r="B955" s="12"/>
      <c r="C955" s="12"/>
      <c r="D955" s="12"/>
      <c r="E955" s="12"/>
      <c r="F955" s="12"/>
      <c r="G955" s="12"/>
      <c r="H955" s="12"/>
      <c r="I955" s="12"/>
      <c r="J955" s="12"/>
      <c r="K955" s="12"/>
      <c r="L955" s="12"/>
      <c r="M955" s="12"/>
      <c r="N955" s="12"/>
      <c r="O955" s="12"/>
      <c r="P955" s="12"/>
      <c r="Q955" s="12"/>
      <c r="R955" s="12"/>
      <c r="S955" s="12"/>
      <c r="T955" s="12"/>
      <c r="U955" s="12"/>
    </row>
    <row r="956">
      <c r="A956" s="12" t="s">
        <v>101</v>
      </c>
      <c r="B956" s="12"/>
      <c r="C956" s="12"/>
      <c r="D956" s="12"/>
      <c r="E956" s="12"/>
      <c r="F956" s="12"/>
      <c r="G956" s="12"/>
      <c r="H956" s="12"/>
      <c r="I956" s="12"/>
      <c r="J956" s="12"/>
      <c r="K956" s="12"/>
      <c r="L956" s="12"/>
      <c r="M956" s="12"/>
      <c r="N956" s="12"/>
      <c r="O956" s="12"/>
      <c r="P956" s="12"/>
      <c r="Q956" s="12"/>
      <c r="R956" s="12"/>
      <c r="S956" s="12"/>
      <c r="T956" s="12"/>
      <c r="U956" s="12"/>
    </row>
    <row r="957">
      <c r="A957" s="12" t="s">
        <v>101</v>
      </c>
      <c r="B957" s="12"/>
      <c r="C957" s="12"/>
      <c r="D957" s="12"/>
      <c r="E957" s="12"/>
      <c r="F957" s="12"/>
      <c r="G957" s="12"/>
      <c r="H957" s="12"/>
      <c r="I957" s="12"/>
      <c r="J957" s="12"/>
      <c r="K957" s="12"/>
      <c r="L957" s="12"/>
      <c r="M957" s="12"/>
      <c r="N957" s="12"/>
      <c r="O957" s="12"/>
      <c r="P957" s="12"/>
      <c r="Q957" s="12"/>
      <c r="R957" s="12"/>
      <c r="S957" s="12"/>
      <c r="T957" s="12"/>
      <c r="U957" s="12"/>
    </row>
    <row r="958">
      <c r="A958" s="12" t="s">
        <v>101</v>
      </c>
      <c r="B958" s="12"/>
      <c r="C958" s="12"/>
      <c r="D958" s="12"/>
      <c r="E958" s="12"/>
      <c r="F958" s="12"/>
      <c r="G958" s="12"/>
      <c r="H958" s="12"/>
      <c r="I958" s="12"/>
      <c r="J958" s="12"/>
      <c r="K958" s="12"/>
      <c r="L958" s="12"/>
      <c r="M958" s="12"/>
      <c r="N958" s="12"/>
      <c r="O958" s="12"/>
      <c r="P958" s="12"/>
      <c r="Q958" s="12"/>
      <c r="R958" s="12"/>
      <c r="S958" s="12"/>
      <c r="T958" s="12"/>
      <c r="U958" s="12"/>
    </row>
    <row r="959">
      <c r="A959" s="12" t="s">
        <v>101</v>
      </c>
      <c r="B959" s="12"/>
      <c r="C959" s="12"/>
      <c r="D959" s="12"/>
      <c r="E959" s="12"/>
      <c r="F959" s="12"/>
      <c r="G959" s="12"/>
      <c r="H959" s="12"/>
      <c r="I959" s="12"/>
      <c r="J959" s="12"/>
      <c r="K959" s="12"/>
      <c r="L959" s="12"/>
      <c r="M959" s="12"/>
      <c r="N959" s="12"/>
      <c r="O959" s="12"/>
      <c r="P959" s="12"/>
      <c r="Q959" s="12"/>
      <c r="R959" s="12"/>
      <c r="S959" s="12"/>
      <c r="T959" s="12"/>
      <c r="U959" s="12"/>
    </row>
    <row r="960">
      <c r="A960" s="12" t="s">
        <v>101</v>
      </c>
      <c r="B960" s="12"/>
      <c r="C960" s="12"/>
      <c r="D960" s="12"/>
      <c r="E960" s="12"/>
      <c r="F960" s="12"/>
      <c r="G960" s="12"/>
      <c r="H960" s="12"/>
      <c r="I960" s="12"/>
      <c r="J960" s="12"/>
      <c r="K960" s="12"/>
      <c r="L960" s="12"/>
      <c r="M960" s="12"/>
      <c r="N960" s="12"/>
      <c r="O960" s="12"/>
      <c r="P960" s="12"/>
      <c r="Q960" s="12"/>
      <c r="R960" s="12"/>
      <c r="S960" s="12"/>
      <c r="T960" s="12"/>
      <c r="U960" s="12"/>
    </row>
    <row r="961">
      <c r="A961" s="12" t="s">
        <v>101</v>
      </c>
      <c r="B961" s="12"/>
      <c r="C961" s="12"/>
      <c r="D961" s="12"/>
      <c r="E961" s="12"/>
      <c r="F961" s="12"/>
      <c r="G961" s="12"/>
      <c r="H961" s="12"/>
      <c r="I961" s="12"/>
      <c r="J961" s="12"/>
      <c r="K961" s="12"/>
      <c r="L961" s="12"/>
      <c r="M961" s="12"/>
      <c r="N961" s="12"/>
      <c r="O961" s="12"/>
      <c r="P961" s="12"/>
      <c r="Q961" s="12"/>
      <c r="R961" s="12"/>
      <c r="S961" s="12"/>
      <c r="T961" s="12"/>
      <c r="U961" s="12"/>
    </row>
    <row r="962">
      <c r="A962" s="12" t="s">
        <v>101</v>
      </c>
      <c r="B962" s="12"/>
      <c r="C962" s="12"/>
      <c r="D962" s="12"/>
      <c r="E962" s="12"/>
      <c r="F962" s="12"/>
      <c r="G962" s="12"/>
      <c r="H962" s="12"/>
      <c r="I962" s="12"/>
      <c r="J962" s="12"/>
      <c r="K962" s="12"/>
      <c r="L962" s="12"/>
      <c r="M962" s="12"/>
      <c r="N962" s="12"/>
      <c r="O962" s="12"/>
      <c r="P962" s="12"/>
      <c r="Q962" s="12"/>
      <c r="R962" s="12"/>
      <c r="S962" s="12"/>
      <c r="T962" s="12"/>
      <c r="U962" s="12"/>
    </row>
    <row r="963">
      <c r="A963" s="12" t="s">
        <v>101</v>
      </c>
      <c r="B963" s="12"/>
      <c r="C963" s="12"/>
      <c r="D963" s="12"/>
      <c r="E963" s="12"/>
      <c r="F963" s="12"/>
      <c r="G963" s="12"/>
      <c r="H963" s="12"/>
      <c r="I963" s="12"/>
      <c r="J963" s="12"/>
      <c r="K963" s="12"/>
      <c r="L963" s="12"/>
      <c r="M963" s="12"/>
      <c r="N963" s="12"/>
      <c r="O963" s="12"/>
      <c r="P963" s="12"/>
      <c r="Q963" s="12"/>
      <c r="R963" s="12"/>
      <c r="S963" s="12"/>
      <c r="T963" s="12"/>
      <c r="U963" s="12"/>
    </row>
    <row r="964">
      <c r="A964" s="12" t="s">
        <v>101</v>
      </c>
      <c r="B964" s="12"/>
      <c r="C964" s="12"/>
      <c r="D964" s="12"/>
      <c r="E964" s="12"/>
      <c r="F964" s="12"/>
      <c r="G964" s="12"/>
      <c r="H964" s="12"/>
      <c r="I964" s="12"/>
      <c r="J964" s="12"/>
      <c r="K964" s="12"/>
      <c r="L964" s="12"/>
      <c r="M964" s="12"/>
      <c r="N964" s="12"/>
      <c r="O964" s="12"/>
      <c r="P964" s="12"/>
      <c r="Q964" s="12"/>
      <c r="R964" s="12"/>
      <c r="S964" s="12"/>
      <c r="T964" s="12"/>
      <c r="U964" s="12"/>
    </row>
    <row r="965">
      <c r="A965" s="12" t="s">
        <v>101</v>
      </c>
      <c r="B965" s="12"/>
      <c r="C965" s="12"/>
      <c r="D965" s="12"/>
      <c r="E965" s="12"/>
      <c r="F965" s="12"/>
      <c r="G965" s="12"/>
      <c r="H965" s="12"/>
      <c r="I965" s="12"/>
      <c r="J965" s="12"/>
      <c r="K965" s="12"/>
      <c r="L965" s="12"/>
      <c r="M965" s="12"/>
      <c r="N965" s="12"/>
      <c r="O965" s="12"/>
      <c r="P965" s="12"/>
      <c r="Q965" s="12"/>
      <c r="R965" s="12"/>
      <c r="S965" s="12"/>
      <c r="T965" s="12"/>
      <c r="U965" s="12"/>
    </row>
    <row r="966">
      <c r="A966" s="12" t="s">
        <v>101</v>
      </c>
      <c r="B966" s="12"/>
      <c r="C966" s="12"/>
      <c r="D966" s="12"/>
      <c r="E966" s="12"/>
      <c r="F966" s="12"/>
      <c r="G966" s="12"/>
      <c r="H966" s="12"/>
      <c r="I966" s="12"/>
      <c r="J966" s="12"/>
      <c r="K966" s="12"/>
      <c r="L966" s="12"/>
      <c r="M966" s="12"/>
      <c r="N966" s="12"/>
      <c r="O966" s="12"/>
      <c r="P966" s="12"/>
      <c r="Q966" s="12"/>
      <c r="R966" s="12"/>
      <c r="S966" s="12"/>
      <c r="T966" s="12"/>
      <c r="U966" s="12"/>
    </row>
    <row r="967">
      <c r="A967" s="12" t="s">
        <v>101</v>
      </c>
      <c r="B967" s="12"/>
      <c r="C967" s="12"/>
      <c r="D967" s="12"/>
      <c r="E967" s="12"/>
      <c r="F967" s="12"/>
      <c r="G967" s="12"/>
      <c r="H967" s="12"/>
      <c r="I967" s="12"/>
      <c r="J967" s="12"/>
      <c r="K967" s="12"/>
      <c r="L967" s="12"/>
      <c r="M967" s="12"/>
      <c r="N967" s="12"/>
      <c r="O967" s="12"/>
      <c r="P967" s="12"/>
      <c r="Q967" s="12"/>
      <c r="R967" s="12"/>
      <c r="S967" s="12"/>
      <c r="T967" s="12"/>
      <c r="U967" s="12"/>
    </row>
    <row r="968">
      <c r="A968" s="12" t="s">
        <v>101</v>
      </c>
      <c r="B968" s="12"/>
      <c r="C968" s="12"/>
      <c r="D968" s="12"/>
      <c r="E968" s="12"/>
      <c r="F968" s="12"/>
      <c r="G968" s="12"/>
      <c r="H968" s="12"/>
      <c r="I968" s="12"/>
      <c r="J968" s="12"/>
      <c r="K968" s="12"/>
      <c r="L968" s="12"/>
      <c r="M968" s="12"/>
      <c r="N968" s="12"/>
      <c r="O968" s="12"/>
      <c r="P968" s="12"/>
      <c r="Q968" s="12"/>
      <c r="R968" s="12"/>
      <c r="S968" s="12"/>
      <c r="T968" s="12"/>
      <c r="U968" s="12"/>
    </row>
    <row r="969">
      <c r="A969" s="12" t="s">
        <v>101</v>
      </c>
      <c r="B969" s="12"/>
      <c r="C969" s="12"/>
      <c r="D969" s="12"/>
      <c r="E969" s="12"/>
      <c r="F969" s="12"/>
      <c r="G969" s="12"/>
      <c r="H969" s="12"/>
      <c r="I969" s="12"/>
      <c r="J969" s="12"/>
      <c r="K969" s="12"/>
      <c r="L969" s="12"/>
      <c r="M969" s="12"/>
      <c r="N969" s="12"/>
      <c r="O969" s="12"/>
      <c r="P969" s="12"/>
      <c r="Q969" s="12"/>
      <c r="R969" s="12"/>
      <c r="S969" s="12"/>
      <c r="T969" s="12"/>
      <c r="U969" s="12"/>
    </row>
    <row r="970">
      <c r="A970" s="12" t="s">
        <v>101</v>
      </c>
      <c r="B970" s="12"/>
      <c r="C970" s="12"/>
      <c r="D970" s="12"/>
      <c r="E970" s="12"/>
      <c r="F970" s="12"/>
      <c r="G970" s="12"/>
      <c r="H970" s="12"/>
      <c r="I970" s="12"/>
      <c r="J970" s="12"/>
      <c r="K970" s="12"/>
      <c r="L970" s="12"/>
      <c r="M970" s="12"/>
      <c r="N970" s="12"/>
      <c r="O970" s="12"/>
      <c r="P970" s="12"/>
      <c r="Q970" s="12"/>
      <c r="R970" s="12"/>
      <c r="S970" s="12"/>
      <c r="T970" s="12"/>
      <c r="U970" s="12"/>
    </row>
    <row r="971">
      <c r="A971" s="12" t="s">
        <v>101</v>
      </c>
      <c r="B971" s="12"/>
      <c r="C971" s="12"/>
      <c r="D971" s="12"/>
      <c r="E971" s="12"/>
      <c r="F971" s="12"/>
      <c r="G971" s="12"/>
      <c r="H971" s="12"/>
      <c r="I971" s="12"/>
      <c r="J971" s="12"/>
      <c r="K971" s="12"/>
      <c r="L971" s="12"/>
      <c r="M971" s="12"/>
      <c r="N971" s="12"/>
      <c r="O971" s="12"/>
      <c r="P971" s="12"/>
      <c r="Q971" s="12"/>
      <c r="R971" s="12"/>
      <c r="S971" s="12"/>
      <c r="T971" s="12"/>
      <c r="U971" s="12"/>
    </row>
    <row r="972">
      <c r="A972" s="12" t="s">
        <v>101</v>
      </c>
      <c r="B972" s="12"/>
      <c r="C972" s="12"/>
      <c r="D972" s="12"/>
      <c r="E972" s="12"/>
      <c r="F972" s="12"/>
      <c r="G972" s="12"/>
      <c r="H972" s="12"/>
      <c r="I972" s="12"/>
      <c r="J972" s="12"/>
      <c r="K972" s="12"/>
      <c r="L972" s="12"/>
      <c r="M972" s="12"/>
      <c r="N972" s="12"/>
      <c r="O972" s="12"/>
      <c r="P972" s="12"/>
      <c r="Q972" s="12"/>
      <c r="R972" s="12"/>
      <c r="S972" s="12"/>
      <c r="T972" s="12"/>
      <c r="U972" s="12"/>
    </row>
    <row r="973">
      <c r="A973" s="12" t="s">
        <v>101</v>
      </c>
      <c r="B973" s="12"/>
      <c r="C973" s="12"/>
      <c r="D973" s="12"/>
      <c r="E973" s="12"/>
      <c r="F973" s="12"/>
      <c r="G973" s="12"/>
      <c r="H973" s="12"/>
      <c r="I973" s="12"/>
      <c r="J973" s="12"/>
      <c r="K973" s="12"/>
      <c r="L973" s="12"/>
      <c r="M973" s="12"/>
      <c r="N973" s="12"/>
      <c r="O973" s="12"/>
      <c r="P973" s="12"/>
      <c r="Q973" s="12"/>
      <c r="R973" s="12"/>
      <c r="S973" s="12"/>
      <c r="T973" s="12"/>
      <c r="U973" s="12"/>
    </row>
    <row r="974">
      <c r="A974" s="12" t="s">
        <v>101</v>
      </c>
      <c r="B974" s="12"/>
      <c r="C974" s="12"/>
      <c r="D974" s="12"/>
      <c r="E974" s="12"/>
      <c r="F974" s="12"/>
      <c r="G974" s="12"/>
      <c r="H974" s="12"/>
      <c r="I974" s="12"/>
      <c r="J974" s="12"/>
      <c r="K974" s="12"/>
      <c r="L974" s="12"/>
      <c r="M974" s="12"/>
      <c r="N974" s="12"/>
      <c r="O974" s="12"/>
      <c r="P974" s="12"/>
      <c r="Q974" s="12"/>
      <c r="R974" s="12"/>
      <c r="S974" s="12"/>
      <c r="T974" s="12"/>
      <c r="U974" s="12"/>
    </row>
    <row r="975">
      <c r="A975" s="12" t="s">
        <v>101</v>
      </c>
      <c r="B975" s="12"/>
      <c r="C975" s="12"/>
      <c r="D975" s="12"/>
      <c r="E975" s="12"/>
      <c r="F975" s="12"/>
      <c r="G975" s="12"/>
      <c r="H975" s="12"/>
      <c r="I975" s="12"/>
      <c r="J975" s="12"/>
      <c r="K975" s="12"/>
      <c r="L975" s="12"/>
      <c r="M975" s="12"/>
      <c r="N975" s="12"/>
      <c r="O975" s="12"/>
      <c r="P975" s="12"/>
      <c r="Q975" s="12"/>
      <c r="R975" s="12"/>
      <c r="S975" s="12"/>
      <c r="T975" s="12"/>
      <c r="U975" s="12"/>
    </row>
    <row r="976">
      <c r="A976" s="12" t="s">
        <v>101</v>
      </c>
      <c r="B976" s="12"/>
      <c r="C976" s="12"/>
      <c r="D976" s="12"/>
      <c r="E976" s="12"/>
      <c r="F976" s="12"/>
      <c r="G976" s="12"/>
      <c r="H976" s="12"/>
      <c r="I976" s="12"/>
      <c r="J976" s="12"/>
      <c r="K976" s="12"/>
      <c r="L976" s="12"/>
      <c r="M976" s="12"/>
      <c r="N976" s="12"/>
      <c r="O976" s="12"/>
      <c r="P976" s="12"/>
      <c r="Q976" s="12"/>
      <c r="R976" s="12"/>
      <c r="S976" s="12"/>
      <c r="T976" s="12"/>
      <c r="U976" s="12"/>
    </row>
    <row r="977">
      <c r="A977" s="12" t="s">
        <v>101</v>
      </c>
      <c r="B977" s="12"/>
      <c r="C977" s="12"/>
      <c r="D977" s="12"/>
      <c r="E977" s="12"/>
      <c r="F977" s="12"/>
      <c r="G977" s="12"/>
      <c r="H977" s="12"/>
      <c r="I977" s="12"/>
      <c r="J977" s="12"/>
      <c r="K977" s="12"/>
      <c r="L977" s="12"/>
      <c r="M977" s="12"/>
      <c r="N977" s="12"/>
      <c r="O977" s="12"/>
      <c r="P977" s="12"/>
      <c r="Q977" s="12"/>
      <c r="R977" s="12"/>
      <c r="S977" s="12"/>
      <c r="T977" s="12"/>
      <c r="U977" s="12"/>
    </row>
    <row r="978">
      <c r="A978" s="12" t="s">
        <v>101</v>
      </c>
      <c r="B978" s="12"/>
      <c r="C978" s="12"/>
      <c r="D978" s="12"/>
      <c r="E978" s="12"/>
      <c r="F978" s="12"/>
      <c r="G978" s="12"/>
      <c r="H978" s="12"/>
      <c r="I978" s="12"/>
      <c r="J978" s="12"/>
      <c r="K978" s="12"/>
      <c r="L978" s="12"/>
      <c r="M978" s="12"/>
      <c r="N978" s="12"/>
      <c r="O978" s="12"/>
      <c r="P978" s="12"/>
      <c r="Q978" s="12"/>
      <c r="R978" s="12"/>
      <c r="S978" s="12"/>
      <c r="T978" s="12"/>
      <c r="U978" s="12"/>
    </row>
    <row r="979">
      <c r="A979" s="12" t="s">
        <v>101</v>
      </c>
      <c r="B979" s="12"/>
      <c r="C979" s="12"/>
      <c r="D979" s="12"/>
      <c r="E979" s="12"/>
      <c r="F979" s="12"/>
      <c r="G979" s="12"/>
      <c r="H979" s="12"/>
      <c r="I979" s="12"/>
      <c r="J979" s="12"/>
      <c r="K979" s="12"/>
      <c r="L979" s="12"/>
      <c r="M979" s="12"/>
      <c r="N979" s="12"/>
      <c r="O979" s="12"/>
      <c r="P979" s="12"/>
      <c r="Q979" s="12"/>
      <c r="R979" s="12"/>
      <c r="S979" s="12"/>
      <c r="T979" s="12"/>
      <c r="U979" s="12"/>
    </row>
    <row r="980">
      <c r="A980" s="12" t="s">
        <v>101</v>
      </c>
      <c r="B980" s="12"/>
      <c r="C980" s="12"/>
      <c r="D980" s="12"/>
      <c r="E980" s="12"/>
      <c r="F980" s="12"/>
      <c r="G980" s="12"/>
      <c r="H980" s="12"/>
      <c r="I980" s="12"/>
      <c r="J980" s="12"/>
      <c r="K980" s="12"/>
      <c r="L980" s="12"/>
      <c r="M980" s="12"/>
      <c r="N980" s="12"/>
      <c r="O980" s="12"/>
      <c r="P980" s="12"/>
      <c r="Q980" s="12"/>
      <c r="R980" s="12"/>
      <c r="S980" s="12"/>
      <c r="T980" s="12"/>
      <c r="U980" s="12"/>
    </row>
    <row r="981">
      <c r="A981" s="12" t="s">
        <v>101</v>
      </c>
      <c r="B981" s="12"/>
      <c r="C981" s="12"/>
      <c r="D981" s="12"/>
      <c r="E981" s="12"/>
      <c r="F981" s="12"/>
      <c r="G981" s="12"/>
      <c r="H981" s="12"/>
      <c r="I981" s="12"/>
      <c r="J981" s="12"/>
      <c r="K981" s="12"/>
      <c r="L981" s="12"/>
      <c r="M981" s="12"/>
      <c r="N981" s="12"/>
      <c r="O981" s="12"/>
      <c r="P981" s="12"/>
      <c r="Q981" s="12"/>
      <c r="R981" s="12"/>
      <c r="S981" s="12"/>
      <c r="T981" s="12"/>
      <c r="U981" s="12"/>
    </row>
    <row r="982">
      <c r="A982" s="12" t="s">
        <v>101</v>
      </c>
      <c r="B982" s="12"/>
      <c r="C982" s="12"/>
      <c r="D982" s="12"/>
      <c r="E982" s="12"/>
      <c r="F982" s="12"/>
      <c r="G982" s="12"/>
      <c r="H982" s="12"/>
      <c r="I982" s="12"/>
      <c r="J982" s="12"/>
      <c r="K982" s="12"/>
      <c r="L982" s="12"/>
      <c r="M982" s="12"/>
      <c r="N982" s="12"/>
      <c r="O982" s="12"/>
      <c r="P982" s="12"/>
      <c r="Q982" s="12"/>
      <c r="R982" s="12"/>
      <c r="S982" s="12"/>
      <c r="T982" s="12"/>
      <c r="U982" s="12"/>
    </row>
    <row r="983">
      <c r="A983" s="12" t="s">
        <v>101</v>
      </c>
      <c r="B983" s="12"/>
      <c r="C983" s="12"/>
      <c r="D983" s="12"/>
      <c r="E983" s="12"/>
      <c r="F983" s="12"/>
      <c r="G983" s="12"/>
      <c r="H983" s="12"/>
      <c r="I983" s="12"/>
      <c r="J983" s="12"/>
      <c r="K983" s="12"/>
      <c r="L983" s="12"/>
      <c r="M983" s="12"/>
      <c r="N983" s="12"/>
      <c r="O983" s="12"/>
      <c r="P983" s="12"/>
      <c r="Q983" s="12"/>
      <c r="R983" s="12"/>
      <c r="S983" s="12"/>
      <c r="T983" s="12"/>
      <c r="U983" s="12"/>
    </row>
    <row r="984">
      <c r="A984" s="12" t="s">
        <v>101</v>
      </c>
      <c r="B984" s="12"/>
      <c r="C984" s="12"/>
      <c r="D984" s="12"/>
      <c r="E984" s="12"/>
      <c r="F984" s="12"/>
      <c r="G984" s="12"/>
      <c r="H984" s="12"/>
      <c r="I984" s="12"/>
      <c r="J984" s="12"/>
      <c r="K984" s="12"/>
      <c r="L984" s="12"/>
      <c r="M984" s="12"/>
      <c r="N984" s="12"/>
      <c r="O984" s="12"/>
      <c r="P984" s="12"/>
      <c r="Q984" s="12"/>
      <c r="R984" s="12"/>
      <c r="S984" s="12"/>
      <c r="T984" s="12"/>
      <c r="U984" s="12"/>
    </row>
    <row r="985">
      <c r="A985" s="12" t="s">
        <v>101</v>
      </c>
      <c r="B985" s="12"/>
      <c r="C985" s="12"/>
      <c r="D985" s="12"/>
      <c r="E985" s="12"/>
      <c r="F985" s="12"/>
      <c r="G985" s="12"/>
      <c r="H985" s="12"/>
      <c r="I985" s="12"/>
      <c r="J985" s="12"/>
      <c r="K985" s="12"/>
      <c r="L985" s="12"/>
      <c r="M985" s="12"/>
      <c r="N985" s="12"/>
      <c r="O985" s="12"/>
      <c r="P985" s="12"/>
      <c r="Q985" s="12"/>
      <c r="R985" s="12"/>
      <c r="S985" s="12"/>
      <c r="T985" s="12"/>
      <c r="U985" s="12"/>
    </row>
    <row r="986">
      <c r="A986" s="12" t="s">
        <v>101</v>
      </c>
      <c r="B986" s="12"/>
      <c r="C986" s="12"/>
      <c r="D986" s="12"/>
      <c r="E986" s="12"/>
      <c r="F986" s="12"/>
      <c r="G986" s="12"/>
      <c r="H986" s="12"/>
      <c r="I986" s="12"/>
      <c r="J986" s="12"/>
      <c r="K986" s="12"/>
      <c r="L986" s="12"/>
      <c r="M986" s="12"/>
      <c r="N986" s="12"/>
      <c r="O986" s="12"/>
      <c r="P986" s="12"/>
      <c r="Q986" s="12"/>
      <c r="R986" s="12"/>
      <c r="S986" s="12"/>
      <c r="T986" s="12"/>
      <c r="U986" s="12"/>
    </row>
    <row r="987">
      <c r="A987" s="12" t="s">
        <v>101</v>
      </c>
      <c r="B987" s="12"/>
      <c r="C987" s="12"/>
      <c r="D987" s="12"/>
      <c r="E987" s="12"/>
      <c r="F987" s="12"/>
      <c r="G987" s="12"/>
      <c r="H987" s="12"/>
      <c r="I987" s="12"/>
      <c r="J987" s="12"/>
      <c r="K987" s="12"/>
      <c r="L987" s="12"/>
      <c r="M987" s="12"/>
      <c r="N987" s="12"/>
      <c r="O987" s="12"/>
      <c r="P987" s="12"/>
      <c r="Q987" s="12"/>
      <c r="R987" s="12"/>
      <c r="S987" s="12"/>
      <c r="T987" s="12"/>
      <c r="U987" s="12"/>
    </row>
    <row r="988">
      <c r="A988" s="12" t="s">
        <v>101</v>
      </c>
      <c r="B988" s="12"/>
      <c r="C988" s="12"/>
      <c r="D988" s="12"/>
      <c r="E988" s="12"/>
      <c r="F988" s="12"/>
      <c r="G988" s="12"/>
      <c r="H988" s="12"/>
      <c r="I988" s="12"/>
      <c r="J988" s="12"/>
      <c r="K988" s="12"/>
      <c r="L988" s="12"/>
      <c r="M988" s="12"/>
      <c r="N988" s="12"/>
      <c r="O988" s="12"/>
      <c r="P988" s="12"/>
      <c r="Q988" s="12"/>
      <c r="R988" s="12"/>
      <c r="S988" s="12"/>
      <c r="T988" s="12"/>
      <c r="U988" s="12"/>
    </row>
    <row r="989">
      <c r="A989" s="12" t="s">
        <v>101</v>
      </c>
      <c r="B989" s="12"/>
      <c r="C989" s="12"/>
      <c r="D989" s="12"/>
      <c r="E989" s="12"/>
      <c r="F989" s="12"/>
      <c r="G989" s="12"/>
      <c r="H989" s="12"/>
      <c r="I989" s="12"/>
      <c r="J989" s="12"/>
      <c r="K989" s="12"/>
      <c r="L989" s="12"/>
      <c r="M989" s="12"/>
      <c r="N989" s="12"/>
      <c r="O989" s="12"/>
      <c r="P989" s="12"/>
      <c r="Q989" s="12"/>
      <c r="R989" s="12"/>
      <c r="S989" s="12"/>
      <c r="T989" s="12"/>
      <c r="U989" s="12"/>
    </row>
    <row r="990">
      <c r="A990" s="12" t="s">
        <v>101</v>
      </c>
      <c r="B990" s="12"/>
      <c r="C990" s="12"/>
      <c r="D990" s="12"/>
      <c r="E990" s="12"/>
      <c r="F990" s="12"/>
      <c r="G990" s="12"/>
      <c r="H990" s="12"/>
      <c r="I990" s="12"/>
      <c r="J990" s="12"/>
      <c r="K990" s="12"/>
      <c r="L990" s="12"/>
      <c r="M990" s="12"/>
      <c r="N990" s="12"/>
      <c r="O990" s="12"/>
      <c r="P990" s="12"/>
      <c r="Q990" s="12"/>
      <c r="R990" s="12"/>
      <c r="S990" s="12"/>
      <c r="T990" s="12"/>
      <c r="U990" s="12"/>
    </row>
    <row r="991">
      <c r="A991" s="12" t="s">
        <v>101</v>
      </c>
      <c r="B991" s="12"/>
      <c r="C991" s="12"/>
      <c r="D991" s="12"/>
      <c r="E991" s="12"/>
      <c r="F991" s="12"/>
      <c r="G991" s="12"/>
      <c r="H991" s="12"/>
      <c r="I991" s="12"/>
      <c r="J991" s="12"/>
      <c r="K991" s="12"/>
      <c r="L991" s="12"/>
      <c r="M991" s="12"/>
      <c r="N991" s="12"/>
      <c r="O991" s="12"/>
      <c r="P991" s="12"/>
      <c r="Q991" s="12"/>
      <c r="R991" s="12"/>
      <c r="S991" s="12"/>
      <c r="T991" s="12"/>
      <c r="U991" s="12"/>
    </row>
    <row r="992">
      <c r="A992" s="12" t="s">
        <v>101</v>
      </c>
      <c r="B992" s="12"/>
      <c r="C992" s="12"/>
      <c r="D992" s="12"/>
      <c r="E992" s="12"/>
      <c r="F992" s="12"/>
      <c r="G992" s="12"/>
      <c r="H992" s="12"/>
      <c r="I992" s="12"/>
      <c r="J992" s="12"/>
      <c r="K992" s="12"/>
      <c r="L992" s="12"/>
      <c r="M992" s="12"/>
      <c r="N992" s="12"/>
      <c r="O992" s="12"/>
      <c r="P992" s="12"/>
      <c r="Q992" s="12"/>
      <c r="R992" s="12"/>
      <c r="S992" s="12"/>
      <c r="T992" s="12"/>
      <c r="U992" s="12"/>
    </row>
    <row r="993">
      <c r="A993" s="12" t="s">
        <v>101</v>
      </c>
      <c r="B993" s="12"/>
      <c r="C993" s="12"/>
      <c r="D993" s="12"/>
      <c r="E993" s="12"/>
      <c r="F993" s="12"/>
      <c r="G993" s="12"/>
      <c r="H993" s="12"/>
      <c r="I993" s="12"/>
      <c r="J993" s="12"/>
      <c r="K993" s="12"/>
      <c r="L993" s="12"/>
      <c r="M993" s="12"/>
      <c r="N993" s="12"/>
      <c r="O993" s="12"/>
      <c r="P993" s="12"/>
      <c r="Q993" s="12"/>
      <c r="R993" s="12"/>
      <c r="S993" s="12"/>
      <c r="T993" s="12"/>
      <c r="U993" s="12"/>
    </row>
    <row r="994">
      <c r="A994" s="12" t="s">
        <v>101</v>
      </c>
      <c r="B994" s="12"/>
      <c r="C994" s="12"/>
      <c r="D994" s="12"/>
      <c r="E994" s="12"/>
      <c r="F994" s="12"/>
      <c r="G994" s="12"/>
      <c r="H994" s="12"/>
      <c r="I994" s="12"/>
      <c r="J994" s="12"/>
      <c r="K994" s="12"/>
      <c r="L994" s="12"/>
      <c r="M994" s="12"/>
      <c r="N994" s="12"/>
      <c r="O994" s="12"/>
      <c r="P994" s="12"/>
      <c r="Q994" s="12"/>
      <c r="R994" s="12"/>
      <c r="S994" s="12"/>
      <c r="T994" s="12"/>
      <c r="U994" s="12"/>
    </row>
    <row r="995">
      <c r="A995" s="12" t="s">
        <v>101</v>
      </c>
      <c r="B995" s="12"/>
      <c r="C995" s="12"/>
      <c r="D995" s="12"/>
      <c r="E995" s="12"/>
      <c r="F995" s="12"/>
      <c r="G995" s="12"/>
      <c r="H995" s="12"/>
      <c r="I995" s="12"/>
      <c r="J995" s="12"/>
      <c r="K995" s="12"/>
      <c r="L995" s="12"/>
      <c r="M995" s="12"/>
      <c r="N995" s="12"/>
      <c r="O995" s="12"/>
      <c r="P995" s="12"/>
      <c r="Q995" s="12"/>
      <c r="R995" s="12"/>
      <c r="S995" s="12"/>
      <c r="T995" s="12"/>
      <c r="U995" s="12"/>
    </row>
    <row r="996">
      <c r="A996" s="12" t="s">
        <v>101</v>
      </c>
      <c r="B996" s="12"/>
      <c r="C996" s="12"/>
      <c r="D996" s="12"/>
      <c r="E996" s="12"/>
      <c r="F996" s="12"/>
      <c r="G996" s="12"/>
      <c r="H996" s="12"/>
      <c r="I996" s="12"/>
      <c r="J996" s="12"/>
      <c r="K996" s="12"/>
      <c r="L996" s="12"/>
      <c r="M996" s="12"/>
      <c r="N996" s="12"/>
      <c r="O996" s="12"/>
      <c r="P996" s="12"/>
      <c r="Q996" s="12"/>
      <c r="R996" s="12"/>
      <c r="S996" s="12"/>
      <c r="T996" s="12"/>
      <c r="U996" s="12"/>
    </row>
    <row r="997">
      <c r="A997" s="12" t="s">
        <v>101</v>
      </c>
      <c r="B997" s="12"/>
      <c r="C997" s="12"/>
      <c r="D997" s="12"/>
      <c r="E997" s="12"/>
      <c r="F997" s="12"/>
      <c r="G997" s="12"/>
      <c r="H997" s="12"/>
      <c r="I997" s="12"/>
      <c r="J997" s="12"/>
      <c r="K997" s="12"/>
      <c r="L997" s="12"/>
      <c r="M997" s="12"/>
      <c r="N997" s="12"/>
      <c r="O997" s="12"/>
      <c r="P997" s="12"/>
      <c r="Q997" s="12"/>
      <c r="R997" s="12"/>
      <c r="S997" s="12"/>
      <c r="T997" s="12"/>
      <c r="U997" s="12"/>
    </row>
    <row r="998">
      <c r="A998" s="12" t="s">
        <v>101</v>
      </c>
      <c r="B998" s="12"/>
      <c r="C998" s="12"/>
      <c r="D998" s="12"/>
      <c r="E998" s="12"/>
      <c r="F998" s="12"/>
      <c r="G998" s="12"/>
      <c r="H998" s="12"/>
      <c r="I998" s="12"/>
      <c r="J998" s="12"/>
      <c r="K998" s="12"/>
      <c r="L998" s="12"/>
      <c r="M998" s="12"/>
      <c r="N998" s="12"/>
      <c r="O998" s="12"/>
      <c r="P998" s="12"/>
      <c r="Q998" s="12"/>
      <c r="R998" s="12"/>
      <c r="S998" s="12"/>
      <c r="T998" s="12"/>
      <c r="U998" s="12"/>
    </row>
    <row r="999">
      <c r="A999" s="12" t="s">
        <v>101</v>
      </c>
      <c r="B999" s="12"/>
      <c r="C999" s="12"/>
      <c r="D999" s="12"/>
      <c r="E999" s="12"/>
      <c r="F999" s="12"/>
      <c r="G999" s="12"/>
      <c r="H999" s="12"/>
      <c r="I999" s="12"/>
      <c r="J999" s="12"/>
      <c r="K999" s="12"/>
      <c r="L999" s="12"/>
      <c r="M999" s="12"/>
      <c r="N999" s="12"/>
      <c r="O999" s="12"/>
      <c r="P999" s="12"/>
      <c r="Q999" s="12"/>
      <c r="R999" s="12"/>
      <c r="S999" s="12"/>
      <c r="T999" s="12"/>
      <c r="U999" s="12"/>
    </row>
  </sheetData>
  <autoFilter ref="$A$1:$U$999">
    <sortState ref="A1:U999">
      <sortCondition ref="A1:A999"/>
      <sortCondition descending="1" ref="F1:F999"/>
    </sortState>
  </autoFilter>
  <conditionalFormatting sqref="E2:E108">
    <cfRule type="cellIs" dxfId="1" priority="1" operator="equal">
      <formula>"patellar"</formula>
    </cfRule>
  </conditionalFormatting>
  <conditionalFormatting sqref="E2:E108">
    <cfRule type="cellIs" dxfId="2" priority="2" operator="equal">
      <formula>"hamstring"</formula>
    </cfRule>
  </conditionalFormatting>
  <conditionalFormatting sqref="E2:E108">
    <cfRule type="cellIs" dxfId="3" priority="3" operator="equal">
      <formula>"quadriceps"</formula>
    </cfRule>
  </conditionalFormatting>
  <conditionalFormatting sqref="C69:D69 C100:C108">
    <cfRule type="expression" dxfId="0" priority="4">
      <formula>$D69="Excluded"</formula>
    </cfRule>
  </conditionalFormatting>
  <conditionalFormatting sqref="C65:D68">
    <cfRule type="expression" dxfId="0" priority="5">
      <formula>$D65="Excluded"</formula>
    </cfRule>
  </conditionalFormatting>
  <conditionalFormatting sqref="C64:D64">
    <cfRule type="expression" dxfId="0" priority="6">
      <formula>$D64="Excluded"</formula>
    </cfRule>
  </conditionalFormatting>
  <conditionalFormatting sqref="C62:D63">
    <cfRule type="expression" dxfId="0" priority="7">
      <formula>$D62="Excluded"</formula>
    </cfRule>
  </conditionalFormatting>
  <conditionalFormatting sqref="C58:D61">
    <cfRule type="expression" dxfId="0" priority="8">
      <formula>$D58="Excluded"</formula>
    </cfRule>
  </conditionalFormatting>
  <conditionalFormatting sqref="C57:D57">
    <cfRule type="expression" dxfId="0" priority="9">
      <formula>$D57="Excluded"</formula>
    </cfRule>
  </conditionalFormatting>
  <conditionalFormatting sqref="C55:D56">
    <cfRule type="expression" dxfId="0" priority="10">
      <formula>$D55="Excluded"</formula>
    </cfRule>
  </conditionalFormatting>
  <conditionalFormatting sqref="C53:D54">
    <cfRule type="expression" dxfId="0" priority="11">
      <formula>$D53="Excluded"</formula>
    </cfRule>
  </conditionalFormatting>
  <conditionalFormatting sqref="C52:D52">
    <cfRule type="expression" dxfId="0" priority="12">
      <formula>$D52="Excluded"</formula>
    </cfRule>
  </conditionalFormatting>
  <conditionalFormatting sqref="C49:D51">
    <cfRule type="expression" dxfId="0" priority="13">
      <formula>$D49="Excluded"</formula>
    </cfRule>
  </conditionalFormatting>
  <conditionalFormatting sqref="C48:D48">
    <cfRule type="expression" dxfId="0" priority="14">
      <formula>$D48="Excluded"</formula>
    </cfRule>
  </conditionalFormatting>
  <conditionalFormatting sqref="C38:D47">
    <cfRule type="expression" dxfId="0" priority="15">
      <formula>$D38="Excluded"</formula>
    </cfRule>
  </conditionalFormatting>
  <conditionalFormatting sqref="C33:D37">
    <cfRule type="expression" dxfId="0" priority="16">
      <formula>$D33="Excluded"</formula>
    </cfRule>
  </conditionalFormatting>
  <conditionalFormatting sqref="C32:D32">
    <cfRule type="expression" dxfId="0" priority="17">
      <formula>$D32="Excluded"</formula>
    </cfRule>
  </conditionalFormatting>
  <conditionalFormatting sqref="C23:D31">
    <cfRule type="expression" dxfId="0" priority="18">
      <formula>$D23="Excluded"</formula>
    </cfRule>
  </conditionalFormatting>
  <conditionalFormatting sqref="C22:D22">
    <cfRule type="expression" dxfId="0" priority="19">
      <formula>$D22="Excluded"</formula>
    </cfRule>
  </conditionalFormatting>
  <conditionalFormatting sqref="C20:D21">
    <cfRule type="expression" dxfId="0" priority="20">
      <formula>$D20="Excluded"</formula>
    </cfRule>
  </conditionalFormatting>
  <conditionalFormatting sqref="C18:D19">
    <cfRule type="expression" dxfId="0" priority="21">
      <formula>$D18="Excluded"</formula>
    </cfRule>
  </conditionalFormatting>
  <conditionalFormatting sqref="C16:D17">
    <cfRule type="expression" dxfId="0" priority="22">
      <formula>$D16="Excluded"</formula>
    </cfRule>
  </conditionalFormatting>
  <conditionalFormatting sqref="C15:D15">
    <cfRule type="expression" dxfId="0" priority="23">
      <formula>$D15="Excluded"</formula>
    </cfRule>
  </conditionalFormatting>
  <conditionalFormatting sqref="C9:D14">
    <cfRule type="expression" dxfId="0" priority="24">
      <formula>$D9="Excluded"</formula>
    </cfRule>
  </conditionalFormatting>
  <conditionalFormatting sqref="C2:C100">
    <cfRule type="expression" dxfId="0" priority="25">
      <formula>$D2="Excluded"</formula>
    </cfRule>
  </conditionalFormatting>
  <conditionalFormatting sqref="C2:C100">
    <cfRule type="expression" dxfId="0" priority="26">
      <formula>$F2="Excluded"</formula>
    </cfRule>
  </conditionalFormatting>
  <conditionalFormatting sqref="I2:U108">
    <cfRule type="cellIs" dxfId="5" priority="27" operator="equal">
      <formula>"✓"</formula>
    </cfRule>
  </conditionalFormatting>
  <conditionalFormatting sqref="I2:U108">
    <cfRule type="cellIs" dxfId="0" priority="28" operator="equal">
      <formula>"✗"</formula>
    </cfRule>
  </conditionalFormatting>
  <conditionalFormatting sqref="G69">
    <cfRule type="notContainsBlanks" dxfId="5" priority="29">
      <formula>LEN(TRIM(G69))&gt;0</formula>
    </cfRule>
  </conditionalFormatting>
  <dataValidations>
    <dataValidation type="list" allowBlank="1" showErrorMessage="1" sqref="F2:F999">
      <formula1>"Included,Excluded"</formula1>
    </dataValidation>
    <dataValidation type="list" allowBlank="1" showErrorMessage="1" sqref="G2">
      <formula1>"patellar,hamstring,quadriceps,peroneus,Achilles,tibialis"</formula1>
    </dataValidation>
    <dataValidation type="list" allowBlank="1" showErrorMessage="1" sqref="H2">
      <formula1>"IKDC,Tegner,Lysholm,Instrumental laxity,Pivot shift,Lachman,Graft rupture"</formula1>
    </dataValidation>
  </dataValidations>
  <hyperlinks>
    <hyperlink r:id="rId1" ref="D2"/>
    <hyperlink r:id="rId2" ref="D3"/>
    <hyperlink r:id="rId3" ref="D4"/>
    <hyperlink r:id="rId4" ref="D5"/>
    <hyperlink r:id="rId5" ref="D6"/>
    <hyperlink r:id="rId6" ref="D7"/>
    <hyperlink r:id="rId7" ref="D8"/>
    <hyperlink r:id="rId8" ref="D10"/>
    <hyperlink r:id="rId9" ref="D11"/>
    <hyperlink r:id="rId10" ref="D12"/>
    <hyperlink r:id="rId11" ref="D13"/>
    <hyperlink r:id="rId12" ref="D14"/>
    <hyperlink r:id="rId13" ref="D15"/>
    <hyperlink r:id="rId14" ref="D17"/>
    <hyperlink r:id="rId15" ref="D19"/>
    <hyperlink r:id="rId16" ref="D20"/>
    <hyperlink r:id="rId17" ref="D23"/>
    <hyperlink r:id="rId18" ref="D24"/>
    <hyperlink r:id="rId19" ref="D26"/>
    <hyperlink r:id="rId20" ref="D27"/>
    <hyperlink r:id="rId21" ref="D29"/>
    <hyperlink r:id="rId22" ref="D31"/>
    <hyperlink r:id="rId23" ref="D32"/>
    <hyperlink r:id="rId24" ref="D33"/>
    <hyperlink r:id="rId25" ref="D34"/>
    <hyperlink r:id="rId26" ref="D35"/>
    <hyperlink r:id="rId27" ref="D36"/>
    <hyperlink r:id="rId28" ref="D37"/>
    <hyperlink r:id="rId29" ref="D38"/>
    <hyperlink r:id="rId30" ref="D39"/>
    <hyperlink r:id="rId31" ref="D42"/>
    <hyperlink r:id="rId32" ref="D44"/>
    <hyperlink r:id="rId33" ref="D45"/>
    <hyperlink r:id="rId34" ref="D46"/>
    <hyperlink r:id="rId35" ref="D47"/>
    <hyperlink r:id="rId36" ref="D48"/>
    <hyperlink r:id="rId37" ref="D50"/>
    <hyperlink r:id="rId38" ref="D51"/>
    <hyperlink r:id="rId39" ref="D52"/>
    <hyperlink r:id="rId40" ref="D53"/>
    <hyperlink r:id="rId41" ref="D54"/>
    <hyperlink r:id="rId42" ref="D55"/>
    <hyperlink r:id="rId43" ref="D56"/>
    <hyperlink r:id="rId44" ref="D57"/>
    <hyperlink r:id="rId45" ref="D58"/>
    <hyperlink r:id="rId46" ref="D59"/>
    <hyperlink r:id="rId47" ref="D63"/>
    <hyperlink r:id="rId48" ref="D67"/>
    <hyperlink r:id="rId49" ref="D68"/>
    <hyperlink r:id="rId50" ref="D69"/>
    <hyperlink r:id="rId51" ref="D71"/>
    <hyperlink r:id="rId52" ref="D73"/>
    <hyperlink r:id="rId53" ref="D74"/>
    <hyperlink r:id="rId54" ref="D77"/>
    <hyperlink r:id="rId55" ref="D78"/>
    <hyperlink r:id="rId56" ref="D83"/>
    <hyperlink r:id="rId57" ref="D85"/>
    <hyperlink r:id="rId58" ref="D86"/>
    <hyperlink r:id="rId59" ref="D87"/>
    <hyperlink r:id="rId60" ref="D88"/>
    <hyperlink r:id="rId61" ref="D90"/>
    <hyperlink r:id="rId62" ref="D91"/>
    <hyperlink r:id="rId63" ref="D93"/>
    <hyperlink r:id="rId64" ref="D94"/>
    <hyperlink r:id="rId65" ref="D95"/>
    <hyperlink r:id="rId66" ref="D96"/>
    <hyperlink r:id="rId67" ref="D97"/>
    <hyperlink r:id="rId68" ref="D99"/>
  </hyperlinks>
  <drawing r:id="rId69"/>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2.88"/>
    <col customWidth="1" min="2" max="2" width="19.0"/>
    <col customWidth="1" min="4" max="4" width="58.5"/>
    <col customWidth="1" min="9" max="9" width="2.88"/>
    <col customWidth="1" min="10" max="10" width="19.0"/>
    <col customWidth="1" min="12" max="12" width="14.38"/>
  </cols>
  <sheetData>
    <row r="1">
      <c r="A1" s="3"/>
      <c r="B1" s="3"/>
      <c r="D1" s="3"/>
    </row>
    <row r="2">
      <c r="A2" s="3">
        <v>1.0</v>
      </c>
      <c r="B2" s="3" t="s">
        <v>5021</v>
      </c>
      <c r="C2" s="4" t="s">
        <v>5013</v>
      </c>
      <c r="D2" s="3" t="s">
        <v>4364</v>
      </c>
      <c r="H2" s="4">
        <f t="array" ref="H2:H1001">if(I2:I1001&lt;&gt;"",row(A2:A1001)-1,"")</f>
        <v>1</v>
      </c>
      <c r="I2" s="4" t="str">
        <f>FUNCTION1(A2:A1001,D2:D1001)</f>
        <v>1</v>
      </c>
      <c r="J2" s="4" t="str">
        <f>FUNCTION1(B2:B1001,D2:D1001)</f>
        <v>Ageberg (2009)</v>
      </c>
      <c r="K2" s="4" t="str">
        <f>FUNCTION1(C2:C1001,D2:D1001)</f>
        <v>patellar</v>
      </c>
      <c r="L2" s="4" t="str">
        <f>IFERROR(__xludf.DUMMYFUNCTION("transpose(split(join("", "", D2:D1001),"", "", FALSE))"),"Tegner")</f>
        <v>Tegner</v>
      </c>
    </row>
    <row r="3">
      <c r="A3" s="3">
        <v>1.0</v>
      </c>
      <c r="B3" s="3" t="s">
        <v>5021</v>
      </c>
      <c r="C3" s="4" t="s">
        <v>5014</v>
      </c>
      <c r="D3" s="3" t="s">
        <v>4364</v>
      </c>
      <c r="H3" s="4">
        <v>2.0</v>
      </c>
      <c r="I3" s="4" t="s">
        <v>5150</v>
      </c>
      <c r="J3" s="4" t="s">
        <v>5021</v>
      </c>
      <c r="K3" s="4" t="s">
        <v>5014</v>
      </c>
      <c r="L3" s="4" t="str">
        <f>IFERROR(__xludf.DUMMYFUNCTION("""COMPUTED_VALUE"""),"Tegner")</f>
        <v>Tegner</v>
      </c>
    </row>
    <row r="4">
      <c r="A4" s="3">
        <v>2.0</v>
      </c>
      <c r="B4" s="3" t="s">
        <v>5025</v>
      </c>
      <c r="C4" s="4" t="s">
        <v>5013</v>
      </c>
      <c r="D4" s="3" t="s">
        <v>4367</v>
      </c>
      <c r="H4" s="4">
        <v>3.0</v>
      </c>
      <c r="I4" s="4" t="s">
        <v>5151</v>
      </c>
      <c r="J4" s="4" t="s">
        <v>5025</v>
      </c>
      <c r="K4" s="4" t="s">
        <v>5013</v>
      </c>
      <c r="L4" s="4" t="str">
        <f>IFERROR(__xludf.DUMMYFUNCTION("""COMPUTED_VALUE"""),"Lachman")</f>
        <v>Lachman</v>
      </c>
    </row>
    <row r="5">
      <c r="A5" s="3">
        <v>2.0</v>
      </c>
      <c r="B5" s="3" t="s">
        <v>5025</v>
      </c>
      <c r="C5" s="4" t="s">
        <v>5014</v>
      </c>
      <c r="D5" s="3" t="s">
        <v>4367</v>
      </c>
      <c r="H5" s="4">
        <v>4.0</v>
      </c>
      <c r="I5" s="4" t="s">
        <v>5151</v>
      </c>
      <c r="J5" s="4" t="s">
        <v>5025</v>
      </c>
      <c r="K5" s="4" t="s">
        <v>5013</v>
      </c>
      <c r="L5" s="4" t="str">
        <f>IFERROR(__xludf.DUMMYFUNCTION("""COMPUTED_VALUE"""),"pivot_shift")</f>
        <v>pivot_shift</v>
      </c>
    </row>
    <row r="6">
      <c r="A6" s="3">
        <v>3.0</v>
      </c>
      <c r="B6" s="3" t="s">
        <v>5028</v>
      </c>
      <c r="C6" s="4" t="s">
        <v>5013</v>
      </c>
      <c r="D6" s="3" t="s">
        <v>4368</v>
      </c>
      <c r="H6" s="4">
        <v>5.0</v>
      </c>
      <c r="I6" s="4" t="s">
        <v>5151</v>
      </c>
      <c r="J6" s="4" t="s">
        <v>5025</v>
      </c>
      <c r="K6" s="4" t="s">
        <v>5013</v>
      </c>
      <c r="L6" s="4" t="str">
        <f>IFERROR(__xludf.DUMMYFUNCTION("""COMPUTED_VALUE"""),"instrumented_laxity")</f>
        <v>instrumented_laxity</v>
      </c>
    </row>
    <row r="7">
      <c r="A7" s="3">
        <v>3.0</v>
      </c>
      <c r="B7" s="3" t="s">
        <v>5028</v>
      </c>
      <c r="C7" s="4" t="s">
        <v>5014</v>
      </c>
      <c r="D7" s="3" t="s">
        <v>4368</v>
      </c>
      <c r="H7" s="4">
        <v>6.0</v>
      </c>
      <c r="I7" s="4" t="s">
        <v>5151</v>
      </c>
      <c r="J7" s="4" t="s">
        <v>5025</v>
      </c>
      <c r="K7" s="4" t="s">
        <v>5014</v>
      </c>
      <c r="L7" s="4" t="str">
        <f>IFERROR(__xludf.DUMMYFUNCTION("""COMPUTED_VALUE"""),"Lachman")</f>
        <v>Lachman</v>
      </c>
    </row>
    <row r="8">
      <c r="A8" s="3">
        <v>4.0</v>
      </c>
      <c r="B8" s="3" t="s">
        <v>5031</v>
      </c>
      <c r="C8" s="4" t="s">
        <v>5013</v>
      </c>
      <c r="D8" s="3" t="s">
        <v>317</v>
      </c>
      <c r="H8" s="4">
        <v>7.0</v>
      </c>
      <c r="I8" s="4" t="s">
        <v>5151</v>
      </c>
      <c r="J8" s="4" t="s">
        <v>5025</v>
      </c>
      <c r="K8" s="4" t="s">
        <v>5014</v>
      </c>
      <c r="L8" s="4" t="str">
        <f>IFERROR(__xludf.DUMMYFUNCTION("""COMPUTED_VALUE"""),"pivot_shift")</f>
        <v>pivot_shift</v>
      </c>
    </row>
    <row r="9">
      <c r="A9" s="3">
        <v>4.0</v>
      </c>
      <c r="B9" s="3" t="s">
        <v>5031</v>
      </c>
      <c r="C9" s="4" t="s">
        <v>5014</v>
      </c>
      <c r="D9" s="3" t="s">
        <v>317</v>
      </c>
      <c r="H9" s="4">
        <v>8.0</v>
      </c>
      <c r="I9" s="4" t="s">
        <v>5151</v>
      </c>
      <c r="J9" s="4" t="s">
        <v>5025</v>
      </c>
      <c r="K9" s="4" t="s">
        <v>5014</v>
      </c>
      <c r="L9" s="4" t="str">
        <f>IFERROR(__xludf.DUMMYFUNCTION("""COMPUTED_VALUE"""),"instrumented_laxity")</f>
        <v>instrumented_laxity</v>
      </c>
    </row>
    <row r="10">
      <c r="A10" s="3">
        <v>5.0</v>
      </c>
      <c r="B10" s="3" t="s">
        <v>5034</v>
      </c>
      <c r="C10" s="4" t="s">
        <v>5013</v>
      </c>
      <c r="D10" s="3" t="s">
        <v>4369</v>
      </c>
      <c r="H10" s="4">
        <v>9.0</v>
      </c>
      <c r="I10" s="4" t="s">
        <v>5154</v>
      </c>
      <c r="J10" s="4" t="s">
        <v>5028</v>
      </c>
      <c r="K10" s="4" t="s">
        <v>5013</v>
      </c>
      <c r="L10" s="4" t="str">
        <f>IFERROR(__xludf.DUMMYFUNCTION("""COMPUTED_VALUE"""),"Tegner")</f>
        <v>Tegner</v>
      </c>
    </row>
    <row r="11">
      <c r="A11" s="3">
        <v>5.0</v>
      </c>
      <c r="B11" s="3" t="s">
        <v>5034</v>
      </c>
      <c r="C11" s="4" t="s">
        <v>5014</v>
      </c>
      <c r="D11" s="3" t="s">
        <v>4369</v>
      </c>
      <c r="H11" s="4">
        <v>10.0</v>
      </c>
      <c r="I11" s="4" t="s">
        <v>5154</v>
      </c>
      <c r="J11" s="4" t="s">
        <v>5028</v>
      </c>
      <c r="K11" s="4" t="s">
        <v>5013</v>
      </c>
      <c r="L11" s="4" t="str">
        <f>IFERROR(__xludf.DUMMYFUNCTION("""COMPUTED_VALUE"""),"Lysholm")</f>
        <v>Lysholm</v>
      </c>
    </row>
    <row r="12">
      <c r="A12" s="3">
        <v>6.0</v>
      </c>
      <c r="B12" s="3" t="s">
        <v>5038</v>
      </c>
      <c r="C12" s="4" t="s">
        <v>5013</v>
      </c>
      <c r="D12" s="145" t="s">
        <v>4370</v>
      </c>
      <c r="H12" s="4">
        <v>11.0</v>
      </c>
      <c r="I12" s="4" t="s">
        <v>5154</v>
      </c>
      <c r="J12" s="4" t="s">
        <v>5028</v>
      </c>
      <c r="K12" s="4" t="s">
        <v>5013</v>
      </c>
      <c r="L12" s="4" t="str">
        <f>IFERROR(__xludf.DUMMYFUNCTION("""COMPUTED_VALUE"""),"Lachman")</f>
        <v>Lachman</v>
      </c>
    </row>
    <row r="13">
      <c r="A13" s="3">
        <v>6.0</v>
      </c>
      <c r="B13" s="3" t="s">
        <v>5038</v>
      </c>
      <c r="C13" s="4" t="s">
        <v>5014</v>
      </c>
      <c r="D13" s="145" t="s">
        <v>4370</v>
      </c>
      <c r="H13" s="4">
        <v>12.0</v>
      </c>
      <c r="I13" s="4" t="s">
        <v>5154</v>
      </c>
      <c r="J13" s="4" t="s">
        <v>5028</v>
      </c>
      <c r="K13" s="4" t="s">
        <v>5013</v>
      </c>
      <c r="L13" s="4" t="str">
        <f>IFERROR(__xludf.DUMMYFUNCTION("""COMPUTED_VALUE"""),"instrumented_laxity")</f>
        <v>instrumented_laxity</v>
      </c>
    </row>
    <row r="14">
      <c r="A14" s="3">
        <v>7.0</v>
      </c>
      <c r="B14" s="3" t="s">
        <v>5040</v>
      </c>
      <c r="C14" s="4" t="s">
        <v>5013</v>
      </c>
      <c r="D14" s="3" t="s">
        <v>317</v>
      </c>
      <c r="H14" s="4">
        <v>13.0</v>
      </c>
      <c r="I14" s="4" t="s">
        <v>5154</v>
      </c>
      <c r="J14" s="4" t="s">
        <v>5028</v>
      </c>
      <c r="K14" s="4" t="s">
        <v>5014</v>
      </c>
      <c r="L14" s="4" t="str">
        <f>IFERROR(__xludf.DUMMYFUNCTION("""COMPUTED_VALUE"""),"Tegner")</f>
        <v>Tegner</v>
      </c>
    </row>
    <row r="15">
      <c r="A15" s="3">
        <v>7.0</v>
      </c>
      <c r="B15" s="3" t="s">
        <v>5040</v>
      </c>
      <c r="C15" s="4" t="s">
        <v>5014</v>
      </c>
      <c r="D15" s="3" t="s">
        <v>317</v>
      </c>
      <c r="H15" s="4">
        <v>14.0</v>
      </c>
      <c r="I15" s="4" t="s">
        <v>5154</v>
      </c>
      <c r="J15" s="4" t="s">
        <v>5028</v>
      </c>
      <c r="K15" s="4" t="s">
        <v>5014</v>
      </c>
      <c r="L15" s="4" t="str">
        <f>IFERROR(__xludf.DUMMYFUNCTION("""COMPUTED_VALUE"""),"Lysholm")</f>
        <v>Lysholm</v>
      </c>
    </row>
    <row r="16">
      <c r="A16" s="3">
        <v>8.0</v>
      </c>
      <c r="B16" s="3" t="s">
        <v>5046</v>
      </c>
      <c r="C16" s="4" t="s">
        <v>5013</v>
      </c>
      <c r="D16" s="3" t="s">
        <v>4375</v>
      </c>
      <c r="H16" s="4">
        <v>15.0</v>
      </c>
      <c r="I16" s="4" t="s">
        <v>5154</v>
      </c>
      <c r="J16" s="4" t="s">
        <v>5028</v>
      </c>
      <c r="K16" s="4" t="s">
        <v>5014</v>
      </c>
      <c r="L16" s="4" t="str">
        <f>IFERROR(__xludf.DUMMYFUNCTION("""COMPUTED_VALUE"""),"Lachman")</f>
        <v>Lachman</v>
      </c>
    </row>
    <row r="17">
      <c r="A17" s="3">
        <v>8.0</v>
      </c>
      <c r="B17" s="3" t="s">
        <v>5046</v>
      </c>
      <c r="C17" s="4" t="s">
        <v>5014</v>
      </c>
      <c r="D17" s="3" t="s">
        <v>4375</v>
      </c>
      <c r="H17" s="4">
        <v>16.0</v>
      </c>
      <c r="I17" s="4" t="s">
        <v>5154</v>
      </c>
      <c r="J17" s="4" t="s">
        <v>5028</v>
      </c>
      <c r="K17" s="4" t="s">
        <v>5014</v>
      </c>
      <c r="L17" s="4" t="str">
        <f>IFERROR(__xludf.DUMMYFUNCTION("""COMPUTED_VALUE"""),"instrumented_laxity")</f>
        <v>instrumented_laxity</v>
      </c>
    </row>
    <row r="18">
      <c r="A18" s="3">
        <v>9.0</v>
      </c>
      <c r="B18" s="3" t="s">
        <v>5049</v>
      </c>
      <c r="C18" s="4" t="s">
        <v>5013</v>
      </c>
      <c r="D18" s="3" t="s">
        <v>4378</v>
      </c>
      <c r="H18" s="4">
        <v>17.0</v>
      </c>
      <c r="I18" s="4" t="s">
        <v>5158</v>
      </c>
      <c r="J18" s="4" t="s">
        <v>5031</v>
      </c>
      <c r="K18" s="4" t="s">
        <v>5013</v>
      </c>
      <c r="L18" s="4" t="str">
        <f>IFERROR(__xludf.DUMMYFUNCTION("""COMPUTED_VALUE"""),"instrumented_laxity")</f>
        <v>instrumented_laxity</v>
      </c>
    </row>
    <row r="19">
      <c r="A19" s="3">
        <v>9.0</v>
      </c>
      <c r="B19" s="3" t="s">
        <v>5049</v>
      </c>
      <c r="C19" s="4" t="s">
        <v>5015</v>
      </c>
      <c r="D19" s="3" t="s">
        <v>4378</v>
      </c>
      <c r="H19" s="4">
        <v>18.0</v>
      </c>
      <c r="I19" s="4" t="s">
        <v>5158</v>
      </c>
      <c r="J19" s="4" t="s">
        <v>5031</v>
      </c>
      <c r="K19" s="4" t="s">
        <v>5014</v>
      </c>
      <c r="L19" s="4" t="str">
        <f>IFERROR(__xludf.DUMMYFUNCTION("""COMPUTED_VALUE"""),"instrumented_laxity")</f>
        <v>instrumented_laxity</v>
      </c>
    </row>
    <row r="20">
      <c r="A20" s="3">
        <v>10.0</v>
      </c>
      <c r="B20" s="3" t="s">
        <v>5052</v>
      </c>
      <c r="C20" s="4" t="s">
        <v>5013</v>
      </c>
      <c r="D20" s="3" t="s">
        <v>4379</v>
      </c>
      <c r="H20" s="4">
        <v>19.0</v>
      </c>
      <c r="I20" s="4" t="s">
        <v>5160</v>
      </c>
      <c r="J20" s="4" t="s">
        <v>5034</v>
      </c>
      <c r="K20" s="4" t="s">
        <v>5013</v>
      </c>
      <c r="L20" s="4" t="str">
        <f>IFERROR(__xludf.DUMMYFUNCTION("""COMPUTED_VALUE"""),"IKDC")</f>
        <v>IKDC</v>
      </c>
    </row>
    <row r="21">
      <c r="A21" s="3">
        <v>10.0</v>
      </c>
      <c r="B21" s="3" t="s">
        <v>5052</v>
      </c>
      <c r="C21" s="4" t="s">
        <v>5014</v>
      </c>
      <c r="D21" s="3" t="s">
        <v>4379</v>
      </c>
      <c r="H21" s="4">
        <v>20.0</v>
      </c>
      <c r="I21" s="4" t="s">
        <v>5160</v>
      </c>
      <c r="J21" s="4" t="s">
        <v>5034</v>
      </c>
      <c r="K21" s="4" t="s">
        <v>5013</v>
      </c>
      <c r="L21" s="4" t="str">
        <f>IFERROR(__xludf.DUMMYFUNCTION("""COMPUTED_VALUE"""),"instrumented_laxity")</f>
        <v>instrumented_laxity</v>
      </c>
    </row>
    <row r="22">
      <c r="A22" s="3">
        <v>11.0</v>
      </c>
      <c r="B22" s="3" t="s">
        <v>5055</v>
      </c>
      <c r="C22" s="4" t="s">
        <v>5014</v>
      </c>
      <c r="D22" s="3" t="s">
        <v>4382</v>
      </c>
      <c r="H22" s="4">
        <v>21.0</v>
      </c>
      <c r="I22" s="4" t="s">
        <v>5160</v>
      </c>
      <c r="J22" s="4" t="s">
        <v>5034</v>
      </c>
      <c r="K22" s="4" t="s">
        <v>5013</v>
      </c>
      <c r="L22" s="4" t="str">
        <f>IFERROR(__xludf.DUMMYFUNCTION("""COMPUTED_VALUE"""),"pivot_shift")</f>
        <v>pivot_shift</v>
      </c>
    </row>
    <row r="23">
      <c r="A23" s="3">
        <v>11.0</v>
      </c>
      <c r="B23" s="3" t="s">
        <v>5055</v>
      </c>
      <c r="C23" s="4" t="s">
        <v>5016</v>
      </c>
      <c r="D23" s="3" t="s">
        <v>4382</v>
      </c>
      <c r="H23" s="4">
        <v>22.0</v>
      </c>
      <c r="I23" s="4" t="s">
        <v>5160</v>
      </c>
      <c r="J23" s="4" t="s">
        <v>5034</v>
      </c>
      <c r="K23" s="4" t="s">
        <v>5014</v>
      </c>
      <c r="L23" s="4" t="str">
        <f>IFERROR(__xludf.DUMMYFUNCTION("""COMPUTED_VALUE"""),"IKDC")</f>
        <v>IKDC</v>
      </c>
    </row>
    <row r="24">
      <c r="A24" s="3">
        <v>12.0</v>
      </c>
      <c r="B24" s="3" t="s">
        <v>5058</v>
      </c>
      <c r="C24" s="4" t="s">
        <v>5013</v>
      </c>
      <c r="D24" s="3" t="s">
        <v>4383</v>
      </c>
      <c r="H24" s="4">
        <v>23.0</v>
      </c>
      <c r="I24" s="4" t="s">
        <v>5160</v>
      </c>
      <c r="J24" s="4" t="s">
        <v>5034</v>
      </c>
      <c r="K24" s="4" t="s">
        <v>5014</v>
      </c>
      <c r="L24" s="4" t="str">
        <f>IFERROR(__xludf.DUMMYFUNCTION("""COMPUTED_VALUE"""),"instrumented_laxity")</f>
        <v>instrumented_laxity</v>
      </c>
    </row>
    <row r="25">
      <c r="A25" s="3">
        <v>12.0</v>
      </c>
      <c r="B25" s="3" t="s">
        <v>5058</v>
      </c>
      <c r="C25" s="4" t="s">
        <v>5014</v>
      </c>
      <c r="D25" s="3" t="s">
        <v>4383</v>
      </c>
      <c r="H25" s="4">
        <v>24.0</v>
      </c>
      <c r="I25" s="4" t="s">
        <v>5160</v>
      </c>
      <c r="J25" s="4" t="s">
        <v>5034</v>
      </c>
      <c r="K25" s="4" t="s">
        <v>5014</v>
      </c>
      <c r="L25" s="4" t="str">
        <f>IFERROR(__xludf.DUMMYFUNCTION("""COMPUTED_VALUE"""),"pivot_shift")</f>
        <v>pivot_shift</v>
      </c>
    </row>
    <row r="26">
      <c r="A26" s="3">
        <v>13.0</v>
      </c>
      <c r="B26" s="3" t="s">
        <v>5061</v>
      </c>
      <c r="C26" s="4" t="s">
        <v>5014</v>
      </c>
      <c r="D26" s="145" t="s">
        <v>4387</v>
      </c>
      <c r="H26" s="4">
        <v>25.0</v>
      </c>
      <c r="I26" s="4" t="s">
        <v>5161</v>
      </c>
      <c r="J26" s="4" t="s">
        <v>5038</v>
      </c>
      <c r="K26" s="4" t="s">
        <v>5013</v>
      </c>
      <c r="L26" s="4" t="str">
        <f>IFERROR(__xludf.DUMMYFUNCTION("""COMPUTED_VALUE"""),"Graft rupture")</f>
        <v>Graft rupture</v>
      </c>
    </row>
    <row r="27">
      <c r="A27" s="3">
        <v>13.0</v>
      </c>
      <c r="B27" s="3" t="s">
        <v>5061</v>
      </c>
      <c r="C27" s="4" t="s">
        <v>5018</v>
      </c>
      <c r="D27" s="145" t="s">
        <v>4387</v>
      </c>
      <c r="H27" s="4">
        <v>26.0</v>
      </c>
      <c r="I27" s="4" t="s">
        <v>5161</v>
      </c>
      <c r="J27" s="4" t="s">
        <v>5038</v>
      </c>
      <c r="K27" s="4" t="s">
        <v>5014</v>
      </c>
      <c r="L27" s="4" t="str">
        <f>IFERROR(__xludf.DUMMYFUNCTION("""COMPUTED_VALUE"""),"Graft rupture")</f>
        <v>Graft rupture</v>
      </c>
    </row>
    <row r="28">
      <c r="A28" s="3">
        <v>14.0</v>
      </c>
      <c r="B28" s="3" t="s">
        <v>5066</v>
      </c>
      <c r="C28" s="4" t="s">
        <v>5013</v>
      </c>
      <c r="D28" s="3" t="s">
        <v>317</v>
      </c>
      <c r="H28" s="4">
        <v>27.0</v>
      </c>
      <c r="I28" s="4" t="s">
        <v>5162</v>
      </c>
      <c r="J28" s="4" t="s">
        <v>5040</v>
      </c>
      <c r="K28" s="4" t="s">
        <v>5013</v>
      </c>
      <c r="L28" s="4" t="str">
        <f>IFERROR(__xludf.DUMMYFUNCTION("""COMPUTED_VALUE"""),"instrumented_laxity")</f>
        <v>instrumented_laxity</v>
      </c>
    </row>
    <row r="29">
      <c r="A29" s="3">
        <v>14.0</v>
      </c>
      <c r="B29" s="3" t="s">
        <v>5066</v>
      </c>
      <c r="C29" s="4" t="s">
        <v>5014</v>
      </c>
      <c r="D29" s="3" t="s">
        <v>317</v>
      </c>
      <c r="H29" s="4">
        <v>28.0</v>
      </c>
      <c r="I29" s="4" t="s">
        <v>5162</v>
      </c>
      <c r="J29" s="4" t="s">
        <v>5040</v>
      </c>
      <c r="K29" s="4" t="s">
        <v>5014</v>
      </c>
      <c r="L29" s="4" t="str">
        <f>IFERROR(__xludf.DUMMYFUNCTION("""COMPUTED_VALUE"""),"instrumented_laxity")</f>
        <v>instrumented_laxity</v>
      </c>
    </row>
    <row r="30">
      <c r="A30" s="3">
        <v>15.0</v>
      </c>
      <c r="B30" s="3" t="s">
        <v>5072</v>
      </c>
      <c r="C30" s="4" t="s">
        <v>5014</v>
      </c>
      <c r="D30" s="3" t="s">
        <v>4390</v>
      </c>
      <c r="H30" s="4">
        <v>29.0</v>
      </c>
      <c r="I30" s="4" t="s">
        <v>5164</v>
      </c>
      <c r="J30" s="4" t="s">
        <v>5046</v>
      </c>
      <c r="K30" s="4" t="s">
        <v>5013</v>
      </c>
      <c r="L30" s="4" t="str">
        <f>IFERROR(__xludf.DUMMYFUNCTION("""COMPUTED_VALUE"""),"IKDC")</f>
        <v>IKDC</v>
      </c>
    </row>
    <row r="31">
      <c r="A31" s="3">
        <v>15.0</v>
      </c>
      <c r="B31" s="3" t="s">
        <v>5072</v>
      </c>
      <c r="C31" s="4" t="s">
        <v>5016</v>
      </c>
      <c r="D31" s="3" t="s">
        <v>4390</v>
      </c>
      <c r="H31" s="4">
        <v>30.0</v>
      </c>
      <c r="I31" s="4" t="s">
        <v>5164</v>
      </c>
      <c r="J31" s="4" t="s">
        <v>5046</v>
      </c>
      <c r="K31" s="4" t="s">
        <v>5013</v>
      </c>
      <c r="L31" s="4" t="str">
        <f>IFERROR(__xludf.DUMMYFUNCTION("""COMPUTED_VALUE"""),"Lysholm")</f>
        <v>Lysholm</v>
      </c>
    </row>
    <row r="32">
      <c r="A32" s="3">
        <v>16.0</v>
      </c>
      <c r="B32" s="3" t="s">
        <v>5075</v>
      </c>
      <c r="C32" s="4" t="s">
        <v>5014</v>
      </c>
      <c r="D32" s="3" t="s">
        <v>4392</v>
      </c>
      <c r="H32" s="4">
        <v>31.0</v>
      </c>
      <c r="I32" s="4" t="s">
        <v>5164</v>
      </c>
      <c r="J32" s="4" t="s">
        <v>5046</v>
      </c>
      <c r="K32" s="4" t="s">
        <v>5013</v>
      </c>
      <c r="L32" s="4" t="str">
        <f>IFERROR(__xludf.DUMMYFUNCTION("""COMPUTED_VALUE"""),"Lachman")</f>
        <v>Lachman</v>
      </c>
    </row>
    <row r="33">
      <c r="A33" s="3">
        <v>16.0</v>
      </c>
      <c r="B33" s="3" t="s">
        <v>5075</v>
      </c>
      <c r="C33" s="4" t="s">
        <v>5015</v>
      </c>
      <c r="D33" s="3" t="s">
        <v>4392</v>
      </c>
      <c r="H33" s="4">
        <v>32.0</v>
      </c>
      <c r="I33" s="4" t="s">
        <v>5164</v>
      </c>
      <c r="J33" s="4" t="s">
        <v>5046</v>
      </c>
      <c r="K33" s="4" t="s">
        <v>5013</v>
      </c>
      <c r="L33" s="4" t="str">
        <f>IFERROR(__xludf.DUMMYFUNCTION("""COMPUTED_VALUE"""),"pivot_shift")</f>
        <v>pivot_shift</v>
      </c>
    </row>
    <row r="34">
      <c r="A34" s="3">
        <v>17.0</v>
      </c>
      <c r="B34" s="3" t="s">
        <v>5085</v>
      </c>
      <c r="C34" s="4" t="s">
        <v>5014</v>
      </c>
      <c r="D34" s="145" t="s">
        <v>4370</v>
      </c>
      <c r="H34" s="4">
        <v>33.0</v>
      </c>
      <c r="I34" s="4" t="s">
        <v>5164</v>
      </c>
      <c r="J34" s="4" t="s">
        <v>5046</v>
      </c>
      <c r="K34" s="4" t="s">
        <v>5013</v>
      </c>
      <c r="L34" s="4" t="str">
        <f>IFERROR(__xludf.DUMMYFUNCTION("""COMPUTED_VALUE"""),"instrumented_laxity")</f>
        <v>instrumented_laxity</v>
      </c>
    </row>
    <row r="35">
      <c r="A35" s="3">
        <v>17.0</v>
      </c>
      <c r="B35" s="3" t="s">
        <v>5085</v>
      </c>
      <c r="C35" s="4" t="s">
        <v>5018</v>
      </c>
      <c r="D35" s="145" t="s">
        <v>4370</v>
      </c>
      <c r="H35" s="4">
        <v>34.0</v>
      </c>
      <c r="I35" s="4" t="s">
        <v>5164</v>
      </c>
      <c r="J35" s="4" t="s">
        <v>5046</v>
      </c>
      <c r="K35" s="4" t="s">
        <v>5014</v>
      </c>
      <c r="L35" s="4" t="str">
        <f>IFERROR(__xludf.DUMMYFUNCTION("""COMPUTED_VALUE"""),"IKDC")</f>
        <v>IKDC</v>
      </c>
    </row>
    <row r="36">
      <c r="A36" s="3">
        <v>18.0</v>
      </c>
      <c r="B36" s="3" t="s">
        <v>5089</v>
      </c>
      <c r="C36" s="4" t="s">
        <v>5013</v>
      </c>
      <c r="D36" s="3" t="s">
        <v>4394</v>
      </c>
      <c r="H36" s="4">
        <v>35.0</v>
      </c>
      <c r="I36" s="4" t="s">
        <v>5164</v>
      </c>
      <c r="J36" s="4" t="s">
        <v>5046</v>
      </c>
      <c r="K36" s="4" t="s">
        <v>5014</v>
      </c>
      <c r="L36" s="4" t="str">
        <f>IFERROR(__xludf.DUMMYFUNCTION("""COMPUTED_VALUE"""),"Lysholm")</f>
        <v>Lysholm</v>
      </c>
    </row>
    <row r="37">
      <c r="A37" s="3">
        <v>18.0</v>
      </c>
      <c r="B37" s="3" t="s">
        <v>5089</v>
      </c>
      <c r="C37" s="4" t="s">
        <v>5014</v>
      </c>
      <c r="D37" s="3" t="s">
        <v>4394</v>
      </c>
      <c r="H37" s="4">
        <v>36.0</v>
      </c>
      <c r="I37" s="4" t="s">
        <v>5164</v>
      </c>
      <c r="J37" s="4" t="s">
        <v>5046</v>
      </c>
      <c r="K37" s="4" t="s">
        <v>5014</v>
      </c>
      <c r="L37" s="4" t="str">
        <f>IFERROR(__xludf.DUMMYFUNCTION("""COMPUTED_VALUE"""),"Lachman")</f>
        <v>Lachman</v>
      </c>
    </row>
    <row r="38">
      <c r="A38" s="3">
        <v>19.0</v>
      </c>
      <c r="B38" s="3" t="s">
        <v>5095</v>
      </c>
      <c r="C38" s="4" t="s">
        <v>5013</v>
      </c>
      <c r="D38" s="3" t="s">
        <v>339</v>
      </c>
      <c r="H38" s="4">
        <v>37.0</v>
      </c>
      <c r="I38" s="4" t="s">
        <v>5164</v>
      </c>
      <c r="J38" s="4" t="s">
        <v>5046</v>
      </c>
      <c r="K38" s="4" t="s">
        <v>5014</v>
      </c>
      <c r="L38" s="4" t="str">
        <f>IFERROR(__xludf.DUMMYFUNCTION("""COMPUTED_VALUE"""),"pivot_shift")</f>
        <v>pivot_shift</v>
      </c>
    </row>
    <row r="39">
      <c r="A39" s="3">
        <v>19.0</v>
      </c>
      <c r="B39" s="3" t="s">
        <v>5095</v>
      </c>
      <c r="C39" s="4" t="s">
        <v>5014</v>
      </c>
      <c r="D39" s="3" t="s">
        <v>339</v>
      </c>
      <c r="H39" s="4">
        <v>38.0</v>
      </c>
      <c r="I39" s="4" t="s">
        <v>5164</v>
      </c>
      <c r="J39" s="4" t="s">
        <v>5046</v>
      </c>
      <c r="K39" s="4" t="s">
        <v>5014</v>
      </c>
      <c r="L39" s="4" t="str">
        <f>IFERROR(__xludf.DUMMYFUNCTION("""COMPUTED_VALUE"""),"instrumented_laxity")</f>
        <v>instrumented_laxity</v>
      </c>
    </row>
    <row r="40">
      <c r="A40" s="3">
        <v>20.0</v>
      </c>
      <c r="B40" s="3" t="s">
        <v>5098</v>
      </c>
      <c r="C40" s="4" t="s">
        <v>5013</v>
      </c>
      <c r="D40" s="3" t="s">
        <v>4398</v>
      </c>
      <c r="H40" s="4">
        <v>39.0</v>
      </c>
      <c r="I40" s="4" t="s">
        <v>5167</v>
      </c>
      <c r="J40" s="4" t="s">
        <v>5049</v>
      </c>
      <c r="K40" s="4" t="s">
        <v>5013</v>
      </c>
      <c r="L40" s="4" t="str">
        <f>IFERROR(__xludf.DUMMYFUNCTION("""COMPUTED_VALUE"""),"IKDC")</f>
        <v>IKDC</v>
      </c>
    </row>
    <row r="41">
      <c r="A41" s="3">
        <v>20.0</v>
      </c>
      <c r="B41" s="3" t="s">
        <v>5098</v>
      </c>
      <c r="C41" s="4" t="s">
        <v>5014</v>
      </c>
      <c r="D41" s="3" t="s">
        <v>4398</v>
      </c>
      <c r="H41" s="4">
        <v>40.0</v>
      </c>
      <c r="I41" s="4" t="s">
        <v>5167</v>
      </c>
      <c r="J41" s="4" t="s">
        <v>5049</v>
      </c>
      <c r="K41" s="4" t="s">
        <v>5013</v>
      </c>
      <c r="L41" s="4" t="str">
        <f>IFERROR(__xludf.DUMMYFUNCTION("""COMPUTED_VALUE"""),"Lysholm")</f>
        <v>Lysholm</v>
      </c>
    </row>
    <row r="42">
      <c r="A42" s="3">
        <v>21.0</v>
      </c>
      <c r="B42" s="3" t="s">
        <v>5103</v>
      </c>
      <c r="C42" s="4" t="s">
        <v>5013</v>
      </c>
      <c r="D42" s="3" t="s">
        <v>317</v>
      </c>
      <c r="H42" s="4">
        <v>41.0</v>
      </c>
      <c r="I42" s="4" t="s">
        <v>5167</v>
      </c>
      <c r="J42" s="4" t="s">
        <v>5049</v>
      </c>
      <c r="K42" s="4" t="s">
        <v>5013</v>
      </c>
      <c r="L42" s="4" t="str">
        <f>IFERROR(__xludf.DUMMYFUNCTION("""COMPUTED_VALUE"""),"Tegner")</f>
        <v>Tegner</v>
      </c>
    </row>
    <row r="43">
      <c r="A43" s="3">
        <v>21.0</v>
      </c>
      <c r="B43" s="3" t="s">
        <v>5103</v>
      </c>
      <c r="C43" s="4" t="s">
        <v>5014</v>
      </c>
      <c r="D43" s="3" t="s">
        <v>317</v>
      </c>
      <c r="H43" s="4">
        <v>42.0</v>
      </c>
      <c r="I43" s="4" t="s">
        <v>5167</v>
      </c>
      <c r="J43" s="4" t="s">
        <v>5049</v>
      </c>
      <c r="K43" s="4" t="s">
        <v>5013</v>
      </c>
      <c r="L43" s="4" t="str">
        <f>IFERROR(__xludf.DUMMYFUNCTION("""COMPUTED_VALUE"""),"instrumented_laxity")</f>
        <v>instrumented_laxity</v>
      </c>
    </row>
    <row r="44">
      <c r="A44" s="3">
        <v>22.0</v>
      </c>
      <c r="B44" s="3" t="s">
        <v>5109</v>
      </c>
      <c r="C44" s="4" t="s">
        <v>5013</v>
      </c>
      <c r="D44" s="3" t="s">
        <v>4394</v>
      </c>
      <c r="H44" s="4">
        <v>43.0</v>
      </c>
      <c r="I44" s="4" t="s">
        <v>5167</v>
      </c>
      <c r="J44" s="4" t="s">
        <v>5049</v>
      </c>
      <c r="K44" s="4" t="s">
        <v>5013</v>
      </c>
      <c r="L44" s="4" t="str">
        <f>IFERROR(__xludf.DUMMYFUNCTION("""COMPUTED_VALUE"""),"Graft rupture")</f>
        <v>Graft rupture</v>
      </c>
    </row>
    <row r="45">
      <c r="A45" s="3">
        <v>22.0</v>
      </c>
      <c r="B45" s="3" t="s">
        <v>5109</v>
      </c>
      <c r="C45" s="4" t="s">
        <v>5014</v>
      </c>
      <c r="D45" s="3" t="s">
        <v>4394</v>
      </c>
      <c r="H45" s="4">
        <v>44.0</v>
      </c>
      <c r="I45" s="4" t="s">
        <v>5167</v>
      </c>
      <c r="J45" s="4" t="s">
        <v>5049</v>
      </c>
      <c r="K45" s="4" t="s">
        <v>5015</v>
      </c>
      <c r="L45" s="4" t="str">
        <f>IFERROR(__xludf.DUMMYFUNCTION("""COMPUTED_VALUE"""),"IKDC")</f>
        <v>IKDC</v>
      </c>
    </row>
    <row r="46">
      <c r="A46" s="3">
        <v>23.0</v>
      </c>
      <c r="B46" s="3" t="s">
        <v>5116</v>
      </c>
      <c r="C46" s="4" t="s">
        <v>5013</v>
      </c>
      <c r="D46" s="3" t="s">
        <v>4416</v>
      </c>
      <c r="H46" s="4">
        <v>45.0</v>
      </c>
      <c r="I46" s="4" t="s">
        <v>5167</v>
      </c>
      <c r="J46" s="4" t="s">
        <v>5049</v>
      </c>
      <c r="K46" s="4" t="s">
        <v>5015</v>
      </c>
      <c r="L46" s="4" t="str">
        <f>IFERROR(__xludf.DUMMYFUNCTION("""COMPUTED_VALUE"""),"Lysholm")</f>
        <v>Lysholm</v>
      </c>
    </row>
    <row r="47">
      <c r="A47" s="3">
        <v>23.0</v>
      </c>
      <c r="B47" s="3" t="s">
        <v>5116</v>
      </c>
      <c r="C47" s="4" t="s">
        <v>5014</v>
      </c>
      <c r="D47" s="3" t="s">
        <v>4416</v>
      </c>
      <c r="H47" s="4">
        <v>46.0</v>
      </c>
      <c r="I47" s="4" t="s">
        <v>5167</v>
      </c>
      <c r="J47" s="4" t="s">
        <v>5049</v>
      </c>
      <c r="K47" s="4" t="s">
        <v>5015</v>
      </c>
      <c r="L47" s="4" t="str">
        <f>IFERROR(__xludf.DUMMYFUNCTION("""COMPUTED_VALUE"""),"Tegner")</f>
        <v>Tegner</v>
      </c>
    </row>
    <row r="48">
      <c r="A48" s="3">
        <v>24.0</v>
      </c>
      <c r="B48" s="3" t="s">
        <v>5119</v>
      </c>
      <c r="C48" s="4" t="s">
        <v>5013</v>
      </c>
      <c r="D48" s="3" t="s">
        <v>4401</v>
      </c>
      <c r="H48" s="4">
        <v>47.0</v>
      </c>
      <c r="I48" s="4" t="s">
        <v>5167</v>
      </c>
      <c r="J48" s="4" t="s">
        <v>5049</v>
      </c>
      <c r="K48" s="4" t="s">
        <v>5015</v>
      </c>
      <c r="L48" s="4" t="str">
        <f>IFERROR(__xludf.DUMMYFUNCTION("""COMPUTED_VALUE"""),"instrumented_laxity")</f>
        <v>instrumented_laxity</v>
      </c>
    </row>
    <row r="49">
      <c r="A49" s="3">
        <v>24.0</v>
      </c>
      <c r="B49" s="3" t="s">
        <v>5119</v>
      </c>
      <c r="C49" s="4" t="s">
        <v>5014</v>
      </c>
      <c r="D49" s="3" t="s">
        <v>4401</v>
      </c>
      <c r="H49" s="4">
        <v>48.0</v>
      </c>
      <c r="I49" s="4" t="s">
        <v>5167</v>
      </c>
      <c r="J49" s="4" t="s">
        <v>5049</v>
      </c>
      <c r="K49" s="4" t="s">
        <v>5015</v>
      </c>
      <c r="L49" s="4" t="str">
        <f>IFERROR(__xludf.DUMMYFUNCTION("""COMPUTED_VALUE"""),"Graft rupture")</f>
        <v>Graft rupture</v>
      </c>
    </row>
    <row r="50">
      <c r="A50" s="3">
        <v>25.0</v>
      </c>
      <c r="B50" s="3" t="s">
        <v>5123</v>
      </c>
      <c r="C50" s="4" t="s">
        <v>5013</v>
      </c>
      <c r="D50" s="3" t="s">
        <v>4402</v>
      </c>
      <c r="H50" s="4">
        <v>49.0</v>
      </c>
      <c r="I50" s="4" t="s">
        <v>5171</v>
      </c>
      <c r="J50" s="4" t="s">
        <v>5052</v>
      </c>
      <c r="K50" s="4" t="s">
        <v>5013</v>
      </c>
      <c r="L50" s="4" t="str">
        <f>IFERROR(__xludf.DUMMYFUNCTION("""COMPUTED_VALUE"""),"IKDC")</f>
        <v>IKDC</v>
      </c>
    </row>
    <row r="51">
      <c r="A51" s="3">
        <v>25.0</v>
      </c>
      <c r="B51" s="3" t="s">
        <v>5123</v>
      </c>
      <c r="C51" s="4" t="s">
        <v>5014</v>
      </c>
      <c r="D51" s="3" t="s">
        <v>4402</v>
      </c>
      <c r="H51" s="4">
        <v>50.0</v>
      </c>
      <c r="I51" s="4" t="s">
        <v>5171</v>
      </c>
      <c r="J51" s="4" t="s">
        <v>5052</v>
      </c>
      <c r="K51" s="4" t="s">
        <v>5013</v>
      </c>
      <c r="L51" s="4" t="str">
        <f>IFERROR(__xludf.DUMMYFUNCTION("""COMPUTED_VALUE"""),"Tegner")</f>
        <v>Tegner</v>
      </c>
    </row>
    <row r="52">
      <c r="A52" s="3">
        <v>26.0</v>
      </c>
      <c r="B52" s="3" t="s">
        <v>5126</v>
      </c>
      <c r="C52" s="4" t="s">
        <v>5013</v>
      </c>
      <c r="D52" s="3" t="s">
        <v>4403</v>
      </c>
      <c r="H52" s="4">
        <v>51.0</v>
      </c>
      <c r="I52" s="4" t="s">
        <v>5171</v>
      </c>
      <c r="J52" s="4" t="s">
        <v>5052</v>
      </c>
      <c r="K52" s="4" t="s">
        <v>5013</v>
      </c>
      <c r="L52" s="4" t="str">
        <f>IFERROR(__xludf.DUMMYFUNCTION("""COMPUTED_VALUE"""),"instrumented_laxity")</f>
        <v>instrumented_laxity</v>
      </c>
    </row>
    <row r="53">
      <c r="A53" s="3">
        <v>26.0</v>
      </c>
      <c r="B53" s="3" t="s">
        <v>5126</v>
      </c>
      <c r="C53" s="4" t="s">
        <v>5014</v>
      </c>
      <c r="D53" s="3" t="s">
        <v>4403</v>
      </c>
      <c r="H53" s="4">
        <v>52.0</v>
      </c>
      <c r="I53" s="4" t="s">
        <v>5171</v>
      </c>
      <c r="J53" s="4" t="s">
        <v>5052</v>
      </c>
      <c r="K53" s="4" t="s">
        <v>5013</v>
      </c>
      <c r="L53" s="4" t="str">
        <f>IFERROR(__xludf.DUMMYFUNCTION("""COMPUTED_VALUE"""),"pivot_shift")</f>
        <v>pivot_shift</v>
      </c>
    </row>
    <row r="54">
      <c r="A54" s="3">
        <v>27.0</v>
      </c>
      <c r="B54" s="3" t="s">
        <v>5129</v>
      </c>
      <c r="C54" s="4" t="s">
        <v>5013</v>
      </c>
      <c r="D54" s="3" t="s">
        <v>4404</v>
      </c>
      <c r="H54" s="4">
        <v>53.0</v>
      </c>
      <c r="I54" s="4" t="s">
        <v>5171</v>
      </c>
      <c r="J54" s="4" t="s">
        <v>5052</v>
      </c>
      <c r="K54" s="4" t="s">
        <v>5013</v>
      </c>
      <c r="L54" s="4" t="str">
        <f>IFERROR(__xludf.DUMMYFUNCTION("""COMPUTED_VALUE"""),"Lachman")</f>
        <v>Lachman</v>
      </c>
    </row>
    <row r="55">
      <c r="A55" s="3">
        <v>27.0</v>
      </c>
      <c r="B55" s="3" t="s">
        <v>5129</v>
      </c>
      <c r="C55" s="4" t="s">
        <v>5014</v>
      </c>
      <c r="D55" s="3" t="s">
        <v>4404</v>
      </c>
      <c r="H55" s="4">
        <v>54.0</v>
      </c>
      <c r="I55" s="4" t="s">
        <v>5171</v>
      </c>
      <c r="J55" s="4" t="s">
        <v>5052</v>
      </c>
      <c r="K55" s="4" t="s">
        <v>5014</v>
      </c>
      <c r="L55" s="4" t="str">
        <f>IFERROR(__xludf.DUMMYFUNCTION("""COMPUTED_VALUE"""),"IKDC")</f>
        <v>IKDC</v>
      </c>
    </row>
    <row r="56">
      <c r="A56" s="3">
        <v>28.0</v>
      </c>
      <c r="B56" s="3" t="s">
        <v>5134</v>
      </c>
      <c r="C56" s="4" t="s">
        <v>5014</v>
      </c>
      <c r="D56" s="3" t="s">
        <v>4406</v>
      </c>
      <c r="H56" s="4">
        <v>55.0</v>
      </c>
      <c r="I56" s="4" t="s">
        <v>5171</v>
      </c>
      <c r="J56" s="4" t="s">
        <v>5052</v>
      </c>
      <c r="K56" s="4" t="s">
        <v>5014</v>
      </c>
      <c r="L56" s="4" t="str">
        <f>IFERROR(__xludf.DUMMYFUNCTION("""COMPUTED_VALUE"""),"Tegner")</f>
        <v>Tegner</v>
      </c>
    </row>
    <row r="57">
      <c r="A57" s="3">
        <v>28.0</v>
      </c>
      <c r="B57" s="3" t="s">
        <v>5134</v>
      </c>
      <c r="C57" s="4" t="s">
        <v>5015</v>
      </c>
      <c r="D57" s="3" t="s">
        <v>4406</v>
      </c>
      <c r="H57" s="4">
        <v>56.0</v>
      </c>
      <c r="I57" s="4" t="s">
        <v>5171</v>
      </c>
      <c r="J57" s="4" t="s">
        <v>5052</v>
      </c>
      <c r="K57" s="4" t="s">
        <v>5014</v>
      </c>
      <c r="L57" s="4" t="str">
        <f>IFERROR(__xludf.DUMMYFUNCTION("""COMPUTED_VALUE"""),"instrumented_laxity")</f>
        <v>instrumented_laxity</v>
      </c>
    </row>
    <row r="58">
      <c r="A58" s="3">
        <v>29.0</v>
      </c>
      <c r="B58" s="3" t="s">
        <v>5137</v>
      </c>
      <c r="C58" s="4" t="s">
        <v>5013</v>
      </c>
      <c r="D58" s="3" t="s">
        <v>4407</v>
      </c>
      <c r="H58" s="4">
        <v>57.0</v>
      </c>
      <c r="I58" s="4" t="s">
        <v>5171</v>
      </c>
      <c r="J58" s="4" t="s">
        <v>5052</v>
      </c>
      <c r="K58" s="4" t="s">
        <v>5014</v>
      </c>
      <c r="L58" s="4" t="str">
        <f>IFERROR(__xludf.DUMMYFUNCTION("""COMPUTED_VALUE"""),"pivot_shift")</f>
        <v>pivot_shift</v>
      </c>
    </row>
    <row r="59">
      <c r="A59" s="3">
        <v>29.0</v>
      </c>
      <c r="B59" s="3" t="s">
        <v>5137</v>
      </c>
      <c r="C59" s="4" t="s">
        <v>5014</v>
      </c>
      <c r="D59" s="3" t="s">
        <v>4407</v>
      </c>
      <c r="H59" s="4">
        <v>58.0</v>
      </c>
      <c r="I59" s="4" t="s">
        <v>5171</v>
      </c>
      <c r="J59" s="4" t="s">
        <v>5052</v>
      </c>
      <c r="K59" s="4" t="s">
        <v>5014</v>
      </c>
      <c r="L59" s="4" t="str">
        <f>IFERROR(__xludf.DUMMYFUNCTION("""COMPUTED_VALUE"""),"Lachman")</f>
        <v>Lachman</v>
      </c>
    </row>
    <row r="60">
      <c r="A60" s="3">
        <v>30.0</v>
      </c>
      <c r="B60" s="3" t="s">
        <v>5140</v>
      </c>
      <c r="C60" s="4" t="s">
        <v>5013</v>
      </c>
      <c r="D60" s="3" t="s">
        <v>4401</v>
      </c>
      <c r="H60" s="4">
        <v>59.0</v>
      </c>
      <c r="I60" s="4" t="s">
        <v>5173</v>
      </c>
      <c r="J60" s="4" t="s">
        <v>5055</v>
      </c>
      <c r="K60" s="4" t="s">
        <v>5014</v>
      </c>
      <c r="L60" s="4" t="str">
        <f>IFERROR(__xludf.DUMMYFUNCTION("""COMPUTED_VALUE"""),"IKDC")</f>
        <v>IKDC</v>
      </c>
    </row>
    <row r="61">
      <c r="A61" s="3">
        <v>30.0</v>
      </c>
      <c r="B61" s="3" t="s">
        <v>5140</v>
      </c>
      <c r="C61" s="4" t="s">
        <v>5014</v>
      </c>
      <c r="D61" s="3" t="s">
        <v>4401</v>
      </c>
      <c r="H61" s="4">
        <v>60.0</v>
      </c>
      <c r="I61" s="4" t="s">
        <v>5173</v>
      </c>
      <c r="J61" s="4" t="s">
        <v>5055</v>
      </c>
      <c r="K61" s="4" t="s">
        <v>5014</v>
      </c>
      <c r="L61" s="4" t="str">
        <f>IFERROR(__xludf.DUMMYFUNCTION("""COMPUTED_VALUE"""),"instrumented_laxity")</f>
        <v>instrumented_laxity</v>
      </c>
    </row>
    <row r="62">
      <c r="A62" s="3">
        <v>31.0</v>
      </c>
      <c r="B62" s="3" t="s">
        <v>5152</v>
      </c>
      <c r="C62" s="4" t="s">
        <v>5013</v>
      </c>
      <c r="D62" s="3" t="s">
        <v>4410</v>
      </c>
      <c r="H62" s="4">
        <v>61.0</v>
      </c>
      <c r="I62" s="4" t="s">
        <v>5173</v>
      </c>
      <c r="J62" s="4" t="s">
        <v>5055</v>
      </c>
      <c r="K62" s="4" t="s">
        <v>5014</v>
      </c>
      <c r="L62" s="4" t="str">
        <f>IFERROR(__xludf.DUMMYFUNCTION("""COMPUTED_VALUE"""),"pivot_shift")</f>
        <v>pivot_shift</v>
      </c>
    </row>
    <row r="63">
      <c r="A63" s="3">
        <v>31.0</v>
      </c>
      <c r="B63" s="3" t="s">
        <v>5152</v>
      </c>
      <c r="C63" s="4" t="s">
        <v>5014</v>
      </c>
      <c r="D63" s="3" t="s">
        <v>4410</v>
      </c>
      <c r="H63" s="4">
        <v>62.0</v>
      </c>
      <c r="I63" s="4" t="s">
        <v>5173</v>
      </c>
      <c r="J63" s="4" t="s">
        <v>5055</v>
      </c>
      <c r="K63" s="4" t="s">
        <v>5014</v>
      </c>
      <c r="L63" s="4" t="str">
        <f>IFERROR(__xludf.DUMMYFUNCTION("""COMPUTED_VALUE"""),"Graft rupture")</f>
        <v>Graft rupture</v>
      </c>
    </row>
    <row r="64">
      <c r="A64" s="3">
        <v>32.0</v>
      </c>
      <c r="B64" s="3" t="s">
        <v>5163</v>
      </c>
      <c r="C64" s="4" t="s">
        <v>5013</v>
      </c>
      <c r="D64" s="3" t="s">
        <v>4412</v>
      </c>
      <c r="H64" s="4">
        <v>63.0</v>
      </c>
      <c r="I64" s="4" t="s">
        <v>5173</v>
      </c>
      <c r="J64" s="4" t="s">
        <v>5055</v>
      </c>
      <c r="K64" s="4" t="s">
        <v>5016</v>
      </c>
      <c r="L64" s="4" t="str">
        <f>IFERROR(__xludf.DUMMYFUNCTION("""COMPUTED_VALUE"""),"IKDC")</f>
        <v>IKDC</v>
      </c>
    </row>
    <row r="65">
      <c r="A65" s="3">
        <v>32.0</v>
      </c>
      <c r="B65" s="3" t="s">
        <v>5163</v>
      </c>
      <c r="C65" s="4" t="s">
        <v>5014</v>
      </c>
      <c r="D65" s="3" t="s">
        <v>4412</v>
      </c>
      <c r="H65" s="4">
        <v>64.0</v>
      </c>
      <c r="I65" s="4" t="s">
        <v>5173</v>
      </c>
      <c r="J65" s="4" t="s">
        <v>5055</v>
      </c>
      <c r="K65" s="4" t="s">
        <v>5016</v>
      </c>
      <c r="L65" s="4" t="str">
        <f>IFERROR(__xludf.DUMMYFUNCTION("""COMPUTED_VALUE"""),"instrumented_laxity")</f>
        <v>instrumented_laxity</v>
      </c>
    </row>
    <row r="66">
      <c r="A66" s="3">
        <v>33.0</v>
      </c>
      <c r="B66" s="3" t="s">
        <v>5169</v>
      </c>
      <c r="C66" s="4" t="s">
        <v>5013</v>
      </c>
      <c r="D66" s="145" t="s">
        <v>4413</v>
      </c>
      <c r="H66" s="4">
        <v>65.0</v>
      </c>
      <c r="I66" s="4" t="s">
        <v>5173</v>
      </c>
      <c r="J66" s="4" t="s">
        <v>5055</v>
      </c>
      <c r="K66" s="4" t="s">
        <v>5016</v>
      </c>
      <c r="L66" s="4" t="str">
        <f>IFERROR(__xludf.DUMMYFUNCTION("""COMPUTED_VALUE"""),"pivot_shift")</f>
        <v>pivot_shift</v>
      </c>
    </row>
    <row r="67">
      <c r="A67" s="3">
        <v>33.0</v>
      </c>
      <c r="B67" s="3" t="s">
        <v>5169</v>
      </c>
      <c r="C67" s="4" t="s">
        <v>5015</v>
      </c>
      <c r="D67" s="145" t="s">
        <v>4413</v>
      </c>
      <c r="H67" s="4">
        <v>66.0</v>
      </c>
      <c r="I67" s="4" t="s">
        <v>5173</v>
      </c>
      <c r="J67" s="4" t="s">
        <v>5055</v>
      </c>
      <c r="K67" s="4" t="s">
        <v>5016</v>
      </c>
      <c r="L67" s="4" t="str">
        <f>IFERROR(__xludf.DUMMYFUNCTION("""COMPUTED_VALUE"""),"Graft rupture")</f>
        <v>Graft rupture</v>
      </c>
    </row>
    <row r="68">
      <c r="A68" s="3">
        <v>34.0</v>
      </c>
      <c r="B68" s="3" t="s">
        <v>5174</v>
      </c>
      <c r="C68" s="4" t="s">
        <v>5013</v>
      </c>
      <c r="D68" s="3" t="s">
        <v>4414</v>
      </c>
      <c r="H68" s="4">
        <v>67.0</v>
      </c>
      <c r="I68" s="4" t="s">
        <v>5177</v>
      </c>
      <c r="J68" s="4" t="s">
        <v>5058</v>
      </c>
      <c r="K68" s="4" t="s">
        <v>5013</v>
      </c>
      <c r="L68" s="4" t="str">
        <f>IFERROR(__xludf.DUMMYFUNCTION("""COMPUTED_VALUE"""),"instrumented_laxity")</f>
        <v>instrumented_laxity</v>
      </c>
    </row>
    <row r="69">
      <c r="A69" s="3">
        <v>34.0</v>
      </c>
      <c r="B69" s="3" t="s">
        <v>5174</v>
      </c>
      <c r="C69" s="4" t="s">
        <v>5014</v>
      </c>
      <c r="D69" s="3" t="s">
        <v>4414</v>
      </c>
      <c r="H69" s="4">
        <v>68.0</v>
      </c>
      <c r="I69" s="4" t="s">
        <v>5177</v>
      </c>
      <c r="J69" s="4" t="s">
        <v>5058</v>
      </c>
      <c r="K69" s="4" t="s">
        <v>5013</v>
      </c>
      <c r="L69" s="4" t="str">
        <f>IFERROR(__xludf.DUMMYFUNCTION("""COMPUTED_VALUE"""),"IKDC")</f>
        <v>IKDC</v>
      </c>
    </row>
    <row r="70">
      <c r="A70" s="3">
        <v>35.0</v>
      </c>
      <c r="B70" s="3" t="s">
        <v>5178</v>
      </c>
      <c r="C70" s="4" t="s">
        <v>5013</v>
      </c>
      <c r="D70" s="3" t="s">
        <v>4415</v>
      </c>
      <c r="H70" s="4">
        <v>69.0</v>
      </c>
      <c r="I70" s="4" t="s">
        <v>5177</v>
      </c>
      <c r="J70" s="4" t="s">
        <v>5058</v>
      </c>
      <c r="K70" s="4" t="s">
        <v>5013</v>
      </c>
      <c r="L70" s="4" t="str">
        <f>IFERROR(__xludf.DUMMYFUNCTION("""COMPUTED_VALUE"""),"Tegner")</f>
        <v>Tegner</v>
      </c>
    </row>
    <row r="71">
      <c r="A71" s="3">
        <v>35.0</v>
      </c>
      <c r="B71" s="3" t="s">
        <v>5178</v>
      </c>
      <c r="C71" s="4" t="s">
        <v>5014</v>
      </c>
      <c r="D71" s="3" t="s">
        <v>4415</v>
      </c>
      <c r="H71" s="4">
        <v>70.0</v>
      </c>
      <c r="I71" s="4" t="s">
        <v>5177</v>
      </c>
      <c r="J71" s="4" t="s">
        <v>5058</v>
      </c>
      <c r="K71" s="4" t="s">
        <v>5013</v>
      </c>
      <c r="L71" s="4" t="str">
        <f>IFERROR(__xludf.DUMMYFUNCTION("""COMPUTED_VALUE"""),"Lysholm")</f>
        <v>Lysholm</v>
      </c>
    </row>
    <row r="72">
      <c r="A72" s="3">
        <v>36.0</v>
      </c>
      <c r="B72" s="3" t="s">
        <v>5179</v>
      </c>
      <c r="C72" s="4" t="s">
        <v>5014</v>
      </c>
      <c r="D72" s="3" t="s">
        <v>4369</v>
      </c>
      <c r="H72" s="4">
        <v>71.0</v>
      </c>
      <c r="I72" s="4" t="s">
        <v>5177</v>
      </c>
      <c r="J72" s="4" t="s">
        <v>5058</v>
      </c>
      <c r="K72" s="4" t="s">
        <v>5014</v>
      </c>
      <c r="L72" s="4" t="str">
        <f>IFERROR(__xludf.DUMMYFUNCTION("""COMPUTED_VALUE"""),"instrumented_laxity")</f>
        <v>instrumented_laxity</v>
      </c>
    </row>
    <row r="73">
      <c r="A73" s="3">
        <v>36.0</v>
      </c>
      <c r="B73" s="3" t="s">
        <v>5179</v>
      </c>
      <c r="C73" s="4" t="s">
        <v>5018</v>
      </c>
      <c r="D73" s="3" t="s">
        <v>4369</v>
      </c>
      <c r="H73" s="4">
        <v>72.0</v>
      </c>
      <c r="I73" s="4" t="s">
        <v>5177</v>
      </c>
      <c r="J73" s="4" t="s">
        <v>5058</v>
      </c>
      <c r="K73" s="4" t="s">
        <v>5014</v>
      </c>
      <c r="L73" s="4" t="str">
        <f>IFERROR(__xludf.DUMMYFUNCTION("""COMPUTED_VALUE"""),"IKDC")</f>
        <v>IKDC</v>
      </c>
    </row>
    <row r="74">
      <c r="A74" s="3">
        <v>37.0</v>
      </c>
      <c r="B74" s="3" t="s">
        <v>5180</v>
      </c>
      <c r="C74" s="4" t="s">
        <v>5013</v>
      </c>
      <c r="D74" s="3" t="s">
        <v>4416</v>
      </c>
      <c r="H74" s="4">
        <v>73.0</v>
      </c>
      <c r="I74" s="4" t="s">
        <v>5177</v>
      </c>
      <c r="J74" s="4" t="s">
        <v>5058</v>
      </c>
      <c r="K74" s="4" t="s">
        <v>5014</v>
      </c>
      <c r="L74" s="4" t="str">
        <f>IFERROR(__xludf.DUMMYFUNCTION("""COMPUTED_VALUE"""),"Tegner")</f>
        <v>Tegner</v>
      </c>
    </row>
    <row r="75">
      <c r="A75" s="3">
        <v>37.0</v>
      </c>
      <c r="B75" s="3" t="s">
        <v>5180</v>
      </c>
      <c r="C75" s="4" t="s">
        <v>5014</v>
      </c>
      <c r="D75" s="3" t="s">
        <v>4416</v>
      </c>
      <c r="H75" s="4">
        <v>74.0</v>
      </c>
      <c r="I75" s="4" t="s">
        <v>5177</v>
      </c>
      <c r="J75" s="4" t="s">
        <v>5058</v>
      </c>
      <c r="K75" s="4" t="s">
        <v>5014</v>
      </c>
      <c r="L75" s="4" t="str">
        <f>IFERROR(__xludf.DUMMYFUNCTION("""COMPUTED_VALUE"""),"Lysholm")</f>
        <v>Lysholm</v>
      </c>
    </row>
    <row r="76">
      <c r="A76" s="3">
        <v>38.0</v>
      </c>
      <c r="B76" s="3" t="s">
        <v>5181</v>
      </c>
      <c r="C76" s="4" t="s">
        <v>5013</v>
      </c>
      <c r="D76" s="3" t="s">
        <v>5182</v>
      </c>
      <c r="H76" s="4">
        <v>75.0</v>
      </c>
      <c r="I76" s="4" t="s">
        <v>5183</v>
      </c>
      <c r="J76" s="4" t="s">
        <v>5061</v>
      </c>
      <c r="K76" s="4" t="s">
        <v>5014</v>
      </c>
      <c r="L76" s="4" t="str">
        <f>IFERROR(__xludf.DUMMYFUNCTION("""COMPUTED_VALUE"""),"IKDC")</f>
        <v>IKDC</v>
      </c>
    </row>
    <row r="77">
      <c r="A77" s="3">
        <v>38.0</v>
      </c>
      <c r="B77" s="3" t="s">
        <v>5181</v>
      </c>
      <c r="C77" s="4" t="s">
        <v>5014</v>
      </c>
      <c r="D77" s="3" t="s">
        <v>5182</v>
      </c>
      <c r="H77" s="4">
        <v>76.0</v>
      </c>
      <c r="I77" s="4" t="s">
        <v>5183</v>
      </c>
      <c r="J77" s="4" t="s">
        <v>5061</v>
      </c>
      <c r="K77" s="4" t="s">
        <v>5014</v>
      </c>
      <c r="L77" s="4" t="str">
        <f>IFERROR(__xludf.DUMMYFUNCTION("""COMPUTED_VALUE"""),"Tegner")</f>
        <v>Tegner</v>
      </c>
    </row>
    <row r="78">
      <c r="A78" s="3">
        <v>39.0</v>
      </c>
      <c r="B78" s="3" t="s">
        <v>5184</v>
      </c>
      <c r="C78" s="4" t="s">
        <v>5014</v>
      </c>
      <c r="D78" s="3" t="s">
        <v>4414</v>
      </c>
      <c r="H78" s="4">
        <v>77.0</v>
      </c>
      <c r="I78" s="4" t="s">
        <v>5183</v>
      </c>
      <c r="J78" s="4" t="s">
        <v>5061</v>
      </c>
      <c r="K78" s="4" t="s">
        <v>5018</v>
      </c>
      <c r="L78" s="4" t="str">
        <f>IFERROR(__xludf.DUMMYFUNCTION("""COMPUTED_VALUE"""),"IKDC")</f>
        <v>IKDC</v>
      </c>
    </row>
    <row r="79">
      <c r="A79" s="3">
        <v>39.0</v>
      </c>
      <c r="B79" s="3" t="s">
        <v>5184</v>
      </c>
      <c r="C79" s="4" t="s">
        <v>5018</v>
      </c>
      <c r="D79" s="3" t="s">
        <v>4414</v>
      </c>
      <c r="H79" s="4">
        <v>78.0</v>
      </c>
      <c r="I79" s="4" t="s">
        <v>5183</v>
      </c>
      <c r="J79" s="4" t="s">
        <v>5061</v>
      </c>
      <c r="K79" s="4" t="s">
        <v>5018</v>
      </c>
      <c r="L79" s="4" t="str">
        <f>IFERROR(__xludf.DUMMYFUNCTION("""COMPUTED_VALUE"""),"Tegner")</f>
        <v>Tegner</v>
      </c>
    </row>
    <row r="80">
      <c r="A80" s="3">
        <v>40.0</v>
      </c>
      <c r="B80" s="3" t="s">
        <v>5185</v>
      </c>
      <c r="C80" s="4" t="s">
        <v>5013</v>
      </c>
      <c r="D80" s="3" t="s">
        <v>4417</v>
      </c>
      <c r="H80" s="4">
        <v>79.0</v>
      </c>
      <c r="I80" s="4" t="s">
        <v>5187</v>
      </c>
      <c r="J80" s="4" t="s">
        <v>5066</v>
      </c>
      <c r="K80" s="4" t="s">
        <v>5013</v>
      </c>
      <c r="L80" s="4" t="str">
        <f>IFERROR(__xludf.DUMMYFUNCTION("""COMPUTED_VALUE"""),"instrumented_laxity")</f>
        <v>instrumented_laxity</v>
      </c>
    </row>
    <row r="81">
      <c r="A81" s="3">
        <v>40.0</v>
      </c>
      <c r="B81" s="3" t="s">
        <v>5185</v>
      </c>
      <c r="C81" s="4" t="s">
        <v>5014</v>
      </c>
      <c r="D81" s="3" t="s">
        <v>4417</v>
      </c>
      <c r="H81" s="4">
        <v>80.0</v>
      </c>
      <c r="I81" s="4" t="s">
        <v>5187</v>
      </c>
      <c r="J81" s="4" t="s">
        <v>5066</v>
      </c>
      <c r="K81" s="4" t="s">
        <v>5014</v>
      </c>
      <c r="L81" s="4" t="str">
        <f>IFERROR(__xludf.DUMMYFUNCTION("""COMPUTED_VALUE"""),"instrumented_laxity")</f>
        <v>instrumented_laxity</v>
      </c>
    </row>
    <row r="82">
      <c r="A82" s="3">
        <v>41.0</v>
      </c>
      <c r="B82" s="3" t="s">
        <v>5189</v>
      </c>
      <c r="C82" s="4" t="s">
        <v>5014</v>
      </c>
      <c r="D82" s="3" t="s">
        <v>4419</v>
      </c>
      <c r="H82" s="4">
        <v>81.0</v>
      </c>
      <c r="I82" s="4" t="s">
        <v>5190</v>
      </c>
      <c r="J82" s="4" t="s">
        <v>5072</v>
      </c>
      <c r="K82" s="4" t="s">
        <v>5014</v>
      </c>
      <c r="L82" s="4" t="str">
        <f>IFERROR(__xludf.DUMMYFUNCTION("""COMPUTED_VALUE"""),"Lysholm")</f>
        <v>Lysholm</v>
      </c>
    </row>
    <row r="83">
      <c r="A83" s="3">
        <v>41.0</v>
      </c>
      <c r="B83" s="3" t="s">
        <v>5189</v>
      </c>
      <c r="C83" s="4" t="s">
        <v>5015</v>
      </c>
      <c r="D83" s="3" t="s">
        <v>4419</v>
      </c>
      <c r="H83" s="4">
        <v>82.0</v>
      </c>
      <c r="I83" s="4" t="s">
        <v>5190</v>
      </c>
      <c r="J83" s="4" t="s">
        <v>5072</v>
      </c>
      <c r="K83" s="4" t="s">
        <v>5014</v>
      </c>
      <c r="L83" s="4" t="str">
        <f>IFERROR(__xludf.DUMMYFUNCTION("""COMPUTED_VALUE"""),"IKDC")</f>
        <v>IKDC</v>
      </c>
    </row>
    <row r="84">
      <c r="A84" s="3">
        <v>42.0</v>
      </c>
      <c r="B84" s="3" t="s">
        <v>5191</v>
      </c>
      <c r="C84" s="4" t="s">
        <v>5013</v>
      </c>
      <c r="D84" s="3" t="s">
        <v>4420</v>
      </c>
      <c r="H84" s="4">
        <v>83.0</v>
      </c>
      <c r="I84" s="4" t="s">
        <v>5190</v>
      </c>
      <c r="J84" s="4" t="s">
        <v>5072</v>
      </c>
      <c r="K84" s="4" t="s">
        <v>5014</v>
      </c>
      <c r="L84" s="4" t="str">
        <f>IFERROR(__xludf.DUMMYFUNCTION("""COMPUTED_VALUE"""),"Lachman")</f>
        <v>Lachman</v>
      </c>
    </row>
    <row r="85">
      <c r="A85" s="3">
        <v>42.0</v>
      </c>
      <c r="B85" s="3" t="s">
        <v>5191</v>
      </c>
      <c r="C85" s="4" t="s">
        <v>5014</v>
      </c>
      <c r="D85" s="3" t="s">
        <v>4420</v>
      </c>
      <c r="H85" s="4">
        <v>84.0</v>
      </c>
      <c r="I85" s="4" t="s">
        <v>5190</v>
      </c>
      <c r="J85" s="4" t="s">
        <v>5072</v>
      </c>
      <c r="K85" s="4" t="s">
        <v>5014</v>
      </c>
      <c r="L85" s="4" t="str">
        <f>IFERROR(__xludf.DUMMYFUNCTION("""COMPUTED_VALUE"""),"pivot_shift")</f>
        <v>pivot_shift</v>
      </c>
    </row>
    <row r="86">
      <c r="A86" s="3">
        <v>43.0</v>
      </c>
      <c r="B86" s="3" t="s">
        <v>5192</v>
      </c>
      <c r="C86" s="4" t="s">
        <v>5013</v>
      </c>
      <c r="D86" s="3" t="s">
        <v>4423</v>
      </c>
      <c r="H86" s="4">
        <v>85.0</v>
      </c>
      <c r="I86" s="4" t="s">
        <v>5190</v>
      </c>
      <c r="J86" s="4" t="s">
        <v>5072</v>
      </c>
      <c r="K86" s="4" t="s">
        <v>5016</v>
      </c>
      <c r="L86" s="4" t="str">
        <f>IFERROR(__xludf.DUMMYFUNCTION("""COMPUTED_VALUE"""),"Lysholm")</f>
        <v>Lysholm</v>
      </c>
    </row>
    <row r="87">
      <c r="A87" s="3">
        <v>43.0</v>
      </c>
      <c r="B87" s="3" t="s">
        <v>5192</v>
      </c>
      <c r="C87" s="4" t="s">
        <v>5014</v>
      </c>
      <c r="D87" s="3" t="s">
        <v>4423</v>
      </c>
      <c r="H87" s="4">
        <v>86.0</v>
      </c>
      <c r="I87" s="4" t="s">
        <v>5190</v>
      </c>
      <c r="J87" s="4" t="s">
        <v>5072</v>
      </c>
      <c r="K87" s="4" t="s">
        <v>5016</v>
      </c>
      <c r="L87" s="4" t="str">
        <f>IFERROR(__xludf.DUMMYFUNCTION("""COMPUTED_VALUE"""),"IKDC")</f>
        <v>IKDC</v>
      </c>
    </row>
    <row r="88">
      <c r="A88" s="3">
        <v>44.0</v>
      </c>
      <c r="B88" s="3" t="s">
        <v>5193</v>
      </c>
      <c r="C88" s="4" t="s">
        <v>5013</v>
      </c>
      <c r="D88" s="3" t="s">
        <v>4425</v>
      </c>
      <c r="H88" s="4">
        <v>87.0</v>
      </c>
      <c r="I88" s="4" t="s">
        <v>5190</v>
      </c>
      <c r="J88" s="4" t="s">
        <v>5072</v>
      </c>
      <c r="K88" s="4" t="s">
        <v>5016</v>
      </c>
      <c r="L88" s="4" t="str">
        <f>IFERROR(__xludf.DUMMYFUNCTION("""COMPUTED_VALUE"""),"Lachman")</f>
        <v>Lachman</v>
      </c>
    </row>
    <row r="89">
      <c r="A89" s="3">
        <v>44.0</v>
      </c>
      <c r="B89" s="3" t="s">
        <v>5193</v>
      </c>
      <c r="C89" s="4" t="s">
        <v>5015</v>
      </c>
      <c r="D89" s="3" t="s">
        <v>4425</v>
      </c>
      <c r="H89" s="4">
        <v>88.0</v>
      </c>
      <c r="I89" s="4" t="s">
        <v>5190</v>
      </c>
      <c r="J89" s="4" t="s">
        <v>5072</v>
      </c>
      <c r="K89" s="4" t="s">
        <v>5016</v>
      </c>
      <c r="L89" s="4" t="str">
        <f>IFERROR(__xludf.DUMMYFUNCTION("""COMPUTED_VALUE"""),"pivot_shift")</f>
        <v>pivot_shift</v>
      </c>
    </row>
    <row r="90">
      <c r="A90" s="3">
        <v>45.0</v>
      </c>
      <c r="B90" s="3" t="s">
        <v>5194</v>
      </c>
      <c r="C90" s="4" t="s">
        <v>5013</v>
      </c>
      <c r="D90" s="3" t="s">
        <v>4416</v>
      </c>
      <c r="H90" s="4">
        <v>89.0</v>
      </c>
      <c r="I90" s="4" t="s">
        <v>5195</v>
      </c>
      <c r="J90" s="4" t="s">
        <v>5075</v>
      </c>
      <c r="K90" s="4" t="s">
        <v>5014</v>
      </c>
      <c r="L90" s="4" t="str">
        <f>IFERROR(__xludf.DUMMYFUNCTION("""COMPUTED_VALUE"""),"IKDC")</f>
        <v>IKDC</v>
      </c>
    </row>
    <row r="91">
      <c r="A91" s="3">
        <v>45.0</v>
      </c>
      <c r="B91" s="3" t="s">
        <v>5194</v>
      </c>
      <c r="C91" s="4" t="s">
        <v>5014</v>
      </c>
      <c r="D91" s="3" t="s">
        <v>4416</v>
      </c>
      <c r="H91" s="4">
        <v>90.0</v>
      </c>
      <c r="I91" s="4" t="s">
        <v>5195</v>
      </c>
      <c r="J91" s="4" t="s">
        <v>5075</v>
      </c>
      <c r="K91" s="4" t="s">
        <v>5014</v>
      </c>
      <c r="L91" s="4" t="str">
        <f>IFERROR(__xludf.DUMMYFUNCTION("""COMPUTED_VALUE"""),"instrumented_laxity")</f>
        <v>instrumented_laxity</v>
      </c>
    </row>
    <row r="92">
      <c r="A92" s="3">
        <v>46.0</v>
      </c>
      <c r="B92" s="3" t="s">
        <v>5196</v>
      </c>
      <c r="C92" s="4" t="s">
        <v>5014</v>
      </c>
      <c r="D92" s="3" t="s">
        <v>4428</v>
      </c>
      <c r="H92" s="4">
        <v>91.0</v>
      </c>
      <c r="I92" s="4" t="s">
        <v>5195</v>
      </c>
      <c r="J92" s="4" t="s">
        <v>5075</v>
      </c>
      <c r="K92" s="4" t="s">
        <v>5015</v>
      </c>
      <c r="L92" s="4" t="str">
        <f>IFERROR(__xludf.DUMMYFUNCTION("""COMPUTED_VALUE"""),"IKDC")</f>
        <v>IKDC</v>
      </c>
    </row>
    <row r="93">
      <c r="A93" s="3">
        <v>46.0</v>
      </c>
      <c r="B93" s="3" t="s">
        <v>5196</v>
      </c>
      <c r="C93" s="4" t="s">
        <v>5016</v>
      </c>
      <c r="D93" s="3" t="s">
        <v>4428</v>
      </c>
      <c r="H93" s="4">
        <v>92.0</v>
      </c>
      <c r="I93" s="4" t="s">
        <v>5195</v>
      </c>
      <c r="J93" s="4" t="s">
        <v>5075</v>
      </c>
      <c r="K93" s="4" t="s">
        <v>5015</v>
      </c>
      <c r="L93" s="4" t="str">
        <f>IFERROR(__xludf.DUMMYFUNCTION("""COMPUTED_VALUE"""),"instrumented_laxity")</f>
        <v>instrumented_laxity</v>
      </c>
    </row>
    <row r="94">
      <c r="A94" s="3">
        <v>47.0</v>
      </c>
      <c r="B94" s="3" t="s">
        <v>5198</v>
      </c>
      <c r="C94" s="4" t="s">
        <v>5013</v>
      </c>
      <c r="D94" s="3" t="s">
        <v>4392</v>
      </c>
      <c r="H94" s="4">
        <v>93.0</v>
      </c>
      <c r="I94" s="4" t="s">
        <v>5199</v>
      </c>
      <c r="J94" s="4" t="s">
        <v>5085</v>
      </c>
      <c r="K94" s="4" t="s">
        <v>5014</v>
      </c>
      <c r="L94" s="4" t="str">
        <f>IFERROR(__xludf.DUMMYFUNCTION("""COMPUTED_VALUE"""),"Graft rupture")</f>
        <v>Graft rupture</v>
      </c>
    </row>
    <row r="95">
      <c r="A95" s="3">
        <v>47.0</v>
      </c>
      <c r="B95" s="3" t="s">
        <v>5198</v>
      </c>
      <c r="C95" s="4" t="s">
        <v>5014</v>
      </c>
      <c r="D95" s="3" t="s">
        <v>4392</v>
      </c>
      <c r="H95" s="4">
        <v>94.0</v>
      </c>
      <c r="I95" s="4" t="s">
        <v>5199</v>
      </c>
      <c r="J95" s="4" t="s">
        <v>5085</v>
      </c>
      <c r="K95" s="4" t="s">
        <v>5018</v>
      </c>
      <c r="L95" s="4" t="str">
        <f>IFERROR(__xludf.DUMMYFUNCTION("""COMPUTED_VALUE"""),"Graft rupture")</f>
        <v>Graft rupture</v>
      </c>
    </row>
    <row r="96">
      <c r="A96" s="3">
        <v>48.0</v>
      </c>
      <c r="B96" s="3" t="s">
        <v>5200</v>
      </c>
      <c r="C96" s="4" t="s">
        <v>5013</v>
      </c>
      <c r="D96" s="3" t="s">
        <v>4430</v>
      </c>
      <c r="H96" s="4">
        <v>95.0</v>
      </c>
      <c r="I96" s="4" t="s">
        <v>5201</v>
      </c>
      <c r="J96" s="4" t="s">
        <v>5089</v>
      </c>
      <c r="K96" s="4" t="s">
        <v>5013</v>
      </c>
      <c r="L96" s="4" t="str">
        <f>IFERROR(__xludf.DUMMYFUNCTION("""COMPUTED_VALUE"""),"Tegner")</f>
        <v>Tegner</v>
      </c>
    </row>
    <row r="97">
      <c r="A97" s="3">
        <v>48.0</v>
      </c>
      <c r="B97" s="3" t="s">
        <v>5200</v>
      </c>
      <c r="C97" s="4" t="s">
        <v>5014</v>
      </c>
      <c r="D97" s="3" t="s">
        <v>4430</v>
      </c>
      <c r="H97" s="4">
        <v>96.0</v>
      </c>
      <c r="I97" s="4" t="s">
        <v>5201</v>
      </c>
      <c r="J97" s="4" t="s">
        <v>5089</v>
      </c>
      <c r="K97" s="4" t="s">
        <v>5013</v>
      </c>
      <c r="L97" s="4" t="str">
        <f>IFERROR(__xludf.DUMMYFUNCTION("""COMPUTED_VALUE"""),"Lysholm")</f>
        <v>Lysholm</v>
      </c>
    </row>
    <row r="98">
      <c r="A98" s="3">
        <v>49.0</v>
      </c>
      <c r="B98" s="3" t="s">
        <v>5202</v>
      </c>
      <c r="C98" s="4" t="s">
        <v>5013</v>
      </c>
      <c r="D98" s="3" t="s">
        <v>5203</v>
      </c>
      <c r="H98" s="4">
        <v>97.0</v>
      </c>
      <c r="I98" s="4" t="s">
        <v>5201</v>
      </c>
      <c r="J98" s="4" t="s">
        <v>5089</v>
      </c>
      <c r="K98" s="4" t="s">
        <v>5013</v>
      </c>
      <c r="L98" s="4" t="str">
        <f>IFERROR(__xludf.DUMMYFUNCTION("""COMPUTED_VALUE"""),"instrumented_laxity")</f>
        <v>instrumented_laxity</v>
      </c>
    </row>
    <row r="99">
      <c r="A99" s="3">
        <v>49.0</v>
      </c>
      <c r="B99" s="3" t="s">
        <v>5202</v>
      </c>
      <c r="C99" s="4" t="s">
        <v>5014</v>
      </c>
      <c r="D99" s="3" t="s">
        <v>5203</v>
      </c>
      <c r="H99" s="4">
        <v>98.0</v>
      </c>
      <c r="I99" s="4" t="s">
        <v>5201</v>
      </c>
      <c r="J99" s="4" t="s">
        <v>5089</v>
      </c>
      <c r="K99" s="4" t="s">
        <v>5013</v>
      </c>
      <c r="L99" s="4" t="str">
        <f>IFERROR(__xludf.DUMMYFUNCTION("""COMPUTED_VALUE"""),"Lachman")</f>
        <v>Lachman</v>
      </c>
    </row>
    <row r="100">
      <c r="A100" s="3">
        <v>50.0</v>
      </c>
      <c r="B100" s="3" t="s">
        <v>5204</v>
      </c>
      <c r="C100" s="4" t="s">
        <v>5013</v>
      </c>
      <c r="D100" s="3" t="s">
        <v>4432</v>
      </c>
      <c r="H100" s="4">
        <v>99.0</v>
      </c>
      <c r="I100" s="4" t="s">
        <v>5201</v>
      </c>
      <c r="J100" s="4" t="s">
        <v>5089</v>
      </c>
      <c r="K100" s="4" t="s">
        <v>5014</v>
      </c>
      <c r="L100" s="4" t="str">
        <f>IFERROR(__xludf.DUMMYFUNCTION("""COMPUTED_VALUE"""),"Tegner")</f>
        <v>Tegner</v>
      </c>
    </row>
    <row r="101">
      <c r="A101" s="3">
        <v>50.0</v>
      </c>
      <c r="B101" s="3" t="s">
        <v>5204</v>
      </c>
      <c r="C101" s="4" t="s">
        <v>5014</v>
      </c>
      <c r="D101" s="3" t="s">
        <v>4432</v>
      </c>
      <c r="H101" s="4">
        <v>100.0</v>
      </c>
      <c r="I101" s="4" t="s">
        <v>5201</v>
      </c>
      <c r="J101" s="4" t="s">
        <v>5089</v>
      </c>
      <c r="K101" s="4" t="s">
        <v>5014</v>
      </c>
      <c r="L101" s="4" t="str">
        <f>IFERROR(__xludf.DUMMYFUNCTION("""COMPUTED_VALUE"""),"Lysholm")</f>
        <v>Lysholm</v>
      </c>
    </row>
    <row r="102">
      <c r="A102" s="3">
        <v>51.0</v>
      </c>
      <c r="B102" s="3" t="s">
        <v>5205</v>
      </c>
      <c r="C102" s="4" t="s">
        <v>5014</v>
      </c>
      <c r="D102" s="3" t="s">
        <v>4434</v>
      </c>
      <c r="H102" s="4">
        <v>101.0</v>
      </c>
      <c r="I102" s="4" t="s">
        <v>5201</v>
      </c>
      <c r="J102" s="4" t="s">
        <v>5089</v>
      </c>
      <c r="K102" s="4" t="s">
        <v>5014</v>
      </c>
      <c r="L102" s="4" t="str">
        <f>IFERROR(__xludf.DUMMYFUNCTION("""COMPUTED_VALUE"""),"instrumented_laxity")</f>
        <v>instrumented_laxity</v>
      </c>
    </row>
    <row r="103">
      <c r="A103" s="3">
        <v>51.0</v>
      </c>
      <c r="B103" s="3" t="s">
        <v>5205</v>
      </c>
      <c r="C103" s="4" t="s">
        <v>5017</v>
      </c>
      <c r="D103" s="3" t="s">
        <v>4434</v>
      </c>
      <c r="H103" s="4">
        <v>102.0</v>
      </c>
      <c r="I103" s="4" t="s">
        <v>5201</v>
      </c>
      <c r="J103" s="4" t="s">
        <v>5089</v>
      </c>
      <c r="K103" s="4" t="s">
        <v>5014</v>
      </c>
      <c r="L103" s="4" t="str">
        <f>IFERROR(__xludf.DUMMYFUNCTION("""COMPUTED_VALUE"""),"Lachman")</f>
        <v>Lachman</v>
      </c>
    </row>
    <row r="104">
      <c r="A104" s="3">
        <v>52.0</v>
      </c>
      <c r="B104" s="3" t="s">
        <v>5206</v>
      </c>
      <c r="C104" s="4" t="s">
        <v>5013</v>
      </c>
      <c r="D104" s="3" t="s">
        <v>4406</v>
      </c>
      <c r="H104" s="4">
        <v>103.0</v>
      </c>
      <c r="I104" s="4" t="s">
        <v>5207</v>
      </c>
      <c r="J104" s="4" t="s">
        <v>5095</v>
      </c>
      <c r="K104" s="4" t="s">
        <v>5013</v>
      </c>
      <c r="L104" s="4" t="str">
        <f>IFERROR(__xludf.DUMMYFUNCTION("""COMPUTED_VALUE"""),"instrumented_laxity")</f>
        <v>instrumented_laxity</v>
      </c>
    </row>
    <row r="105">
      <c r="A105" s="3">
        <v>52.0</v>
      </c>
      <c r="B105" s="3" t="s">
        <v>5206</v>
      </c>
      <c r="C105" s="4" t="s">
        <v>5014</v>
      </c>
      <c r="D105" s="3" t="s">
        <v>4406</v>
      </c>
      <c r="H105" s="4">
        <v>104.0</v>
      </c>
      <c r="I105" s="4" t="s">
        <v>5207</v>
      </c>
      <c r="J105" s="4" t="s">
        <v>5095</v>
      </c>
      <c r="K105" s="4" t="s">
        <v>5013</v>
      </c>
      <c r="L105" s="4" t="str">
        <f>IFERROR(__xludf.DUMMYFUNCTION("""COMPUTED_VALUE"""),"pivot_shift")</f>
        <v>pivot_shift</v>
      </c>
    </row>
    <row r="106">
      <c r="A106" s="3">
        <v>53.0</v>
      </c>
      <c r="B106" s="3" t="s">
        <v>5208</v>
      </c>
      <c r="C106" s="4" t="s">
        <v>5013</v>
      </c>
      <c r="D106" s="145" t="s">
        <v>4413</v>
      </c>
      <c r="H106" s="4">
        <v>105.0</v>
      </c>
      <c r="I106" s="4" t="s">
        <v>5207</v>
      </c>
      <c r="J106" s="4" t="s">
        <v>5095</v>
      </c>
      <c r="K106" s="4" t="s">
        <v>5014</v>
      </c>
      <c r="L106" s="4" t="str">
        <f>IFERROR(__xludf.DUMMYFUNCTION("""COMPUTED_VALUE"""),"instrumented_laxity")</f>
        <v>instrumented_laxity</v>
      </c>
    </row>
    <row r="107">
      <c r="A107" s="3">
        <v>53.0</v>
      </c>
      <c r="B107" s="3" t="s">
        <v>5208</v>
      </c>
      <c r="C107" s="4" t="s">
        <v>5014</v>
      </c>
      <c r="D107" s="145" t="s">
        <v>4413</v>
      </c>
      <c r="H107" s="4">
        <v>106.0</v>
      </c>
      <c r="I107" s="4" t="s">
        <v>5207</v>
      </c>
      <c r="J107" s="4" t="s">
        <v>5095</v>
      </c>
      <c r="K107" s="4" t="s">
        <v>5014</v>
      </c>
      <c r="L107" s="4" t="str">
        <f>IFERROR(__xludf.DUMMYFUNCTION("""COMPUTED_VALUE"""),"pivot_shift")</f>
        <v>pivot_shift</v>
      </c>
    </row>
    <row r="108">
      <c r="A108" s="3">
        <v>54.0</v>
      </c>
      <c r="B108" s="3" t="s">
        <v>5209</v>
      </c>
      <c r="C108" s="4" t="s">
        <v>5013</v>
      </c>
      <c r="D108" s="3" t="s">
        <v>4375</v>
      </c>
      <c r="H108" s="4">
        <v>107.0</v>
      </c>
      <c r="I108" s="4" t="s">
        <v>5210</v>
      </c>
      <c r="J108" s="4" t="s">
        <v>5098</v>
      </c>
      <c r="K108" s="4" t="s">
        <v>5013</v>
      </c>
      <c r="L108" s="4" t="str">
        <f>IFERROR(__xludf.DUMMYFUNCTION("""COMPUTED_VALUE"""),"IKDC")</f>
        <v>IKDC</v>
      </c>
    </row>
    <row r="109">
      <c r="A109" s="3">
        <v>54.0</v>
      </c>
      <c r="B109" s="3" t="s">
        <v>5209</v>
      </c>
      <c r="C109" s="4" t="s">
        <v>5014</v>
      </c>
      <c r="D109" s="3" t="s">
        <v>4375</v>
      </c>
      <c r="H109" s="4">
        <v>108.0</v>
      </c>
      <c r="I109" s="4" t="s">
        <v>5210</v>
      </c>
      <c r="J109" s="4" t="s">
        <v>5098</v>
      </c>
      <c r="K109" s="4" t="s">
        <v>5013</v>
      </c>
      <c r="L109" s="4" t="str">
        <f>IFERROR(__xludf.DUMMYFUNCTION("""COMPUTED_VALUE"""),"instrumented_laxity")</f>
        <v>instrumented_laxity</v>
      </c>
    </row>
    <row r="110">
      <c r="A110" s="3">
        <v>55.0</v>
      </c>
      <c r="B110" s="3" t="s">
        <v>5212</v>
      </c>
      <c r="C110" s="4" t="s">
        <v>5013</v>
      </c>
      <c r="D110" s="3" t="s">
        <v>4439</v>
      </c>
      <c r="H110" s="4">
        <v>109.0</v>
      </c>
      <c r="I110" s="4" t="s">
        <v>5210</v>
      </c>
      <c r="J110" s="4" t="s">
        <v>5098</v>
      </c>
      <c r="K110" s="4" t="s">
        <v>5013</v>
      </c>
      <c r="L110" s="4" t="str">
        <f>IFERROR(__xludf.DUMMYFUNCTION("""COMPUTED_VALUE"""),"pivot_shift")</f>
        <v>pivot_shift</v>
      </c>
    </row>
    <row r="111">
      <c r="A111" s="3">
        <v>55.0</v>
      </c>
      <c r="B111" s="3" t="s">
        <v>5212</v>
      </c>
      <c r="C111" s="4" t="s">
        <v>5014</v>
      </c>
      <c r="D111" s="3" t="s">
        <v>4439</v>
      </c>
      <c r="H111" s="4">
        <v>110.0</v>
      </c>
      <c r="I111" s="4" t="s">
        <v>5210</v>
      </c>
      <c r="J111" s="4" t="s">
        <v>5098</v>
      </c>
      <c r="K111" s="4" t="s">
        <v>5013</v>
      </c>
      <c r="L111" s="4" t="str">
        <f>IFERROR(__xludf.DUMMYFUNCTION("""COMPUTED_VALUE"""),"Lachman")</f>
        <v>Lachman</v>
      </c>
    </row>
    <row r="112">
      <c r="A112" s="3">
        <v>56.0</v>
      </c>
      <c r="B112" s="3" t="s">
        <v>5213</v>
      </c>
      <c r="C112" s="4" t="s">
        <v>5013</v>
      </c>
      <c r="D112" s="3" t="s">
        <v>4440</v>
      </c>
      <c r="H112" s="4">
        <v>111.0</v>
      </c>
      <c r="I112" s="4" t="s">
        <v>5210</v>
      </c>
      <c r="J112" s="4" t="s">
        <v>5098</v>
      </c>
      <c r="K112" s="4" t="s">
        <v>5014</v>
      </c>
      <c r="L112" s="4" t="str">
        <f>IFERROR(__xludf.DUMMYFUNCTION("""COMPUTED_VALUE"""),"IKDC")</f>
        <v>IKDC</v>
      </c>
    </row>
    <row r="113">
      <c r="A113" s="3">
        <v>56.0</v>
      </c>
      <c r="B113" s="3" t="s">
        <v>5213</v>
      </c>
      <c r="C113" s="4" t="s">
        <v>5014</v>
      </c>
      <c r="D113" s="3" t="s">
        <v>4440</v>
      </c>
      <c r="H113" s="4">
        <v>112.0</v>
      </c>
      <c r="I113" s="4" t="s">
        <v>5210</v>
      </c>
      <c r="J113" s="4" t="s">
        <v>5098</v>
      </c>
      <c r="K113" s="4" t="s">
        <v>5014</v>
      </c>
      <c r="L113" s="4" t="str">
        <f>IFERROR(__xludf.DUMMYFUNCTION("""COMPUTED_VALUE"""),"instrumented_laxity")</f>
        <v>instrumented_laxity</v>
      </c>
    </row>
    <row r="114">
      <c r="A114" s="3">
        <v>57.0</v>
      </c>
      <c r="B114" s="3" t="s">
        <v>5214</v>
      </c>
      <c r="C114" s="4" t="s">
        <v>5014</v>
      </c>
      <c r="D114" s="145" t="s">
        <v>4441</v>
      </c>
      <c r="H114" s="4">
        <v>113.0</v>
      </c>
      <c r="I114" s="4" t="s">
        <v>5210</v>
      </c>
      <c r="J114" s="4" t="s">
        <v>5098</v>
      </c>
      <c r="K114" s="4" t="s">
        <v>5014</v>
      </c>
      <c r="L114" s="4" t="str">
        <f>IFERROR(__xludf.DUMMYFUNCTION("""COMPUTED_VALUE"""),"pivot_shift")</f>
        <v>pivot_shift</v>
      </c>
    </row>
    <row r="115">
      <c r="A115" s="3">
        <v>57.0</v>
      </c>
      <c r="B115" s="3" t="s">
        <v>5214</v>
      </c>
      <c r="C115" s="4" t="s">
        <v>5015</v>
      </c>
      <c r="D115" s="145" t="s">
        <v>4441</v>
      </c>
      <c r="H115" s="4">
        <v>114.0</v>
      </c>
      <c r="I115" s="4" t="s">
        <v>5210</v>
      </c>
      <c r="J115" s="4" t="s">
        <v>5098</v>
      </c>
      <c r="K115" s="4" t="s">
        <v>5014</v>
      </c>
      <c r="L115" s="4" t="str">
        <f>IFERROR(__xludf.DUMMYFUNCTION("""COMPUTED_VALUE"""),"Lachman")</f>
        <v>Lachman</v>
      </c>
    </row>
    <row r="116">
      <c r="A116" s="3">
        <v>58.0</v>
      </c>
      <c r="B116" s="3" t="s">
        <v>5215</v>
      </c>
      <c r="C116" s="4" t="s">
        <v>5013</v>
      </c>
      <c r="D116" s="3" t="s">
        <v>4443</v>
      </c>
      <c r="H116" s="4">
        <v>115.0</v>
      </c>
      <c r="I116" s="4" t="s">
        <v>5216</v>
      </c>
      <c r="J116" s="4" t="s">
        <v>5103</v>
      </c>
      <c r="K116" s="4" t="s">
        <v>5013</v>
      </c>
      <c r="L116" s="4" t="str">
        <f>IFERROR(__xludf.DUMMYFUNCTION("""COMPUTED_VALUE"""),"instrumented_laxity")</f>
        <v>instrumented_laxity</v>
      </c>
    </row>
    <row r="117">
      <c r="A117" s="3">
        <v>58.0</v>
      </c>
      <c r="B117" s="3" t="s">
        <v>5215</v>
      </c>
      <c r="C117" s="4" t="s">
        <v>5014</v>
      </c>
      <c r="D117" s="3" t="s">
        <v>4443</v>
      </c>
      <c r="H117" s="4">
        <v>116.0</v>
      </c>
      <c r="I117" s="4" t="s">
        <v>5216</v>
      </c>
      <c r="J117" s="4" t="s">
        <v>5103</v>
      </c>
      <c r="K117" s="4" t="s">
        <v>5014</v>
      </c>
      <c r="L117" s="4" t="str">
        <f>IFERROR(__xludf.DUMMYFUNCTION("""COMPUTED_VALUE"""),"instrumented_laxity")</f>
        <v>instrumented_laxity</v>
      </c>
    </row>
    <row r="118">
      <c r="A118" s="3">
        <v>58.0</v>
      </c>
      <c r="B118" s="3" t="s">
        <v>5215</v>
      </c>
      <c r="C118" s="4" t="s">
        <v>5015</v>
      </c>
      <c r="D118" s="3" t="s">
        <v>4443</v>
      </c>
      <c r="H118" s="4">
        <v>117.0</v>
      </c>
      <c r="I118" s="4" t="s">
        <v>5217</v>
      </c>
      <c r="J118" s="4" t="s">
        <v>5109</v>
      </c>
      <c r="K118" s="4" t="s">
        <v>5013</v>
      </c>
      <c r="L118" s="4" t="str">
        <f>IFERROR(__xludf.DUMMYFUNCTION("""COMPUTED_VALUE"""),"Tegner")</f>
        <v>Tegner</v>
      </c>
    </row>
    <row r="119">
      <c r="A119" s="3">
        <v>59.0</v>
      </c>
      <c r="B119" s="3" t="s">
        <v>5218</v>
      </c>
      <c r="C119" s="4" t="s">
        <v>5013</v>
      </c>
      <c r="D119" s="3" t="s">
        <v>5219</v>
      </c>
      <c r="H119" s="4">
        <v>118.0</v>
      </c>
      <c r="I119" s="4" t="s">
        <v>5217</v>
      </c>
      <c r="J119" s="4" t="s">
        <v>5109</v>
      </c>
      <c r="K119" s="4" t="s">
        <v>5013</v>
      </c>
      <c r="L119" s="4" t="str">
        <f>IFERROR(__xludf.DUMMYFUNCTION("""COMPUTED_VALUE"""),"Lysholm")</f>
        <v>Lysholm</v>
      </c>
    </row>
    <row r="120">
      <c r="A120" s="3">
        <v>59.0</v>
      </c>
      <c r="B120" s="3" t="s">
        <v>5218</v>
      </c>
      <c r="C120" s="4" t="s">
        <v>5014</v>
      </c>
      <c r="D120" s="3" t="s">
        <v>5219</v>
      </c>
      <c r="H120" s="4">
        <v>119.0</v>
      </c>
      <c r="I120" s="4" t="s">
        <v>5217</v>
      </c>
      <c r="J120" s="4" t="s">
        <v>5109</v>
      </c>
      <c r="K120" s="4" t="s">
        <v>5013</v>
      </c>
      <c r="L120" s="4" t="str">
        <f>IFERROR(__xludf.DUMMYFUNCTION("""COMPUTED_VALUE"""),"instrumented_laxity")</f>
        <v>instrumented_laxity</v>
      </c>
    </row>
    <row r="121">
      <c r="A121" s="3">
        <v>60.0</v>
      </c>
      <c r="B121" s="3" t="s">
        <v>5220</v>
      </c>
      <c r="C121" s="4" t="s">
        <v>5013</v>
      </c>
      <c r="D121" s="3" t="s">
        <v>4420</v>
      </c>
      <c r="H121" s="4">
        <v>120.0</v>
      </c>
      <c r="I121" s="4" t="s">
        <v>5217</v>
      </c>
      <c r="J121" s="4" t="s">
        <v>5109</v>
      </c>
      <c r="K121" s="4" t="s">
        <v>5013</v>
      </c>
      <c r="L121" s="4" t="str">
        <f>IFERROR(__xludf.DUMMYFUNCTION("""COMPUTED_VALUE"""),"Lachman")</f>
        <v>Lachman</v>
      </c>
    </row>
    <row r="122">
      <c r="A122" s="3">
        <v>60.0</v>
      </c>
      <c r="B122" s="3" t="s">
        <v>5220</v>
      </c>
      <c r="C122" s="4" t="s">
        <v>5014</v>
      </c>
      <c r="D122" s="3" t="s">
        <v>4420</v>
      </c>
      <c r="H122" s="4">
        <v>121.0</v>
      </c>
      <c r="I122" s="4" t="s">
        <v>5217</v>
      </c>
      <c r="J122" s="4" t="s">
        <v>5109</v>
      </c>
      <c r="K122" s="4" t="s">
        <v>5014</v>
      </c>
      <c r="L122" s="4" t="str">
        <f>IFERROR(__xludf.DUMMYFUNCTION("""COMPUTED_VALUE"""),"Tegner")</f>
        <v>Tegner</v>
      </c>
    </row>
    <row r="123">
      <c r="A123" s="3">
        <v>61.0</v>
      </c>
      <c r="B123" s="3" t="s">
        <v>5221</v>
      </c>
      <c r="C123" s="4" t="s">
        <v>5014</v>
      </c>
      <c r="D123" s="145" t="s">
        <v>4441</v>
      </c>
      <c r="H123" s="4">
        <v>122.0</v>
      </c>
      <c r="I123" s="4" t="s">
        <v>5217</v>
      </c>
      <c r="J123" s="4" t="s">
        <v>5109</v>
      </c>
      <c r="K123" s="4" t="s">
        <v>5014</v>
      </c>
      <c r="L123" s="4" t="str">
        <f>IFERROR(__xludf.DUMMYFUNCTION("""COMPUTED_VALUE"""),"Lysholm")</f>
        <v>Lysholm</v>
      </c>
    </row>
    <row r="124">
      <c r="A124" s="3">
        <v>61.0</v>
      </c>
      <c r="B124" s="3" t="s">
        <v>5221</v>
      </c>
      <c r="C124" s="4" t="s">
        <v>5015</v>
      </c>
      <c r="D124" s="145" t="s">
        <v>4441</v>
      </c>
      <c r="H124" s="4">
        <v>123.0</v>
      </c>
      <c r="I124" s="4" t="s">
        <v>5217</v>
      </c>
      <c r="J124" s="4" t="s">
        <v>5109</v>
      </c>
      <c r="K124" s="4" t="s">
        <v>5014</v>
      </c>
      <c r="L124" s="4" t="str">
        <f>IFERROR(__xludf.DUMMYFUNCTION("""COMPUTED_VALUE"""),"instrumented_laxity")</f>
        <v>instrumented_laxity</v>
      </c>
    </row>
    <row r="125">
      <c r="A125" s="3">
        <v>62.0</v>
      </c>
      <c r="B125" s="3" t="s">
        <v>5222</v>
      </c>
      <c r="C125" s="4" t="s">
        <v>5013</v>
      </c>
      <c r="D125" s="3" t="s">
        <v>4402</v>
      </c>
      <c r="H125" s="4">
        <v>124.0</v>
      </c>
      <c r="I125" s="4" t="s">
        <v>5217</v>
      </c>
      <c r="J125" s="4" t="s">
        <v>5109</v>
      </c>
      <c r="K125" s="4" t="s">
        <v>5014</v>
      </c>
      <c r="L125" s="4" t="str">
        <f>IFERROR(__xludf.DUMMYFUNCTION("""COMPUTED_VALUE"""),"Lachman")</f>
        <v>Lachman</v>
      </c>
    </row>
    <row r="126">
      <c r="A126" s="3">
        <v>62.0</v>
      </c>
      <c r="B126" s="3" t="s">
        <v>5222</v>
      </c>
      <c r="C126" s="4" t="s">
        <v>5014</v>
      </c>
      <c r="D126" s="3" t="s">
        <v>4402</v>
      </c>
      <c r="H126" s="4">
        <v>125.0</v>
      </c>
      <c r="I126" s="4" t="s">
        <v>5223</v>
      </c>
      <c r="J126" s="4" t="s">
        <v>5116</v>
      </c>
      <c r="K126" s="4" t="s">
        <v>5013</v>
      </c>
      <c r="L126" s="4" t="str">
        <f>IFERROR(__xludf.DUMMYFUNCTION("""COMPUTED_VALUE"""),"IKDC")</f>
        <v>IKDC</v>
      </c>
    </row>
    <row r="127">
      <c r="A127" s="3">
        <v>63.0</v>
      </c>
      <c r="B127" s="3" t="s">
        <v>5224</v>
      </c>
      <c r="C127" s="4" t="s">
        <v>5013</v>
      </c>
      <c r="D127" s="3" t="s">
        <v>4416</v>
      </c>
      <c r="H127" s="4">
        <v>126.0</v>
      </c>
      <c r="I127" s="4" t="s">
        <v>5223</v>
      </c>
      <c r="J127" s="4" t="s">
        <v>5116</v>
      </c>
      <c r="K127" s="4" t="s">
        <v>5013</v>
      </c>
      <c r="L127" s="4" t="str">
        <f>IFERROR(__xludf.DUMMYFUNCTION("""COMPUTED_VALUE"""),"Tegner")</f>
        <v>Tegner</v>
      </c>
    </row>
    <row r="128">
      <c r="A128" s="3">
        <v>63.0</v>
      </c>
      <c r="B128" s="3" t="s">
        <v>5224</v>
      </c>
      <c r="C128" s="4" t="s">
        <v>5015</v>
      </c>
      <c r="D128" s="3" t="s">
        <v>4416</v>
      </c>
      <c r="H128" s="4">
        <v>127.0</v>
      </c>
      <c r="I128" s="4" t="s">
        <v>5223</v>
      </c>
      <c r="J128" s="4" t="s">
        <v>5116</v>
      </c>
      <c r="K128" s="4" t="s">
        <v>5013</v>
      </c>
      <c r="L128" s="4" t="str">
        <f>IFERROR(__xludf.DUMMYFUNCTION("""COMPUTED_VALUE"""),"Lysholm")</f>
        <v>Lysholm</v>
      </c>
    </row>
    <row r="129">
      <c r="A129" s="3">
        <v>64.0</v>
      </c>
      <c r="B129" s="3" t="s">
        <v>5225</v>
      </c>
      <c r="C129" s="4" t="s">
        <v>5013</v>
      </c>
      <c r="D129" s="3" t="s">
        <v>4392</v>
      </c>
      <c r="H129" s="4">
        <v>128.0</v>
      </c>
      <c r="I129" s="4" t="s">
        <v>5223</v>
      </c>
      <c r="J129" s="4" t="s">
        <v>5116</v>
      </c>
      <c r="K129" s="4" t="s">
        <v>5013</v>
      </c>
      <c r="L129" s="4" t="str">
        <f>IFERROR(__xludf.DUMMYFUNCTION("""COMPUTED_VALUE"""),"instrumented_laxity")</f>
        <v>instrumented_laxity</v>
      </c>
    </row>
    <row r="130">
      <c r="A130" s="3">
        <v>64.0</v>
      </c>
      <c r="B130" s="3" t="s">
        <v>5225</v>
      </c>
      <c r="C130" s="4" t="s">
        <v>5014</v>
      </c>
      <c r="D130" s="3" t="s">
        <v>4392</v>
      </c>
      <c r="H130" s="4">
        <v>129.0</v>
      </c>
      <c r="I130" s="4" t="s">
        <v>5223</v>
      </c>
      <c r="J130" s="4" t="s">
        <v>5116</v>
      </c>
      <c r="K130" s="4" t="s">
        <v>5014</v>
      </c>
      <c r="L130" s="4" t="str">
        <f>IFERROR(__xludf.DUMMYFUNCTION("""COMPUTED_VALUE"""),"IKDC")</f>
        <v>IKDC</v>
      </c>
    </row>
    <row r="131">
      <c r="A131" s="3">
        <v>65.0</v>
      </c>
      <c r="B131" s="3" t="s">
        <v>5227</v>
      </c>
      <c r="C131" s="4" t="s">
        <v>5013</v>
      </c>
      <c r="D131" s="3" t="s">
        <v>4449</v>
      </c>
      <c r="H131" s="4">
        <v>130.0</v>
      </c>
      <c r="I131" s="4" t="s">
        <v>5223</v>
      </c>
      <c r="J131" s="4" t="s">
        <v>5116</v>
      </c>
      <c r="K131" s="4" t="s">
        <v>5014</v>
      </c>
      <c r="L131" s="4" t="str">
        <f>IFERROR(__xludf.DUMMYFUNCTION("""COMPUTED_VALUE"""),"Tegner")</f>
        <v>Tegner</v>
      </c>
    </row>
    <row r="132">
      <c r="A132" s="3">
        <v>65.0</v>
      </c>
      <c r="B132" s="3" t="s">
        <v>5227</v>
      </c>
      <c r="C132" s="4" t="s">
        <v>5014</v>
      </c>
      <c r="D132" s="3" t="s">
        <v>4449</v>
      </c>
      <c r="H132" s="4">
        <v>131.0</v>
      </c>
      <c r="I132" s="4" t="s">
        <v>5223</v>
      </c>
      <c r="J132" s="4" t="s">
        <v>5116</v>
      </c>
      <c r="K132" s="4" t="s">
        <v>5014</v>
      </c>
      <c r="L132" s="4" t="str">
        <f>IFERROR(__xludf.DUMMYFUNCTION("""COMPUTED_VALUE"""),"Lysholm")</f>
        <v>Lysholm</v>
      </c>
    </row>
    <row r="133">
      <c r="A133" s="3">
        <v>66.0</v>
      </c>
      <c r="B133" s="3" t="s">
        <v>5229</v>
      </c>
      <c r="C133" s="4" t="s">
        <v>5014</v>
      </c>
      <c r="D133" s="3" t="s">
        <v>4450</v>
      </c>
      <c r="H133" s="4">
        <v>132.0</v>
      </c>
      <c r="I133" s="4" t="s">
        <v>5223</v>
      </c>
      <c r="J133" s="4" t="s">
        <v>5116</v>
      </c>
      <c r="K133" s="4" t="s">
        <v>5014</v>
      </c>
      <c r="L133" s="4" t="str">
        <f>IFERROR(__xludf.DUMMYFUNCTION("""COMPUTED_VALUE"""),"instrumented_laxity")</f>
        <v>instrumented_laxity</v>
      </c>
    </row>
    <row r="134">
      <c r="A134" s="3">
        <v>66.0</v>
      </c>
      <c r="B134" s="3" t="s">
        <v>5229</v>
      </c>
      <c r="C134" s="4" t="s">
        <v>5015</v>
      </c>
      <c r="D134" s="3" t="s">
        <v>4450</v>
      </c>
      <c r="H134" s="4">
        <v>133.0</v>
      </c>
      <c r="I134" s="4" t="s">
        <v>5230</v>
      </c>
      <c r="J134" s="4" t="s">
        <v>5119</v>
      </c>
      <c r="K134" s="4" t="s">
        <v>5013</v>
      </c>
      <c r="L134" s="4" t="str">
        <f>IFERROR(__xludf.DUMMYFUNCTION("""COMPUTED_VALUE"""),"IKDC")</f>
        <v>IKDC</v>
      </c>
    </row>
    <row r="135">
      <c r="A135" s="3">
        <v>67.0</v>
      </c>
      <c r="B135" s="3" t="s">
        <v>5232</v>
      </c>
      <c r="C135" s="4" t="s">
        <v>5014</v>
      </c>
      <c r="D135" s="3" t="s">
        <v>4451</v>
      </c>
      <c r="H135" s="4">
        <v>134.0</v>
      </c>
      <c r="I135" s="4" t="s">
        <v>5230</v>
      </c>
      <c r="J135" s="4" t="s">
        <v>5119</v>
      </c>
      <c r="K135" s="4" t="s">
        <v>5013</v>
      </c>
      <c r="L135" s="4" t="str">
        <f>IFERROR(__xludf.DUMMYFUNCTION("""COMPUTED_VALUE"""),"Lysholm")</f>
        <v>Lysholm</v>
      </c>
    </row>
    <row r="136">
      <c r="A136" s="3">
        <v>67.0</v>
      </c>
      <c r="B136" s="3" t="s">
        <v>5232</v>
      </c>
      <c r="C136" s="4" t="s">
        <v>5018</v>
      </c>
      <c r="D136" s="3" t="s">
        <v>4451</v>
      </c>
      <c r="H136" s="4">
        <v>135.0</v>
      </c>
      <c r="I136" s="4" t="s">
        <v>5230</v>
      </c>
      <c r="J136" s="4" t="s">
        <v>5119</v>
      </c>
      <c r="K136" s="4" t="s">
        <v>5013</v>
      </c>
      <c r="L136" s="4" t="str">
        <f>IFERROR(__xludf.DUMMYFUNCTION("""COMPUTED_VALUE"""),"pivot_shift")</f>
        <v>pivot_shift</v>
      </c>
    </row>
    <row r="137">
      <c r="A137" s="3">
        <v>68.0</v>
      </c>
      <c r="B137" s="3" t="s">
        <v>5242</v>
      </c>
      <c r="C137" s="4" t="s">
        <v>5013</v>
      </c>
      <c r="D137" s="3" t="s">
        <v>4392</v>
      </c>
      <c r="H137" s="4">
        <v>136.0</v>
      </c>
      <c r="I137" s="4" t="s">
        <v>5230</v>
      </c>
      <c r="J137" s="4" t="s">
        <v>5119</v>
      </c>
      <c r="K137" s="4" t="s">
        <v>5013</v>
      </c>
      <c r="L137" s="4" t="str">
        <f>IFERROR(__xludf.DUMMYFUNCTION("""COMPUTED_VALUE"""),"Lachman")</f>
        <v>Lachman</v>
      </c>
    </row>
    <row r="138">
      <c r="A138" s="3">
        <v>68.0</v>
      </c>
      <c r="B138" s="3" t="s">
        <v>5242</v>
      </c>
      <c r="C138" s="4" t="s">
        <v>5014</v>
      </c>
      <c r="D138" s="3" t="s">
        <v>4392</v>
      </c>
      <c r="H138" s="4">
        <v>137.0</v>
      </c>
      <c r="I138" s="4" t="s">
        <v>5230</v>
      </c>
      <c r="J138" s="4" t="s">
        <v>5119</v>
      </c>
      <c r="K138" s="4" t="s">
        <v>5014</v>
      </c>
      <c r="L138" s="4" t="str">
        <f>IFERROR(__xludf.DUMMYFUNCTION("""COMPUTED_VALUE"""),"IKDC")</f>
        <v>IKDC</v>
      </c>
    </row>
    <row r="139">
      <c r="H139" s="4">
        <v>138.0</v>
      </c>
      <c r="I139" s="4" t="s">
        <v>5230</v>
      </c>
      <c r="J139" s="4" t="s">
        <v>5119</v>
      </c>
      <c r="K139" s="4" t="s">
        <v>5014</v>
      </c>
      <c r="L139" s="4" t="str">
        <f>IFERROR(__xludf.DUMMYFUNCTION("""COMPUTED_VALUE"""),"Lysholm")</f>
        <v>Lysholm</v>
      </c>
    </row>
    <row r="140">
      <c r="H140" s="4">
        <v>139.0</v>
      </c>
      <c r="I140" s="4" t="s">
        <v>5230</v>
      </c>
      <c r="J140" s="4" t="s">
        <v>5119</v>
      </c>
      <c r="K140" s="4" t="s">
        <v>5014</v>
      </c>
      <c r="L140" s="4" t="str">
        <f>IFERROR(__xludf.DUMMYFUNCTION("""COMPUTED_VALUE"""),"pivot_shift")</f>
        <v>pivot_shift</v>
      </c>
    </row>
    <row r="141">
      <c r="H141" s="4">
        <v>140.0</v>
      </c>
      <c r="I141" s="4" t="s">
        <v>5230</v>
      </c>
      <c r="J141" s="4" t="s">
        <v>5119</v>
      </c>
      <c r="K141" s="4" t="s">
        <v>5014</v>
      </c>
      <c r="L141" s="4" t="str">
        <f>IFERROR(__xludf.DUMMYFUNCTION("""COMPUTED_VALUE"""),"Lachman")</f>
        <v>Lachman</v>
      </c>
    </row>
    <row r="142">
      <c r="H142" s="4">
        <v>141.0</v>
      </c>
      <c r="I142" s="4" t="s">
        <v>5244</v>
      </c>
      <c r="J142" s="4" t="s">
        <v>5123</v>
      </c>
      <c r="K142" s="4" t="s">
        <v>5013</v>
      </c>
      <c r="L142" s="4" t="str">
        <f>IFERROR(__xludf.DUMMYFUNCTION("""COMPUTED_VALUE"""),"IKDC")</f>
        <v>IKDC</v>
      </c>
    </row>
    <row r="143">
      <c r="H143" s="4">
        <v>142.0</v>
      </c>
      <c r="I143" s="4" t="s">
        <v>5244</v>
      </c>
      <c r="J143" s="4" t="s">
        <v>5123</v>
      </c>
      <c r="K143" s="4" t="s">
        <v>5013</v>
      </c>
      <c r="L143" s="4" t="str">
        <f>IFERROR(__xludf.DUMMYFUNCTION("""COMPUTED_VALUE"""),"Tegner")</f>
        <v>Tegner</v>
      </c>
    </row>
    <row r="144">
      <c r="H144" s="4">
        <v>143.0</v>
      </c>
      <c r="I144" s="4" t="s">
        <v>5244</v>
      </c>
      <c r="J144" s="4" t="s">
        <v>5123</v>
      </c>
      <c r="K144" s="4" t="s">
        <v>5013</v>
      </c>
      <c r="L144" s="4" t="str">
        <f>IFERROR(__xludf.DUMMYFUNCTION("""COMPUTED_VALUE"""),"Lysholm")</f>
        <v>Lysholm</v>
      </c>
    </row>
    <row r="145">
      <c r="H145" s="4">
        <v>144.0</v>
      </c>
      <c r="I145" s="4" t="s">
        <v>5244</v>
      </c>
      <c r="J145" s="4" t="s">
        <v>5123</v>
      </c>
      <c r="K145" s="4" t="s">
        <v>5013</v>
      </c>
      <c r="L145" s="4" t="str">
        <f>IFERROR(__xludf.DUMMYFUNCTION("""COMPUTED_VALUE"""),"instrumented_laxity")</f>
        <v>instrumented_laxity</v>
      </c>
    </row>
    <row r="146">
      <c r="H146" s="4">
        <v>145.0</v>
      </c>
      <c r="I146" s="4" t="s">
        <v>5244</v>
      </c>
      <c r="J146" s="4" t="s">
        <v>5123</v>
      </c>
      <c r="K146" s="4" t="s">
        <v>5013</v>
      </c>
      <c r="L146" s="4" t="str">
        <f>IFERROR(__xludf.DUMMYFUNCTION("""COMPUTED_VALUE"""),"pivot_shift")</f>
        <v>pivot_shift</v>
      </c>
    </row>
    <row r="147">
      <c r="H147" s="4">
        <v>146.0</v>
      </c>
      <c r="I147" s="4" t="s">
        <v>5244</v>
      </c>
      <c r="J147" s="4" t="s">
        <v>5123</v>
      </c>
      <c r="K147" s="4" t="s">
        <v>5014</v>
      </c>
      <c r="L147" s="4" t="str">
        <f>IFERROR(__xludf.DUMMYFUNCTION("""COMPUTED_VALUE"""),"IKDC")</f>
        <v>IKDC</v>
      </c>
    </row>
    <row r="148">
      <c r="H148" s="4">
        <v>147.0</v>
      </c>
      <c r="I148" s="4" t="s">
        <v>5244</v>
      </c>
      <c r="J148" s="4" t="s">
        <v>5123</v>
      </c>
      <c r="K148" s="4" t="s">
        <v>5014</v>
      </c>
      <c r="L148" s="4" t="str">
        <f>IFERROR(__xludf.DUMMYFUNCTION("""COMPUTED_VALUE"""),"Tegner")</f>
        <v>Tegner</v>
      </c>
    </row>
    <row r="149">
      <c r="H149" s="4">
        <v>148.0</v>
      </c>
      <c r="I149" s="4" t="s">
        <v>5244</v>
      </c>
      <c r="J149" s="4" t="s">
        <v>5123</v>
      </c>
      <c r="K149" s="4" t="s">
        <v>5014</v>
      </c>
      <c r="L149" s="4" t="str">
        <f>IFERROR(__xludf.DUMMYFUNCTION("""COMPUTED_VALUE"""),"Lysholm")</f>
        <v>Lysholm</v>
      </c>
    </row>
    <row r="150">
      <c r="H150" s="4">
        <v>149.0</v>
      </c>
      <c r="I150" s="4" t="s">
        <v>5244</v>
      </c>
      <c r="J150" s="4" t="s">
        <v>5123</v>
      </c>
      <c r="K150" s="4" t="s">
        <v>5014</v>
      </c>
      <c r="L150" s="4" t="str">
        <f>IFERROR(__xludf.DUMMYFUNCTION("""COMPUTED_VALUE"""),"instrumented_laxity")</f>
        <v>instrumented_laxity</v>
      </c>
    </row>
    <row r="151">
      <c r="H151" s="4">
        <v>150.0</v>
      </c>
      <c r="I151" s="4" t="s">
        <v>5244</v>
      </c>
      <c r="J151" s="4" t="s">
        <v>5123</v>
      </c>
      <c r="K151" s="4" t="s">
        <v>5014</v>
      </c>
      <c r="L151" s="4" t="str">
        <f>IFERROR(__xludf.DUMMYFUNCTION("""COMPUTED_VALUE"""),"pivot_shift")</f>
        <v>pivot_shift</v>
      </c>
    </row>
    <row r="152">
      <c r="H152" s="4">
        <v>151.0</v>
      </c>
      <c r="I152" s="4" t="s">
        <v>5246</v>
      </c>
      <c r="J152" s="4" t="s">
        <v>5126</v>
      </c>
      <c r="K152" s="4" t="s">
        <v>5013</v>
      </c>
      <c r="L152" s="4" t="str">
        <f>IFERROR(__xludf.DUMMYFUNCTION("""COMPUTED_VALUE"""),"Tegner")</f>
        <v>Tegner</v>
      </c>
    </row>
    <row r="153">
      <c r="H153" s="4">
        <v>152.0</v>
      </c>
      <c r="I153" s="4" t="s">
        <v>5246</v>
      </c>
      <c r="J153" s="4" t="s">
        <v>5126</v>
      </c>
      <c r="K153" s="4" t="s">
        <v>5013</v>
      </c>
      <c r="L153" s="4" t="str">
        <f>IFERROR(__xludf.DUMMYFUNCTION("""COMPUTED_VALUE"""),"instrumented_laxity")</f>
        <v>instrumented_laxity</v>
      </c>
    </row>
    <row r="154">
      <c r="H154" s="4">
        <v>153.0</v>
      </c>
      <c r="I154" s="4" t="s">
        <v>5246</v>
      </c>
      <c r="J154" s="4" t="s">
        <v>5126</v>
      </c>
      <c r="K154" s="4" t="s">
        <v>5013</v>
      </c>
      <c r="L154" s="4" t="str">
        <f>IFERROR(__xludf.DUMMYFUNCTION("""COMPUTED_VALUE"""),"pivot_shift")</f>
        <v>pivot_shift</v>
      </c>
    </row>
    <row r="155">
      <c r="H155" s="4">
        <v>154.0</v>
      </c>
      <c r="I155" s="4" t="s">
        <v>5246</v>
      </c>
      <c r="J155" s="4" t="s">
        <v>5126</v>
      </c>
      <c r="K155" s="4" t="s">
        <v>5014</v>
      </c>
      <c r="L155" s="4" t="str">
        <f>IFERROR(__xludf.DUMMYFUNCTION("""COMPUTED_VALUE"""),"Tegner")</f>
        <v>Tegner</v>
      </c>
    </row>
    <row r="156">
      <c r="H156" s="4">
        <v>155.0</v>
      </c>
      <c r="I156" s="4" t="s">
        <v>5246</v>
      </c>
      <c r="J156" s="4" t="s">
        <v>5126</v>
      </c>
      <c r="K156" s="4" t="s">
        <v>5014</v>
      </c>
      <c r="L156" s="4" t="str">
        <f>IFERROR(__xludf.DUMMYFUNCTION("""COMPUTED_VALUE"""),"instrumented_laxity")</f>
        <v>instrumented_laxity</v>
      </c>
    </row>
    <row r="157">
      <c r="H157" s="4">
        <v>156.0</v>
      </c>
      <c r="I157" s="4" t="s">
        <v>5246</v>
      </c>
      <c r="J157" s="4" t="s">
        <v>5126</v>
      </c>
      <c r="K157" s="4" t="s">
        <v>5014</v>
      </c>
      <c r="L157" s="4" t="str">
        <f>IFERROR(__xludf.DUMMYFUNCTION("""COMPUTED_VALUE"""),"pivot_shift")</f>
        <v>pivot_shift</v>
      </c>
    </row>
    <row r="158">
      <c r="H158" s="4">
        <v>157.0</v>
      </c>
      <c r="I158" s="4" t="s">
        <v>5247</v>
      </c>
      <c r="J158" s="4" t="s">
        <v>5129</v>
      </c>
      <c r="K158" s="4" t="s">
        <v>5013</v>
      </c>
      <c r="L158" s="4" t="str">
        <f>IFERROR(__xludf.DUMMYFUNCTION("""COMPUTED_VALUE"""),"instrumented_laxity")</f>
        <v>instrumented_laxity</v>
      </c>
    </row>
    <row r="159">
      <c r="H159" s="4">
        <v>158.0</v>
      </c>
      <c r="I159" s="4" t="s">
        <v>5247</v>
      </c>
      <c r="J159" s="4" t="s">
        <v>5129</v>
      </c>
      <c r="K159" s="4" t="s">
        <v>5013</v>
      </c>
      <c r="L159" s="4" t="str">
        <f>IFERROR(__xludf.DUMMYFUNCTION("""COMPUTED_VALUE"""),"Tegner")</f>
        <v>Tegner</v>
      </c>
    </row>
    <row r="160">
      <c r="H160" s="4">
        <v>159.0</v>
      </c>
      <c r="I160" s="4" t="s">
        <v>5247</v>
      </c>
      <c r="J160" s="4" t="s">
        <v>5129</v>
      </c>
      <c r="K160" s="4" t="s">
        <v>5014</v>
      </c>
      <c r="L160" s="4" t="str">
        <f>IFERROR(__xludf.DUMMYFUNCTION("""COMPUTED_VALUE"""),"instrumented_laxity")</f>
        <v>instrumented_laxity</v>
      </c>
    </row>
    <row r="161">
      <c r="H161" s="4">
        <v>160.0</v>
      </c>
      <c r="I161" s="4" t="s">
        <v>5247</v>
      </c>
      <c r="J161" s="4" t="s">
        <v>5129</v>
      </c>
      <c r="K161" s="4" t="s">
        <v>5014</v>
      </c>
      <c r="L161" s="4" t="str">
        <f>IFERROR(__xludf.DUMMYFUNCTION("""COMPUTED_VALUE"""),"Tegner")</f>
        <v>Tegner</v>
      </c>
    </row>
    <row r="162">
      <c r="H162" s="4">
        <v>161.0</v>
      </c>
      <c r="I162" s="4" t="s">
        <v>5248</v>
      </c>
      <c r="J162" s="4" t="s">
        <v>5134</v>
      </c>
      <c r="K162" s="4" t="s">
        <v>5014</v>
      </c>
      <c r="L162" s="4" t="str">
        <f>IFERROR(__xludf.DUMMYFUNCTION("""COMPUTED_VALUE"""),"IKDC")</f>
        <v>IKDC</v>
      </c>
    </row>
    <row r="163">
      <c r="H163" s="4">
        <v>162.0</v>
      </c>
      <c r="I163" s="4" t="s">
        <v>5248</v>
      </c>
      <c r="J163" s="4" t="s">
        <v>5134</v>
      </c>
      <c r="K163" s="4" t="s">
        <v>5014</v>
      </c>
      <c r="L163" s="4" t="str">
        <f>IFERROR(__xludf.DUMMYFUNCTION("""COMPUTED_VALUE"""),"Lysholm")</f>
        <v>Lysholm</v>
      </c>
    </row>
    <row r="164">
      <c r="H164" s="4">
        <v>163.0</v>
      </c>
      <c r="I164" s="4" t="s">
        <v>5248</v>
      </c>
      <c r="J164" s="4" t="s">
        <v>5134</v>
      </c>
      <c r="K164" s="4" t="s">
        <v>5014</v>
      </c>
      <c r="L164" s="4" t="str">
        <f>IFERROR(__xludf.DUMMYFUNCTION("""COMPUTED_VALUE"""),"instrumented_laxity")</f>
        <v>instrumented_laxity</v>
      </c>
    </row>
    <row r="165">
      <c r="H165" s="4">
        <v>164.0</v>
      </c>
      <c r="I165" s="4" t="s">
        <v>5248</v>
      </c>
      <c r="J165" s="4" t="s">
        <v>5134</v>
      </c>
      <c r="K165" s="4" t="s">
        <v>5015</v>
      </c>
      <c r="L165" s="4" t="str">
        <f>IFERROR(__xludf.DUMMYFUNCTION("""COMPUTED_VALUE"""),"IKDC")</f>
        <v>IKDC</v>
      </c>
    </row>
    <row r="166">
      <c r="H166" s="4">
        <v>165.0</v>
      </c>
      <c r="I166" s="4" t="s">
        <v>5248</v>
      </c>
      <c r="J166" s="4" t="s">
        <v>5134</v>
      </c>
      <c r="K166" s="4" t="s">
        <v>5015</v>
      </c>
      <c r="L166" s="4" t="str">
        <f>IFERROR(__xludf.DUMMYFUNCTION("""COMPUTED_VALUE"""),"Lysholm")</f>
        <v>Lysholm</v>
      </c>
    </row>
    <row r="167">
      <c r="H167" s="4">
        <v>166.0</v>
      </c>
      <c r="I167" s="4" t="s">
        <v>5248</v>
      </c>
      <c r="J167" s="4" t="s">
        <v>5134</v>
      </c>
      <c r="K167" s="4" t="s">
        <v>5015</v>
      </c>
      <c r="L167" s="4" t="str">
        <f>IFERROR(__xludf.DUMMYFUNCTION("""COMPUTED_VALUE"""),"instrumented_laxity")</f>
        <v>instrumented_laxity</v>
      </c>
    </row>
    <row r="168">
      <c r="H168" s="4">
        <v>167.0</v>
      </c>
      <c r="I168" s="4" t="s">
        <v>5249</v>
      </c>
      <c r="J168" s="4" t="s">
        <v>5137</v>
      </c>
      <c r="K168" s="4" t="s">
        <v>5013</v>
      </c>
      <c r="L168" s="4" t="str">
        <f>IFERROR(__xludf.DUMMYFUNCTION("""COMPUTED_VALUE"""),"Lachman")</f>
        <v>Lachman</v>
      </c>
    </row>
    <row r="169">
      <c r="H169" s="4">
        <v>168.0</v>
      </c>
      <c r="I169" s="4" t="s">
        <v>5249</v>
      </c>
      <c r="J169" s="4" t="s">
        <v>5137</v>
      </c>
      <c r="K169" s="4" t="s">
        <v>5013</v>
      </c>
      <c r="L169" s="4" t="str">
        <f>IFERROR(__xludf.DUMMYFUNCTION("""COMPUTED_VALUE"""),"Lysholm")</f>
        <v>Lysholm</v>
      </c>
    </row>
    <row r="170">
      <c r="H170" s="4">
        <v>169.0</v>
      </c>
      <c r="I170" s="4" t="s">
        <v>5249</v>
      </c>
      <c r="J170" s="4" t="s">
        <v>5137</v>
      </c>
      <c r="K170" s="4" t="s">
        <v>5013</v>
      </c>
      <c r="L170" s="4" t="str">
        <f>IFERROR(__xludf.DUMMYFUNCTION("""COMPUTED_VALUE"""),"instrumented_laxity")</f>
        <v>instrumented_laxity</v>
      </c>
    </row>
    <row r="171">
      <c r="H171" s="4">
        <v>170.0</v>
      </c>
      <c r="I171" s="4" t="s">
        <v>5249</v>
      </c>
      <c r="J171" s="4" t="s">
        <v>5137</v>
      </c>
      <c r="K171" s="4" t="s">
        <v>5013</v>
      </c>
      <c r="L171" s="4" t="str">
        <f>IFERROR(__xludf.DUMMYFUNCTION("""COMPUTED_VALUE"""),"pivot_shift")</f>
        <v>pivot_shift</v>
      </c>
    </row>
    <row r="172">
      <c r="H172" s="4">
        <v>171.0</v>
      </c>
      <c r="I172" s="4" t="s">
        <v>5249</v>
      </c>
      <c r="J172" s="4" t="s">
        <v>5137</v>
      </c>
      <c r="K172" s="4" t="s">
        <v>5014</v>
      </c>
      <c r="L172" s="4" t="str">
        <f>IFERROR(__xludf.DUMMYFUNCTION("""COMPUTED_VALUE"""),"Lachman")</f>
        <v>Lachman</v>
      </c>
    </row>
    <row r="173">
      <c r="H173" s="4">
        <v>172.0</v>
      </c>
      <c r="I173" s="4" t="s">
        <v>5249</v>
      </c>
      <c r="J173" s="4" t="s">
        <v>5137</v>
      </c>
      <c r="K173" s="4" t="s">
        <v>5014</v>
      </c>
      <c r="L173" s="4" t="str">
        <f>IFERROR(__xludf.DUMMYFUNCTION("""COMPUTED_VALUE"""),"Lysholm")</f>
        <v>Lysholm</v>
      </c>
    </row>
    <row r="174">
      <c r="H174" s="4">
        <v>173.0</v>
      </c>
      <c r="I174" s="4" t="s">
        <v>5249</v>
      </c>
      <c r="J174" s="4" t="s">
        <v>5137</v>
      </c>
      <c r="K174" s="4" t="s">
        <v>5014</v>
      </c>
      <c r="L174" s="4" t="str">
        <f>IFERROR(__xludf.DUMMYFUNCTION("""COMPUTED_VALUE"""),"instrumented_laxity")</f>
        <v>instrumented_laxity</v>
      </c>
    </row>
    <row r="175">
      <c r="H175" s="4">
        <v>174.0</v>
      </c>
      <c r="I175" s="4" t="s">
        <v>5249</v>
      </c>
      <c r="J175" s="4" t="s">
        <v>5137</v>
      </c>
      <c r="K175" s="4" t="s">
        <v>5014</v>
      </c>
      <c r="L175" s="4" t="str">
        <f>IFERROR(__xludf.DUMMYFUNCTION("""COMPUTED_VALUE"""),"pivot_shift")</f>
        <v>pivot_shift</v>
      </c>
    </row>
    <row r="176">
      <c r="H176" s="4">
        <v>175.0</v>
      </c>
      <c r="I176" s="4" t="s">
        <v>5250</v>
      </c>
      <c r="J176" s="4" t="s">
        <v>5140</v>
      </c>
      <c r="K176" s="4" t="s">
        <v>5013</v>
      </c>
      <c r="L176" s="4" t="str">
        <f>IFERROR(__xludf.DUMMYFUNCTION("""COMPUTED_VALUE"""),"IKDC")</f>
        <v>IKDC</v>
      </c>
    </row>
    <row r="177">
      <c r="H177" s="4">
        <v>176.0</v>
      </c>
      <c r="I177" s="4" t="s">
        <v>5250</v>
      </c>
      <c r="J177" s="4" t="s">
        <v>5140</v>
      </c>
      <c r="K177" s="4" t="s">
        <v>5013</v>
      </c>
      <c r="L177" s="4" t="str">
        <f>IFERROR(__xludf.DUMMYFUNCTION("""COMPUTED_VALUE"""),"Lysholm")</f>
        <v>Lysholm</v>
      </c>
    </row>
    <row r="178">
      <c r="H178" s="4">
        <v>177.0</v>
      </c>
      <c r="I178" s="4" t="s">
        <v>5250</v>
      </c>
      <c r="J178" s="4" t="s">
        <v>5140</v>
      </c>
      <c r="K178" s="4" t="s">
        <v>5013</v>
      </c>
      <c r="L178" s="4" t="str">
        <f>IFERROR(__xludf.DUMMYFUNCTION("""COMPUTED_VALUE"""),"pivot_shift")</f>
        <v>pivot_shift</v>
      </c>
    </row>
    <row r="179">
      <c r="H179" s="4">
        <v>178.0</v>
      </c>
      <c r="I179" s="4" t="s">
        <v>5250</v>
      </c>
      <c r="J179" s="4" t="s">
        <v>5140</v>
      </c>
      <c r="K179" s="4" t="s">
        <v>5013</v>
      </c>
      <c r="L179" s="4" t="str">
        <f>IFERROR(__xludf.DUMMYFUNCTION("""COMPUTED_VALUE"""),"Lachman")</f>
        <v>Lachman</v>
      </c>
    </row>
    <row r="180">
      <c r="H180" s="4">
        <v>179.0</v>
      </c>
      <c r="I180" s="4" t="s">
        <v>5250</v>
      </c>
      <c r="J180" s="4" t="s">
        <v>5140</v>
      </c>
      <c r="K180" s="4" t="s">
        <v>5014</v>
      </c>
      <c r="L180" s="4" t="str">
        <f>IFERROR(__xludf.DUMMYFUNCTION("""COMPUTED_VALUE"""),"IKDC")</f>
        <v>IKDC</v>
      </c>
    </row>
    <row r="181">
      <c r="H181" s="4">
        <v>180.0</v>
      </c>
      <c r="I181" s="4" t="s">
        <v>5250</v>
      </c>
      <c r="J181" s="4" t="s">
        <v>5140</v>
      </c>
      <c r="K181" s="4" t="s">
        <v>5014</v>
      </c>
      <c r="L181" s="4" t="str">
        <f>IFERROR(__xludf.DUMMYFUNCTION("""COMPUTED_VALUE"""),"Lysholm")</f>
        <v>Lysholm</v>
      </c>
    </row>
    <row r="182">
      <c r="H182" s="4">
        <v>181.0</v>
      </c>
      <c r="I182" s="4" t="s">
        <v>5250</v>
      </c>
      <c r="J182" s="4" t="s">
        <v>5140</v>
      </c>
      <c r="K182" s="4" t="s">
        <v>5014</v>
      </c>
      <c r="L182" s="4" t="str">
        <f>IFERROR(__xludf.DUMMYFUNCTION("""COMPUTED_VALUE"""),"pivot_shift")</f>
        <v>pivot_shift</v>
      </c>
    </row>
    <row r="183">
      <c r="H183" s="4">
        <v>182.0</v>
      </c>
      <c r="I183" s="4" t="s">
        <v>5250</v>
      </c>
      <c r="J183" s="4" t="s">
        <v>5140</v>
      </c>
      <c r="K183" s="4" t="s">
        <v>5014</v>
      </c>
      <c r="L183" s="4" t="str">
        <f>IFERROR(__xludf.DUMMYFUNCTION("""COMPUTED_VALUE"""),"Lachman")</f>
        <v>Lachman</v>
      </c>
    </row>
    <row r="184">
      <c r="H184" s="4">
        <v>183.0</v>
      </c>
      <c r="I184" s="4" t="s">
        <v>5251</v>
      </c>
      <c r="J184" s="4" t="s">
        <v>5152</v>
      </c>
      <c r="K184" s="4" t="s">
        <v>5013</v>
      </c>
      <c r="L184" s="4" t="str">
        <f>IFERROR(__xludf.DUMMYFUNCTION("""COMPUTED_VALUE"""),"Lachman")</f>
        <v>Lachman</v>
      </c>
    </row>
    <row r="185">
      <c r="H185" s="4">
        <v>184.0</v>
      </c>
      <c r="I185" s="4" t="s">
        <v>5251</v>
      </c>
      <c r="J185" s="4" t="s">
        <v>5152</v>
      </c>
      <c r="K185" s="4" t="s">
        <v>5013</v>
      </c>
      <c r="L185" s="4" t="str">
        <f>IFERROR(__xludf.DUMMYFUNCTION("""COMPUTED_VALUE"""),"pivot_shift")</f>
        <v>pivot_shift</v>
      </c>
    </row>
    <row r="186">
      <c r="H186" s="4">
        <v>185.0</v>
      </c>
      <c r="I186" s="4" t="s">
        <v>5251</v>
      </c>
      <c r="J186" s="4" t="s">
        <v>5152</v>
      </c>
      <c r="K186" s="4" t="s">
        <v>5013</v>
      </c>
      <c r="L186" s="4" t="str">
        <f>IFERROR(__xludf.DUMMYFUNCTION("""COMPUTED_VALUE"""),"instrumented_laxity")</f>
        <v>instrumented_laxity</v>
      </c>
    </row>
    <row r="187">
      <c r="H187" s="4">
        <v>186.0</v>
      </c>
      <c r="I187" s="4" t="s">
        <v>5251</v>
      </c>
      <c r="J187" s="4" t="s">
        <v>5152</v>
      </c>
      <c r="K187" s="4" t="s">
        <v>5013</v>
      </c>
      <c r="L187" s="4" t="str">
        <f>IFERROR(__xludf.DUMMYFUNCTION("""COMPUTED_VALUE"""),"Lysholm")</f>
        <v>Lysholm</v>
      </c>
    </row>
    <row r="188">
      <c r="H188" s="4">
        <v>187.0</v>
      </c>
      <c r="I188" s="4" t="s">
        <v>5251</v>
      </c>
      <c r="J188" s="4" t="s">
        <v>5152</v>
      </c>
      <c r="K188" s="4" t="s">
        <v>5013</v>
      </c>
      <c r="L188" s="4" t="str">
        <f>IFERROR(__xludf.DUMMYFUNCTION("""COMPUTED_VALUE"""),"Tegner")</f>
        <v>Tegner</v>
      </c>
    </row>
    <row r="189">
      <c r="H189" s="4">
        <v>188.0</v>
      </c>
      <c r="I189" s="4" t="s">
        <v>5251</v>
      </c>
      <c r="J189" s="4" t="s">
        <v>5152</v>
      </c>
      <c r="K189" s="4" t="s">
        <v>5014</v>
      </c>
      <c r="L189" s="4" t="str">
        <f>IFERROR(__xludf.DUMMYFUNCTION("""COMPUTED_VALUE"""),"Lachman")</f>
        <v>Lachman</v>
      </c>
    </row>
    <row r="190">
      <c r="H190" s="4">
        <v>189.0</v>
      </c>
      <c r="I190" s="4" t="s">
        <v>5251</v>
      </c>
      <c r="J190" s="4" t="s">
        <v>5152</v>
      </c>
      <c r="K190" s="4" t="s">
        <v>5014</v>
      </c>
      <c r="L190" s="4" t="str">
        <f>IFERROR(__xludf.DUMMYFUNCTION("""COMPUTED_VALUE"""),"pivot_shift")</f>
        <v>pivot_shift</v>
      </c>
    </row>
    <row r="191">
      <c r="H191" s="4">
        <v>190.0</v>
      </c>
      <c r="I191" s="4" t="s">
        <v>5251</v>
      </c>
      <c r="J191" s="4" t="s">
        <v>5152</v>
      </c>
      <c r="K191" s="4" t="s">
        <v>5014</v>
      </c>
      <c r="L191" s="4" t="str">
        <f>IFERROR(__xludf.DUMMYFUNCTION("""COMPUTED_VALUE"""),"instrumented_laxity")</f>
        <v>instrumented_laxity</v>
      </c>
    </row>
    <row r="192">
      <c r="H192" s="4">
        <v>191.0</v>
      </c>
      <c r="I192" s="4" t="s">
        <v>5251</v>
      </c>
      <c r="J192" s="4" t="s">
        <v>5152</v>
      </c>
      <c r="K192" s="4" t="s">
        <v>5014</v>
      </c>
      <c r="L192" s="4" t="str">
        <f>IFERROR(__xludf.DUMMYFUNCTION("""COMPUTED_VALUE"""),"Lysholm")</f>
        <v>Lysholm</v>
      </c>
    </row>
    <row r="193">
      <c r="H193" s="4">
        <v>192.0</v>
      </c>
      <c r="I193" s="4" t="s">
        <v>5251</v>
      </c>
      <c r="J193" s="4" t="s">
        <v>5152</v>
      </c>
      <c r="K193" s="4" t="s">
        <v>5014</v>
      </c>
      <c r="L193" s="4" t="str">
        <f>IFERROR(__xludf.DUMMYFUNCTION("""COMPUTED_VALUE"""),"Tegner")</f>
        <v>Tegner</v>
      </c>
    </row>
    <row r="194">
      <c r="H194" s="4">
        <v>193.0</v>
      </c>
      <c r="I194" s="4" t="s">
        <v>5253</v>
      </c>
      <c r="J194" s="4" t="s">
        <v>5163</v>
      </c>
      <c r="K194" s="4" t="s">
        <v>5013</v>
      </c>
      <c r="L194" s="4" t="str">
        <f>IFERROR(__xludf.DUMMYFUNCTION("""COMPUTED_VALUE"""),"Lysholm")</f>
        <v>Lysholm</v>
      </c>
    </row>
    <row r="195">
      <c r="H195" s="4">
        <v>194.0</v>
      </c>
      <c r="I195" s="4" t="s">
        <v>5253</v>
      </c>
      <c r="J195" s="4" t="s">
        <v>5163</v>
      </c>
      <c r="K195" s="4" t="s">
        <v>5013</v>
      </c>
      <c r="L195" s="4" t="str">
        <f>IFERROR(__xludf.DUMMYFUNCTION("""COMPUTED_VALUE"""),"instrumented_laxity")</f>
        <v>instrumented_laxity</v>
      </c>
    </row>
    <row r="196">
      <c r="H196" s="4">
        <v>195.0</v>
      </c>
      <c r="I196" s="4" t="s">
        <v>5253</v>
      </c>
      <c r="J196" s="4" t="s">
        <v>5163</v>
      </c>
      <c r="K196" s="4" t="s">
        <v>5014</v>
      </c>
      <c r="L196" s="4" t="str">
        <f>IFERROR(__xludf.DUMMYFUNCTION("""COMPUTED_VALUE"""),"Lysholm")</f>
        <v>Lysholm</v>
      </c>
    </row>
    <row r="197">
      <c r="H197" s="4">
        <v>196.0</v>
      </c>
      <c r="I197" s="4" t="s">
        <v>5253</v>
      </c>
      <c r="J197" s="4" t="s">
        <v>5163</v>
      </c>
      <c r="K197" s="4" t="s">
        <v>5014</v>
      </c>
      <c r="L197" s="4" t="str">
        <f>IFERROR(__xludf.DUMMYFUNCTION("""COMPUTED_VALUE"""),"instrumented_laxity")</f>
        <v>instrumented_laxity</v>
      </c>
    </row>
    <row r="198">
      <c r="H198" s="4">
        <v>197.0</v>
      </c>
      <c r="I198" s="4" t="s">
        <v>5254</v>
      </c>
      <c r="J198" s="4" t="s">
        <v>5169</v>
      </c>
      <c r="K198" s="4" t="s">
        <v>5013</v>
      </c>
      <c r="L198" s="4" t="str">
        <f>IFERROR(__xludf.DUMMYFUNCTION("""COMPUTED_VALUE"""),"IKDC")</f>
        <v>IKDC</v>
      </c>
    </row>
    <row r="199">
      <c r="H199" s="4">
        <v>198.0</v>
      </c>
      <c r="I199" s="4" t="s">
        <v>5254</v>
      </c>
      <c r="J199" s="4" t="s">
        <v>5169</v>
      </c>
      <c r="K199" s="4" t="s">
        <v>5013</v>
      </c>
      <c r="L199" s="4" t="str">
        <f>IFERROR(__xludf.DUMMYFUNCTION("""COMPUTED_VALUE"""),"Lysholm")</f>
        <v>Lysholm</v>
      </c>
    </row>
    <row r="200">
      <c r="H200" s="4">
        <v>199.0</v>
      </c>
      <c r="I200" s="4" t="s">
        <v>5254</v>
      </c>
      <c r="J200" s="4" t="s">
        <v>5169</v>
      </c>
      <c r="K200" s="4" t="s">
        <v>5015</v>
      </c>
      <c r="L200" s="4" t="str">
        <f>IFERROR(__xludf.DUMMYFUNCTION("""COMPUTED_VALUE"""),"IKDC")</f>
        <v>IKDC</v>
      </c>
    </row>
    <row r="201">
      <c r="H201" s="4">
        <v>200.0</v>
      </c>
      <c r="I201" s="4" t="s">
        <v>5254</v>
      </c>
      <c r="J201" s="4" t="s">
        <v>5169</v>
      </c>
      <c r="K201" s="4" t="s">
        <v>5015</v>
      </c>
      <c r="L201" s="4" t="str">
        <f>IFERROR(__xludf.DUMMYFUNCTION("""COMPUTED_VALUE"""),"Lysholm")</f>
        <v>Lysholm</v>
      </c>
    </row>
    <row r="202">
      <c r="H202" s="4">
        <v>201.0</v>
      </c>
      <c r="I202" s="4" t="s">
        <v>5255</v>
      </c>
      <c r="J202" s="4" t="s">
        <v>5174</v>
      </c>
      <c r="K202" s="4" t="s">
        <v>5013</v>
      </c>
      <c r="L202" s="4" t="str">
        <f>IFERROR(__xludf.DUMMYFUNCTION("""COMPUTED_VALUE"""),"instrumented_laxity")</f>
        <v>instrumented_laxity</v>
      </c>
    </row>
    <row r="203">
      <c r="H203" s="4">
        <v>202.0</v>
      </c>
      <c r="I203" s="4" t="s">
        <v>5255</v>
      </c>
      <c r="J203" s="4" t="s">
        <v>5174</v>
      </c>
      <c r="K203" s="4" t="s">
        <v>5013</v>
      </c>
      <c r="L203" s="4" t="str">
        <f>IFERROR(__xludf.DUMMYFUNCTION("""COMPUTED_VALUE"""),"pivot_shift")</f>
        <v>pivot_shift</v>
      </c>
    </row>
    <row r="204">
      <c r="H204" s="4">
        <v>203.0</v>
      </c>
      <c r="I204" s="4" t="s">
        <v>5255</v>
      </c>
      <c r="J204" s="4" t="s">
        <v>5174</v>
      </c>
      <c r="K204" s="4" t="s">
        <v>5013</v>
      </c>
      <c r="L204" s="4" t="str">
        <f>IFERROR(__xludf.DUMMYFUNCTION("""COMPUTED_VALUE"""),"Lachman")</f>
        <v>Lachman</v>
      </c>
    </row>
    <row r="205">
      <c r="H205" s="4">
        <v>204.0</v>
      </c>
      <c r="I205" s="4" t="s">
        <v>5255</v>
      </c>
      <c r="J205" s="4" t="s">
        <v>5174</v>
      </c>
      <c r="K205" s="4" t="s">
        <v>5013</v>
      </c>
      <c r="L205" s="4" t="str">
        <f>IFERROR(__xludf.DUMMYFUNCTION("""COMPUTED_VALUE"""),"IKDC")</f>
        <v>IKDC</v>
      </c>
    </row>
    <row r="206">
      <c r="H206" s="4">
        <v>205.0</v>
      </c>
      <c r="I206" s="4" t="s">
        <v>5255</v>
      </c>
      <c r="J206" s="4" t="s">
        <v>5174</v>
      </c>
      <c r="K206" s="4" t="s">
        <v>5013</v>
      </c>
      <c r="L206" s="4" t="str">
        <f>IFERROR(__xludf.DUMMYFUNCTION("""COMPUTED_VALUE"""),"Tegner")</f>
        <v>Tegner</v>
      </c>
    </row>
    <row r="207">
      <c r="H207" s="4">
        <v>206.0</v>
      </c>
      <c r="I207" s="4" t="s">
        <v>5255</v>
      </c>
      <c r="J207" s="4" t="s">
        <v>5174</v>
      </c>
      <c r="K207" s="4" t="s">
        <v>5013</v>
      </c>
      <c r="L207" s="4" t="str">
        <f>IFERROR(__xludf.DUMMYFUNCTION("""COMPUTED_VALUE"""),"Lysholm")</f>
        <v>Lysholm</v>
      </c>
    </row>
    <row r="208">
      <c r="H208" s="4">
        <v>207.0</v>
      </c>
      <c r="I208" s="4" t="s">
        <v>5255</v>
      </c>
      <c r="J208" s="4" t="s">
        <v>5174</v>
      </c>
      <c r="K208" s="4" t="s">
        <v>5014</v>
      </c>
      <c r="L208" s="4" t="str">
        <f>IFERROR(__xludf.DUMMYFUNCTION("""COMPUTED_VALUE"""),"instrumented_laxity")</f>
        <v>instrumented_laxity</v>
      </c>
    </row>
    <row r="209">
      <c r="H209" s="4">
        <v>208.0</v>
      </c>
      <c r="I209" s="4" t="s">
        <v>5255</v>
      </c>
      <c r="J209" s="4" t="s">
        <v>5174</v>
      </c>
      <c r="K209" s="4" t="s">
        <v>5014</v>
      </c>
      <c r="L209" s="4" t="str">
        <f>IFERROR(__xludf.DUMMYFUNCTION("""COMPUTED_VALUE"""),"pivot_shift")</f>
        <v>pivot_shift</v>
      </c>
    </row>
    <row r="210">
      <c r="H210" s="4">
        <v>209.0</v>
      </c>
      <c r="I210" s="4" t="s">
        <v>5255</v>
      </c>
      <c r="J210" s="4" t="s">
        <v>5174</v>
      </c>
      <c r="K210" s="4" t="s">
        <v>5014</v>
      </c>
      <c r="L210" s="4" t="str">
        <f>IFERROR(__xludf.DUMMYFUNCTION("""COMPUTED_VALUE"""),"Lachman")</f>
        <v>Lachman</v>
      </c>
    </row>
    <row r="211">
      <c r="H211" s="4">
        <v>210.0</v>
      </c>
      <c r="I211" s="4" t="s">
        <v>5255</v>
      </c>
      <c r="J211" s="4" t="s">
        <v>5174</v>
      </c>
      <c r="K211" s="4" t="s">
        <v>5014</v>
      </c>
      <c r="L211" s="4" t="str">
        <f>IFERROR(__xludf.DUMMYFUNCTION("""COMPUTED_VALUE"""),"IKDC")</f>
        <v>IKDC</v>
      </c>
    </row>
    <row r="212">
      <c r="H212" s="4">
        <v>211.0</v>
      </c>
      <c r="I212" s="4" t="s">
        <v>5255</v>
      </c>
      <c r="J212" s="4" t="s">
        <v>5174</v>
      </c>
      <c r="K212" s="4" t="s">
        <v>5014</v>
      </c>
      <c r="L212" s="4" t="str">
        <f>IFERROR(__xludf.DUMMYFUNCTION("""COMPUTED_VALUE"""),"Tegner")</f>
        <v>Tegner</v>
      </c>
    </row>
    <row r="213">
      <c r="H213" s="4">
        <v>212.0</v>
      </c>
      <c r="I213" s="4" t="s">
        <v>5255</v>
      </c>
      <c r="J213" s="4" t="s">
        <v>5174</v>
      </c>
      <c r="K213" s="4" t="s">
        <v>5014</v>
      </c>
      <c r="L213" s="4" t="str">
        <f>IFERROR(__xludf.DUMMYFUNCTION("""COMPUTED_VALUE"""),"Lysholm")</f>
        <v>Lysholm</v>
      </c>
    </row>
    <row r="214">
      <c r="H214" s="4">
        <v>213.0</v>
      </c>
      <c r="I214" s="4" t="s">
        <v>5256</v>
      </c>
      <c r="J214" s="4" t="s">
        <v>5178</v>
      </c>
      <c r="K214" s="4" t="s">
        <v>5013</v>
      </c>
      <c r="L214" s="4" t="str">
        <f>IFERROR(__xludf.DUMMYFUNCTION("""COMPUTED_VALUE"""),"instrumented_laxity")</f>
        <v>instrumented_laxity</v>
      </c>
    </row>
    <row r="215">
      <c r="H215" s="4">
        <v>214.0</v>
      </c>
      <c r="I215" s="4" t="s">
        <v>5256</v>
      </c>
      <c r="J215" s="4" t="s">
        <v>5178</v>
      </c>
      <c r="K215" s="4" t="s">
        <v>5013</v>
      </c>
      <c r="L215" s="4" t="str">
        <f>IFERROR(__xludf.DUMMYFUNCTION("""COMPUTED_VALUE"""),"pivot_shift")</f>
        <v>pivot_shift</v>
      </c>
    </row>
    <row r="216">
      <c r="H216" s="4">
        <v>215.0</v>
      </c>
      <c r="I216" s="4" t="s">
        <v>5256</v>
      </c>
      <c r="J216" s="4" t="s">
        <v>5178</v>
      </c>
      <c r="K216" s="4" t="s">
        <v>5013</v>
      </c>
      <c r="L216" s="4" t="str">
        <f>IFERROR(__xludf.DUMMYFUNCTION("""COMPUTED_VALUE"""),"IKDC")</f>
        <v>IKDC</v>
      </c>
    </row>
    <row r="217">
      <c r="H217" s="4">
        <v>216.0</v>
      </c>
      <c r="I217" s="4" t="s">
        <v>5256</v>
      </c>
      <c r="J217" s="4" t="s">
        <v>5178</v>
      </c>
      <c r="K217" s="4" t="s">
        <v>5013</v>
      </c>
      <c r="L217" s="4" t="str">
        <f>IFERROR(__xludf.DUMMYFUNCTION("""COMPUTED_VALUE"""),"Lysholm")</f>
        <v>Lysholm</v>
      </c>
    </row>
    <row r="218">
      <c r="H218" s="4">
        <v>217.0</v>
      </c>
      <c r="I218" s="4" t="s">
        <v>5256</v>
      </c>
      <c r="J218" s="4" t="s">
        <v>5178</v>
      </c>
      <c r="K218" s="4" t="s">
        <v>5014</v>
      </c>
      <c r="L218" s="4" t="str">
        <f>IFERROR(__xludf.DUMMYFUNCTION("""COMPUTED_VALUE"""),"instrumented_laxity")</f>
        <v>instrumented_laxity</v>
      </c>
    </row>
    <row r="219">
      <c r="H219" s="4">
        <v>218.0</v>
      </c>
      <c r="I219" s="4" t="s">
        <v>5256</v>
      </c>
      <c r="J219" s="4" t="s">
        <v>5178</v>
      </c>
      <c r="K219" s="4" t="s">
        <v>5014</v>
      </c>
      <c r="L219" s="4" t="str">
        <f>IFERROR(__xludf.DUMMYFUNCTION("""COMPUTED_VALUE"""),"pivot_shift")</f>
        <v>pivot_shift</v>
      </c>
    </row>
    <row r="220">
      <c r="H220" s="4">
        <v>219.0</v>
      </c>
      <c r="I220" s="4" t="s">
        <v>5256</v>
      </c>
      <c r="J220" s="4" t="s">
        <v>5178</v>
      </c>
      <c r="K220" s="4" t="s">
        <v>5014</v>
      </c>
      <c r="L220" s="4" t="str">
        <f>IFERROR(__xludf.DUMMYFUNCTION("""COMPUTED_VALUE"""),"IKDC")</f>
        <v>IKDC</v>
      </c>
    </row>
    <row r="221">
      <c r="H221" s="4">
        <v>220.0</v>
      </c>
      <c r="I221" s="4" t="s">
        <v>5256</v>
      </c>
      <c r="J221" s="4" t="s">
        <v>5178</v>
      </c>
      <c r="K221" s="4" t="s">
        <v>5014</v>
      </c>
      <c r="L221" s="4" t="str">
        <f>IFERROR(__xludf.DUMMYFUNCTION("""COMPUTED_VALUE"""),"Lysholm")</f>
        <v>Lysholm</v>
      </c>
    </row>
    <row r="222">
      <c r="H222" s="4">
        <v>221.0</v>
      </c>
      <c r="I222" s="4" t="s">
        <v>5257</v>
      </c>
      <c r="J222" s="4" t="s">
        <v>5179</v>
      </c>
      <c r="K222" s="4" t="s">
        <v>5014</v>
      </c>
      <c r="L222" s="4" t="str">
        <f>IFERROR(__xludf.DUMMYFUNCTION("""COMPUTED_VALUE"""),"IKDC")</f>
        <v>IKDC</v>
      </c>
    </row>
    <row r="223">
      <c r="H223" s="4">
        <v>222.0</v>
      </c>
      <c r="I223" s="4" t="s">
        <v>5257</v>
      </c>
      <c r="J223" s="4" t="s">
        <v>5179</v>
      </c>
      <c r="K223" s="4" t="s">
        <v>5014</v>
      </c>
      <c r="L223" s="4" t="str">
        <f>IFERROR(__xludf.DUMMYFUNCTION("""COMPUTED_VALUE"""),"instrumented_laxity")</f>
        <v>instrumented_laxity</v>
      </c>
    </row>
    <row r="224">
      <c r="H224" s="4">
        <v>223.0</v>
      </c>
      <c r="I224" s="4" t="s">
        <v>5257</v>
      </c>
      <c r="J224" s="4" t="s">
        <v>5179</v>
      </c>
      <c r="K224" s="4" t="s">
        <v>5014</v>
      </c>
      <c r="L224" s="4" t="str">
        <f>IFERROR(__xludf.DUMMYFUNCTION("""COMPUTED_VALUE"""),"pivot_shift")</f>
        <v>pivot_shift</v>
      </c>
    </row>
    <row r="225">
      <c r="H225" s="4">
        <v>224.0</v>
      </c>
      <c r="I225" s="4" t="s">
        <v>5257</v>
      </c>
      <c r="J225" s="4" t="s">
        <v>5179</v>
      </c>
      <c r="K225" s="4" t="s">
        <v>5018</v>
      </c>
      <c r="L225" s="4" t="str">
        <f>IFERROR(__xludf.DUMMYFUNCTION("""COMPUTED_VALUE"""),"IKDC")</f>
        <v>IKDC</v>
      </c>
    </row>
    <row r="226">
      <c r="H226" s="4">
        <v>225.0</v>
      </c>
      <c r="I226" s="4" t="s">
        <v>5257</v>
      </c>
      <c r="J226" s="4" t="s">
        <v>5179</v>
      </c>
      <c r="K226" s="4" t="s">
        <v>5018</v>
      </c>
      <c r="L226" s="4" t="str">
        <f>IFERROR(__xludf.DUMMYFUNCTION("""COMPUTED_VALUE"""),"instrumented_laxity")</f>
        <v>instrumented_laxity</v>
      </c>
    </row>
    <row r="227">
      <c r="H227" s="4">
        <v>226.0</v>
      </c>
      <c r="I227" s="4" t="s">
        <v>5257</v>
      </c>
      <c r="J227" s="4" t="s">
        <v>5179</v>
      </c>
      <c r="K227" s="4" t="s">
        <v>5018</v>
      </c>
      <c r="L227" s="4" t="str">
        <f>IFERROR(__xludf.DUMMYFUNCTION("""COMPUTED_VALUE"""),"pivot_shift")</f>
        <v>pivot_shift</v>
      </c>
    </row>
    <row r="228">
      <c r="H228" s="4">
        <v>227.0</v>
      </c>
      <c r="I228" s="4" t="s">
        <v>5258</v>
      </c>
      <c r="J228" s="4" t="s">
        <v>5180</v>
      </c>
      <c r="K228" s="4" t="s">
        <v>5013</v>
      </c>
      <c r="L228" s="4" t="str">
        <f>IFERROR(__xludf.DUMMYFUNCTION("""COMPUTED_VALUE"""),"IKDC")</f>
        <v>IKDC</v>
      </c>
    </row>
    <row r="229">
      <c r="H229" s="4">
        <v>228.0</v>
      </c>
      <c r="I229" s="4" t="s">
        <v>5258</v>
      </c>
      <c r="J229" s="4" t="s">
        <v>5180</v>
      </c>
      <c r="K229" s="4" t="s">
        <v>5013</v>
      </c>
      <c r="L229" s="4" t="str">
        <f>IFERROR(__xludf.DUMMYFUNCTION("""COMPUTED_VALUE"""),"Tegner")</f>
        <v>Tegner</v>
      </c>
    </row>
    <row r="230">
      <c r="H230" s="4">
        <v>229.0</v>
      </c>
      <c r="I230" s="4" t="s">
        <v>5258</v>
      </c>
      <c r="J230" s="4" t="s">
        <v>5180</v>
      </c>
      <c r="K230" s="4" t="s">
        <v>5013</v>
      </c>
      <c r="L230" s="4" t="str">
        <f>IFERROR(__xludf.DUMMYFUNCTION("""COMPUTED_VALUE"""),"Lysholm")</f>
        <v>Lysholm</v>
      </c>
    </row>
    <row r="231">
      <c r="H231" s="4">
        <v>230.0</v>
      </c>
      <c r="I231" s="4" t="s">
        <v>5258</v>
      </c>
      <c r="J231" s="4" t="s">
        <v>5180</v>
      </c>
      <c r="K231" s="4" t="s">
        <v>5013</v>
      </c>
      <c r="L231" s="4" t="str">
        <f>IFERROR(__xludf.DUMMYFUNCTION("""COMPUTED_VALUE"""),"instrumented_laxity")</f>
        <v>instrumented_laxity</v>
      </c>
    </row>
    <row r="232">
      <c r="H232" s="4">
        <v>231.0</v>
      </c>
      <c r="I232" s="4" t="s">
        <v>5258</v>
      </c>
      <c r="J232" s="4" t="s">
        <v>5180</v>
      </c>
      <c r="K232" s="4" t="s">
        <v>5014</v>
      </c>
      <c r="L232" s="4" t="str">
        <f>IFERROR(__xludf.DUMMYFUNCTION("""COMPUTED_VALUE"""),"IKDC")</f>
        <v>IKDC</v>
      </c>
    </row>
    <row r="233">
      <c r="H233" s="4">
        <v>232.0</v>
      </c>
      <c r="I233" s="4" t="s">
        <v>5258</v>
      </c>
      <c r="J233" s="4" t="s">
        <v>5180</v>
      </c>
      <c r="K233" s="4" t="s">
        <v>5014</v>
      </c>
      <c r="L233" s="4" t="str">
        <f>IFERROR(__xludf.DUMMYFUNCTION("""COMPUTED_VALUE"""),"Tegner")</f>
        <v>Tegner</v>
      </c>
    </row>
    <row r="234">
      <c r="H234" s="4">
        <v>233.0</v>
      </c>
      <c r="I234" s="4" t="s">
        <v>5258</v>
      </c>
      <c r="J234" s="4" t="s">
        <v>5180</v>
      </c>
      <c r="K234" s="4" t="s">
        <v>5014</v>
      </c>
      <c r="L234" s="4" t="str">
        <f>IFERROR(__xludf.DUMMYFUNCTION("""COMPUTED_VALUE"""),"Lysholm")</f>
        <v>Lysholm</v>
      </c>
    </row>
    <row r="235">
      <c r="H235" s="4">
        <v>234.0</v>
      </c>
      <c r="I235" s="4" t="s">
        <v>5258</v>
      </c>
      <c r="J235" s="4" t="s">
        <v>5180</v>
      </c>
      <c r="K235" s="4" t="s">
        <v>5014</v>
      </c>
      <c r="L235" s="4" t="str">
        <f>IFERROR(__xludf.DUMMYFUNCTION("""COMPUTED_VALUE"""),"instrumented_laxity")</f>
        <v>instrumented_laxity</v>
      </c>
    </row>
    <row r="236">
      <c r="H236" s="4">
        <v>235.0</v>
      </c>
      <c r="I236" s="4" t="s">
        <v>5259</v>
      </c>
      <c r="J236" s="4" t="s">
        <v>5181</v>
      </c>
      <c r="K236" s="4" t="s">
        <v>5013</v>
      </c>
      <c r="L236" s="4" t="str">
        <f>IFERROR(__xludf.DUMMYFUNCTION("""COMPUTED_VALUE"""),"Lachman")</f>
        <v>Lachman</v>
      </c>
    </row>
    <row r="237">
      <c r="H237" s="4">
        <v>236.0</v>
      </c>
      <c r="I237" s="4" t="s">
        <v>5259</v>
      </c>
      <c r="J237" s="4" t="s">
        <v>5181</v>
      </c>
      <c r="K237" s="4" t="s">
        <v>5013</v>
      </c>
      <c r="L237" s="4" t="str">
        <f>IFERROR(__xludf.DUMMYFUNCTION("""COMPUTED_VALUE"""),"instrumented_laxity")</f>
        <v>instrumented_laxity</v>
      </c>
    </row>
    <row r="238">
      <c r="H238" s="4">
        <v>237.0</v>
      </c>
      <c r="I238" s="4" t="s">
        <v>5259</v>
      </c>
      <c r="J238" s="4" t="s">
        <v>5181</v>
      </c>
      <c r="K238" s="4" t="s">
        <v>5014</v>
      </c>
      <c r="L238" s="4" t="str">
        <f>IFERROR(__xludf.DUMMYFUNCTION("""COMPUTED_VALUE"""),"Lachman")</f>
        <v>Lachman</v>
      </c>
    </row>
    <row r="239">
      <c r="H239" s="4">
        <v>238.0</v>
      </c>
      <c r="I239" s="4" t="s">
        <v>5259</v>
      </c>
      <c r="J239" s="4" t="s">
        <v>5181</v>
      </c>
      <c r="K239" s="4" t="s">
        <v>5014</v>
      </c>
      <c r="L239" s="4" t="str">
        <f>IFERROR(__xludf.DUMMYFUNCTION("""COMPUTED_VALUE"""),"instrumented_laxity")</f>
        <v>instrumented_laxity</v>
      </c>
    </row>
    <row r="240">
      <c r="H240" s="4">
        <v>239.0</v>
      </c>
      <c r="I240" s="4" t="s">
        <v>5260</v>
      </c>
      <c r="J240" s="4" t="s">
        <v>5184</v>
      </c>
      <c r="K240" s="4" t="s">
        <v>5014</v>
      </c>
      <c r="L240" s="4" t="str">
        <f>IFERROR(__xludf.DUMMYFUNCTION("""COMPUTED_VALUE"""),"instrumented_laxity")</f>
        <v>instrumented_laxity</v>
      </c>
    </row>
    <row r="241">
      <c r="H241" s="4">
        <v>240.0</v>
      </c>
      <c r="I241" s="4" t="s">
        <v>5260</v>
      </c>
      <c r="J241" s="4" t="s">
        <v>5184</v>
      </c>
      <c r="K241" s="4" t="s">
        <v>5014</v>
      </c>
      <c r="L241" s="4" t="str">
        <f>IFERROR(__xludf.DUMMYFUNCTION("""COMPUTED_VALUE"""),"pivot_shift")</f>
        <v>pivot_shift</v>
      </c>
    </row>
    <row r="242">
      <c r="H242" s="4">
        <v>241.0</v>
      </c>
      <c r="I242" s="4" t="s">
        <v>5260</v>
      </c>
      <c r="J242" s="4" t="s">
        <v>5184</v>
      </c>
      <c r="K242" s="4" t="s">
        <v>5014</v>
      </c>
      <c r="L242" s="4" t="str">
        <f>IFERROR(__xludf.DUMMYFUNCTION("""COMPUTED_VALUE"""),"Lachman")</f>
        <v>Lachman</v>
      </c>
    </row>
    <row r="243">
      <c r="H243" s="4">
        <v>242.0</v>
      </c>
      <c r="I243" s="4" t="s">
        <v>5260</v>
      </c>
      <c r="J243" s="4" t="s">
        <v>5184</v>
      </c>
      <c r="K243" s="4" t="s">
        <v>5014</v>
      </c>
      <c r="L243" s="4" t="str">
        <f>IFERROR(__xludf.DUMMYFUNCTION("""COMPUTED_VALUE"""),"IKDC")</f>
        <v>IKDC</v>
      </c>
    </row>
    <row r="244">
      <c r="H244" s="4">
        <v>243.0</v>
      </c>
      <c r="I244" s="4" t="s">
        <v>5260</v>
      </c>
      <c r="J244" s="4" t="s">
        <v>5184</v>
      </c>
      <c r="K244" s="4" t="s">
        <v>5014</v>
      </c>
      <c r="L244" s="4" t="str">
        <f>IFERROR(__xludf.DUMMYFUNCTION("""COMPUTED_VALUE"""),"Tegner")</f>
        <v>Tegner</v>
      </c>
    </row>
    <row r="245">
      <c r="H245" s="4">
        <v>244.0</v>
      </c>
      <c r="I245" s="4" t="s">
        <v>5260</v>
      </c>
      <c r="J245" s="4" t="s">
        <v>5184</v>
      </c>
      <c r="K245" s="4" t="s">
        <v>5014</v>
      </c>
      <c r="L245" s="4" t="str">
        <f>IFERROR(__xludf.DUMMYFUNCTION("""COMPUTED_VALUE"""),"Lysholm")</f>
        <v>Lysholm</v>
      </c>
    </row>
    <row r="246">
      <c r="H246" s="4">
        <v>245.0</v>
      </c>
      <c r="I246" s="4" t="s">
        <v>5260</v>
      </c>
      <c r="J246" s="4" t="s">
        <v>5184</v>
      </c>
      <c r="K246" s="4" t="s">
        <v>5018</v>
      </c>
      <c r="L246" s="4" t="str">
        <f>IFERROR(__xludf.DUMMYFUNCTION("""COMPUTED_VALUE"""),"instrumented_laxity")</f>
        <v>instrumented_laxity</v>
      </c>
    </row>
    <row r="247">
      <c r="H247" s="4">
        <v>246.0</v>
      </c>
      <c r="I247" s="4" t="s">
        <v>5260</v>
      </c>
      <c r="J247" s="4" t="s">
        <v>5184</v>
      </c>
      <c r="K247" s="4" t="s">
        <v>5018</v>
      </c>
      <c r="L247" s="4" t="str">
        <f>IFERROR(__xludf.DUMMYFUNCTION("""COMPUTED_VALUE"""),"pivot_shift")</f>
        <v>pivot_shift</v>
      </c>
    </row>
    <row r="248">
      <c r="H248" s="4">
        <v>247.0</v>
      </c>
      <c r="I248" s="4" t="s">
        <v>5260</v>
      </c>
      <c r="J248" s="4" t="s">
        <v>5184</v>
      </c>
      <c r="K248" s="4" t="s">
        <v>5018</v>
      </c>
      <c r="L248" s="4" t="str">
        <f>IFERROR(__xludf.DUMMYFUNCTION("""COMPUTED_VALUE"""),"Lachman")</f>
        <v>Lachman</v>
      </c>
    </row>
    <row r="249">
      <c r="H249" s="4">
        <v>248.0</v>
      </c>
      <c r="I249" s="4" t="s">
        <v>5260</v>
      </c>
      <c r="J249" s="4" t="s">
        <v>5184</v>
      </c>
      <c r="K249" s="4" t="s">
        <v>5018</v>
      </c>
      <c r="L249" s="4" t="str">
        <f>IFERROR(__xludf.DUMMYFUNCTION("""COMPUTED_VALUE"""),"IKDC")</f>
        <v>IKDC</v>
      </c>
    </row>
    <row r="250">
      <c r="H250" s="4">
        <v>249.0</v>
      </c>
      <c r="I250" s="4" t="s">
        <v>5260</v>
      </c>
      <c r="J250" s="4" t="s">
        <v>5184</v>
      </c>
      <c r="K250" s="4" t="s">
        <v>5018</v>
      </c>
      <c r="L250" s="4" t="str">
        <f>IFERROR(__xludf.DUMMYFUNCTION("""COMPUTED_VALUE"""),"Tegner")</f>
        <v>Tegner</v>
      </c>
    </row>
    <row r="251">
      <c r="H251" s="4">
        <v>250.0</v>
      </c>
      <c r="I251" s="4" t="s">
        <v>5260</v>
      </c>
      <c r="J251" s="4" t="s">
        <v>5184</v>
      </c>
      <c r="K251" s="4" t="s">
        <v>5018</v>
      </c>
      <c r="L251" s="4" t="str">
        <f>IFERROR(__xludf.DUMMYFUNCTION("""COMPUTED_VALUE"""),"Lysholm")</f>
        <v>Lysholm</v>
      </c>
    </row>
    <row r="252">
      <c r="H252" s="4">
        <v>251.0</v>
      </c>
      <c r="I252" s="4" t="s">
        <v>5262</v>
      </c>
      <c r="J252" s="4" t="s">
        <v>5185</v>
      </c>
      <c r="K252" s="4" t="s">
        <v>5013</v>
      </c>
      <c r="L252" s="4" t="str">
        <f>IFERROR(__xludf.DUMMYFUNCTION("""COMPUTED_VALUE"""),"IKDC")</f>
        <v>IKDC</v>
      </c>
    </row>
    <row r="253">
      <c r="H253" s="4">
        <v>252.0</v>
      </c>
      <c r="I253" s="4" t="s">
        <v>5262</v>
      </c>
      <c r="J253" s="4" t="s">
        <v>5185</v>
      </c>
      <c r="K253" s="4" t="s">
        <v>5013</v>
      </c>
      <c r="L253" s="4" t="str">
        <f>IFERROR(__xludf.DUMMYFUNCTION("""COMPUTED_VALUE"""),"Tegner")</f>
        <v>Tegner</v>
      </c>
    </row>
    <row r="254">
      <c r="H254" s="4">
        <v>253.0</v>
      </c>
      <c r="I254" s="4" t="s">
        <v>5262</v>
      </c>
      <c r="J254" s="4" t="s">
        <v>5185</v>
      </c>
      <c r="K254" s="4" t="s">
        <v>5013</v>
      </c>
      <c r="L254" s="4" t="str">
        <f>IFERROR(__xludf.DUMMYFUNCTION("""COMPUTED_VALUE"""),"Lysholm")</f>
        <v>Lysholm</v>
      </c>
    </row>
    <row r="255">
      <c r="H255" s="4">
        <v>254.0</v>
      </c>
      <c r="I255" s="4" t="s">
        <v>5262</v>
      </c>
      <c r="J255" s="4" t="s">
        <v>5185</v>
      </c>
      <c r="K255" s="4" t="s">
        <v>5013</v>
      </c>
      <c r="L255" s="4" t="str">
        <f>IFERROR(__xludf.DUMMYFUNCTION("""COMPUTED_VALUE"""),"instrumented_laxity")</f>
        <v>instrumented_laxity</v>
      </c>
    </row>
    <row r="256">
      <c r="H256" s="4">
        <v>255.0</v>
      </c>
      <c r="I256" s="4" t="s">
        <v>5262</v>
      </c>
      <c r="J256" s="4" t="s">
        <v>5185</v>
      </c>
      <c r="K256" s="4" t="s">
        <v>5013</v>
      </c>
      <c r="L256" s="4" t="str">
        <f>IFERROR(__xludf.DUMMYFUNCTION("""COMPUTED_VALUE"""),"Lachman")</f>
        <v>Lachman</v>
      </c>
    </row>
    <row r="257">
      <c r="H257" s="4">
        <v>256.0</v>
      </c>
      <c r="I257" s="4" t="s">
        <v>5262</v>
      </c>
      <c r="J257" s="4" t="s">
        <v>5185</v>
      </c>
      <c r="K257" s="4" t="s">
        <v>5014</v>
      </c>
      <c r="L257" s="4" t="str">
        <f>IFERROR(__xludf.DUMMYFUNCTION("""COMPUTED_VALUE"""),"IKDC")</f>
        <v>IKDC</v>
      </c>
    </row>
    <row r="258">
      <c r="H258" s="4">
        <v>257.0</v>
      </c>
      <c r="I258" s="4" t="s">
        <v>5262</v>
      </c>
      <c r="J258" s="4" t="s">
        <v>5185</v>
      </c>
      <c r="K258" s="4" t="s">
        <v>5014</v>
      </c>
      <c r="L258" s="4" t="str">
        <f>IFERROR(__xludf.DUMMYFUNCTION("""COMPUTED_VALUE"""),"Tegner")</f>
        <v>Tegner</v>
      </c>
    </row>
    <row r="259">
      <c r="H259" s="4">
        <v>258.0</v>
      </c>
      <c r="I259" s="4" t="s">
        <v>5262</v>
      </c>
      <c r="J259" s="4" t="s">
        <v>5185</v>
      </c>
      <c r="K259" s="4" t="s">
        <v>5014</v>
      </c>
      <c r="L259" s="4" t="str">
        <f>IFERROR(__xludf.DUMMYFUNCTION("""COMPUTED_VALUE"""),"Lysholm")</f>
        <v>Lysholm</v>
      </c>
    </row>
    <row r="260">
      <c r="H260" s="4">
        <v>259.0</v>
      </c>
      <c r="I260" s="4" t="s">
        <v>5262</v>
      </c>
      <c r="J260" s="4" t="s">
        <v>5185</v>
      </c>
      <c r="K260" s="4" t="s">
        <v>5014</v>
      </c>
      <c r="L260" s="4" t="str">
        <f>IFERROR(__xludf.DUMMYFUNCTION("""COMPUTED_VALUE"""),"instrumented_laxity")</f>
        <v>instrumented_laxity</v>
      </c>
    </row>
    <row r="261">
      <c r="H261" s="4">
        <v>260.0</v>
      </c>
      <c r="I261" s="4" t="s">
        <v>5262</v>
      </c>
      <c r="J261" s="4" t="s">
        <v>5185</v>
      </c>
      <c r="K261" s="4" t="s">
        <v>5014</v>
      </c>
      <c r="L261" s="4" t="str">
        <f>IFERROR(__xludf.DUMMYFUNCTION("""COMPUTED_VALUE"""),"Lachman")</f>
        <v>Lachman</v>
      </c>
    </row>
    <row r="262">
      <c r="H262" s="4">
        <v>261.0</v>
      </c>
      <c r="I262" s="4" t="s">
        <v>5263</v>
      </c>
      <c r="J262" s="4" t="s">
        <v>5189</v>
      </c>
      <c r="K262" s="4" t="s">
        <v>5014</v>
      </c>
      <c r="L262" s="4" t="str">
        <f>IFERROR(__xludf.DUMMYFUNCTION("""COMPUTED_VALUE"""),"IKDC")</f>
        <v>IKDC</v>
      </c>
    </row>
    <row r="263">
      <c r="H263" s="4">
        <v>262.0</v>
      </c>
      <c r="I263" s="4" t="s">
        <v>5263</v>
      </c>
      <c r="J263" s="4" t="s">
        <v>5189</v>
      </c>
      <c r="K263" s="4" t="s">
        <v>5014</v>
      </c>
      <c r="L263" s="4" t="str">
        <f>IFERROR(__xludf.DUMMYFUNCTION("""COMPUTED_VALUE"""),"Tegner")</f>
        <v>Tegner</v>
      </c>
    </row>
    <row r="264">
      <c r="H264" s="4">
        <v>263.0</v>
      </c>
      <c r="I264" s="4" t="s">
        <v>5263</v>
      </c>
      <c r="J264" s="4" t="s">
        <v>5189</v>
      </c>
      <c r="K264" s="4" t="s">
        <v>5014</v>
      </c>
      <c r="L264" s="4" t="str">
        <f>IFERROR(__xludf.DUMMYFUNCTION("""COMPUTED_VALUE"""),"instrumented_laxity")</f>
        <v>instrumented_laxity</v>
      </c>
    </row>
    <row r="265">
      <c r="H265" s="4">
        <v>264.0</v>
      </c>
      <c r="I265" s="4" t="s">
        <v>5263</v>
      </c>
      <c r="J265" s="4" t="s">
        <v>5189</v>
      </c>
      <c r="K265" s="4" t="s">
        <v>5014</v>
      </c>
      <c r="L265" s="4" t="str">
        <f>IFERROR(__xludf.DUMMYFUNCTION("""COMPUTED_VALUE"""),"pivot_shift")</f>
        <v>pivot_shift</v>
      </c>
    </row>
    <row r="266">
      <c r="H266" s="4">
        <v>265.0</v>
      </c>
      <c r="I266" s="4" t="s">
        <v>5263</v>
      </c>
      <c r="J266" s="4" t="s">
        <v>5189</v>
      </c>
      <c r="K266" s="4" t="s">
        <v>5015</v>
      </c>
      <c r="L266" s="4" t="str">
        <f>IFERROR(__xludf.DUMMYFUNCTION("""COMPUTED_VALUE"""),"IKDC")</f>
        <v>IKDC</v>
      </c>
    </row>
    <row r="267">
      <c r="H267" s="4">
        <v>266.0</v>
      </c>
      <c r="I267" s="4" t="s">
        <v>5263</v>
      </c>
      <c r="J267" s="4" t="s">
        <v>5189</v>
      </c>
      <c r="K267" s="4" t="s">
        <v>5015</v>
      </c>
      <c r="L267" s="4" t="str">
        <f>IFERROR(__xludf.DUMMYFUNCTION("""COMPUTED_VALUE"""),"Tegner")</f>
        <v>Tegner</v>
      </c>
    </row>
    <row r="268">
      <c r="H268" s="4">
        <v>267.0</v>
      </c>
      <c r="I268" s="4" t="s">
        <v>5263</v>
      </c>
      <c r="J268" s="4" t="s">
        <v>5189</v>
      </c>
      <c r="K268" s="4" t="s">
        <v>5015</v>
      </c>
      <c r="L268" s="4" t="str">
        <f>IFERROR(__xludf.DUMMYFUNCTION("""COMPUTED_VALUE"""),"instrumented_laxity")</f>
        <v>instrumented_laxity</v>
      </c>
    </row>
    <row r="269">
      <c r="H269" s="4">
        <v>268.0</v>
      </c>
      <c r="I269" s="4" t="s">
        <v>5263</v>
      </c>
      <c r="J269" s="4" t="s">
        <v>5189</v>
      </c>
      <c r="K269" s="4" t="s">
        <v>5015</v>
      </c>
      <c r="L269" s="4" t="str">
        <f>IFERROR(__xludf.DUMMYFUNCTION("""COMPUTED_VALUE"""),"pivot_shift")</f>
        <v>pivot_shift</v>
      </c>
    </row>
    <row r="270">
      <c r="H270" s="4">
        <v>269.0</v>
      </c>
      <c r="I270" s="4" t="s">
        <v>5265</v>
      </c>
      <c r="J270" s="4" t="s">
        <v>5191</v>
      </c>
      <c r="K270" s="4" t="s">
        <v>5013</v>
      </c>
      <c r="L270" s="4" t="str">
        <f>IFERROR(__xludf.DUMMYFUNCTION("""COMPUTED_VALUE"""),"IKDC")</f>
        <v>IKDC</v>
      </c>
    </row>
    <row r="271">
      <c r="H271" s="4">
        <v>270.0</v>
      </c>
      <c r="I271" s="4" t="s">
        <v>5265</v>
      </c>
      <c r="J271" s="4" t="s">
        <v>5191</v>
      </c>
      <c r="K271" s="4" t="s">
        <v>5013</v>
      </c>
      <c r="L271" s="4" t="str">
        <f>IFERROR(__xludf.DUMMYFUNCTION("""COMPUTED_VALUE"""),"Tegner")</f>
        <v>Tegner</v>
      </c>
    </row>
    <row r="272">
      <c r="H272" s="4">
        <v>271.0</v>
      </c>
      <c r="I272" s="4" t="s">
        <v>5265</v>
      </c>
      <c r="J272" s="4" t="s">
        <v>5191</v>
      </c>
      <c r="K272" s="4" t="s">
        <v>5013</v>
      </c>
      <c r="L272" s="4" t="str">
        <f>IFERROR(__xludf.DUMMYFUNCTION("""COMPUTED_VALUE"""),"Lysholm")</f>
        <v>Lysholm</v>
      </c>
    </row>
    <row r="273">
      <c r="H273" s="4">
        <v>272.0</v>
      </c>
      <c r="I273" s="4" t="s">
        <v>5265</v>
      </c>
      <c r="J273" s="4" t="s">
        <v>5191</v>
      </c>
      <c r="K273" s="4" t="s">
        <v>5013</v>
      </c>
      <c r="L273" s="4" t="str">
        <f>IFERROR(__xludf.DUMMYFUNCTION("""COMPUTED_VALUE"""),"instrumented_laxity")</f>
        <v>instrumented_laxity</v>
      </c>
    </row>
    <row r="274">
      <c r="H274" s="4">
        <v>273.0</v>
      </c>
      <c r="I274" s="4" t="s">
        <v>5265</v>
      </c>
      <c r="J274" s="4" t="s">
        <v>5191</v>
      </c>
      <c r="K274" s="4" t="s">
        <v>5013</v>
      </c>
      <c r="L274" s="4" t="str">
        <f>IFERROR(__xludf.DUMMYFUNCTION("""COMPUTED_VALUE"""),"pivot_shift")</f>
        <v>pivot_shift</v>
      </c>
    </row>
    <row r="275">
      <c r="H275" s="4">
        <v>274.0</v>
      </c>
      <c r="I275" s="4" t="s">
        <v>5265</v>
      </c>
      <c r="J275" s="4" t="s">
        <v>5191</v>
      </c>
      <c r="K275" s="4" t="s">
        <v>5013</v>
      </c>
      <c r="L275" s="4" t="str">
        <f>IFERROR(__xludf.DUMMYFUNCTION("""COMPUTED_VALUE"""),"Graft rupture")</f>
        <v>Graft rupture</v>
      </c>
    </row>
    <row r="276">
      <c r="H276" s="4">
        <v>275.0</v>
      </c>
      <c r="I276" s="4" t="s">
        <v>5265</v>
      </c>
      <c r="J276" s="4" t="s">
        <v>5191</v>
      </c>
      <c r="K276" s="4" t="s">
        <v>5014</v>
      </c>
      <c r="L276" s="4" t="str">
        <f>IFERROR(__xludf.DUMMYFUNCTION("""COMPUTED_VALUE"""),"IKDC")</f>
        <v>IKDC</v>
      </c>
    </row>
    <row r="277">
      <c r="H277" s="4">
        <v>276.0</v>
      </c>
      <c r="I277" s="4" t="s">
        <v>5265</v>
      </c>
      <c r="J277" s="4" t="s">
        <v>5191</v>
      </c>
      <c r="K277" s="4" t="s">
        <v>5014</v>
      </c>
      <c r="L277" s="4" t="str">
        <f>IFERROR(__xludf.DUMMYFUNCTION("""COMPUTED_VALUE"""),"Tegner")</f>
        <v>Tegner</v>
      </c>
    </row>
    <row r="278">
      <c r="H278" s="4">
        <v>277.0</v>
      </c>
      <c r="I278" s="4" t="s">
        <v>5265</v>
      </c>
      <c r="J278" s="4" t="s">
        <v>5191</v>
      </c>
      <c r="K278" s="4" t="s">
        <v>5014</v>
      </c>
      <c r="L278" s="4" t="str">
        <f>IFERROR(__xludf.DUMMYFUNCTION("""COMPUTED_VALUE"""),"Lysholm")</f>
        <v>Lysholm</v>
      </c>
    </row>
    <row r="279">
      <c r="H279" s="4">
        <v>278.0</v>
      </c>
      <c r="I279" s="4" t="s">
        <v>5265</v>
      </c>
      <c r="J279" s="4" t="s">
        <v>5191</v>
      </c>
      <c r="K279" s="4" t="s">
        <v>5014</v>
      </c>
      <c r="L279" s="4" t="str">
        <f>IFERROR(__xludf.DUMMYFUNCTION("""COMPUTED_VALUE"""),"instrumented_laxity")</f>
        <v>instrumented_laxity</v>
      </c>
    </row>
    <row r="280">
      <c r="H280" s="4">
        <v>279.0</v>
      </c>
      <c r="I280" s="4" t="s">
        <v>5265</v>
      </c>
      <c r="J280" s="4" t="s">
        <v>5191</v>
      </c>
      <c r="K280" s="4" t="s">
        <v>5014</v>
      </c>
      <c r="L280" s="4" t="str">
        <f>IFERROR(__xludf.DUMMYFUNCTION("""COMPUTED_VALUE"""),"pivot_shift")</f>
        <v>pivot_shift</v>
      </c>
    </row>
    <row r="281">
      <c r="H281" s="4">
        <v>280.0</v>
      </c>
      <c r="I281" s="4" t="s">
        <v>5265</v>
      </c>
      <c r="J281" s="4" t="s">
        <v>5191</v>
      </c>
      <c r="K281" s="4" t="s">
        <v>5014</v>
      </c>
      <c r="L281" s="4" t="str">
        <f>IFERROR(__xludf.DUMMYFUNCTION("""COMPUTED_VALUE"""),"Graft rupture")</f>
        <v>Graft rupture</v>
      </c>
    </row>
    <row r="282">
      <c r="H282" s="4">
        <v>281.0</v>
      </c>
      <c r="I282" s="4" t="s">
        <v>5266</v>
      </c>
      <c r="J282" s="4" t="s">
        <v>5192</v>
      </c>
      <c r="K282" s="4" t="s">
        <v>5013</v>
      </c>
      <c r="L282" s="4" t="str">
        <f>IFERROR(__xludf.DUMMYFUNCTION("""COMPUTED_VALUE"""),"IKDC")</f>
        <v>IKDC</v>
      </c>
    </row>
    <row r="283">
      <c r="H283" s="4">
        <v>282.0</v>
      </c>
      <c r="I283" s="4" t="s">
        <v>5266</v>
      </c>
      <c r="J283" s="4" t="s">
        <v>5192</v>
      </c>
      <c r="K283" s="4" t="s">
        <v>5013</v>
      </c>
      <c r="L283" s="4" t="str">
        <f>IFERROR(__xludf.DUMMYFUNCTION("""COMPUTED_VALUE"""),"Lysholm")</f>
        <v>Lysholm</v>
      </c>
    </row>
    <row r="284">
      <c r="H284" s="4">
        <v>283.0</v>
      </c>
      <c r="I284" s="4" t="s">
        <v>5266</v>
      </c>
      <c r="J284" s="4" t="s">
        <v>5192</v>
      </c>
      <c r="K284" s="4" t="s">
        <v>5013</v>
      </c>
      <c r="L284" s="4" t="str">
        <f>IFERROR(__xludf.DUMMYFUNCTION("""COMPUTED_VALUE"""),"instrumented_laxity")</f>
        <v>instrumented_laxity</v>
      </c>
    </row>
    <row r="285">
      <c r="H285" s="4">
        <v>284.0</v>
      </c>
      <c r="I285" s="4" t="s">
        <v>5266</v>
      </c>
      <c r="J285" s="4" t="s">
        <v>5192</v>
      </c>
      <c r="K285" s="4" t="s">
        <v>5013</v>
      </c>
      <c r="L285" s="4" t="str">
        <f>IFERROR(__xludf.DUMMYFUNCTION("""COMPUTED_VALUE"""),"Lachman")</f>
        <v>Lachman</v>
      </c>
    </row>
    <row r="286">
      <c r="H286" s="4">
        <v>285.0</v>
      </c>
      <c r="I286" s="4" t="s">
        <v>5266</v>
      </c>
      <c r="J286" s="4" t="s">
        <v>5192</v>
      </c>
      <c r="K286" s="4" t="s">
        <v>5014</v>
      </c>
      <c r="L286" s="4" t="str">
        <f>IFERROR(__xludf.DUMMYFUNCTION("""COMPUTED_VALUE"""),"IKDC")</f>
        <v>IKDC</v>
      </c>
    </row>
    <row r="287">
      <c r="H287" s="4">
        <v>286.0</v>
      </c>
      <c r="I287" s="4" t="s">
        <v>5266</v>
      </c>
      <c r="J287" s="4" t="s">
        <v>5192</v>
      </c>
      <c r="K287" s="4" t="s">
        <v>5014</v>
      </c>
      <c r="L287" s="4" t="str">
        <f>IFERROR(__xludf.DUMMYFUNCTION("""COMPUTED_VALUE"""),"Lysholm")</f>
        <v>Lysholm</v>
      </c>
    </row>
    <row r="288">
      <c r="H288" s="4">
        <v>287.0</v>
      </c>
      <c r="I288" s="4" t="s">
        <v>5266</v>
      </c>
      <c r="J288" s="4" t="s">
        <v>5192</v>
      </c>
      <c r="K288" s="4" t="s">
        <v>5014</v>
      </c>
      <c r="L288" s="4" t="str">
        <f>IFERROR(__xludf.DUMMYFUNCTION("""COMPUTED_VALUE"""),"instrumented_laxity")</f>
        <v>instrumented_laxity</v>
      </c>
    </row>
    <row r="289">
      <c r="H289" s="4">
        <v>288.0</v>
      </c>
      <c r="I289" s="4" t="s">
        <v>5266</v>
      </c>
      <c r="J289" s="4" t="s">
        <v>5192</v>
      </c>
      <c r="K289" s="4" t="s">
        <v>5014</v>
      </c>
      <c r="L289" s="4" t="str">
        <f>IFERROR(__xludf.DUMMYFUNCTION("""COMPUTED_VALUE"""),"Lachman")</f>
        <v>Lachman</v>
      </c>
    </row>
    <row r="290">
      <c r="H290" s="4">
        <v>289.0</v>
      </c>
      <c r="I290" s="4" t="s">
        <v>5268</v>
      </c>
      <c r="J290" s="4" t="s">
        <v>5193</v>
      </c>
      <c r="K290" s="4" t="s">
        <v>5013</v>
      </c>
      <c r="L290" s="4" t="str">
        <f>IFERROR(__xludf.DUMMYFUNCTION("""COMPUTED_VALUE"""),"instrumented_laxity")</f>
        <v>instrumented_laxity</v>
      </c>
    </row>
    <row r="291">
      <c r="H291" s="4">
        <v>290.0</v>
      </c>
      <c r="I291" s="4" t="s">
        <v>5268</v>
      </c>
      <c r="J291" s="4" t="s">
        <v>5193</v>
      </c>
      <c r="K291" s="4" t="s">
        <v>5013</v>
      </c>
      <c r="L291" s="4" t="str">
        <f>IFERROR(__xludf.DUMMYFUNCTION("""COMPUTED_VALUE"""),"IKDC")</f>
        <v>IKDC</v>
      </c>
    </row>
    <row r="292">
      <c r="H292" s="4">
        <v>291.0</v>
      </c>
      <c r="I292" s="4" t="s">
        <v>5268</v>
      </c>
      <c r="J292" s="4" t="s">
        <v>5193</v>
      </c>
      <c r="K292" s="4" t="s">
        <v>5015</v>
      </c>
      <c r="L292" s="4" t="str">
        <f>IFERROR(__xludf.DUMMYFUNCTION("""COMPUTED_VALUE"""),"instrumented_laxity")</f>
        <v>instrumented_laxity</v>
      </c>
    </row>
    <row r="293">
      <c r="H293" s="4">
        <v>292.0</v>
      </c>
      <c r="I293" s="4" t="s">
        <v>5268</v>
      </c>
      <c r="J293" s="4" t="s">
        <v>5193</v>
      </c>
      <c r="K293" s="4" t="s">
        <v>5015</v>
      </c>
      <c r="L293" s="4" t="str">
        <f>IFERROR(__xludf.DUMMYFUNCTION("""COMPUTED_VALUE"""),"IKDC")</f>
        <v>IKDC</v>
      </c>
    </row>
    <row r="294">
      <c r="H294" s="4">
        <v>293.0</v>
      </c>
      <c r="I294" s="4" t="s">
        <v>5269</v>
      </c>
      <c r="J294" s="4" t="s">
        <v>5194</v>
      </c>
      <c r="K294" s="4" t="s">
        <v>5013</v>
      </c>
      <c r="L294" s="4" t="str">
        <f>IFERROR(__xludf.DUMMYFUNCTION("""COMPUTED_VALUE"""),"IKDC")</f>
        <v>IKDC</v>
      </c>
    </row>
    <row r="295">
      <c r="H295" s="4">
        <v>294.0</v>
      </c>
      <c r="I295" s="4" t="s">
        <v>5269</v>
      </c>
      <c r="J295" s="4" t="s">
        <v>5194</v>
      </c>
      <c r="K295" s="4" t="s">
        <v>5013</v>
      </c>
      <c r="L295" s="4" t="str">
        <f>IFERROR(__xludf.DUMMYFUNCTION("""COMPUTED_VALUE"""),"Tegner")</f>
        <v>Tegner</v>
      </c>
    </row>
    <row r="296">
      <c r="H296" s="4">
        <v>295.0</v>
      </c>
      <c r="I296" s="4" t="s">
        <v>5269</v>
      </c>
      <c r="J296" s="4" t="s">
        <v>5194</v>
      </c>
      <c r="K296" s="4" t="s">
        <v>5013</v>
      </c>
      <c r="L296" s="4" t="str">
        <f>IFERROR(__xludf.DUMMYFUNCTION("""COMPUTED_VALUE"""),"Lysholm")</f>
        <v>Lysholm</v>
      </c>
    </row>
    <row r="297">
      <c r="H297" s="4">
        <v>296.0</v>
      </c>
      <c r="I297" s="4" t="s">
        <v>5269</v>
      </c>
      <c r="J297" s="4" t="s">
        <v>5194</v>
      </c>
      <c r="K297" s="4" t="s">
        <v>5013</v>
      </c>
      <c r="L297" s="4" t="str">
        <f>IFERROR(__xludf.DUMMYFUNCTION("""COMPUTED_VALUE"""),"instrumented_laxity")</f>
        <v>instrumented_laxity</v>
      </c>
    </row>
    <row r="298">
      <c r="H298" s="4">
        <v>297.0</v>
      </c>
      <c r="I298" s="4" t="s">
        <v>5269</v>
      </c>
      <c r="J298" s="4" t="s">
        <v>5194</v>
      </c>
      <c r="K298" s="4" t="s">
        <v>5014</v>
      </c>
      <c r="L298" s="4" t="str">
        <f>IFERROR(__xludf.DUMMYFUNCTION("""COMPUTED_VALUE"""),"IKDC")</f>
        <v>IKDC</v>
      </c>
    </row>
    <row r="299">
      <c r="H299" s="4">
        <v>298.0</v>
      </c>
      <c r="I299" s="4" t="s">
        <v>5269</v>
      </c>
      <c r="J299" s="4" t="s">
        <v>5194</v>
      </c>
      <c r="K299" s="4" t="s">
        <v>5014</v>
      </c>
      <c r="L299" s="4" t="str">
        <f>IFERROR(__xludf.DUMMYFUNCTION("""COMPUTED_VALUE"""),"Tegner")</f>
        <v>Tegner</v>
      </c>
    </row>
    <row r="300">
      <c r="H300" s="4">
        <v>299.0</v>
      </c>
      <c r="I300" s="4" t="s">
        <v>5269</v>
      </c>
      <c r="J300" s="4" t="s">
        <v>5194</v>
      </c>
      <c r="K300" s="4" t="s">
        <v>5014</v>
      </c>
      <c r="L300" s="4" t="str">
        <f>IFERROR(__xludf.DUMMYFUNCTION("""COMPUTED_VALUE"""),"Lysholm")</f>
        <v>Lysholm</v>
      </c>
    </row>
    <row r="301">
      <c r="H301" s="4">
        <v>300.0</v>
      </c>
      <c r="I301" s="4" t="s">
        <v>5269</v>
      </c>
      <c r="J301" s="4" t="s">
        <v>5194</v>
      </c>
      <c r="K301" s="4" t="s">
        <v>5014</v>
      </c>
      <c r="L301" s="4" t="str">
        <f>IFERROR(__xludf.DUMMYFUNCTION("""COMPUTED_VALUE"""),"instrumented_laxity")</f>
        <v>instrumented_laxity</v>
      </c>
    </row>
    <row r="302">
      <c r="H302" s="4">
        <v>301.0</v>
      </c>
      <c r="I302" s="4" t="s">
        <v>5270</v>
      </c>
      <c r="J302" s="4" t="s">
        <v>5196</v>
      </c>
      <c r="K302" s="4" t="s">
        <v>5014</v>
      </c>
      <c r="L302" s="4" t="str">
        <f>IFERROR(__xludf.DUMMYFUNCTION("""COMPUTED_VALUE"""),"instrumented_laxity")</f>
        <v>instrumented_laxity</v>
      </c>
    </row>
    <row r="303">
      <c r="H303" s="4">
        <v>302.0</v>
      </c>
      <c r="I303" s="4" t="s">
        <v>5270</v>
      </c>
      <c r="J303" s="4" t="s">
        <v>5196</v>
      </c>
      <c r="K303" s="4" t="s">
        <v>5014</v>
      </c>
      <c r="L303" s="4" t="str">
        <f>IFERROR(__xludf.DUMMYFUNCTION("""COMPUTED_VALUE"""),"pivot_shift")</f>
        <v>pivot_shift</v>
      </c>
    </row>
    <row r="304">
      <c r="H304" s="4">
        <v>303.0</v>
      </c>
      <c r="I304" s="4" t="s">
        <v>5270</v>
      </c>
      <c r="J304" s="4" t="s">
        <v>5196</v>
      </c>
      <c r="K304" s="4" t="s">
        <v>5014</v>
      </c>
      <c r="L304" s="4" t="str">
        <f>IFERROR(__xludf.DUMMYFUNCTION("""COMPUTED_VALUE"""),"Lachman")</f>
        <v>Lachman</v>
      </c>
    </row>
    <row r="305">
      <c r="H305" s="4">
        <v>304.0</v>
      </c>
      <c r="I305" s="4" t="s">
        <v>5270</v>
      </c>
      <c r="J305" s="4" t="s">
        <v>5196</v>
      </c>
      <c r="K305" s="4" t="s">
        <v>5014</v>
      </c>
      <c r="L305" s="4" t="str">
        <f>IFERROR(__xludf.DUMMYFUNCTION("""COMPUTED_VALUE"""),"IKDC")</f>
        <v>IKDC</v>
      </c>
    </row>
    <row r="306">
      <c r="H306" s="4">
        <v>305.0</v>
      </c>
      <c r="I306" s="4" t="s">
        <v>5270</v>
      </c>
      <c r="J306" s="4" t="s">
        <v>5196</v>
      </c>
      <c r="K306" s="4" t="s">
        <v>5014</v>
      </c>
      <c r="L306" s="4" t="str">
        <f>IFERROR(__xludf.DUMMYFUNCTION("""COMPUTED_VALUE"""),"Lysholm")</f>
        <v>Lysholm</v>
      </c>
    </row>
    <row r="307">
      <c r="H307" s="4">
        <v>306.0</v>
      </c>
      <c r="I307" s="4" t="s">
        <v>5270</v>
      </c>
      <c r="J307" s="4" t="s">
        <v>5196</v>
      </c>
      <c r="K307" s="4" t="s">
        <v>5014</v>
      </c>
      <c r="L307" s="4" t="str">
        <f>IFERROR(__xludf.DUMMYFUNCTION("""COMPUTED_VALUE"""),"Tegner")</f>
        <v>Tegner</v>
      </c>
    </row>
    <row r="308">
      <c r="H308" s="4">
        <v>307.0</v>
      </c>
      <c r="I308" s="4" t="s">
        <v>5270</v>
      </c>
      <c r="J308" s="4" t="s">
        <v>5196</v>
      </c>
      <c r="K308" s="4" t="s">
        <v>5016</v>
      </c>
      <c r="L308" s="4" t="str">
        <f>IFERROR(__xludf.DUMMYFUNCTION("""COMPUTED_VALUE"""),"instrumented_laxity")</f>
        <v>instrumented_laxity</v>
      </c>
    </row>
    <row r="309">
      <c r="H309" s="4">
        <v>308.0</v>
      </c>
      <c r="I309" s="4" t="s">
        <v>5270</v>
      </c>
      <c r="J309" s="4" t="s">
        <v>5196</v>
      </c>
      <c r="K309" s="4" t="s">
        <v>5016</v>
      </c>
      <c r="L309" s="4" t="str">
        <f>IFERROR(__xludf.DUMMYFUNCTION("""COMPUTED_VALUE"""),"pivot_shift")</f>
        <v>pivot_shift</v>
      </c>
    </row>
    <row r="310">
      <c r="H310" s="4">
        <v>309.0</v>
      </c>
      <c r="I310" s="4" t="s">
        <v>5270</v>
      </c>
      <c r="J310" s="4" t="s">
        <v>5196</v>
      </c>
      <c r="K310" s="4" t="s">
        <v>5016</v>
      </c>
      <c r="L310" s="4" t="str">
        <f>IFERROR(__xludf.DUMMYFUNCTION("""COMPUTED_VALUE"""),"Lachman")</f>
        <v>Lachman</v>
      </c>
    </row>
    <row r="311">
      <c r="H311" s="4">
        <v>310.0</v>
      </c>
      <c r="I311" s="4" t="s">
        <v>5270</v>
      </c>
      <c r="J311" s="4" t="s">
        <v>5196</v>
      </c>
      <c r="K311" s="4" t="s">
        <v>5016</v>
      </c>
      <c r="L311" s="4" t="str">
        <f>IFERROR(__xludf.DUMMYFUNCTION("""COMPUTED_VALUE"""),"IKDC")</f>
        <v>IKDC</v>
      </c>
    </row>
    <row r="312">
      <c r="H312" s="4">
        <v>311.0</v>
      </c>
      <c r="I312" s="4" t="s">
        <v>5270</v>
      </c>
      <c r="J312" s="4" t="s">
        <v>5196</v>
      </c>
      <c r="K312" s="4" t="s">
        <v>5016</v>
      </c>
      <c r="L312" s="4" t="str">
        <f>IFERROR(__xludf.DUMMYFUNCTION("""COMPUTED_VALUE"""),"Lysholm")</f>
        <v>Lysholm</v>
      </c>
    </row>
    <row r="313">
      <c r="H313" s="4">
        <v>312.0</v>
      </c>
      <c r="I313" s="4" t="s">
        <v>5270</v>
      </c>
      <c r="J313" s="4" t="s">
        <v>5196</v>
      </c>
      <c r="K313" s="4" t="s">
        <v>5016</v>
      </c>
      <c r="L313" s="4" t="str">
        <f>IFERROR(__xludf.DUMMYFUNCTION("""COMPUTED_VALUE"""),"Tegner")</f>
        <v>Tegner</v>
      </c>
    </row>
    <row r="314">
      <c r="H314" s="4">
        <v>313.0</v>
      </c>
      <c r="I314" s="4" t="s">
        <v>5271</v>
      </c>
      <c r="J314" s="4" t="s">
        <v>5198</v>
      </c>
      <c r="K314" s="4" t="s">
        <v>5013</v>
      </c>
      <c r="L314" s="4" t="str">
        <f>IFERROR(__xludf.DUMMYFUNCTION("""COMPUTED_VALUE"""),"IKDC")</f>
        <v>IKDC</v>
      </c>
    </row>
    <row r="315">
      <c r="H315" s="4">
        <v>314.0</v>
      </c>
      <c r="I315" s="4" t="s">
        <v>5271</v>
      </c>
      <c r="J315" s="4" t="s">
        <v>5198</v>
      </c>
      <c r="K315" s="4" t="s">
        <v>5013</v>
      </c>
      <c r="L315" s="4" t="str">
        <f>IFERROR(__xludf.DUMMYFUNCTION("""COMPUTED_VALUE"""),"instrumented_laxity")</f>
        <v>instrumented_laxity</v>
      </c>
    </row>
    <row r="316">
      <c r="H316" s="4">
        <v>315.0</v>
      </c>
      <c r="I316" s="4" t="s">
        <v>5271</v>
      </c>
      <c r="J316" s="4" t="s">
        <v>5198</v>
      </c>
      <c r="K316" s="4" t="s">
        <v>5014</v>
      </c>
      <c r="L316" s="4" t="str">
        <f>IFERROR(__xludf.DUMMYFUNCTION("""COMPUTED_VALUE"""),"IKDC")</f>
        <v>IKDC</v>
      </c>
    </row>
    <row r="317">
      <c r="H317" s="4">
        <v>316.0</v>
      </c>
      <c r="I317" s="4" t="s">
        <v>5271</v>
      </c>
      <c r="J317" s="4" t="s">
        <v>5198</v>
      </c>
      <c r="K317" s="4" t="s">
        <v>5014</v>
      </c>
      <c r="L317" s="4" t="str">
        <f>IFERROR(__xludf.DUMMYFUNCTION("""COMPUTED_VALUE"""),"instrumented_laxity")</f>
        <v>instrumented_laxity</v>
      </c>
    </row>
    <row r="318">
      <c r="H318" s="4">
        <v>317.0</v>
      </c>
      <c r="I318" s="4" t="s">
        <v>5272</v>
      </c>
      <c r="J318" s="4" t="s">
        <v>5200</v>
      </c>
      <c r="K318" s="4" t="s">
        <v>5013</v>
      </c>
      <c r="L318" s="4" t="str">
        <f>IFERROR(__xludf.DUMMYFUNCTION("""COMPUTED_VALUE"""),"instrumented_laxity")</f>
        <v>instrumented_laxity</v>
      </c>
    </row>
    <row r="319">
      <c r="H319" s="4">
        <v>318.0</v>
      </c>
      <c r="I319" s="4" t="s">
        <v>5272</v>
      </c>
      <c r="J319" s="4" t="s">
        <v>5200</v>
      </c>
      <c r="K319" s="4" t="s">
        <v>5013</v>
      </c>
      <c r="L319" s="4" t="str">
        <f>IFERROR(__xludf.DUMMYFUNCTION("""COMPUTED_VALUE"""),"Lachman")</f>
        <v>Lachman</v>
      </c>
    </row>
    <row r="320">
      <c r="H320" s="4">
        <v>319.0</v>
      </c>
      <c r="I320" s="4" t="s">
        <v>5272</v>
      </c>
      <c r="J320" s="4" t="s">
        <v>5200</v>
      </c>
      <c r="K320" s="4" t="s">
        <v>5013</v>
      </c>
      <c r="L320" s="4" t="str">
        <f>IFERROR(__xludf.DUMMYFUNCTION("""COMPUTED_VALUE"""),"Graft rupture")</f>
        <v>Graft rupture</v>
      </c>
    </row>
    <row r="321">
      <c r="H321" s="4">
        <v>320.0</v>
      </c>
      <c r="I321" s="4" t="s">
        <v>5272</v>
      </c>
      <c r="J321" s="4" t="s">
        <v>5200</v>
      </c>
      <c r="K321" s="4" t="s">
        <v>5014</v>
      </c>
      <c r="L321" s="4" t="str">
        <f>IFERROR(__xludf.DUMMYFUNCTION("""COMPUTED_VALUE"""),"instrumented_laxity")</f>
        <v>instrumented_laxity</v>
      </c>
    </row>
    <row r="322">
      <c r="H322" s="4">
        <v>321.0</v>
      </c>
      <c r="I322" s="4" t="s">
        <v>5272</v>
      </c>
      <c r="J322" s="4" t="s">
        <v>5200</v>
      </c>
      <c r="K322" s="4" t="s">
        <v>5014</v>
      </c>
      <c r="L322" s="4" t="str">
        <f>IFERROR(__xludf.DUMMYFUNCTION("""COMPUTED_VALUE"""),"Lachman")</f>
        <v>Lachman</v>
      </c>
    </row>
    <row r="323">
      <c r="H323" s="4">
        <v>322.0</v>
      </c>
      <c r="I323" s="4" t="s">
        <v>5272</v>
      </c>
      <c r="J323" s="4" t="s">
        <v>5200</v>
      </c>
      <c r="K323" s="4" t="s">
        <v>5014</v>
      </c>
      <c r="L323" s="4" t="str">
        <f>IFERROR(__xludf.DUMMYFUNCTION("""COMPUTED_VALUE"""),"Graft rupture")</f>
        <v>Graft rupture</v>
      </c>
    </row>
    <row r="324">
      <c r="H324" s="4">
        <v>323.0</v>
      </c>
      <c r="I324" s="4" t="s">
        <v>5274</v>
      </c>
      <c r="J324" s="4" t="s">
        <v>5202</v>
      </c>
      <c r="K324" s="4" t="s">
        <v>5013</v>
      </c>
      <c r="L324" s="4" t="str">
        <f>IFERROR(__xludf.DUMMYFUNCTION("""COMPUTED_VALUE"""),"IKDC")</f>
        <v>IKDC</v>
      </c>
    </row>
    <row r="325">
      <c r="H325" s="4">
        <v>324.0</v>
      </c>
      <c r="I325" s="4" t="s">
        <v>5274</v>
      </c>
      <c r="J325" s="4" t="s">
        <v>5202</v>
      </c>
      <c r="K325" s="4" t="s">
        <v>5013</v>
      </c>
      <c r="L325" s="4" t="str">
        <f>IFERROR(__xludf.DUMMYFUNCTION("""COMPUTED_VALUE"""),"pivot_shift")</f>
        <v>pivot_shift</v>
      </c>
    </row>
    <row r="326">
      <c r="H326" s="4">
        <v>325.0</v>
      </c>
      <c r="I326" s="4" t="s">
        <v>5274</v>
      </c>
      <c r="J326" s="4" t="s">
        <v>5202</v>
      </c>
      <c r="K326" s="4" t="s">
        <v>5013</v>
      </c>
      <c r="L326" s="4" t="str">
        <f>IFERROR(__xludf.DUMMYFUNCTION("""COMPUTED_VALUE"""),"Lachman")</f>
        <v>Lachman</v>
      </c>
    </row>
    <row r="327">
      <c r="H327" s="4">
        <v>326.0</v>
      </c>
      <c r="I327" s="4" t="s">
        <v>5274</v>
      </c>
      <c r="J327" s="4" t="s">
        <v>5202</v>
      </c>
      <c r="K327" s="4" t="s">
        <v>5013</v>
      </c>
      <c r="L327" s="4" t="str">
        <f>IFERROR(__xludf.DUMMYFUNCTION("""COMPUTED_VALUE"""),"instrumented_laxity")</f>
        <v>instrumented_laxity</v>
      </c>
    </row>
    <row r="328">
      <c r="H328" s="4">
        <v>327.0</v>
      </c>
      <c r="I328" s="4" t="s">
        <v>5274</v>
      </c>
      <c r="J328" s="4" t="s">
        <v>5202</v>
      </c>
      <c r="K328" s="4" t="s">
        <v>5013</v>
      </c>
      <c r="L328" s="4" t="str">
        <f>IFERROR(__xludf.DUMMYFUNCTION("""COMPUTED_VALUE"""),"Graft rupture")</f>
        <v>Graft rupture</v>
      </c>
    </row>
    <row r="329">
      <c r="H329" s="4">
        <v>328.0</v>
      </c>
      <c r="I329" s="4" t="s">
        <v>5274</v>
      </c>
      <c r="J329" s="4" t="s">
        <v>5202</v>
      </c>
      <c r="K329" s="4" t="s">
        <v>5014</v>
      </c>
      <c r="L329" s="4" t="str">
        <f>IFERROR(__xludf.DUMMYFUNCTION("""COMPUTED_VALUE"""),"IKDC")</f>
        <v>IKDC</v>
      </c>
    </row>
    <row r="330">
      <c r="H330" s="4">
        <v>329.0</v>
      </c>
      <c r="I330" s="4" t="s">
        <v>5274</v>
      </c>
      <c r="J330" s="4" t="s">
        <v>5202</v>
      </c>
      <c r="K330" s="4" t="s">
        <v>5014</v>
      </c>
      <c r="L330" s="4" t="str">
        <f>IFERROR(__xludf.DUMMYFUNCTION("""COMPUTED_VALUE"""),"pivot_shift")</f>
        <v>pivot_shift</v>
      </c>
    </row>
    <row r="331">
      <c r="H331" s="4">
        <v>330.0</v>
      </c>
      <c r="I331" s="4" t="s">
        <v>5274</v>
      </c>
      <c r="J331" s="4" t="s">
        <v>5202</v>
      </c>
      <c r="K331" s="4" t="s">
        <v>5014</v>
      </c>
      <c r="L331" s="4" t="str">
        <f>IFERROR(__xludf.DUMMYFUNCTION("""COMPUTED_VALUE"""),"Lachman")</f>
        <v>Lachman</v>
      </c>
    </row>
    <row r="332">
      <c r="H332" s="4">
        <v>331.0</v>
      </c>
      <c r="I332" s="4" t="s">
        <v>5274</v>
      </c>
      <c r="J332" s="4" t="s">
        <v>5202</v>
      </c>
      <c r="K332" s="4" t="s">
        <v>5014</v>
      </c>
      <c r="L332" s="4" t="str">
        <f>IFERROR(__xludf.DUMMYFUNCTION("""COMPUTED_VALUE"""),"instrumented_laxity")</f>
        <v>instrumented_laxity</v>
      </c>
    </row>
    <row r="333">
      <c r="H333" s="4">
        <v>332.0</v>
      </c>
      <c r="I333" s="4" t="s">
        <v>5274</v>
      </c>
      <c r="J333" s="4" t="s">
        <v>5202</v>
      </c>
      <c r="K333" s="4" t="s">
        <v>5014</v>
      </c>
      <c r="L333" s="4" t="str">
        <f>IFERROR(__xludf.DUMMYFUNCTION("""COMPUTED_VALUE"""),"Graft rupture")</f>
        <v>Graft rupture</v>
      </c>
    </row>
    <row r="334">
      <c r="H334" s="4">
        <v>333.0</v>
      </c>
      <c r="I334" s="4" t="s">
        <v>5275</v>
      </c>
      <c r="J334" s="4" t="s">
        <v>5204</v>
      </c>
      <c r="K334" s="4" t="s">
        <v>5013</v>
      </c>
      <c r="L334" s="4" t="str">
        <f>IFERROR(__xludf.DUMMYFUNCTION("""COMPUTED_VALUE"""),"IKDC")</f>
        <v>IKDC</v>
      </c>
    </row>
    <row r="335">
      <c r="H335" s="4">
        <v>334.0</v>
      </c>
      <c r="I335" s="4" t="s">
        <v>5275</v>
      </c>
      <c r="J335" s="4" t="s">
        <v>5204</v>
      </c>
      <c r="K335" s="4" t="s">
        <v>5013</v>
      </c>
      <c r="L335" s="4" t="str">
        <f>IFERROR(__xludf.DUMMYFUNCTION("""COMPUTED_VALUE"""),"Tegner")</f>
        <v>Tegner</v>
      </c>
    </row>
    <row r="336">
      <c r="H336" s="4">
        <v>335.0</v>
      </c>
      <c r="I336" s="4" t="s">
        <v>5275</v>
      </c>
      <c r="J336" s="4" t="s">
        <v>5204</v>
      </c>
      <c r="K336" s="4" t="s">
        <v>5013</v>
      </c>
      <c r="L336" s="4" t="str">
        <f>IFERROR(__xludf.DUMMYFUNCTION("""COMPUTED_VALUE"""),"Lysholm")</f>
        <v>Lysholm</v>
      </c>
    </row>
    <row r="337">
      <c r="H337" s="4">
        <v>336.0</v>
      </c>
      <c r="I337" s="4" t="s">
        <v>5275</v>
      </c>
      <c r="J337" s="4" t="s">
        <v>5204</v>
      </c>
      <c r="K337" s="4" t="s">
        <v>5013</v>
      </c>
      <c r="L337" s="4" t="str">
        <f>IFERROR(__xludf.DUMMYFUNCTION("""COMPUTED_VALUE"""),"instrumented_laxity")</f>
        <v>instrumented_laxity</v>
      </c>
    </row>
    <row r="338">
      <c r="H338" s="4">
        <v>337.0</v>
      </c>
      <c r="I338" s="4" t="s">
        <v>5275</v>
      </c>
      <c r="J338" s="4" t="s">
        <v>5204</v>
      </c>
      <c r="K338" s="4" t="s">
        <v>5013</v>
      </c>
      <c r="L338" s="4" t="str">
        <f>IFERROR(__xludf.DUMMYFUNCTION("""COMPUTED_VALUE"""),"Lachman")</f>
        <v>Lachman</v>
      </c>
    </row>
    <row r="339">
      <c r="H339" s="4">
        <v>338.0</v>
      </c>
      <c r="I339" s="4" t="s">
        <v>5275</v>
      </c>
      <c r="J339" s="4" t="s">
        <v>5204</v>
      </c>
      <c r="K339" s="4" t="s">
        <v>5013</v>
      </c>
      <c r="L339" s="4" t="str">
        <f>IFERROR(__xludf.DUMMYFUNCTION("""COMPUTED_VALUE"""),"Graft rupture")</f>
        <v>Graft rupture</v>
      </c>
    </row>
    <row r="340">
      <c r="H340" s="4">
        <v>339.0</v>
      </c>
      <c r="I340" s="4" t="s">
        <v>5275</v>
      </c>
      <c r="J340" s="4" t="s">
        <v>5204</v>
      </c>
      <c r="K340" s="4" t="s">
        <v>5014</v>
      </c>
      <c r="L340" s="4" t="str">
        <f>IFERROR(__xludf.DUMMYFUNCTION("""COMPUTED_VALUE"""),"IKDC")</f>
        <v>IKDC</v>
      </c>
    </row>
    <row r="341">
      <c r="H341" s="4">
        <v>340.0</v>
      </c>
      <c r="I341" s="4" t="s">
        <v>5275</v>
      </c>
      <c r="J341" s="4" t="s">
        <v>5204</v>
      </c>
      <c r="K341" s="4" t="s">
        <v>5014</v>
      </c>
      <c r="L341" s="4" t="str">
        <f>IFERROR(__xludf.DUMMYFUNCTION("""COMPUTED_VALUE"""),"Tegner")</f>
        <v>Tegner</v>
      </c>
    </row>
    <row r="342">
      <c r="H342" s="4">
        <v>341.0</v>
      </c>
      <c r="I342" s="4" t="s">
        <v>5275</v>
      </c>
      <c r="J342" s="4" t="s">
        <v>5204</v>
      </c>
      <c r="K342" s="4" t="s">
        <v>5014</v>
      </c>
      <c r="L342" s="4" t="str">
        <f>IFERROR(__xludf.DUMMYFUNCTION("""COMPUTED_VALUE"""),"Lysholm")</f>
        <v>Lysholm</v>
      </c>
    </row>
    <row r="343">
      <c r="H343" s="4">
        <v>342.0</v>
      </c>
      <c r="I343" s="4" t="s">
        <v>5275</v>
      </c>
      <c r="J343" s="4" t="s">
        <v>5204</v>
      </c>
      <c r="K343" s="4" t="s">
        <v>5014</v>
      </c>
      <c r="L343" s="4" t="str">
        <f>IFERROR(__xludf.DUMMYFUNCTION("""COMPUTED_VALUE"""),"instrumented_laxity")</f>
        <v>instrumented_laxity</v>
      </c>
    </row>
    <row r="344">
      <c r="H344" s="4">
        <v>343.0</v>
      </c>
      <c r="I344" s="4" t="s">
        <v>5275</v>
      </c>
      <c r="J344" s="4" t="s">
        <v>5204</v>
      </c>
      <c r="K344" s="4" t="s">
        <v>5014</v>
      </c>
      <c r="L344" s="4" t="str">
        <f>IFERROR(__xludf.DUMMYFUNCTION("""COMPUTED_VALUE"""),"Lachman")</f>
        <v>Lachman</v>
      </c>
    </row>
    <row r="345">
      <c r="H345" s="4">
        <v>344.0</v>
      </c>
      <c r="I345" s="4" t="s">
        <v>5275</v>
      </c>
      <c r="J345" s="4" t="s">
        <v>5204</v>
      </c>
      <c r="K345" s="4" t="s">
        <v>5014</v>
      </c>
      <c r="L345" s="4" t="str">
        <f>IFERROR(__xludf.DUMMYFUNCTION("""COMPUTED_VALUE"""),"Graft rupture")</f>
        <v>Graft rupture</v>
      </c>
    </row>
    <row r="346">
      <c r="H346" s="4">
        <v>345.0</v>
      </c>
      <c r="I346" s="4" t="s">
        <v>5277</v>
      </c>
      <c r="J346" s="4" t="s">
        <v>5205</v>
      </c>
      <c r="K346" s="4" t="s">
        <v>5014</v>
      </c>
      <c r="L346" s="4" t="str">
        <f>IFERROR(__xludf.DUMMYFUNCTION("""COMPUTED_VALUE"""),"Lachman")</f>
        <v>Lachman</v>
      </c>
    </row>
    <row r="347">
      <c r="H347" s="4">
        <v>346.0</v>
      </c>
      <c r="I347" s="4" t="s">
        <v>5277</v>
      </c>
      <c r="J347" s="4" t="s">
        <v>5205</v>
      </c>
      <c r="K347" s="4" t="s">
        <v>5014</v>
      </c>
      <c r="L347" s="4" t="str">
        <f>IFERROR(__xludf.DUMMYFUNCTION("""COMPUTED_VALUE"""),"IKDC")</f>
        <v>IKDC</v>
      </c>
    </row>
    <row r="348">
      <c r="H348" s="4">
        <v>347.0</v>
      </c>
      <c r="I348" s="4" t="s">
        <v>5277</v>
      </c>
      <c r="J348" s="4" t="s">
        <v>5205</v>
      </c>
      <c r="K348" s="4" t="s">
        <v>5014</v>
      </c>
      <c r="L348" s="4" t="str">
        <f>IFERROR(__xludf.DUMMYFUNCTION("""COMPUTED_VALUE"""),"Tegner")</f>
        <v>Tegner</v>
      </c>
    </row>
    <row r="349">
      <c r="H349" s="4">
        <v>348.0</v>
      </c>
      <c r="I349" s="4" t="s">
        <v>5277</v>
      </c>
      <c r="J349" s="4" t="s">
        <v>5205</v>
      </c>
      <c r="K349" s="4" t="s">
        <v>5014</v>
      </c>
      <c r="L349" s="4" t="str">
        <f>IFERROR(__xludf.DUMMYFUNCTION("""COMPUTED_VALUE"""),"Lysholm")</f>
        <v>Lysholm</v>
      </c>
    </row>
    <row r="350">
      <c r="H350" s="4">
        <v>349.0</v>
      </c>
      <c r="I350" s="4" t="s">
        <v>5277</v>
      </c>
      <c r="J350" s="4" t="s">
        <v>5205</v>
      </c>
      <c r="K350" s="4" t="s">
        <v>5014</v>
      </c>
      <c r="L350" s="4" t="str">
        <f>IFERROR(__xludf.DUMMYFUNCTION("""COMPUTED_VALUE"""),"instrumented_laxity")</f>
        <v>instrumented_laxity</v>
      </c>
    </row>
    <row r="351">
      <c r="H351" s="4">
        <v>350.0</v>
      </c>
      <c r="I351" s="4" t="s">
        <v>5277</v>
      </c>
      <c r="J351" s="4" t="s">
        <v>5205</v>
      </c>
      <c r="K351" s="4" t="s">
        <v>5014</v>
      </c>
      <c r="L351" s="4" t="str">
        <f>IFERROR(__xludf.DUMMYFUNCTION("""COMPUTED_VALUE"""),"pivot_shift")</f>
        <v>pivot_shift</v>
      </c>
    </row>
    <row r="352">
      <c r="H352" s="4">
        <v>351.0</v>
      </c>
      <c r="I352" s="4" t="s">
        <v>5277</v>
      </c>
      <c r="J352" s="4" t="s">
        <v>5205</v>
      </c>
      <c r="K352" s="4" t="s">
        <v>5014</v>
      </c>
      <c r="L352" s="4" t="str">
        <f>IFERROR(__xludf.DUMMYFUNCTION("""COMPUTED_VALUE"""),"Graft rupture")</f>
        <v>Graft rupture</v>
      </c>
    </row>
    <row r="353">
      <c r="H353" s="4">
        <v>352.0</v>
      </c>
      <c r="I353" s="4" t="s">
        <v>5277</v>
      </c>
      <c r="J353" s="4" t="s">
        <v>5205</v>
      </c>
      <c r="K353" s="4" t="s">
        <v>5017</v>
      </c>
      <c r="L353" s="4" t="str">
        <f>IFERROR(__xludf.DUMMYFUNCTION("""COMPUTED_VALUE"""),"Lachman")</f>
        <v>Lachman</v>
      </c>
    </row>
    <row r="354">
      <c r="H354" s="4">
        <v>353.0</v>
      </c>
      <c r="I354" s="4" t="s">
        <v>5277</v>
      </c>
      <c r="J354" s="4" t="s">
        <v>5205</v>
      </c>
      <c r="K354" s="4" t="s">
        <v>5017</v>
      </c>
      <c r="L354" s="4" t="str">
        <f>IFERROR(__xludf.DUMMYFUNCTION("""COMPUTED_VALUE"""),"IKDC")</f>
        <v>IKDC</v>
      </c>
    </row>
    <row r="355">
      <c r="H355" s="4">
        <v>354.0</v>
      </c>
      <c r="I355" s="4" t="s">
        <v>5277</v>
      </c>
      <c r="J355" s="4" t="s">
        <v>5205</v>
      </c>
      <c r="K355" s="4" t="s">
        <v>5017</v>
      </c>
      <c r="L355" s="4" t="str">
        <f>IFERROR(__xludf.DUMMYFUNCTION("""COMPUTED_VALUE"""),"Tegner")</f>
        <v>Tegner</v>
      </c>
    </row>
    <row r="356">
      <c r="H356" s="4">
        <v>355.0</v>
      </c>
      <c r="I356" s="4" t="s">
        <v>5277</v>
      </c>
      <c r="J356" s="4" t="s">
        <v>5205</v>
      </c>
      <c r="K356" s="4" t="s">
        <v>5017</v>
      </c>
      <c r="L356" s="4" t="str">
        <f>IFERROR(__xludf.DUMMYFUNCTION("""COMPUTED_VALUE"""),"Lysholm")</f>
        <v>Lysholm</v>
      </c>
    </row>
    <row r="357">
      <c r="H357" s="4">
        <v>356.0</v>
      </c>
      <c r="I357" s="4" t="s">
        <v>5277</v>
      </c>
      <c r="J357" s="4" t="s">
        <v>5205</v>
      </c>
      <c r="K357" s="4" t="s">
        <v>5017</v>
      </c>
      <c r="L357" s="4" t="str">
        <f>IFERROR(__xludf.DUMMYFUNCTION("""COMPUTED_VALUE"""),"instrumented_laxity")</f>
        <v>instrumented_laxity</v>
      </c>
    </row>
    <row r="358">
      <c r="H358" s="4">
        <v>357.0</v>
      </c>
      <c r="I358" s="4" t="s">
        <v>5277</v>
      </c>
      <c r="J358" s="4" t="s">
        <v>5205</v>
      </c>
      <c r="K358" s="4" t="s">
        <v>5017</v>
      </c>
      <c r="L358" s="4" t="str">
        <f>IFERROR(__xludf.DUMMYFUNCTION("""COMPUTED_VALUE"""),"pivot_shift")</f>
        <v>pivot_shift</v>
      </c>
    </row>
    <row r="359">
      <c r="H359" s="4">
        <v>358.0</v>
      </c>
      <c r="I359" s="4" t="s">
        <v>5277</v>
      </c>
      <c r="J359" s="4" t="s">
        <v>5205</v>
      </c>
      <c r="K359" s="4" t="s">
        <v>5017</v>
      </c>
      <c r="L359" s="4" t="str">
        <f>IFERROR(__xludf.DUMMYFUNCTION("""COMPUTED_VALUE"""),"Graft rupture")</f>
        <v>Graft rupture</v>
      </c>
    </row>
    <row r="360">
      <c r="H360" s="4">
        <v>359.0</v>
      </c>
      <c r="I360" s="4" t="s">
        <v>5278</v>
      </c>
      <c r="J360" s="4" t="s">
        <v>5206</v>
      </c>
      <c r="K360" s="4" t="s">
        <v>5013</v>
      </c>
      <c r="L360" s="4" t="str">
        <f>IFERROR(__xludf.DUMMYFUNCTION("""COMPUTED_VALUE"""),"IKDC")</f>
        <v>IKDC</v>
      </c>
    </row>
    <row r="361">
      <c r="H361" s="4">
        <v>360.0</v>
      </c>
      <c r="I361" s="4" t="s">
        <v>5278</v>
      </c>
      <c r="J361" s="4" t="s">
        <v>5206</v>
      </c>
      <c r="K361" s="4" t="s">
        <v>5013</v>
      </c>
      <c r="L361" s="4" t="str">
        <f>IFERROR(__xludf.DUMMYFUNCTION("""COMPUTED_VALUE"""),"Lysholm")</f>
        <v>Lysholm</v>
      </c>
    </row>
    <row r="362">
      <c r="H362" s="4">
        <v>361.0</v>
      </c>
      <c r="I362" s="4" t="s">
        <v>5278</v>
      </c>
      <c r="J362" s="4" t="s">
        <v>5206</v>
      </c>
      <c r="K362" s="4" t="s">
        <v>5013</v>
      </c>
      <c r="L362" s="4" t="str">
        <f>IFERROR(__xludf.DUMMYFUNCTION("""COMPUTED_VALUE"""),"instrumented_laxity")</f>
        <v>instrumented_laxity</v>
      </c>
    </row>
    <row r="363">
      <c r="H363" s="4">
        <v>362.0</v>
      </c>
      <c r="I363" s="4" t="s">
        <v>5278</v>
      </c>
      <c r="J363" s="4" t="s">
        <v>5206</v>
      </c>
      <c r="K363" s="4" t="s">
        <v>5014</v>
      </c>
      <c r="L363" s="4" t="str">
        <f>IFERROR(__xludf.DUMMYFUNCTION("""COMPUTED_VALUE"""),"IKDC")</f>
        <v>IKDC</v>
      </c>
    </row>
    <row r="364">
      <c r="H364" s="4">
        <v>363.0</v>
      </c>
      <c r="I364" s="4" t="s">
        <v>5278</v>
      </c>
      <c r="J364" s="4" t="s">
        <v>5206</v>
      </c>
      <c r="K364" s="4" t="s">
        <v>5014</v>
      </c>
      <c r="L364" s="4" t="str">
        <f>IFERROR(__xludf.DUMMYFUNCTION("""COMPUTED_VALUE"""),"Lysholm")</f>
        <v>Lysholm</v>
      </c>
    </row>
    <row r="365">
      <c r="H365" s="4">
        <v>364.0</v>
      </c>
      <c r="I365" s="4" t="s">
        <v>5278</v>
      </c>
      <c r="J365" s="4" t="s">
        <v>5206</v>
      </c>
      <c r="K365" s="4" t="s">
        <v>5014</v>
      </c>
      <c r="L365" s="4" t="str">
        <f>IFERROR(__xludf.DUMMYFUNCTION("""COMPUTED_VALUE"""),"instrumented_laxity")</f>
        <v>instrumented_laxity</v>
      </c>
    </row>
    <row r="366">
      <c r="H366" s="4">
        <v>365.0</v>
      </c>
      <c r="I366" s="4" t="s">
        <v>5280</v>
      </c>
      <c r="J366" s="4" t="s">
        <v>5208</v>
      </c>
      <c r="K366" s="4" t="s">
        <v>5013</v>
      </c>
      <c r="L366" s="4" t="str">
        <f>IFERROR(__xludf.DUMMYFUNCTION("""COMPUTED_VALUE"""),"IKDC")</f>
        <v>IKDC</v>
      </c>
    </row>
    <row r="367">
      <c r="H367" s="4">
        <v>366.0</v>
      </c>
      <c r="I367" s="4" t="s">
        <v>5280</v>
      </c>
      <c r="J367" s="4" t="s">
        <v>5208</v>
      </c>
      <c r="K367" s="4" t="s">
        <v>5013</v>
      </c>
      <c r="L367" s="4" t="str">
        <f>IFERROR(__xludf.DUMMYFUNCTION("""COMPUTED_VALUE"""),"Lysholm")</f>
        <v>Lysholm</v>
      </c>
    </row>
    <row r="368">
      <c r="H368" s="4">
        <v>367.0</v>
      </c>
      <c r="I368" s="4" t="s">
        <v>5280</v>
      </c>
      <c r="J368" s="4" t="s">
        <v>5208</v>
      </c>
      <c r="K368" s="4" t="s">
        <v>5014</v>
      </c>
      <c r="L368" s="4" t="str">
        <f>IFERROR(__xludf.DUMMYFUNCTION("""COMPUTED_VALUE"""),"IKDC")</f>
        <v>IKDC</v>
      </c>
    </row>
    <row r="369">
      <c r="H369" s="4">
        <v>368.0</v>
      </c>
      <c r="I369" s="4" t="s">
        <v>5280</v>
      </c>
      <c r="J369" s="4" t="s">
        <v>5208</v>
      </c>
      <c r="K369" s="4" t="s">
        <v>5014</v>
      </c>
      <c r="L369" s="4" t="str">
        <f>IFERROR(__xludf.DUMMYFUNCTION("""COMPUTED_VALUE"""),"Lysholm")</f>
        <v>Lysholm</v>
      </c>
    </row>
    <row r="370">
      <c r="H370" s="4">
        <v>369.0</v>
      </c>
      <c r="I370" s="4" t="s">
        <v>5281</v>
      </c>
      <c r="J370" s="4" t="s">
        <v>5209</v>
      </c>
      <c r="K370" s="4" t="s">
        <v>5013</v>
      </c>
      <c r="L370" s="4" t="str">
        <f>IFERROR(__xludf.DUMMYFUNCTION("""COMPUTED_VALUE"""),"IKDC")</f>
        <v>IKDC</v>
      </c>
    </row>
    <row r="371">
      <c r="H371" s="4">
        <v>370.0</v>
      </c>
      <c r="I371" s="4" t="s">
        <v>5281</v>
      </c>
      <c r="J371" s="4" t="s">
        <v>5209</v>
      </c>
      <c r="K371" s="4" t="s">
        <v>5013</v>
      </c>
      <c r="L371" s="4" t="str">
        <f>IFERROR(__xludf.DUMMYFUNCTION("""COMPUTED_VALUE"""),"Lysholm")</f>
        <v>Lysholm</v>
      </c>
    </row>
    <row r="372">
      <c r="H372" s="4">
        <v>371.0</v>
      </c>
      <c r="I372" s="4" t="s">
        <v>5281</v>
      </c>
      <c r="J372" s="4" t="s">
        <v>5209</v>
      </c>
      <c r="K372" s="4" t="s">
        <v>5013</v>
      </c>
      <c r="L372" s="4" t="str">
        <f>IFERROR(__xludf.DUMMYFUNCTION("""COMPUTED_VALUE"""),"Lachman")</f>
        <v>Lachman</v>
      </c>
    </row>
    <row r="373">
      <c r="H373" s="4">
        <v>372.0</v>
      </c>
      <c r="I373" s="4" t="s">
        <v>5281</v>
      </c>
      <c r="J373" s="4" t="s">
        <v>5209</v>
      </c>
      <c r="K373" s="4" t="s">
        <v>5013</v>
      </c>
      <c r="L373" s="4" t="str">
        <f>IFERROR(__xludf.DUMMYFUNCTION("""COMPUTED_VALUE"""),"pivot_shift")</f>
        <v>pivot_shift</v>
      </c>
    </row>
    <row r="374">
      <c r="H374" s="4">
        <v>373.0</v>
      </c>
      <c r="I374" s="4" t="s">
        <v>5281</v>
      </c>
      <c r="J374" s="4" t="s">
        <v>5209</v>
      </c>
      <c r="K374" s="4" t="s">
        <v>5013</v>
      </c>
      <c r="L374" s="4" t="str">
        <f>IFERROR(__xludf.DUMMYFUNCTION("""COMPUTED_VALUE"""),"instrumented_laxity")</f>
        <v>instrumented_laxity</v>
      </c>
    </row>
    <row r="375">
      <c r="H375" s="4">
        <v>374.0</v>
      </c>
      <c r="I375" s="4" t="s">
        <v>5281</v>
      </c>
      <c r="J375" s="4" t="s">
        <v>5209</v>
      </c>
      <c r="K375" s="4" t="s">
        <v>5014</v>
      </c>
      <c r="L375" s="4" t="str">
        <f>IFERROR(__xludf.DUMMYFUNCTION("""COMPUTED_VALUE"""),"IKDC")</f>
        <v>IKDC</v>
      </c>
    </row>
    <row r="376">
      <c r="H376" s="4">
        <v>375.0</v>
      </c>
      <c r="I376" s="4" t="s">
        <v>5281</v>
      </c>
      <c r="J376" s="4" t="s">
        <v>5209</v>
      </c>
      <c r="K376" s="4" t="s">
        <v>5014</v>
      </c>
      <c r="L376" s="4" t="str">
        <f>IFERROR(__xludf.DUMMYFUNCTION("""COMPUTED_VALUE"""),"Lysholm")</f>
        <v>Lysholm</v>
      </c>
    </row>
    <row r="377">
      <c r="H377" s="4">
        <v>376.0</v>
      </c>
      <c r="I377" s="4" t="s">
        <v>5281</v>
      </c>
      <c r="J377" s="4" t="s">
        <v>5209</v>
      </c>
      <c r="K377" s="4" t="s">
        <v>5014</v>
      </c>
      <c r="L377" s="4" t="str">
        <f>IFERROR(__xludf.DUMMYFUNCTION("""COMPUTED_VALUE"""),"Lachman")</f>
        <v>Lachman</v>
      </c>
    </row>
    <row r="378">
      <c r="H378" s="4">
        <v>377.0</v>
      </c>
      <c r="I378" s="4" t="s">
        <v>5281</v>
      </c>
      <c r="J378" s="4" t="s">
        <v>5209</v>
      </c>
      <c r="K378" s="4" t="s">
        <v>5014</v>
      </c>
      <c r="L378" s="4" t="str">
        <f>IFERROR(__xludf.DUMMYFUNCTION("""COMPUTED_VALUE"""),"pivot_shift")</f>
        <v>pivot_shift</v>
      </c>
    </row>
    <row r="379">
      <c r="H379" s="4">
        <v>378.0</v>
      </c>
      <c r="I379" s="4" t="s">
        <v>5281</v>
      </c>
      <c r="J379" s="4" t="s">
        <v>5209</v>
      </c>
      <c r="K379" s="4" t="s">
        <v>5014</v>
      </c>
      <c r="L379" s="4" t="str">
        <f>IFERROR(__xludf.DUMMYFUNCTION("""COMPUTED_VALUE"""),"instrumented_laxity")</f>
        <v>instrumented_laxity</v>
      </c>
    </row>
    <row r="380">
      <c r="H380" s="4">
        <v>379.0</v>
      </c>
      <c r="I380" s="4" t="s">
        <v>5282</v>
      </c>
      <c r="J380" s="4" t="s">
        <v>5212</v>
      </c>
      <c r="K380" s="4" t="s">
        <v>5013</v>
      </c>
      <c r="L380" s="4" t="str">
        <f>IFERROR(__xludf.DUMMYFUNCTION("""COMPUTED_VALUE"""),"Lysholm")</f>
        <v>Lysholm</v>
      </c>
    </row>
    <row r="381">
      <c r="H381" s="4">
        <v>380.0</v>
      </c>
      <c r="I381" s="4" t="s">
        <v>5282</v>
      </c>
      <c r="J381" s="4" t="s">
        <v>5212</v>
      </c>
      <c r="K381" s="4" t="s">
        <v>5013</v>
      </c>
      <c r="L381" s="4" t="str">
        <f>IFERROR(__xludf.DUMMYFUNCTION("""COMPUTED_VALUE"""),"Tegner")</f>
        <v>Tegner</v>
      </c>
    </row>
    <row r="382">
      <c r="H382" s="4">
        <v>381.0</v>
      </c>
      <c r="I382" s="4" t="s">
        <v>5282</v>
      </c>
      <c r="J382" s="4" t="s">
        <v>5212</v>
      </c>
      <c r="K382" s="4" t="s">
        <v>5013</v>
      </c>
      <c r="L382" s="4" t="str">
        <f>IFERROR(__xludf.DUMMYFUNCTION("""COMPUTED_VALUE"""),"instrumented_laxity")</f>
        <v>instrumented_laxity</v>
      </c>
    </row>
    <row r="383">
      <c r="H383" s="4">
        <v>382.0</v>
      </c>
      <c r="I383" s="4" t="s">
        <v>5282</v>
      </c>
      <c r="J383" s="4" t="s">
        <v>5212</v>
      </c>
      <c r="K383" s="4" t="s">
        <v>5013</v>
      </c>
      <c r="L383" s="4" t="str">
        <f>IFERROR(__xludf.DUMMYFUNCTION("""COMPUTED_VALUE"""),"pivot_shift")</f>
        <v>pivot_shift</v>
      </c>
    </row>
    <row r="384">
      <c r="H384" s="4">
        <v>383.0</v>
      </c>
      <c r="I384" s="4" t="s">
        <v>5282</v>
      </c>
      <c r="J384" s="4" t="s">
        <v>5212</v>
      </c>
      <c r="K384" s="4" t="s">
        <v>5013</v>
      </c>
      <c r="L384" s="4" t="str">
        <f>IFERROR(__xludf.DUMMYFUNCTION("""COMPUTED_VALUE"""),"Lachman")</f>
        <v>Lachman</v>
      </c>
    </row>
    <row r="385">
      <c r="H385" s="4">
        <v>384.0</v>
      </c>
      <c r="I385" s="4" t="s">
        <v>5282</v>
      </c>
      <c r="J385" s="4" t="s">
        <v>5212</v>
      </c>
      <c r="K385" s="4" t="s">
        <v>5014</v>
      </c>
      <c r="L385" s="4" t="str">
        <f>IFERROR(__xludf.DUMMYFUNCTION("""COMPUTED_VALUE"""),"Lysholm")</f>
        <v>Lysholm</v>
      </c>
    </row>
    <row r="386">
      <c r="H386" s="4">
        <v>385.0</v>
      </c>
      <c r="I386" s="4" t="s">
        <v>5282</v>
      </c>
      <c r="J386" s="4" t="s">
        <v>5212</v>
      </c>
      <c r="K386" s="4" t="s">
        <v>5014</v>
      </c>
      <c r="L386" s="4" t="str">
        <f>IFERROR(__xludf.DUMMYFUNCTION("""COMPUTED_VALUE"""),"Tegner")</f>
        <v>Tegner</v>
      </c>
    </row>
    <row r="387">
      <c r="H387" s="4">
        <v>386.0</v>
      </c>
      <c r="I387" s="4" t="s">
        <v>5282</v>
      </c>
      <c r="J387" s="4" t="s">
        <v>5212</v>
      </c>
      <c r="K387" s="4" t="s">
        <v>5014</v>
      </c>
      <c r="L387" s="4" t="str">
        <f>IFERROR(__xludf.DUMMYFUNCTION("""COMPUTED_VALUE"""),"instrumented_laxity")</f>
        <v>instrumented_laxity</v>
      </c>
    </row>
    <row r="388">
      <c r="H388" s="4">
        <v>387.0</v>
      </c>
      <c r="I388" s="4" t="s">
        <v>5282</v>
      </c>
      <c r="J388" s="4" t="s">
        <v>5212</v>
      </c>
      <c r="K388" s="4" t="s">
        <v>5014</v>
      </c>
      <c r="L388" s="4" t="str">
        <f>IFERROR(__xludf.DUMMYFUNCTION("""COMPUTED_VALUE"""),"pivot_shift")</f>
        <v>pivot_shift</v>
      </c>
    </row>
    <row r="389">
      <c r="H389" s="4">
        <v>388.0</v>
      </c>
      <c r="I389" s="4" t="s">
        <v>5282</v>
      </c>
      <c r="J389" s="4" t="s">
        <v>5212</v>
      </c>
      <c r="K389" s="4" t="s">
        <v>5014</v>
      </c>
      <c r="L389" s="4" t="str">
        <f>IFERROR(__xludf.DUMMYFUNCTION("""COMPUTED_VALUE"""),"Lachman")</f>
        <v>Lachman</v>
      </c>
    </row>
    <row r="390">
      <c r="H390" s="4">
        <v>389.0</v>
      </c>
      <c r="I390" s="4" t="s">
        <v>5284</v>
      </c>
      <c r="J390" s="4" t="s">
        <v>5213</v>
      </c>
      <c r="K390" s="4" t="s">
        <v>5013</v>
      </c>
      <c r="L390" s="4" t="str">
        <f>IFERROR(__xludf.DUMMYFUNCTION("""COMPUTED_VALUE"""),"IKDC")</f>
        <v>IKDC</v>
      </c>
    </row>
    <row r="391">
      <c r="H391" s="4">
        <v>390.0</v>
      </c>
      <c r="I391" s="4" t="s">
        <v>5284</v>
      </c>
      <c r="J391" s="4" t="s">
        <v>5213</v>
      </c>
      <c r="K391" s="4" t="s">
        <v>5013</v>
      </c>
      <c r="L391" s="4" t="str">
        <f>IFERROR(__xludf.DUMMYFUNCTION("""COMPUTED_VALUE"""),"Lysholm")</f>
        <v>Lysholm</v>
      </c>
    </row>
    <row r="392">
      <c r="H392" s="4">
        <v>391.0</v>
      </c>
      <c r="I392" s="4" t="s">
        <v>5284</v>
      </c>
      <c r="J392" s="4" t="s">
        <v>5213</v>
      </c>
      <c r="K392" s="4" t="s">
        <v>5013</v>
      </c>
      <c r="L392" s="4" t="str">
        <f>IFERROR(__xludf.DUMMYFUNCTION("""COMPUTED_VALUE"""),"instrumented_laxity")</f>
        <v>instrumented_laxity</v>
      </c>
    </row>
    <row r="393">
      <c r="H393" s="4">
        <v>392.0</v>
      </c>
      <c r="I393" s="4" t="s">
        <v>5284</v>
      </c>
      <c r="J393" s="4" t="s">
        <v>5213</v>
      </c>
      <c r="K393" s="4" t="s">
        <v>5013</v>
      </c>
      <c r="L393" s="4" t="str">
        <f>IFERROR(__xludf.DUMMYFUNCTION("""COMPUTED_VALUE"""),"pivot_shift")</f>
        <v>pivot_shift</v>
      </c>
    </row>
    <row r="394">
      <c r="H394" s="4">
        <v>393.0</v>
      </c>
      <c r="I394" s="4" t="s">
        <v>5284</v>
      </c>
      <c r="J394" s="4" t="s">
        <v>5213</v>
      </c>
      <c r="K394" s="4" t="s">
        <v>5013</v>
      </c>
      <c r="L394" s="4" t="str">
        <f>IFERROR(__xludf.DUMMYFUNCTION("""COMPUTED_VALUE"""),"Lachman")</f>
        <v>Lachman</v>
      </c>
    </row>
    <row r="395">
      <c r="H395" s="4">
        <v>394.0</v>
      </c>
      <c r="I395" s="4" t="s">
        <v>5284</v>
      </c>
      <c r="J395" s="4" t="s">
        <v>5213</v>
      </c>
      <c r="K395" s="4" t="s">
        <v>5014</v>
      </c>
      <c r="L395" s="4" t="str">
        <f>IFERROR(__xludf.DUMMYFUNCTION("""COMPUTED_VALUE"""),"IKDC")</f>
        <v>IKDC</v>
      </c>
    </row>
    <row r="396">
      <c r="H396" s="4">
        <v>395.0</v>
      </c>
      <c r="I396" s="4" t="s">
        <v>5284</v>
      </c>
      <c r="J396" s="4" t="s">
        <v>5213</v>
      </c>
      <c r="K396" s="4" t="s">
        <v>5014</v>
      </c>
      <c r="L396" s="4" t="str">
        <f>IFERROR(__xludf.DUMMYFUNCTION("""COMPUTED_VALUE"""),"Lysholm")</f>
        <v>Lysholm</v>
      </c>
    </row>
    <row r="397">
      <c r="H397" s="4">
        <v>396.0</v>
      </c>
      <c r="I397" s="4" t="s">
        <v>5284</v>
      </c>
      <c r="J397" s="4" t="s">
        <v>5213</v>
      </c>
      <c r="K397" s="4" t="s">
        <v>5014</v>
      </c>
      <c r="L397" s="4" t="str">
        <f>IFERROR(__xludf.DUMMYFUNCTION("""COMPUTED_VALUE"""),"instrumented_laxity")</f>
        <v>instrumented_laxity</v>
      </c>
    </row>
    <row r="398">
      <c r="H398" s="4">
        <v>397.0</v>
      </c>
      <c r="I398" s="4" t="s">
        <v>5284</v>
      </c>
      <c r="J398" s="4" t="s">
        <v>5213</v>
      </c>
      <c r="K398" s="4" t="s">
        <v>5014</v>
      </c>
      <c r="L398" s="4" t="str">
        <f>IFERROR(__xludf.DUMMYFUNCTION("""COMPUTED_VALUE"""),"pivot_shift")</f>
        <v>pivot_shift</v>
      </c>
    </row>
    <row r="399">
      <c r="H399" s="4">
        <v>398.0</v>
      </c>
      <c r="I399" s="4" t="s">
        <v>5284</v>
      </c>
      <c r="J399" s="4" t="s">
        <v>5213</v>
      </c>
      <c r="K399" s="4" t="s">
        <v>5014</v>
      </c>
      <c r="L399" s="4" t="str">
        <f>IFERROR(__xludf.DUMMYFUNCTION("""COMPUTED_VALUE"""),"Lachman")</f>
        <v>Lachman</v>
      </c>
    </row>
    <row r="400">
      <c r="H400" s="4">
        <v>399.0</v>
      </c>
      <c r="I400" s="4" t="s">
        <v>5285</v>
      </c>
      <c r="J400" s="4" t="s">
        <v>5214</v>
      </c>
      <c r="K400" s="4" t="s">
        <v>5014</v>
      </c>
      <c r="L400" s="4" t="str">
        <f>IFERROR(__xludf.DUMMYFUNCTION("""COMPUTED_VALUE"""),"IKDC")</f>
        <v>IKDC</v>
      </c>
    </row>
    <row r="401">
      <c r="H401" s="4">
        <v>400.0</v>
      </c>
      <c r="I401" s="4" t="s">
        <v>5285</v>
      </c>
      <c r="J401" s="4" t="s">
        <v>5214</v>
      </c>
      <c r="K401" s="4" t="s">
        <v>5015</v>
      </c>
      <c r="L401" s="4" t="str">
        <f>IFERROR(__xludf.DUMMYFUNCTION("""COMPUTED_VALUE"""),"IKDC")</f>
        <v>IKDC</v>
      </c>
    </row>
    <row r="402">
      <c r="H402" s="4">
        <v>401.0</v>
      </c>
      <c r="I402" s="4" t="s">
        <v>5286</v>
      </c>
      <c r="J402" s="4" t="s">
        <v>5215</v>
      </c>
      <c r="K402" s="4" t="s">
        <v>5013</v>
      </c>
      <c r="L402" s="4" t="str">
        <f>IFERROR(__xludf.DUMMYFUNCTION("""COMPUTED_VALUE"""),"IKDC")</f>
        <v>IKDC</v>
      </c>
    </row>
    <row r="403">
      <c r="H403" s="4">
        <v>402.0</v>
      </c>
      <c r="I403" s="4" t="s">
        <v>5286</v>
      </c>
      <c r="J403" s="4" t="s">
        <v>5215</v>
      </c>
      <c r="K403" s="4" t="s">
        <v>5013</v>
      </c>
      <c r="L403" s="4" t="str">
        <f>IFERROR(__xludf.DUMMYFUNCTION("""COMPUTED_VALUE"""),"instrumented_laxity")</f>
        <v>instrumented_laxity</v>
      </c>
    </row>
    <row r="404">
      <c r="H404" s="4">
        <v>403.0</v>
      </c>
      <c r="I404" s="4" t="s">
        <v>5286</v>
      </c>
      <c r="J404" s="4" t="s">
        <v>5215</v>
      </c>
      <c r="K404" s="4" t="s">
        <v>5013</v>
      </c>
      <c r="L404" s="4" t="str">
        <f>IFERROR(__xludf.DUMMYFUNCTION("""COMPUTED_VALUE"""),"Graft rupture")</f>
        <v>Graft rupture</v>
      </c>
    </row>
    <row r="405">
      <c r="H405" s="4">
        <v>404.0</v>
      </c>
      <c r="I405" s="4" t="s">
        <v>5286</v>
      </c>
      <c r="J405" s="4" t="s">
        <v>5215</v>
      </c>
      <c r="K405" s="4" t="s">
        <v>5014</v>
      </c>
      <c r="L405" s="4" t="str">
        <f>IFERROR(__xludf.DUMMYFUNCTION("""COMPUTED_VALUE"""),"IKDC")</f>
        <v>IKDC</v>
      </c>
    </row>
    <row r="406">
      <c r="H406" s="4">
        <v>405.0</v>
      </c>
      <c r="I406" s="4" t="s">
        <v>5286</v>
      </c>
      <c r="J406" s="4" t="s">
        <v>5215</v>
      </c>
      <c r="K406" s="4" t="s">
        <v>5014</v>
      </c>
      <c r="L406" s="4" t="str">
        <f>IFERROR(__xludf.DUMMYFUNCTION("""COMPUTED_VALUE"""),"instrumented_laxity")</f>
        <v>instrumented_laxity</v>
      </c>
    </row>
    <row r="407">
      <c r="H407" s="4">
        <v>406.0</v>
      </c>
      <c r="I407" s="4" t="s">
        <v>5286</v>
      </c>
      <c r="J407" s="4" t="s">
        <v>5215</v>
      </c>
      <c r="K407" s="4" t="s">
        <v>5014</v>
      </c>
      <c r="L407" s="4" t="str">
        <f>IFERROR(__xludf.DUMMYFUNCTION("""COMPUTED_VALUE"""),"Graft rupture")</f>
        <v>Graft rupture</v>
      </c>
    </row>
    <row r="408">
      <c r="H408" s="4">
        <v>407.0</v>
      </c>
      <c r="I408" s="4" t="s">
        <v>5286</v>
      </c>
      <c r="J408" s="4" t="s">
        <v>5215</v>
      </c>
      <c r="K408" s="4" t="s">
        <v>5015</v>
      </c>
      <c r="L408" s="4" t="str">
        <f>IFERROR(__xludf.DUMMYFUNCTION("""COMPUTED_VALUE"""),"IKDC")</f>
        <v>IKDC</v>
      </c>
    </row>
    <row r="409">
      <c r="H409" s="4">
        <v>408.0</v>
      </c>
      <c r="I409" s="4" t="s">
        <v>5286</v>
      </c>
      <c r="J409" s="4" t="s">
        <v>5215</v>
      </c>
      <c r="K409" s="4" t="s">
        <v>5015</v>
      </c>
      <c r="L409" s="4" t="str">
        <f>IFERROR(__xludf.DUMMYFUNCTION("""COMPUTED_VALUE"""),"instrumented_laxity")</f>
        <v>instrumented_laxity</v>
      </c>
    </row>
    <row r="410">
      <c r="H410" s="4">
        <v>409.0</v>
      </c>
      <c r="I410" s="4" t="s">
        <v>5286</v>
      </c>
      <c r="J410" s="4" t="s">
        <v>5215</v>
      </c>
      <c r="K410" s="4" t="s">
        <v>5015</v>
      </c>
      <c r="L410" s="4" t="str">
        <f>IFERROR(__xludf.DUMMYFUNCTION("""COMPUTED_VALUE"""),"Graft rupture")</f>
        <v>Graft rupture</v>
      </c>
    </row>
    <row r="411">
      <c r="H411" s="4">
        <v>410.0</v>
      </c>
      <c r="I411" s="4" t="s">
        <v>5287</v>
      </c>
      <c r="J411" s="4" t="s">
        <v>5218</v>
      </c>
      <c r="K411" s="4" t="s">
        <v>5013</v>
      </c>
      <c r="L411" s="4" t="str">
        <f>IFERROR(__xludf.DUMMYFUNCTION("""COMPUTED_VALUE"""),"IKDC")</f>
        <v>IKDC</v>
      </c>
    </row>
    <row r="412">
      <c r="H412" s="4">
        <v>411.0</v>
      </c>
      <c r="I412" s="4" t="s">
        <v>5287</v>
      </c>
      <c r="J412" s="4" t="s">
        <v>5218</v>
      </c>
      <c r="K412" s="4" t="s">
        <v>5013</v>
      </c>
      <c r="L412" s="4" t="str">
        <f>IFERROR(__xludf.DUMMYFUNCTION("""COMPUTED_VALUE"""),"Tegner")</f>
        <v>Tegner</v>
      </c>
    </row>
    <row r="413">
      <c r="H413" s="4">
        <v>412.0</v>
      </c>
      <c r="I413" s="4" t="s">
        <v>5287</v>
      </c>
      <c r="J413" s="4" t="s">
        <v>5218</v>
      </c>
      <c r="K413" s="4" t="s">
        <v>5013</v>
      </c>
      <c r="L413" s="4" t="str">
        <f>IFERROR(__xludf.DUMMYFUNCTION("""COMPUTED_VALUE"""),"Lysholm")</f>
        <v>Lysholm</v>
      </c>
    </row>
    <row r="414">
      <c r="H414" s="4">
        <v>413.0</v>
      </c>
      <c r="I414" s="4" t="s">
        <v>5287</v>
      </c>
      <c r="J414" s="4" t="s">
        <v>5218</v>
      </c>
      <c r="K414" s="4" t="s">
        <v>5013</v>
      </c>
      <c r="L414" s="4" t="str">
        <f>IFERROR(__xludf.DUMMYFUNCTION("""COMPUTED_VALUE"""),"instrumented_laxity")</f>
        <v>instrumented_laxity</v>
      </c>
    </row>
    <row r="415">
      <c r="H415" s="4">
        <v>414.0</v>
      </c>
      <c r="I415" s="4" t="s">
        <v>5287</v>
      </c>
      <c r="J415" s="4" t="s">
        <v>5218</v>
      </c>
      <c r="K415" s="4" t="s">
        <v>5013</v>
      </c>
      <c r="L415" s="4" t="str">
        <f>IFERROR(__xludf.DUMMYFUNCTION("""COMPUTED_VALUE"""),"pivot_shift")</f>
        <v>pivot_shift</v>
      </c>
    </row>
    <row r="416">
      <c r="H416" s="4">
        <v>415.0</v>
      </c>
      <c r="I416" s="4" t="s">
        <v>5287</v>
      </c>
      <c r="J416" s="4" t="s">
        <v>5218</v>
      </c>
      <c r="K416" s="4" t="s">
        <v>5013</v>
      </c>
      <c r="L416" s="4" t="str">
        <f>IFERROR(__xludf.DUMMYFUNCTION("""COMPUTED_VALUE"""),"Lachman")</f>
        <v>Lachman</v>
      </c>
    </row>
    <row r="417">
      <c r="H417" s="4">
        <v>416.0</v>
      </c>
      <c r="I417" s="4" t="s">
        <v>5287</v>
      </c>
      <c r="J417" s="4" t="s">
        <v>5218</v>
      </c>
      <c r="K417" s="4" t="s">
        <v>5014</v>
      </c>
      <c r="L417" s="4" t="str">
        <f>IFERROR(__xludf.DUMMYFUNCTION("""COMPUTED_VALUE"""),"IKDC")</f>
        <v>IKDC</v>
      </c>
    </row>
    <row r="418">
      <c r="H418" s="4">
        <v>417.0</v>
      </c>
      <c r="I418" s="4" t="s">
        <v>5287</v>
      </c>
      <c r="J418" s="4" t="s">
        <v>5218</v>
      </c>
      <c r="K418" s="4" t="s">
        <v>5014</v>
      </c>
      <c r="L418" s="4" t="str">
        <f>IFERROR(__xludf.DUMMYFUNCTION("""COMPUTED_VALUE"""),"Tegner")</f>
        <v>Tegner</v>
      </c>
    </row>
    <row r="419">
      <c r="H419" s="4">
        <v>418.0</v>
      </c>
      <c r="I419" s="4" t="s">
        <v>5287</v>
      </c>
      <c r="J419" s="4" t="s">
        <v>5218</v>
      </c>
      <c r="K419" s="4" t="s">
        <v>5014</v>
      </c>
      <c r="L419" s="4" t="str">
        <f>IFERROR(__xludf.DUMMYFUNCTION("""COMPUTED_VALUE"""),"Lysholm")</f>
        <v>Lysholm</v>
      </c>
    </row>
    <row r="420">
      <c r="H420" s="4">
        <v>419.0</v>
      </c>
      <c r="I420" s="4" t="s">
        <v>5287</v>
      </c>
      <c r="J420" s="4" t="s">
        <v>5218</v>
      </c>
      <c r="K420" s="4" t="s">
        <v>5014</v>
      </c>
      <c r="L420" s="4" t="str">
        <f>IFERROR(__xludf.DUMMYFUNCTION("""COMPUTED_VALUE"""),"instrumented_laxity")</f>
        <v>instrumented_laxity</v>
      </c>
    </row>
    <row r="421">
      <c r="H421" s="4">
        <v>420.0</v>
      </c>
      <c r="I421" s="4" t="s">
        <v>5287</v>
      </c>
      <c r="J421" s="4" t="s">
        <v>5218</v>
      </c>
      <c r="K421" s="4" t="s">
        <v>5014</v>
      </c>
      <c r="L421" s="4" t="str">
        <f>IFERROR(__xludf.DUMMYFUNCTION("""COMPUTED_VALUE"""),"pivot_shift")</f>
        <v>pivot_shift</v>
      </c>
    </row>
    <row r="422">
      <c r="H422" s="4">
        <v>421.0</v>
      </c>
      <c r="I422" s="4" t="s">
        <v>5287</v>
      </c>
      <c r="J422" s="4" t="s">
        <v>5218</v>
      </c>
      <c r="K422" s="4" t="s">
        <v>5014</v>
      </c>
      <c r="L422" s="4" t="str">
        <f>IFERROR(__xludf.DUMMYFUNCTION("""COMPUTED_VALUE"""),"Lachman")</f>
        <v>Lachman</v>
      </c>
    </row>
    <row r="423">
      <c r="H423" s="4">
        <v>422.0</v>
      </c>
      <c r="I423" s="4" t="s">
        <v>5289</v>
      </c>
      <c r="J423" s="4" t="s">
        <v>5220</v>
      </c>
      <c r="K423" s="4" t="s">
        <v>5013</v>
      </c>
      <c r="L423" s="4" t="str">
        <f>IFERROR(__xludf.DUMMYFUNCTION("""COMPUTED_VALUE"""),"IKDC")</f>
        <v>IKDC</v>
      </c>
    </row>
    <row r="424">
      <c r="H424" s="4">
        <v>423.0</v>
      </c>
      <c r="I424" s="4" t="s">
        <v>5289</v>
      </c>
      <c r="J424" s="4" t="s">
        <v>5220</v>
      </c>
      <c r="K424" s="4" t="s">
        <v>5013</v>
      </c>
      <c r="L424" s="4" t="str">
        <f>IFERROR(__xludf.DUMMYFUNCTION("""COMPUTED_VALUE"""),"Tegner")</f>
        <v>Tegner</v>
      </c>
    </row>
    <row r="425">
      <c r="H425" s="4">
        <v>424.0</v>
      </c>
      <c r="I425" s="4" t="s">
        <v>5289</v>
      </c>
      <c r="J425" s="4" t="s">
        <v>5220</v>
      </c>
      <c r="K425" s="4" t="s">
        <v>5013</v>
      </c>
      <c r="L425" s="4" t="str">
        <f>IFERROR(__xludf.DUMMYFUNCTION("""COMPUTED_VALUE"""),"Lysholm")</f>
        <v>Lysholm</v>
      </c>
    </row>
    <row r="426">
      <c r="H426" s="4">
        <v>425.0</v>
      </c>
      <c r="I426" s="4" t="s">
        <v>5289</v>
      </c>
      <c r="J426" s="4" t="s">
        <v>5220</v>
      </c>
      <c r="K426" s="4" t="s">
        <v>5013</v>
      </c>
      <c r="L426" s="4" t="str">
        <f>IFERROR(__xludf.DUMMYFUNCTION("""COMPUTED_VALUE"""),"instrumented_laxity")</f>
        <v>instrumented_laxity</v>
      </c>
    </row>
    <row r="427">
      <c r="H427" s="4">
        <v>426.0</v>
      </c>
      <c r="I427" s="4" t="s">
        <v>5289</v>
      </c>
      <c r="J427" s="4" t="s">
        <v>5220</v>
      </c>
      <c r="K427" s="4" t="s">
        <v>5013</v>
      </c>
      <c r="L427" s="4" t="str">
        <f>IFERROR(__xludf.DUMMYFUNCTION("""COMPUTED_VALUE"""),"pivot_shift")</f>
        <v>pivot_shift</v>
      </c>
    </row>
    <row r="428">
      <c r="H428" s="4">
        <v>427.0</v>
      </c>
      <c r="I428" s="4" t="s">
        <v>5289</v>
      </c>
      <c r="J428" s="4" t="s">
        <v>5220</v>
      </c>
      <c r="K428" s="4" t="s">
        <v>5013</v>
      </c>
      <c r="L428" s="4" t="str">
        <f>IFERROR(__xludf.DUMMYFUNCTION("""COMPUTED_VALUE"""),"Graft rupture")</f>
        <v>Graft rupture</v>
      </c>
    </row>
    <row r="429">
      <c r="H429" s="4">
        <v>428.0</v>
      </c>
      <c r="I429" s="4" t="s">
        <v>5289</v>
      </c>
      <c r="J429" s="4" t="s">
        <v>5220</v>
      </c>
      <c r="K429" s="4" t="s">
        <v>5014</v>
      </c>
      <c r="L429" s="4" t="str">
        <f>IFERROR(__xludf.DUMMYFUNCTION("""COMPUTED_VALUE"""),"IKDC")</f>
        <v>IKDC</v>
      </c>
    </row>
    <row r="430">
      <c r="H430" s="4">
        <v>429.0</v>
      </c>
      <c r="I430" s="4" t="s">
        <v>5289</v>
      </c>
      <c r="J430" s="4" t="s">
        <v>5220</v>
      </c>
      <c r="K430" s="4" t="s">
        <v>5014</v>
      </c>
      <c r="L430" s="4" t="str">
        <f>IFERROR(__xludf.DUMMYFUNCTION("""COMPUTED_VALUE"""),"Tegner")</f>
        <v>Tegner</v>
      </c>
    </row>
    <row r="431">
      <c r="H431" s="4">
        <v>430.0</v>
      </c>
      <c r="I431" s="4" t="s">
        <v>5289</v>
      </c>
      <c r="J431" s="4" t="s">
        <v>5220</v>
      </c>
      <c r="K431" s="4" t="s">
        <v>5014</v>
      </c>
      <c r="L431" s="4" t="str">
        <f>IFERROR(__xludf.DUMMYFUNCTION("""COMPUTED_VALUE"""),"Lysholm")</f>
        <v>Lysholm</v>
      </c>
    </row>
    <row r="432">
      <c r="H432" s="4">
        <v>431.0</v>
      </c>
      <c r="I432" s="4" t="s">
        <v>5289</v>
      </c>
      <c r="J432" s="4" t="s">
        <v>5220</v>
      </c>
      <c r="K432" s="4" t="s">
        <v>5014</v>
      </c>
      <c r="L432" s="4" t="str">
        <f>IFERROR(__xludf.DUMMYFUNCTION("""COMPUTED_VALUE"""),"instrumented_laxity")</f>
        <v>instrumented_laxity</v>
      </c>
    </row>
    <row r="433">
      <c r="H433" s="4">
        <v>432.0</v>
      </c>
      <c r="I433" s="4" t="s">
        <v>5289</v>
      </c>
      <c r="J433" s="4" t="s">
        <v>5220</v>
      </c>
      <c r="K433" s="4" t="s">
        <v>5014</v>
      </c>
      <c r="L433" s="4" t="str">
        <f>IFERROR(__xludf.DUMMYFUNCTION("""COMPUTED_VALUE"""),"pivot_shift")</f>
        <v>pivot_shift</v>
      </c>
    </row>
    <row r="434">
      <c r="H434" s="4">
        <v>433.0</v>
      </c>
      <c r="I434" s="4" t="s">
        <v>5289</v>
      </c>
      <c r="J434" s="4" t="s">
        <v>5220</v>
      </c>
      <c r="K434" s="4" t="s">
        <v>5014</v>
      </c>
      <c r="L434" s="4" t="str">
        <f>IFERROR(__xludf.DUMMYFUNCTION("""COMPUTED_VALUE"""),"Graft rupture")</f>
        <v>Graft rupture</v>
      </c>
    </row>
    <row r="435">
      <c r="H435" s="4">
        <v>434.0</v>
      </c>
      <c r="I435" s="4" t="s">
        <v>5291</v>
      </c>
      <c r="J435" s="4" t="s">
        <v>5221</v>
      </c>
      <c r="K435" s="4" t="s">
        <v>5014</v>
      </c>
      <c r="L435" s="4" t="str">
        <f>IFERROR(__xludf.DUMMYFUNCTION("""COMPUTED_VALUE"""),"IKDC")</f>
        <v>IKDC</v>
      </c>
    </row>
    <row r="436">
      <c r="H436" s="4">
        <v>435.0</v>
      </c>
      <c r="I436" s="4" t="s">
        <v>5291</v>
      </c>
      <c r="J436" s="4" t="s">
        <v>5221</v>
      </c>
      <c r="K436" s="4" t="s">
        <v>5015</v>
      </c>
      <c r="L436" s="4" t="str">
        <f>IFERROR(__xludf.DUMMYFUNCTION("""COMPUTED_VALUE"""),"IKDC")</f>
        <v>IKDC</v>
      </c>
    </row>
    <row r="437">
      <c r="H437" s="4">
        <v>436.0</v>
      </c>
      <c r="I437" s="4" t="s">
        <v>5293</v>
      </c>
      <c r="J437" s="4" t="s">
        <v>5222</v>
      </c>
      <c r="K437" s="4" t="s">
        <v>5013</v>
      </c>
      <c r="L437" s="4" t="str">
        <f>IFERROR(__xludf.DUMMYFUNCTION("""COMPUTED_VALUE"""),"IKDC")</f>
        <v>IKDC</v>
      </c>
    </row>
    <row r="438">
      <c r="H438" s="4">
        <v>437.0</v>
      </c>
      <c r="I438" s="4" t="s">
        <v>5293</v>
      </c>
      <c r="J438" s="4" t="s">
        <v>5222</v>
      </c>
      <c r="K438" s="4" t="s">
        <v>5013</v>
      </c>
      <c r="L438" s="4" t="str">
        <f>IFERROR(__xludf.DUMMYFUNCTION("""COMPUTED_VALUE"""),"Tegner")</f>
        <v>Tegner</v>
      </c>
    </row>
    <row r="439">
      <c r="H439" s="4">
        <v>438.0</v>
      </c>
      <c r="I439" s="4" t="s">
        <v>5293</v>
      </c>
      <c r="J439" s="4" t="s">
        <v>5222</v>
      </c>
      <c r="K439" s="4" t="s">
        <v>5013</v>
      </c>
      <c r="L439" s="4" t="str">
        <f>IFERROR(__xludf.DUMMYFUNCTION("""COMPUTED_VALUE"""),"Lysholm")</f>
        <v>Lysholm</v>
      </c>
    </row>
    <row r="440">
      <c r="H440" s="4">
        <v>439.0</v>
      </c>
      <c r="I440" s="4" t="s">
        <v>5293</v>
      </c>
      <c r="J440" s="4" t="s">
        <v>5222</v>
      </c>
      <c r="K440" s="4" t="s">
        <v>5013</v>
      </c>
      <c r="L440" s="4" t="str">
        <f>IFERROR(__xludf.DUMMYFUNCTION("""COMPUTED_VALUE"""),"instrumented_laxity")</f>
        <v>instrumented_laxity</v>
      </c>
    </row>
    <row r="441">
      <c r="H441" s="4">
        <v>440.0</v>
      </c>
      <c r="I441" s="4" t="s">
        <v>5293</v>
      </c>
      <c r="J441" s="4" t="s">
        <v>5222</v>
      </c>
      <c r="K441" s="4" t="s">
        <v>5013</v>
      </c>
      <c r="L441" s="4" t="str">
        <f>IFERROR(__xludf.DUMMYFUNCTION("""COMPUTED_VALUE"""),"pivot_shift")</f>
        <v>pivot_shift</v>
      </c>
    </row>
    <row r="442">
      <c r="H442" s="4">
        <v>441.0</v>
      </c>
      <c r="I442" s="4" t="s">
        <v>5293</v>
      </c>
      <c r="J442" s="4" t="s">
        <v>5222</v>
      </c>
      <c r="K442" s="4" t="s">
        <v>5014</v>
      </c>
      <c r="L442" s="4" t="str">
        <f>IFERROR(__xludf.DUMMYFUNCTION("""COMPUTED_VALUE"""),"IKDC")</f>
        <v>IKDC</v>
      </c>
    </row>
    <row r="443">
      <c r="H443" s="4">
        <v>442.0</v>
      </c>
      <c r="I443" s="4" t="s">
        <v>5293</v>
      </c>
      <c r="J443" s="4" t="s">
        <v>5222</v>
      </c>
      <c r="K443" s="4" t="s">
        <v>5014</v>
      </c>
      <c r="L443" s="4" t="str">
        <f>IFERROR(__xludf.DUMMYFUNCTION("""COMPUTED_VALUE"""),"Tegner")</f>
        <v>Tegner</v>
      </c>
    </row>
    <row r="444">
      <c r="H444" s="4">
        <v>443.0</v>
      </c>
      <c r="I444" s="4" t="s">
        <v>5293</v>
      </c>
      <c r="J444" s="4" t="s">
        <v>5222</v>
      </c>
      <c r="K444" s="4" t="s">
        <v>5014</v>
      </c>
      <c r="L444" s="4" t="str">
        <f>IFERROR(__xludf.DUMMYFUNCTION("""COMPUTED_VALUE"""),"Lysholm")</f>
        <v>Lysholm</v>
      </c>
    </row>
    <row r="445">
      <c r="H445" s="4">
        <v>444.0</v>
      </c>
      <c r="I445" s="4" t="s">
        <v>5293</v>
      </c>
      <c r="J445" s="4" t="s">
        <v>5222</v>
      </c>
      <c r="K445" s="4" t="s">
        <v>5014</v>
      </c>
      <c r="L445" s="4" t="str">
        <f>IFERROR(__xludf.DUMMYFUNCTION("""COMPUTED_VALUE"""),"instrumented_laxity")</f>
        <v>instrumented_laxity</v>
      </c>
    </row>
    <row r="446">
      <c r="H446" s="4">
        <v>445.0</v>
      </c>
      <c r="I446" s="4" t="s">
        <v>5293</v>
      </c>
      <c r="J446" s="4" t="s">
        <v>5222</v>
      </c>
      <c r="K446" s="4" t="s">
        <v>5014</v>
      </c>
      <c r="L446" s="4" t="str">
        <f>IFERROR(__xludf.DUMMYFUNCTION("""COMPUTED_VALUE"""),"pivot_shift")</f>
        <v>pivot_shift</v>
      </c>
    </row>
    <row r="447">
      <c r="H447" s="4">
        <v>446.0</v>
      </c>
      <c r="I447" s="4" t="s">
        <v>5295</v>
      </c>
      <c r="J447" s="4" t="s">
        <v>5224</v>
      </c>
      <c r="K447" s="4" t="s">
        <v>5013</v>
      </c>
      <c r="L447" s="4" t="str">
        <f>IFERROR(__xludf.DUMMYFUNCTION("""COMPUTED_VALUE"""),"IKDC")</f>
        <v>IKDC</v>
      </c>
    </row>
    <row r="448">
      <c r="H448" s="4">
        <v>447.0</v>
      </c>
      <c r="I448" s="4" t="s">
        <v>5295</v>
      </c>
      <c r="J448" s="4" t="s">
        <v>5224</v>
      </c>
      <c r="K448" s="4" t="s">
        <v>5013</v>
      </c>
      <c r="L448" s="4" t="str">
        <f>IFERROR(__xludf.DUMMYFUNCTION("""COMPUTED_VALUE"""),"Tegner")</f>
        <v>Tegner</v>
      </c>
    </row>
    <row r="449">
      <c r="H449" s="4">
        <v>448.0</v>
      </c>
      <c r="I449" s="4" t="s">
        <v>5295</v>
      </c>
      <c r="J449" s="4" t="s">
        <v>5224</v>
      </c>
      <c r="K449" s="4" t="s">
        <v>5013</v>
      </c>
      <c r="L449" s="4" t="str">
        <f>IFERROR(__xludf.DUMMYFUNCTION("""COMPUTED_VALUE"""),"Lysholm")</f>
        <v>Lysholm</v>
      </c>
    </row>
    <row r="450">
      <c r="H450" s="4">
        <v>449.0</v>
      </c>
      <c r="I450" s="4" t="s">
        <v>5295</v>
      </c>
      <c r="J450" s="4" t="s">
        <v>5224</v>
      </c>
      <c r="K450" s="4" t="s">
        <v>5013</v>
      </c>
      <c r="L450" s="4" t="str">
        <f>IFERROR(__xludf.DUMMYFUNCTION("""COMPUTED_VALUE"""),"instrumented_laxity")</f>
        <v>instrumented_laxity</v>
      </c>
    </row>
    <row r="451">
      <c r="H451" s="4">
        <v>450.0</v>
      </c>
      <c r="I451" s="4" t="s">
        <v>5295</v>
      </c>
      <c r="J451" s="4" t="s">
        <v>5224</v>
      </c>
      <c r="K451" s="4" t="s">
        <v>5015</v>
      </c>
      <c r="L451" s="4" t="str">
        <f>IFERROR(__xludf.DUMMYFUNCTION("""COMPUTED_VALUE"""),"IKDC")</f>
        <v>IKDC</v>
      </c>
    </row>
    <row r="452">
      <c r="H452" s="4">
        <v>451.0</v>
      </c>
      <c r="I452" s="4" t="s">
        <v>5295</v>
      </c>
      <c r="J452" s="4" t="s">
        <v>5224</v>
      </c>
      <c r="K452" s="4" t="s">
        <v>5015</v>
      </c>
      <c r="L452" s="4" t="str">
        <f>IFERROR(__xludf.DUMMYFUNCTION("""COMPUTED_VALUE"""),"Tegner")</f>
        <v>Tegner</v>
      </c>
    </row>
    <row r="453">
      <c r="H453" s="4">
        <v>452.0</v>
      </c>
      <c r="I453" s="4" t="s">
        <v>5295</v>
      </c>
      <c r="J453" s="4" t="s">
        <v>5224</v>
      </c>
      <c r="K453" s="4" t="s">
        <v>5015</v>
      </c>
      <c r="L453" s="4" t="str">
        <f>IFERROR(__xludf.DUMMYFUNCTION("""COMPUTED_VALUE"""),"Lysholm")</f>
        <v>Lysholm</v>
      </c>
    </row>
    <row r="454">
      <c r="H454" s="4">
        <v>453.0</v>
      </c>
      <c r="I454" s="4" t="s">
        <v>5295</v>
      </c>
      <c r="J454" s="4" t="s">
        <v>5224</v>
      </c>
      <c r="K454" s="4" t="s">
        <v>5015</v>
      </c>
      <c r="L454" s="4" t="str">
        <f>IFERROR(__xludf.DUMMYFUNCTION("""COMPUTED_VALUE"""),"instrumented_laxity")</f>
        <v>instrumented_laxity</v>
      </c>
    </row>
    <row r="455">
      <c r="H455" s="4">
        <v>454.0</v>
      </c>
      <c r="I455" s="4" t="s">
        <v>5296</v>
      </c>
      <c r="J455" s="4" t="s">
        <v>5225</v>
      </c>
      <c r="K455" s="4" t="s">
        <v>5013</v>
      </c>
      <c r="L455" s="4" t="str">
        <f>IFERROR(__xludf.DUMMYFUNCTION("""COMPUTED_VALUE"""),"IKDC")</f>
        <v>IKDC</v>
      </c>
    </row>
    <row r="456">
      <c r="H456" s="4">
        <v>455.0</v>
      </c>
      <c r="I456" s="4" t="s">
        <v>5296</v>
      </c>
      <c r="J456" s="4" t="s">
        <v>5225</v>
      </c>
      <c r="K456" s="4" t="s">
        <v>5013</v>
      </c>
      <c r="L456" s="4" t="str">
        <f>IFERROR(__xludf.DUMMYFUNCTION("""COMPUTED_VALUE"""),"instrumented_laxity")</f>
        <v>instrumented_laxity</v>
      </c>
    </row>
    <row r="457">
      <c r="H457" s="4">
        <v>456.0</v>
      </c>
      <c r="I457" s="4" t="s">
        <v>5296</v>
      </c>
      <c r="J457" s="4" t="s">
        <v>5225</v>
      </c>
      <c r="K457" s="4" t="s">
        <v>5014</v>
      </c>
      <c r="L457" s="4" t="str">
        <f>IFERROR(__xludf.DUMMYFUNCTION("""COMPUTED_VALUE"""),"IKDC")</f>
        <v>IKDC</v>
      </c>
    </row>
    <row r="458">
      <c r="H458" s="4">
        <v>457.0</v>
      </c>
      <c r="I458" s="4" t="s">
        <v>5296</v>
      </c>
      <c r="J458" s="4" t="s">
        <v>5225</v>
      </c>
      <c r="K458" s="4" t="s">
        <v>5014</v>
      </c>
      <c r="L458" s="4" t="str">
        <f>IFERROR(__xludf.DUMMYFUNCTION("""COMPUTED_VALUE"""),"instrumented_laxity")</f>
        <v>instrumented_laxity</v>
      </c>
    </row>
    <row r="459">
      <c r="H459" s="4">
        <v>458.0</v>
      </c>
      <c r="I459" s="4" t="s">
        <v>5297</v>
      </c>
      <c r="J459" s="4" t="s">
        <v>5227</v>
      </c>
      <c r="K459" s="4" t="s">
        <v>5013</v>
      </c>
      <c r="L459" s="4" t="str">
        <f>IFERROR(__xludf.DUMMYFUNCTION("""COMPUTED_VALUE"""),"IKDC")</f>
        <v>IKDC</v>
      </c>
    </row>
    <row r="460">
      <c r="H460" s="4">
        <v>459.0</v>
      </c>
      <c r="I460" s="4" t="s">
        <v>5297</v>
      </c>
      <c r="J460" s="4" t="s">
        <v>5227</v>
      </c>
      <c r="K460" s="4" t="s">
        <v>5013</v>
      </c>
      <c r="L460" s="4" t="str">
        <f>IFERROR(__xludf.DUMMYFUNCTION("""COMPUTED_VALUE"""),"Tegner")</f>
        <v>Tegner</v>
      </c>
    </row>
    <row r="461">
      <c r="H461" s="4">
        <v>460.0</v>
      </c>
      <c r="I461" s="4" t="s">
        <v>5297</v>
      </c>
      <c r="J461" s="4" t="s">
        <v>5227</v>
      </c>
      <c r="K461" s="4" t="s">
        <v>5013</v>
      </c>
      <c r="L461" s="4" t="str">
        <f>IFERROR(__xludf.DUMMYFUNCTION("""COMPUTED_VALUE"""),"Lysholm")</f>
        <v>Lysholm</v>
      </c>
    </row>
    <row r="462">
      <c r="H462" s="4">
        <v>461.0</v>
      </c>
      <c r="I462" s="4" t="s">
        <v>5297</v>
      </c>
      <c r="J462" s="4" t="s">
        <v>5227</v>
      </c>
      <c r="K462" s="4" t="s">
        <v>5013</v>
      </c>
      <c r="L462" s="4" t="str">
        <f>IFERROR(__xludf.DUMMYFUNCTION("""COMPUTED_VALUE"""),"instrumented_laxity")</f>
        <v>instrumented_laxity</v>
      </c>
    </row>
    <row r="463">
      <c r="H463" s="4">
        <v>462.0</v>
      </c>
      <c r="I463" s="4" t="s">
        <v>5297</v>
      </c>
      <c r="J463" s="4" t="s">
        <v>5227</v>
      </c>
      <c r="K463" s="4" t="s">
        <v>5013</v>
      </c>
      <c r="L463" s="4" t="str">
        <f>IFERROR(__xludf.DUMMYFUNCTION("""COMPUTED_VALUE"""),"pivot_shift")</f>
        <v>pivot_shift</v>
      </c>
    </row>
    <row r="464">
      <c r="H464" s="4">
        <v>463.0</v>
      </c>
      <c r="I464" s="4" t="s">
        <v>5297</v>
      </c>
      <c r="J464" s="4" t="s">
        <v>5227</v>
      </c>
      <c r="K464" s="4" t="s">
        <v>5013</v>
      </c>
      <c r="L464" s="4" t="str">
        <f>IFERROR(__xludf.DUMMYFUNCTION("""COMPUTED_VALUE"""),"Lachman")</f>
        <v>Lachman</v>
      </c>
    </row>
    <row r="465">
      <c r="H465" s="4">
        <v>464.0</v>
      </c>
      <c r="I465" s="4" t="s">
        <v>5297</v>
      </c>
      <c r="J465" s="4" t="s">
        <v>5227</v>
      </c>
      <c r="K465" s="4" t="s">
        <v>5013</v>
      </c>
      <c r="L465" s="4" t="str">
        <f>IFERROR(__xludf.DUMMYFUNCTION("""COMPUTED_VALUE"""),"Graft rupture")</f>
        <v>Graft rupture</v>
      </c>
    </row>
    <row r="466">
      <c r="H466" s="4">
        <v>465.0</v>
      </c>
      <c r="I466" s="4" t="s">
        <v>5297</v>
      </c>
      <c r="J466" s="4" t="s">
        <v>5227</v>
      </c>
      <c r="K466" s="4" t="s">
        <v>5014</v>
      </c>
      <c r="L466" s="4" t="str">
        <f>IFERROR(__xludf.DUMMYFUNCTION("""COMPUTED_VALUE"""),"IKDC")</f>
        <v>IKDC</v>
      </c>
    </row>
    <row r="467">
      <c r="H467" s="4">
        <v>466.0</v>
      </c>
      <c r="I467" s="4" t="s">
        <v>5297</v>
      </c>
      <c r="J467" s="4" t="s">
        <v>5227</v>
      </c>
      <c r="K467" s="4" t="s">
        <v>5014</v>
      </c>
      <c r="L467" s="4" t="str">
        <f>IFERROR(__xludf.DUMMYFUNCTION("""COMPUTED_VALUE"""),"Tegner")</f>
        <v>Tegner</v>
      </c>
    </row>
    <row r="468">
      <c r="H468" s="4">
        <v>467.0</v>
      </c>
      <c r="I468" s="4" t="s">
        <v>5297</v>
      </c>
      <c r="J468" s="4" t="s">
        <v>5227</v>
      </c>
      <c r="K468" s="4" t="s">
        <v>5014</v>
      </c>
      <c r="L468" s="4" t="str">
        <f>IFERROR(__xludf.DUMMYFUNCTION("""COMPUTED_VALUE"""),"Lysholm")</f>
        <v>Lysholm</v>
      </c>
    </row>
    <row r="469">
      <c r="H469" s="4">
        <v>468.0</v>
      </c>
      <c r="I469" s="4" t="s">
        <v>5297</v>
      </c>
      <c r="J469" s="4" t="s">
        <v>5227</v>
      </c>
      <c r="K469" s="4" t="s">
        <v>5014</v>
      </c>
      <c r="L469" s="4" t="str">
        <f>IFERROR(__xludf.DUMMYFUNCTION("""COMPUTED_VALUE"""),"instrumented_laxity")</f>
        <v>instrumented_laxity</v>
      </c>
    </row>
    <row r="470">
      <c r="H470" s="4">
        <v>469.0</v>
      </c>
      <c r="I470" s="4" t="s">
        <v>5297</v>
      </c>
      <c r="J470" s="4" t="s">
        <v>5227</v>
      </c>
      <c r="K470" s="4" t="s">
        <v>5014</v>
      </c>
      <c r="L470" s="4" t="str">
        <f>IFERROR(__xludf.DUMMYFUNCTION("""COMPUTED_VALUE"""),"pivot_shift")</f>
        <v>pivot_shift</v>
      </c>
    </row>
    <row r="471">
      <c r="H471" s="4">
        <v>470.0</v>
      </c>
      <c r="I471" s="4" t="s">
        <v>5297</v>
      </c>
      <c r="J471" s="4" t="s">
        <v>5227</v>
      </c>
      <c r="K471" s="4" t="s">
        <v>5014</v>
      </c>
      <c r="L471" s="4" t="str">
        <f>IFERROR(__xludf.DUMMYFUNCTION("""COMPUTED_VALUE"""),"Lachman")</f>
        <v>Lachman</v>
      </c>
    </row>
    <row r="472">
      <c r="H472" s="4">
        <v>471.0</v>
      </c>
      <c r="I472" s="4" t="s">
        <v>5297</v>
      </c>
      <c r="J472" s="4" t="s">
        <v>5227</v>
      </c>
      <c r="K472" s="4" t="s">
        <v>5014</v>
      </c>
      <c r="L472" s="4" t="str">
        <f>IFERROR(__xludf.DUMMYFUNCTION("""COMPUTED_VALUE"""),"Graft rupture")</f>
        <v>Graft rupture</v>
      </c>
    </row>
    <row r="473">
      <c r="H473" s="4">
        <v>472.0</v>
      </c>
      <c r="I473" s="4" t="s">
        <v>5299</v>
      </c>
      <c r="J473" s="4" t="s">
        <v>5229</v>
      </c>
      <c r="K473" s="4" t="s">
        <v>5014</v>
      </c>
      <c r="L473" s="4" t="str">
        <f>IFERROR(__xludf.DUMMYFUNCTION("""COMPUTED_VALUE"""),"Lysholm")</f>
        <v>Lysholm</v>
      </c>
    </row>
    <row r="474">
      <c r="H474" s="4">
        <v>473.0</v>
      </c>
      <c r="I474" s="4" t="s">
        <v>5299</v>
      </c>
      <c r="J474" s="4" t="s">
        <v>5229</v>
      </c>
      <c r="K474" s="4" t="s">
        <v>5014</v>
      </c>
      <c r="L474" s="4" t="str">
        <f>IFERROR(__xludf.DUMMYFUNCTION("""COMPUTED_VALUE"""),"instrumented_laxity")</f>
        <v>instrumented_laxity</v>
      </c>
    </row>
    <row r="475">
      <c r="H475" s="4">
        <v>474.0</v>
      </c>
      <c r="I475" s="4" t="s">
        <v>5299</v>
      </c>
      <c r="J475" s="4" t="s">
        <v>5229</v>
      </c>
      <c r="K475" s="4" t="s">
        <v>5014</v>
      </c>
      <c r="L475" s="4" t="str">
        <f>IFERROR(__xludf.DUMMYFUNCTION("""COMPUTED_VALUE"""),"pivot_shift")</f>
        <v>pivot_shift</v>
      </c>
    </row>
    <row r="476">
      <c r="H476" s="4">
        <v>475.0</v>
      </c>
      <c r="I476" s="4" t="s">
        <v>5299</v>
      </c>
      <c r="J476" s="4" t="s">
        <v>5229</v>
      </c>
      <c r="K476" s="4" t="s">
        <v>5014</v>
      </c>
      <c r="L476" s="4" t="str">
        <f>IFERROR(__xludf.DUMMYFUNCTION("""COMPUTED_VALUE"""),"Lachman")</f>
        <v>Lachman</v>
      </c>
    </row>
    <row r="477">
      <c r="H477" s="4">
        <v>476.0</v>
      </c>
      <c r="I477" s="4" t="s">
        <v>5299</v>
      </c>
      <c r="J477" s="4" t="s">
        <v>5229</v>
      </c>
      <c r="K477" s="4" t="s">
        <v>5015</v>
      </c>
      <c r="L477" s="4" t="str">
        <f>IFERROR(__xludf.DUMMYFUNCTION("""COMPUTED_VALUE"""),"Lysholm")</f>
        <v>Lysholm</v>
      </c>
    </row>
    <row r="478">
      <c r="H478" s="4">
        <v>477.0</v>
      </c>
      <c r="I478" s="4" t="s">
        <v>5299</v>
      </c>
      <c r="J478" s="4" t="s">
        <v>5229</v>
      </c>
      <c r="K478" s="4" t="s">
        <v>5015</v>
      </c>
      <c r="L478" s="4" t="str">
        <f>IFERROR(__xludf.DUMMYFUNCTION("""COMPUTED_VALUE"""),"instrumented_laxity")</f>
        <v>instrumented_laxity</v>
      </c>
    </row>
    <row r="479">
      <c r="H479" s="4">
        <v>478.0</v>
      </c>
      <c r="I479" s="4" t="s">
        <v>5299</v>
      </c>
      <c r="J479" s="4" t="s">
        <v>5229</v>
      </c>
      <c r="K479" s="4" t="s">
        <v>5015</v>
      </c>
      <c r="L479" s="4" t="str">
        <f>IFERROR(__xludf.DUMMYFUNCTION("""COMPUTED_VALUE"""),"pivot_shift")</f>
        <v>pivot_shift</v>
      </c>
    </row>
    <row r="480">
      <c r="H480" s="4">
        <v>479.0</v>
      </c>
      <c r="I480" s="4" t="s">
        <v>5299</v>
      </c>
      <c r="J480" s="4" t="s">
        <v>5229</v>
      </c>
      <c r="K480" s="4" t="s">
        <v>5015</v>
      </c>
      <c r="L480" s="4" t="str">
        <f>IFERROR(__xludf.DUMMYFUNCTION("""COMPUTED_VALUE"""),"Lachman")</f>
        <v>Lachman</v>
      </c>
    </row>
    <row r="481">
      <c r="H481" s="4">
        <v>480.0</v>
      </c>
      <c r="I481" s="4" t="s">
        <v>5301</v>
      </c>
      <c r="J481" s="4" t="s">
        <v>5232</v>
      </c>
      <c r="K481" s="4" t="s">
        <v>5014</v>
      </c>
      <c r="L481" s="4" t="str">
        <f>IFERROR(__xludf.DUMMYFUNCTION("""COMPUTED_VALUE"""),"Tegner")</f>
        <v>Tegner</v>
      </c>
    </row>
    <row r="482">
      <c r="H482" s="4">
        <v>481.0</v>
      </c>
      <c r="I482" s="4" t="s">
        <v>5301</v>
      </c>
      <c r="J482" s="4" t="s">
        <v>5232</v>
      </c>
      <c r="K482" s="4" t="s">
        <v>5014</v>
      </c>
      <c r="L482" s="4" t="str">
        <f>IFERROR(__xludf.DUMMYFUNCTION("""COMPUTED_VALUE"""),"Lysholm")</f>
        <v>Lysholm</v>
      </c>
    </row>
    <row r="483">
      <c r="H483" s="4">
        <v>482.0</v>
      </c>
      <c r="I483" s="4" t="s">
        <v>5301</v>
      </c>
      <c r="J483" s="4" t="s">
        <v>5232</v>
      </c>
      <c r="K483" s="4" t="s">
        <v>5014</v>
      </c>
      <c r="L483" s="4" t="str">
        <f>IFERROR(__xludf.DUMMYFUNCTION("""COMPUTED_VALUE"""),"instrumented_laxity")</f>
        <v>instrumented_laxity</v>
      </c>
    </row>
    <row r="484">
      <c r="H484" s="4">
        <v>483.0</v>
      </c>
      <c r="I484" s="4" t="s">
        <v>5301</v>
      </c>
      <c r="J484" s="4" t="s">
        <v>5232</v>
      </c>
      <c r="K484" s="4" t="s">
        <v>5014</v>
      </c>
      <c r="L484" s="4" t="str">
        <f>IFERROR(__xludf.DUMMYFUNCTION("""COMPUTED_VALUE"""),"pivot_shift")</f>
        <v>pivot_shift</v>
      </c>
    </row>
    <row r="485">
      <c r="H485" s="4">
        <v>484.0</v>
      </c>
      <c r="I485" s="4" t="s">
        <v>5301</v>
      </c>
      <c r="J485" s="4" t="s">
        <v>5232</v>
      </c>
      <c r="K485" s="4" t="s">
        <v>5014</v>
      </c>
      <c r="L485" s="4" t="str">
        <f>IFERROR(__xludf.DUMMYFUNCTION("""COMPUTED_VALUE"""),"Lachman")</f>
        <v>Lachman</v>
      </c>
    </row>
    <row r="486">
      <c r="H486" s="4">
        <v>485.0</v>
      </c>
      <c r="I486" s="4" t="s">
        <v>5301</v>
      </c>
      <c r="J486" s="4" t="s">
        <v>5232</v>
      </c>
      <c r="K486" s="4" t="s">
        <v>5018</v>
      </c>
      <c r="L486" s="4" t="str">
        <f>IFERROR(__xludf.DUMMYFUNCTION("""COMPUTED_VALUE"""),"Tegner")</f>
        <v>Tegner</v>
      </c>
    </row>
    <row r="487">
      <c r="H487" s="4">
        <v>486.0</v>
      </c>
      <c r="I487" s="4" t="s">
        <v>5301</v>
      </c>
      <c r="J487" s="4" t="s">
        <v>5232</v>
      </c>
      <c r="K487" s="4" t="s">
        <v>5018</v>
      </c>
      <c r="L487" s="4" t="str">
        <f>IFERROR(__xludf.DUMMYFUNCTION("""COMPUTED_VALUE"""),"Lysholm")</f>
        <v>Lysholm</v>
      </c>
    </row>
    <row r="488">
      <c r="H488" s="4">
        <v>487.0</v>
      </c>
      <c r="I488" s="4" t="s">
        <v>5301</v>
      </c>
      <c r="J488" s="4" t="s">
        <v>5232</v>
      </c>
      <c r="K488" s="4" t="s">
        <v>5018</v>
      </c>
      <c r="L488" s="4" t="str">
        <f>IFERROR(__xludf.DUMMYFUNCTION("""COMPUTED_VALUE"""),"instrumented_laxity")</f>
        <v>instrumented_laxity</v>
      </c>
    </row>
    <row r="489">
      <c r="H489" s="4">
        <v>488.0</v>
      </c>
      <c r="I489" s="4" t="s">
        <v>5301</v>
      </c>
      <c r="J489" s="4" t="s">
        <v>5232</v>
      </c>
      <c r="K489" s="4" t="s">
        <v>5018</v>
      </c>
      <c r="L489" s="4" t="str">
        <f>IFERROR(__xludf.DUMMYFUNCTION("""COMPUTED_VALUE"""),"pivot_shift")</f>
        <v>pivot_shift</v>
      </c>
    </row>
    <row r="490">
      <c r="H490" s="4">
        <v>489.0</v>
      </c>
      <c r="I490" s="4" t="s">
        <v>5301</v>
      </c>
      <c r="J490" s="4" t="s">
        <v>5232</v>
      </c>
      <c r="K490" s="4" t="s">
        <v>5018</v>
      </c>
      <c r="L490" s="4" t="str">
        <f>IFERROR(__xludf.DUMMYFUNCTION("""COMPUTED_VALUE"""),"Lachman")</f>
        <v>Lachman</v>
      </c>
    </row>
    <row r="491">
      <c r="H491" s="4">
        <v>490.0</v>
      </c>
      <c r="I491" s="4" t="s">
        <v>5302</v>
      </c>
      <c r="J491" s="4" t="s">
        <v>5242</v>
      </c>
      <c r="K491" s="4" t="s">
        <v>5013</v>
      </c>
      <c r="L491" s="4" t="str">
        <f>IFERROR(__xludf.DUMMYFUNCTION("""COMPUTED_VALUE"""),"IKDC")</f>
        <v>IKDC</v>
      </c>
    </row>
    <row r="492">
      <c r="H492" s="4">
        <v>491.0</v>
      </c>
      <c r="I492" s="4" t="s">
        <v>5302</v>
      </c>
      <c r="J492" s="4" t="s">
        <v>5242</v>
      </c>
      <c r="K492" s="4" t="s">
        <v>5013</v>
      </c>
      <c r="L492" s="4" t="str">
        <f>IFERROR(__xludf.DUMMYFUNCTION("""COMPUTED_VALUE"""),"instrumented_laxity")</f>
        <v>instrumented_laxity</v>
      </c>
    </row>
    <row r="493">
      <c r="H493" s="4">
        <v>492.0</v>
      </c>
      <c r="I493" s="4" t="s">
        <v>5302</v>
      </c>
      <c r="J493" s="4" t="s">
        <v>5242</v>
      </c>
      <c r="K493" s="4" t="s">
        <v>5014</v>
      </c>
      <c r="L493" s="4" t="str">
        <f>IFERROR(__xludf.DUMMYFUNCTION("""COMPUTED_VALUE"""),"IKDC")</f>
        <v>IKDC</v>
      </c>
    </row>
    <row r="494">
      <c r="H494" s="4">
        <v>493.0</v>
      </c>
      <c r="I494" s="4" t="s">
        <v>5302</v>
      </c>
      <c r="J494" s="4" t="s">
        <v>5242</v>
      </c>
      <c r="K494" s="4" t="s">
        <v>5014</v>
      </c>
      <c r="L494" s="4" t="str">
        <f>IFERROR(__xludf.DUMMYFUNCTION("""COMPUTED_VALUE"""),"instrumented_laxity")</f>
        <v>instrumented_laxity</v>
      </c>
    </row>
    <row r="495">
      <c r="H495" s="4" t="s">
        <v>101</v>
      </c>
    </row>
    <row r="496">
      <c r="H496" s="4" t="s">
        <v>101</v>
      </c>
    </row>
    <row r="497">
      <c r="H497" s="4" t="s">
        <v>101</v>
      </c>
    </row>
    <row r="498">
      <c r="H498" s="4" t="s">
        <v>101</v>
      </c>
    </row>
    <row r="499">
      <c r="H499" s="4" t="s">
        <v>101</v>
      </c>
    </row>
    <row r="500">
      <c r="H500" s="4" t="s">
        <v>101</v>
      </c>
    </row>
    <row r="501">
      <c r="H501" s="4" t="s">
        <v>101</v>
      </c>
    </row>
    <row r="502">
      <c r="H502" s="4" t="s">
        <v>101</v>
      </c>
    </row>
    <row r="503">
      <c r="H503" s="4" t="s">
        <v>101</v>
      </c>
    </row>
    <row r="504">
      <c r="H504" s="4" t="s">
        <v>101</v>
      </c>
    </row>
    <row r="505">
      <c r="H505" s="4" t="s">
        <v>101</v>
      </c>
    </row>
    <row r="506">
      <c r="H506" s="4" t="s">
        <v>101</v>
      </c>
    </row>
    <row r="507">
      <c r="H507" s="4" t="s">
        <v>101</v>
      </c>
    </row>
    <row r="508">
      <c r="H508" s="4" t="s">
        <v>101</v>
      </c>
    </row>
    <row r="509">
      <c r="H509" s="4" t="s">
        <v>101</v>
      </c>
    </row>
    <row r="510">
      <c r="H510" s="4" t="s">
        <v>101</v>
      </c>
    </row>
    <row r="511">
      <c r="H511" s="4" t="s">
        <v>101</v>
      </c>
    </row>
    <row r="512">
      <c r="H512" s="4" t="s">
        <v>101</v>
      </c>
    </row>
    <row r="513">
      <c r="H513" s="4" t="s">
        <v>101</v>
      </c>
    </row>
    <row r="514">
      <c r="H514" s="4" t="s">
        <v>101</v>
      </c>
    </row>
    <row r="515">
      <c r="H515" s="4" t="s">
        <v>101</v>
      </c>
    </row>
    <row r="516">
      <c r="H516" s="4" t="s">
        <v>101</v>
      </c>
    </row>
    <row r="517">
      <c r="H517" s="4" t="s">
        <v>101</v>
      </c>
    </row>
    <row r="518">
      <c r="H518" s="4" t="s">
        <v>101</v>
      </c>
    </row>
    <row r="519">
      <c r="H519" s="4" t="s">
        <v>101</v>
      </c>
    </row>
    <row r="520">
      <c r="H520" s="4" t="s">
        <v>101</v>
      </c>
    </row>
    <row r="521">
      <c r="H521" s="4" t="s">
        <v>101</v>
      </c>
    </row>
    <row r="522">
      <c r="H522" s="4" t="s">
        <v>101</v>
      </c>
    </row>
    <row r="523">
      <c r="H523" s="4" t="s">
        <v>101</v>
      </c>
    </row>
    <row r="524">
      <c r="H524" s="4" t="s">
        <v>101</v>
      </c>
    </row>
    <row r="525">
      <c r="H525" s="4" t="s">
        <v>101</v>
      </c>
    </row>
    <row r="526">
      <c r="H526" s="4" t="s">
        <v>101</v>
      </c>
    </row>
    <row r="527">
      <c r="H527" s="4" t="s">
        <v>101</v>
      </c>
    </row>
    <row r="528">
      <c r="H528" s="4" t="s">
        <v>101</v>
      </c>
    </row>
    <row r="529">
      <c r="H529" s="4" t="s">
        <v>101</v>
      </c>
    </row>
    <row r="530">
      <c r="H530" s="4" t="s">
        <v>101</v>
      </c>
    </row>
    <row r="531">
      <c r="H531" s="4" t="s">
        <v>101</v>
      </c>
    </row>
    <row r="532">
      <c r="H532" s="4" t="s">
        <v>101</v>
      </c>
    </row>
    <row r="533">
      <c r="H533" s="4" t="s">
        <v>101</v>
      </c>
    </row>
    <row r="534">
      <c r="H534" s="4" t="s">
        <v>101</v>
      </c>
    </row>
    <row r="535">
      <c r="H535" s="4" t="s">
        <v>101</v>
      </c>
    </row>
    <row r="536">
      <c r="H536" s="4" t="s">
        <v>101</v>
      </c>
    </row>
    <row r="537">
      <c r="H537" s="4" t="s">
        <v>101</v>
      </c>
    </row>
    <row r="538">
      <c r="H538" s="4" t="s">
        <v>101</v>
      </c>
    </row>
    <row r="539">
      <c r="H539" s="4" t="s">
        <v>101</v>
      </c>
    </row>
    <row r="540">
      <c r="H540" s="4" t="s">
        <v>101</v>
      </c>
    </row>
    <row r="541">
      <c r="H541" s="4" t="s">
        <v>101</v>
      </c>
    </row>
    <row r="542">
      <c r="H542" s="4" t="s">
        <v>101</v>
      </c>
    </row>
    <row r="543">
      <c r="H543" s="4" t="s">
        <v>101</v>
      </c>
    </row>
    <row r="544">
      <c r="H544" s="4" t="s">
        <v>101</v>
      </c>
    </row>
    <row r="545">
      <c r="H545" s="4" t="s">
        <v>101</v>
      </c>
    </row>
    <row r="546">
      <c r="H546" s="4" t="s">
        <v>101</v>
      </c>
    </row>
    <row r="547">
      <c r="H547" s="4" t="s">
        <v>101</v>
      </c>
    </row>
    <row r="548">
      <c r="H548" s="4" t="s">
        <v>101</v>
      </c>
    </row>
    <row r="549">
      <c r="H549" s="4" t="s">
        <v>101</v>
      </c>
    </row>
    <row r="550">
      <c r="H550" s="4" t="s">
        <v>101</v>
      </c>
    </row>
    <row r="551">
      <c r="H551" s="4" t="s">
        <v>101</v>
      </c>
    </row>
    <row r="552">
      <c r="H552" s="4" t="s">
        <v>101</v>
      </c>
    </row>
    <row r="553">
      <c r="H553" s="4" t="s">
        <v>101</v>
      </c>
    </row>
    <row r="554">
      <c r="H554" s="4" t="s">
        <v>101</v>
      </c>
    </row>
    <row r="555">
      <c r="H555" s="4" t="s">
        <v>101</v>
      </c>
    </row>
    <row r="556">
      <c r="H556" s="4" t="s">
        <v>101</v>
      </c>
    </row>
    <row r="557">
      <c r="H557" s="4" t="s">
        <v>101</v>
      </c>
    </row>
    <row r="558">
      <c r="H558" s="4" t="s">
        <v>101</v>
      </c>
    </row>
    <row r="559">
      <c r="H559" s="4" t="s">
        <v>101</v>
      </c>
    </row>
    <row r="560">
      <c r="H560" s="4" t="s">
        <v>101</v>
      </c>
    </row>
    <row r="561">
      <c r="H561" s="4" t="s">
        <v>101</v>
      </c>
    </row>
    <row r="562">
      <c r="H562" s="4" t="s">
        <v>101</v>
      </c>
    </row>
    <row r="563">
      <c r="H563" s="4" t="s">
        <v>101</v>
      </c>
    </row>
    <row r="564">
      <c r="H564" s="4" t="s">
        <v>101</v>
      </c>
    </row>
    <row r="565">
      <c r="H565" s="4" t="s">
        <v>101</v>
      </c>
    </row>
    <row r="566">
      <c r="H566" s="4" t="s">
        <v>101</v>
      </c>
    </row>
    <row r="567">
      <c r="H567" s="4" t="s">
        <v>101</v>
      </c>
    </row>
    <row r="568">
      <c r="H568" s="4" t="s">
        <v>101</v>
      </c>
    </row>
    <row r="569">
      <c r="H569" s="4" t="s">
        <v>101</v>
      </c>
    </row>
    <row r="570">
      <c r="H570" s="4" t="s">
        <v>101</v>
      </c>
    </row>
    <row r="571">
      <c r="H571" s="4" t="s">
        <v>101</v>
      </c>
    </row>
    <row r="572">
      <c r="H572" s="4" t="s">
        <v>101</v>
      </c>
    </row>
    <row r="573">
      <c r="H573" s="4" t="s">
        <v>101</v>
      </c>
    </row>
    <row r="574">
      <c r="H574" s="4" t="s">
        <v>101</v>
      </c>
    </row>
    <row r="575">
      <c r="H575" s="4" t="s">
        <v>101</v>
      </c>
    </row>
    <row r="576">
      <c r="H576" s="4" t="s">
        <v>101</v>
      </c>
    </row>
    <row r="577">
      <c r="H577" s="4" t="s">
        <v>101</v>
      </c>
    </row>
    <row r="578">
      <c r="H578" s="4" t="s">
        <v>101</v>
      </c>
    </row>
    <row r="579">
      <c r="H579" s="4" t="s">
        <v>101</v>
      </c>
    </row>
    <row r="580">
      <c r="H580" s="4" t="s">
        <v>101</v>
      </c>
    </row>
    <row r="581">
      <c r="H581" s="4" t="s">
        <v>101</v>
      </c>
    </row>
    <row r="582">
      <c r="H582" s="4" t="s">
        <v>101</v>
      </c>
    </row>
    <row r="583">
      <c r="H583" s="4" t="s">
        <v>101</v>
      </c>
    </row>
    <row r="584">
      <c r="H584" s="4" t="s">
        <v>101</v>
      </c>
    </row>
    <row r="585">
      <c r="H585" s="4" t="s">
        <v>101</v>
      </c>
    </row>
    <row r="586">
      <c r="H586" s="4" t="s">
        <v>101</v>
      </c>
    </row>
    <row r="587">
      <c r="H587" s="4" t="s">
        <v>101</v>
      </c>
    </row>
    <row r="588">
      <c r="H588" s="4" t="s">
        <v>101</v>
      </c>
    </row>
    <row r="589">
      <c r="H589" s="4" t="s">
        <v>101</v>
      </c>
    </row>
    <row r="590">
      <c r="H590" s="4" t="s">
        <v>101</v>
      </c>
    </row>
    <row r="591">
      <c r="H591" s="4" t="s">
        <v>101</v>
      </c>
    </row>
    <row r="592">
      <c r="H592" s="4" t="s">
        <v>101</v>
      </c>
    </row>
    <row r="593">
      <c r="H593" s="4" t="s">
        <v>101</v>
      </c>
    </row>
    <row r="594">
      <c r="H594" s="4" t="s">
        <v>101</v>
      </c>
    </row>
    <row r="595">
      <c r="H595" s="4" t="s">
        <v>101</v>
      </c>
    </row>
    <row r="596">
      <c r="H596" s="4" t="s">
        <v>101</v>
      </c>
    </row>
    <row r="597">
      <c r="H597" s="4" t="s">
        <v>101</v>
      </c>
    </row>
    <row r="598">
      <c r="H598" s="4" t="s">
        <v>101</v>
      </c>
    </row>
    <row r="599">
      <c r="H599" s="4" t="s">
        <v>101</v>
      </c>
    </row>
    <row r="600">
      <c r="H600" s="4" t="s">
        <v>101</v>
      </c>
    </row>
    <row r="601">
      <c r="H601" s="4" t="s">
        <v>101</v>
      </c>
    </row>
    <row r="602">
      <c r="H602" s="4" t="s">
        <v>101</v>
      </c>
    </row>
    <row r="603">
      <c r="H603" s="4" t="s">
        <v>101</v>
      </c>
    </row>
    <row r="604">
      <c r="H604" s="4" t="s">
        <v>101</v>
      </c>
    </row>
    <row r="605">
      <c r="H605" s="4" t="s">
        <v>101</v>
      </c>
    </row>
    <row r="606">
      <c r="H606" s="4" t="s">
        <v>101</v>
      </c>
    </row>
    <row r="607">
      <c r="H607" s="4" t="s">
        <v>101</v>
      </c>
    </row>
    <row r="608">
      <c r="H608" s="4" t="s">
        <v>101</v>
      </c>
    </row>
    <row r="609">
      <c r="H609" s="4" t="s">
        <v>101</v>
      </c>
    </row>
    <row r="610">
      <c r="H610" s="4" t="s">
        <v>101</v>
      </c>
    </row>
    <row r="611">
      <c r="H611" s="4" t="s">
        <v>101</v>
      </c>
    </row>
    <row r="612">
      <c r="H612" s="4" t="s">
        <v>101</v>
      </c>
    </row>
    <row r="613">
      <c r="H613" s="4" t="s">
        <v>101</v>
      </c>
    </row>
    <row r="614">
      <c r="H614" s="4" t="s">
        <v>101</v>
      </c>
    </row>
    <row r="615">
      <c r="H615" s="4" t="s">
        <v>101</v>
      </c>
    </row>
    <row r="616">
      <c r="H616" s="4" t="s">
        <v>101</v>
      </c>
    </row>
    <row r="617">
      <c r="H617" s="4" t="s">
        <v>101</v>
      </c>
    </row>
    <row r="618">
      <c r="H618" s="4" t="s">
        <v>101</v>
      </c>
    </row>
    <row r="619">
      <c r="H619" s="4" t="s">
        <v>101</v>
      </c>
    </row>
    <row r="620">
      <c r="H620" s="4" t="s">
        <v>101</v>
      </c>
    </row>
    <row r="621">
      <c r="H621" s="4" t="s">
        <v>101</v>
      </c>
    </row>
    <row r="622">
      <c r="H622" s="4" t="s">
        <v>101</v>
      </c>
    </row>
    <row r="623">
      <c r="H623" s="4" t="s">
        <v>101</v>
      </c>
    </row>
    <row r="624">
      <c r="H624" s="4" t="s">
        <v>101</v>
      </c>
    </row>
    <row r="625">
      <c r="H625" s="4" t="s">
        <v>101</v>
      </c>
    </row>
    <row r="626">
      <c r="H626" s="4" t="s">
        <v>101</v>
      </c>
    </row>
    <row r="627">
      <c r="H627" s="4" t="s">
        <v>101</v>
      </c>
    </row>
    <row r="628">
      <c r="H628" s="4" t="s">
        <v>101</v>
      </c>
    </row>
    <row r="629">
      <c r="H629" s="4" t="s">
        <v>101</v>
      </c>
    </row>
    <row r="630">
      <c r="H630" s="4" t="s">
        <v>101</v>
      </c>
    </row>
    <row r="631">
      <c r="H631" s="4" t="s">
        <v>101</v>
      </c>
    </row>
    <row r="632">
      <c r="H632" s="4" t="s">
        <v>101</v>
      </c>
    </row>
    <row r="633">
      <c r="H633" s="4" t="s">
        <v>101</v>
      </c>
    </row>
    <row r="634">
      <c r="H634" s="4" t="s">
        <v>101</v>
      </c>
    </row>
    <row r="635">
      <c r="H635" s="4" t="s">
        <v>101</v>
      </c>
    </row>
    <row r="636">
      <c r="H636" s="4" t="s">
        <v>101</v>
      </c>
    </row>
    <row r="637">
      <c r="H637" s="4" t="s">
        <v>101</v>
      </c>
    </row>
    <row r="638">
      <c r="H638" s="4" t="s">
        <v>101</v>
      </c>
    </row>
    <row r="639">
      <c r="H639" s="4" t="s">
        <v>101</v>
      </c>
    </row>
    <row r="640">
      <c r="H640" s="4" t="s">
        <v>101</v>
      </c>
    </row>
    <row r="641">
      <c r="H641" s="4" t="s">
        <v>101</v>
      </c>
    </row>
    <row r="642">
      <c r="H642" s="4" t="s">
        <v>101</v>
      </c>
    </row>
    <row r="643">
      <c r="H643" s="4" t="s">
        <v>101</v>
      </c>
    </row>
    <row r="644">
      <c r="H644" s="4" t="s">
        <v>101</v>
      </c>
    </row>
    <row r="645">
      <c r="H645" s="4" t="s">
        <v>101</v>
      </c>
    </row>
    <row r="646">
      <c r="H646" s="4" t="s">
        <v>101</v>
      </c>
    </row>
    <row r="647">
      <c r="H647" s="4" t="s">
        <v>101</v>
      </c>
    </row>
    <row r="648">
      <c r="H648" s="4" t="s">
        <v>101</v>
      </c>
    </row>
    <row r="649">
      <c r="H649" s="4" t="s">
        <v>101</v>
      </c>
    </row>
    <row r="650">
      <c r="H650" s="4" t="s">
        <v>101</v>
      </c>
    </row>
    <row r="651">
      <c r="H651" s="4" t="s">
        <v>101</v>
      </c>
    </row>
    <row r="652">
      <c r="H652" s="4" t="s">
        <v>101</v>
      </c>
    </row>
    <row r="653">
      <c r="H653" s="4" t="s">
        <v>101</v>
      </c>
    </row>
    <row r="654">
      <c r="H654" s="4" t="s">
        <v>101</v>
      </c>
    </row>
    <row r="655">
      <c r="H655" s="4" t="s">
        <v>101</v>
      </c>
    </row>
    <row r="656">
      <c r="H656" s="4" t="s">
        <v>101</v>
      </c>
    </row>
    <row r="657">
      <c r="H657" s="4" t="s">
        <v>101</v>
      </c>
    </row>
    <row r="658">
      <c r="H658" s="4" t="s">
        <v>101</v>
      </c>
    </row>
    <row r="659">
      <c r="H659" s="4" t="s">
        <v>101</v>
      </c>
    </row>
    <row r="660">
      <c r="H660" s="4" t="s">
        <v>101</v>
      </c>
    </row>
    <row r="661">
      <c r="H661" s="4" t="s">
        <v>101</v>
      </c>
    </row>
    <row r="662">
      <c r="H662" s="4" t="s">
        <v>101</v>
      </c>
    </row>
    <row r="663">
      <c r="H663" s="4" t="s">
        <v>101</v>
      </c>
    </row>
    <row r="664">
      <c r="H664" s="4" t="s">
        <v>101</v>
      </c>
    </row>
    <row r="665">
      <c r="H665" s="4" t="s">
        <v>101</v>
      </c>
    </row>
    <row r="666">
      <c r="H666" s="4" t="s">
        <v>101</v>
      </c>
    </row>
    <row r="667">
      <c r="H667" s="4" t="s">
        <v>101</v>
      </c>
    </row>
    <row r="668">
      <c r="H668" s="4" t="s">
        <v>101</v>
      </c>
    </row>
    <row r="669">
      <c r="H669" s="4" t="s">
        <v>101</v>
      </c>
    </row>
    <row r="670">
      <c r="H670" s="4" t="s">
        <v>101</v>
      </c>
    </row>
    <row r="671">
      <c r="H671" s="4" t="s">
        <v>101</v>
      </c>
    </row>
    <row r="672">
      <c r="H672" s="4" t="s">
        <v>101</v>
      </c>
    </row>
    <row r="673">
      <c r="H673" s="4" t="s">
        <v>101</v>
      </c>
    </row>
    <row r="674">
      <c r="H674" s="4" t="s">
        <v>101</v>
      </c>
    </row>
    <row r="675">
      <c r="H675" s="4" t="s">
        <v>101</v>
      </c>
    </row>
    <row r="676">
      <c r="H676" s="4" t="s">
        <v>101</v>
      </c>
    </row>
    <row r="677">
      <c r="H677" s="4" t="s">
        <v>101</v>
      </c>
    </row>
    <row r="678">
      <c r="H678" s="4" t="s">
        <v>101</v>
      </c>
    </row>
    <row r="679">
      <c r="H679" s="4" t="s">
        <v>101</v>
      </c>
    </row>
    <row r="680">
      <c r="H680" s="4" t="s">
        <v>101</v>
      </c>
    </row>
    <row r="681">
      <c r="H681" s="4" t="s">
        <v>101</v>
      </c>
    </row>
    <row r="682">
      <c r="H682" s="4" t="s">
        <v>101</v>
      </c>
    </row>
    <row r="683">
      <c r="H683" s="4" t="s">
        <v>101</v>
      </c>
    </row>
    <row r="684">
      <c r="H684" s="4" t="s">
        <v>101</v>
      </c>
    </row>
    <row r="685">
      <c r="H685" s="4" t="s">
        <v>101</v>
      </c>
    </row>
    <row r="686">
      <c r="H686" s="4" t="s">
        <v>101</v>
      </c>
    </row>
    <row r="687">
      <c r="H687" s="4" t="s">
        <v>101</v>
      </c>
    </row>
    <row r="688">
      <c r="H688" s="4" t="s">
        <v>101</v>
      </c>
    </row>
    <row r="689">
      <c r="H689" s="4" t="s">
        <v>101</v>
      </c>
    </row>
    <row r="690">
      <c r="H690" s="4" t="s">
        <v>101</v>
      </c>
    </row>
    <row r="691">
      <c r="H691" s="4" t="s">
        <v>101</v>
      </c>
    </row>
    <row r="692">
      <c r="H692" s="4" t="s">
        <v>101</v>
      </c>
    </row>
    <row r="693">
      <c r="H693" s="4" t="s">
        <v>101</v>
      </c>
    </row>
    <row r="694">
      <c r="H694" s="4" t="s">
        <v>101</v>
      </c>
    </row>
    <row r="695">
      <c r="H695" s="4" t="s">
        <v>101</v>
      </c>
    </row>
    <row r="696">
      <c r="H696" s="4" t="s">
        <v>101</v>
      </c>
    </row>
    <row r="697">
      <c r="H697" s="4" t="s">
        <v>101</v>
      </c>
    </row>
    <row r="698">
      <c r="H698" s="4" t="s">
        <v>101</v>
      </c>
    </row>
    <row r="699">
      <c r="H699" s="4" t="s">
        <v>101</v>
      </c>
    </row>
    <row r="700">
      <c r="H700" s="4" t="s">
        <v>101</v>
      </c>
    </row>
    <row r="701">
      <c r="H701" s="4" t="s">
        <v>101</v>
      </c>
    </row>
    <row r="702">
      <c r="H702" s="4" t="s">
        <v>101</v>
      </c>
    </row>
    <row r="703">
      <c r="H703" s="4" t="s">
        <v>101</v>
      </c>
    </row>
    <row r="704">
      <c r="H704" s="4" t="s">
        <v>101</v>
      </c>
    </row>
    <row r="705">
      <c r="H705" s="4" t="s">
        <v>101</v>
      </c>
    </row>
    <row r="706">
      <c r="H706" s="4" t="s">
        <v>101</v>
      </c>
    </row>
    <row r="707">
      <c r="H707" s="4" t="s">
        <v>101</v>
      </c>
    </row>
    <row r="708">
      <c r="H708" s="4" t="s">
        <v>101</v>
      </c>
    </row>
    <row r="709">
      <c r="H709" s="4" t="s">
        <v>101</v>
      </c>
    </row>
    <row r="710">
      <c r="H710" s="4" t="s">
        <v>101</v>
      </c>
    </row>
    <row r="711">
      <c r="H711" s="4" t="s">
        <v>101</v>
      </c>
    </row>
    <row r="712">
      <c r="H712" s="4" t="s">
        <v>101</v>
      </c>
    </row>
    <row r="713">
      <c r="H713" s="4" t="s">
        <v>101</v>
      </c>
    </row>
    <row r="714">
      <c r="H714" s="4" t="s">
        <v>101</v>
      </c>
    </row>
    <row r="715">
      <c r="H715" s="4" t="s">
        <v>101</v>
      </c>
    </row>
    <row r="716">
      <c r="H716" s="4" t="s">
        <v>101</v>
      </c>
    </row>
    <row r="717">
      <c r="H717" s="4" t="s">
        <v>101</v>
      </c>
    </row>
    <row r="718">
      <c r="H718" s="4" t="s">
        <v>101</v>
      </c>
    </row>
    <row r="719">
      <c r="H719" s="4" t="s">
        <v>101</v>
      </c>
    </row>
    <row r="720">
      <c r="H720" s="4" t="s">
        <v>101</v>
      </c>
    </row>
    <row r="721">
      <c r="H721" s="4" t="s">
        <v>101</v>
      </c>
    </row>
    <row r="722">
      <c r="H722" s="4" t="s">
        <v>101</v>
      </c>
    </row>
    <row r="723">
      <c r="H723" s="4" t="s">
        <v>101</v>
      </c>
    </row>
    <row r="724">
      <c r="H724" s="4" t="s">
        <v>101</v>
      </c>
    </row>
    <row r="725">
      <c r="H725" s="4" t="s">
        <v>101</v>
      </c>
    </row>
    <row r="726">
      <c r="H726" s="4" t="s">
        <v>101</v>
      </c>
    </row>
    <row r="727">
      <c r="H727" s="4" t="s">
        <v>101</v>
      </c>
    </row>
    <row r="728">
      <c r="H728" s="4" t="s">
        <v>101</v>
      </c>
    </row>
    <row r="729">
      <c r="H729" s="4" t="s">
        <v>101</v>
      </c>
    </row>
    <row r="730">
      <c r="H730" s="4" t="s">
        <v>101</v>
      </c>
    </row>
    <row r="731">
      <c r="H731" s="4" t="s">
        <v>101</v>
      </c>
    </row>
    <row r="732">
      <c r="H732" s="4" t="s">
        <v>101</v>
      </c>
    </row>
    <row r="733">
      <c r="H733" s="4" t="s">
        <v>101</v>
      </c>
    </row>
    <row r="734">
      <c r="H734" s="4" t="s">
        <v>101</v>
      </c>
    </row>
    <row r="735">
      <c r="H735" s="4" t="s">
        <v>101</v>
      </c>
    </row>
    <row r="736">
      <c r="H736" s="4" t="s">
        <v>101</v>
      </c>
    </row>
    <row r="737">
      <c r="H737" s="4" t="s">
        <v>101</v>
      </c>
    </row>
    <row r="738">
      <c r="H738" s="4" t="s">
        <v>101</v>
      </c>
    </row>
    <row r="739">
      <c r="H739" s="4" t="s">
        <v>101</v>
      </c>
    </row>
    <row r="740">
      <c r="H740" s="4" t="s">
        <v>101</v>
      </c>
    </row>
    <row r="741">
      <c r="H741" s="4" t="s">
        <v>101</v>
      </c>
    </row>
    <row r="742">
      <c r="H742" s="4" t="s">
        <v>101</v>
      </c>
    </row>
    <row r="743">
      <c r="H743" s="4" t="s">
        <v>101</v>
      </c>
    </row>
    <row r="744">
      <c r="H744" s="4" t="s">
        <v>101</v>
      </c>
    </row>
    <row r="745">
      <c r="H745" s="4" t="s">
        <v>101</v>
      </c>
    </row>
    <row r="746">
      <c r="H746" s="4" t="s">
        <v>101</v>
      </c>
    </row>
    <row r="747">
      <c r="H747" s="4" t="s">
        <v>101</v>
      </c>
    </row>
    <row r="748">
      <c r="H748" s="4" t="s">
        <v>101</v>
      </c>
    </row>
    <row r="749">
      <c r="H749" s="4" t="s">
        <v>101</v>
      </c>
    </row>
    <row r="750">
      <c r="H750" s="4" t="s">
        <v>101</v>
      </c>
    </row>
    <row r="751">
      <c r="H751" s="4" t="s">
        <v>101</v>
      </c>
    </row>
    <row r="752">
      <c r="H752" s="4" t="s">
        <v>101</v>
      </c>
    </row>
    <row r="753">
      <c r="H753" s="4" t="s">
        <v>101</v>
      </c>
    </row>
    <row r="754">
      <c r="H754" s="4" t="s">
        <v>101</v>
      </c>
    </row>
    <row r="755">
      <c r="H755" s="4" t="s">
        <v>101</v>
      </c>
    </row>
    <row r="756">
      <c r="H756" s="4" t="s">
        <v>101</v>
      </c>
    </row>
    <row r="757">
      <c r="H757" s="4" t="s">
        <v>101</v>
      </c>
    </row>
    <row r="758">
      <c r="H758" s="4" t="s">
        <v>101</v>
      </c>
    </row>
    <row r="759">
      <c r="H759" s="4" t="s">
        <v>101</v>
      </c>
    </row>
    <row r="760">
      <c r="H760" s="4" t="s">
        <v>101</v>
      </c>
    </row>
    <row r="761">
      <c r="H761" s="4" t="s">
        <v>101</v>
      </c>
    </row>
    <row r="762">
      <c r="H762" s="4" t="s">
        <v>101</v>
      </c>
    </row>
    <row r="763">
      <c r="H763" s="4" t="s">
        <v>101</v>
      </c>
    </row>
    <row r="764">
      <c r="H764" s="4" t="s">
        <v>101</v>
      </c>
    </row>
    <row r="765">
      <c r="H765" s="4" t="s">
        <v>101</v>
      </c>
    </row>
    <row r="766">
      <c r="H766" s="4" t="s">
        <v>101</v>
      </c>
    </row>
    <row r="767">
      <c r="H767" s="4" t="s">
        <v>101</v>
      </c>
    </row>
    <row r="768">
      <c r="H768" s="4" t="s">
        <v>101</v>
      </c>
    </row>
    <row r="769">
      <c r="H769" s="4" t="s">
        <v>101</v>
      </c>
    </row>
    <row r="770">
      <c r="H770" s="4" t="s">
        <v>101</v>
      </c>
    </row>
    <row r="771">
      <c r="H771" s="4" t="s">
        <v>101</v>
      </c>
    </row>
    <row r="772">
      <c r="H772" s="4" t="s">
        <v>101</v>
      </c>
    </row>
    <row r="773">
      <c r="H773" s="4" t="s">
        <v>101</v>
      </c>
    </row>
    <row r="774">
      <c r="H774" s="4" t="s">
        <v>101</v>
      </c>
    </row>
    <row r="775">
      <c r="H775" s="4" t="s">
        <v>101</v>
      </c>
    </row>
    <row r="776">
      <c r="H776" s="4" t="s">
        <v>101</v>
      </c>
    </row>
    <row r="777">
      <c r="H777" s="4" t="s">
        <v>101</v>
      </c>
    </row>
    <row r="778">
      <c r="H778" s="4" t="s">
        <v>101</v>
      </c>
    </row>
    <row r="779">
      <c r="H779" s="4" t="s">
        <v>101</v>
      </c>
    </row>
    <row r="780">
      <c r="H780" s="4" t="s">
        <v>101</v>
      </c>
    </row>
    <row r="781">
      <c r="H781" s="4" t="s">
        <v>101</v>
      </c>
    </row>
    <row r="782">
      <c r="H782" s="4" t="s">
        <v>101</v>
      </c>
    </row>
    <row r="783">
      <c r="H783" s="4" t="s">
        <v>101</v>
      </c>
    </row>
    <row r="784">
      <c r="H784" s="4" t="s">
        <v>101</v>
      </c>
    </row>
    <row r="785">
      <c r="H785" s="4" t="s">
        <v>101</v>
      </c>
    </row>
    <row r="786">
      <c r="H786" s="4" t="s">
        <v>101</v>
      </c>
    </row>
    <row r="787">
      <c r="H787" s="4" t="s">
        <v>101</v>
      </c>
    </row>
    <row r="788">
      <c r="H788" s="4" t="s">
        <v>101</v>
      </c>
    </row>
    <row r="789">
      <c r="H789" s="4" t="s">
        <v>101</v>
      </c>
    </row>
    <row r="790">
      <c r="H790" s="4" t="s">
        <v>101</v>
      </c>
    </row>
    <row r="791">
      <c r="H791" s="4" t="s">
        <v>101</v>
      </c>
    </row>
    <row r="792">
      <c r="H792" s="4" t="s">
        <v>101</v>
      </c>
    </row>
    <row r="793">
      <c r="H793" s="4" t="s">
        <v>101</v>
      </c>
    </row>
    <row r="794">
      <c r="H794" s="4" t="s">
        <v>101</v>
      </c>
    </row>
    <row r="795">
      <c r="H795" s="4" t="s">
        <v>101</v>
      </c>
    </row>
    <row r="796">
      <c r="H796" s="4" t="s">
        <v>101</v>
      </c>
    </row>
    <row r="797">
      <c r="H797" s="4" t="s">
        <v>101</v>
      </c>
    </row>
    <row r="798">
      <c r="H798" s="4" t="s">
        <v>101</v>
      </c>
    </row>
    <row r="799">
      <c r="H799" s="4" t="s">
        <v>101</v>
      </c>
    </row>
    <row r="800">
      <c r="H800" s="4" t="s">
        <v>101</v>
      </c>
    </row>
    <row r="801">
      <c r="H801" s="4" t="s">
        <v>101</v>
      </c>
    </row>
    <row r="802">
      <c r="H802" s="4" t="s">
        <v>101</v>
      </c>
    </row>
    <row r="803">
      <c r="H803" s="4" t="s">
        <v>101</v>
      </c>
    </row>
    <row r="804">
      <c r="H804" s="4" t="s">
        <v>101</v>
      </c>
    </row>
    <row r="805">
      <c r="H805" s="4" t="s">
        <v>101</v>
      </c>
    </row>
    <row r="806">
      <c r="H806" s="4" t="s">
        <v>101</v>
      </c>
    </row>
    <row r="807">
      <c r="H807" s="4" t="s">
        <v>101</v>
      </c>
    </row>
    <row r="808">
      <c r="H808" s="4" t="s">
        <v>101</v>
      </c>
    </row>
    <row r="809">
      <c r="H809" s="4" t="s">
        <v>101</v>
      </c>
    </row>
    <row r="810">
      <c r="H810" s="4" t="s">
        <v>101</v>
      </c>
    </row>
    <row r="811">
      <c r="H811" s="4" t="s">
        <v>101</v>
      </c>
    </row>
    <row r="812">
      <c r="H812" s="4" t="s">
        <v>101</v>
      </c>
    </row>
    <row r="813">
      <c r="H813" s="4" t="s">
        <v>101</v>
      </c>
    </row>
    <row r="814">
      <c r="H814" s="4" t="s">
        <v>101</v>
      </c>
    </row>
    <row r="815">
      <c r="H815" s="4" t="s">
        <v>101</v>
      </c>
    </row>
    <row r="816">
      <c r="H816" s="4" t="s">
        <v>101</v>
      </c>
    </row>
    <row r="817">
      <c r="H817" s="4" t="s">
        <v>101</v>
      </c>
    </row>
    <row r="818">
      <c r="H818" s="4" t="s">
        <v>101</v>
      </c>
    </row>
    <row r="819">
      <c r="H819" s="4" t="s">
        <v>101</v>
      </c>
    </row>
    <row r="820">
      <c r="H820" s="4" t="s">
        <v>101</v>
      </c>
    </row>
    <row r="821">
      <c r="H821" s="4" t="s">
        <v>101</v>
      </c>
    </row>
    <row r="822">
      <c r="H822" s="4" t="s">
        <v>101</v>
      </c>
    </row>
    <row r="823">
      <c r="H823" s="4" t="s">
        <v>101</v>
      </c>
    </row>
    <row r="824">
      <c r="H824" s="4" t="s">
        <v>101</v>
      </c>
    </row>
    <row r="825">
      <c r="H825" s="4" t="s">
        <v>101</v>
      </c>
    </row>
    <row r="826">
      <c r="H826" s="4" t="s">
        <v>101</v>
      </c>
    </row>
    <row r="827">
      <c r="H827" s="4" t="s">
        <v>101</v>
      </c>
    </row>
    <row r="828">
      <c r="H828" s="4" t="s">
        <v>101</v>
      </c>
    </row>
    <row r="829">
      <c r="H829" s="4" t="s">
        <v>101</v>
      </c>
    </row>
    <row r="830">
      <c r="H830" s="4" t="s">
        <v>101</v>
      </c>
    </row>
    <row r="831">
      <c r="H831" s="4" t="s">
        <v>101</v>
      </c>
    </row>
    <row r="832">
      <c r="H832" s="4" t="s">
        <v>101</v>
      </c>
    </row>
    <row r="833">
      <c r="H833" s="4" t="s">
        <v>101</v>
      </c>
    </row>
    <row r="834">
      <c r="H834" s="4" t="s">
        <v>101</v>
      </c>
    </row>
    <row r="835">
      <c r="H835" s="4" t="s">
        <v>101</v>
      </c>
    </row>
    <row r="836">
      <c r="H836" s="4" t="s">
        <v>101</v>
      </c>
    </row>
    <row r="837">
      <c r="H837" s="4" t="s">
        <v>101</v>
      </c>
    </row>
    <row r="838">
      <c r="H838" s="4" t="s">
        <v>101</v>
      </c>
    </row>
    <row r="839">
      <c r="H839" s="4" t="s">
        <v>101</v>
      </c>
    </row>
    <row r="840">
      <c r="H840" s="4" t="s">
        <v>101</v>
      </c>
    </row>
    <row r="841">
      <c r="H841" s="4" t="s">
        <v>101</v>
      </c>
    </row>
    <row r="842">
      <c r="H842" s="4" t="s">
        <v>101</v>
      </c>
    </row>
    <row r="843">
      <c r="H843" s="4" t="s">
        <v>101</v>
      </c>
    </row>
    <row r="844">
      <c r="H844" s="4" t="s">
        <v>101</v>
      </c>
    </row>
    <row r="845">
      <c r="H845" s="4" t="s">
        <v>101</v>
      </c>
    </row>
    <row r="846">
      <c r="H846" s="4" t="s">
        <v>101</v>
      </c>
    </row>
    <row r="847">
      <c r="H847" s="4" t="s">
        <v>101</v>
      </c>
    </row>
    <row r="848">
      <c r="H848" s="4" t="s">
        <v>101</v>
      </c>
    </row>
    <row r="849">
      <c r="H849" s="4" t="s">
        <v>101</v>
      </c>
    </row>
    <row r="850">
      <c r="H850" s="4" t="s">
        <v>101</v>
      </c>
    </row>
    <row r="851">
      <c r="H851" s="4" t="s">
        <v>101</v>
      </c>
    </row>
    <row r="852">
      <c r="H852" s="4" t="s">
        <v>101</v>
      </c>
    </row>
    <row r="853">
      <c r="H853" s="4" t="s">
        <v>101</v>
      </c>
    </row>
    <row r="854">
      <c r="H854" s="4" t="s">
        <v>101</v>
      </c>
    </row>
    <row r="855">
      <c r="H855" s="4" t="s">
        <v>101</v>
      </c>
    </row>
    <row r="856">
      <c r="H856" s="4" t="s">
        <v>101</v>
      </c>
    </row>
    <row r="857">
      <c r="H857" s="4" t="s">
        <v>101</v>
      </c>
    </row>
    <row r="858">
      <c r="H858" s="4" t="s">
        <v>101</v>
      </c>
    </row>
    <row r="859">
      <c r="H859" s="4" t="s">
        <v>101</v>
      </c>
    </row>
    <row r="860">
      <c r="H860" s="4" t="s">
        <v>101</v>
      </c>
    </row>
    <row r="861">
      <c r="H861" s="4" t="s">
        <v>101</v>
      </c>
    </row>
    <row r="862">
      <c r="H862" s="4" t="s">
        <v>101</v>
      </c>
    </row>
    <row r="863">
      <c r="H863" s="4" t="s">
        <v>101</v>
      </c>
    </row>
    <row r="864">
      <c r="H864" s="4" t="s">
        <v>101</v>
      </c>
    </row>
    <row r="865">
      <c r="H865" s="4" t="s">
        <v>101</v>
      </c>
    </row>
    <row r="866">
      <c r="H866" s="4" t="s">
        <v>101</v>
      </c>
    </row>
    <row r="867">
      <c r="H867" s="4" t="s">
        <v>101</v>
      </c>
    </row>
    <row r="868">
      <c r="H868" s="4" t="s">
        <v>101</v>
      </c>
    </row>
    <row r="869">
      <c r="H869" s="4" t="s">
        <v>101</v>
      </c>
    </row>
    <row r="870">
      <c r="H870" s="4" t="s">
        <v>101</v>
      </c>
    </row>
    <row r="871">
      <c r="H871" s="4" t="s">
        <v>101</v>
      </c>
    </row>
    <row r="872">
      <c r="H872" s="4" t="s">
        <v>101</v>
      </c>
    </row>
    <row r="873">
      <c r="H873" s="4" t="s">
        <v>101</v>
      </c>
    </row>
    <row r="874">
      <c r="H874" s="4" t="s">
        <v>101</v>
      </c>
    </row>
    <row r="875">
      <c r="H875" s="4" t="s">
        <v>101</v>
      </c>
    </row>
    <row r="876">
      <c r="H876" s="4" t="s">
        <v>101</v>
      </c>
    </row>
    <row r="877">
      <c r="H877" s="4" t="s">
        <v>101</v>
      </c>
    </row>
    <row r="878">
      <c r="H878" s="4" t="s">
        <v>101</v>
      </c>
    </row>
    <row r="879">
      <c r="H879" s="4" t="s">
        <v>101</v>
      </c>
    </row>
    <row r="880">
      <c r="H880" s="4" t="s">
        <v>101</v>
      </c>
    </row>
    <row r="881">
      <c r="H881" s="4" t="s">
        <v>101</v>
      </c>
    </row>
    <row r="882">
      <c r="H882" s="4" t="s">
        <v>101</v>
      </c>
    </row>
    <row r="883">
      <c r="H883" s="4" t="s">
        <v>101</v>
      </c>
    </row>
    <row r="884">
      <c r="H884" s="4" t="s">
        <v>101</v>
      </c>
    </row>
    <row r="885">
      <c r="H885" s="4" t="s">
        <v>101</v>
      </c>
    </row>
    <row r="886">
      <c r="H886" s="4" t="s">
        <v>101</v>
      </c>
    </row>
    <row r="887">
      <c r="H887" s="4" t="s">
        <v>101</v>
      </c>
    </row>
    <row r="888">
      <c r="H888" s="4" t="s">
        <v>101</v>
      </c>
    </row>
    <row r="889">
      <c r="H889" s="4" t="s">
        <v>101</v>
      </c>
    </row>
    <row r="890">
      <c r="H890" s="4" t="s">
        <v>101</v>
      </c>
    </row>
    <row r="891">
      <c r="H891" s="4" t="s">
        <v>101</v>
      </c>
    </row>
    <row r="892">
      <c r="H892" s="4" t="s">
        <v>101</v>
      </c>
    </row>
    <row r="893">
      <c r="H893" s="4" t="s">
        <v>101</v>
      </c>
    </row>
    <row r="894">
      <c r="H894" s="4" t="s">
        <v>101</v>
      </c>
    </row>
    <row r="895">
      <c r="H895" s="4" t="s">
        <v>101</v>
      </c>
    </row>
    <row r="896">
      <c r="H896" s="4" t="s">
        <v>101</v>
      </c>
    </row>
    <row r="897">
      <c r="H897" s="4" t="s">
        <v>101</v>
      </c>
    </row>
    <row r="898">
      <c r="H898" s="4" t="s">
        <v>101</v>
      </c>
    </row>
    <row r="899">
      <c r="H899" s="4" t="s">
        <v>101</v>
      </c>
    </row>
    <row r="900">
      <c r="H900" s="4" t="s">
        <v>101</v>
      </c>
    </row>
    <row r="901">
      <c r="H901" s="4" t="s">
        <v>101</v>
      </c>
    </row>
    <row r="902">
      <c r="H902" s="4" t="s">
        <v>101</v>
      </c>
    </row>
    <row r="903">
      <c r="H903" s="4" t="s">
        <v>101</v>
      </c>
    </row>
    <row r="904">
      <c r="H904" s="4" t="s">
        <v>101</v>
      </c>
    </row>
    <row r="905">
      <c r="H905" s="4" t="s">
        <v>101</v>
      </c>
    </row>
    <row r="906">
      <c r="H906" s="4" t="s">
        <v>101</v>
      </c>
    </row>
    <row r="907">
      <c r="H907" s="4" t="s">
        <v>101</v>
      </c>
    </row>
    <row r="908">
      <c r="H908" s="4" t="s">
        <v>101</v>
      </c>
    </row>
    <row r="909">
      <c r="H909" s="4" t="s">
        <v>101</v>
      </c>
    </row>
    <row r="910">
      <c r="H910" s="4" t="s">
        <v>101</v>
      </c>
    </row>
    <row r="911">
      <c r="H911" s="4" t="s">
        <v>101</v>
      </c>
    </row>
    <row r="912">
      <c r="H912" s="4" t="s">
        <v>101</v>
      </c>
    </row>
    <row r="913">
      <c r="H913" s="4" t="s">
        <v>101</v>
      </c>
    </row>
    <row r="914">
      <c r="H914" s="4" t="s">
        <v>101</v>
      </c>
    </row>
    <row r="915">
      <c r="H915" s="4" t="s">
        <v>101</v>
      </c>
    </row>
    <row r="916">
      <c r="H916" s="4" t="s">
        <v>101</v>
      </c>
    </row>
    <row r="917">
      <c r="H917" s="4" t="s">
        <v>101</v>
      </c>
    </row>
    <row r="918">
      <c r="H918" s="4" t="s">
        <v>101</v>
      </c>
    </row>
    <row r="919">
      <c r="H919" s="4" t="s">
        <v>101</v>
      </c>
    </row>
    <row r="920">
      <c r="H920" s="4" t="s">
        <v>101</v>
      </c>
    </row>
    <row r="921">
      <c r="H921" s="4" t="s">
        <v>101</v>
      </c>
    </row>
    <row r="922">
      <c r="H922" s="4" t="s">
        <v>101</v>
      </c>
    </row>
    <row r="923">
      <c r="H923" s="4" t="s">
        <v>101</v>
      </c>
    </row>
    <row r="924">
      <c r="H924" s="4" t="s">
        <v>101</v>
      </c>
    </row>
    <row r="925">
      <c r="H925" s="4" t="s">
        <v>101</v>
      </c>
    </row>
    <row r="926">
      <c r="H926" s="4" t="s">
        <v>101</v>
      </c>
    </row>
    <row r="927">
      <c r="H927" s="4" t="s">
        <v>101</v>
      </c>
    </row>
    <row r="928">
      <c r="H928" s="4" t="s">
        <v>101</v>
      </c>
    </row>
    <row r="929">
      <c r="H929" s="4" t="s">
        <v>101</v>
      </c>
    </row>
    <row r="930">
      <c r="H930" s="4" t="s">
        <v>101</v>
      </c>
    </row>
    <row r="931">
      <c r="H931" s="4" t="s">
        <v>101</v>
      </c>
    </row>
    <row r="932">
      <c r="H932" s="4" t="s">
        <v>101</v>
      </c>
    </row>
    <row r="933">
      <c r="H933" s="4" t="s">
        <v>101</v>
      </c>
    </row>
    <row r="934">
      <c r="H934" s="4" t="s">
        <v>101</v>
      </c>
    </row>
    <row r="935">
      <c r="H935" s="4" t="s">
        <v>101</v>
      </c>
    </row>
    <row r="936">
      <c r="H936" s="4" t="s">
        <v>101</v>
      </c>
    </row>
    <row r="937">
      <c r="H937" s="4" t="s">
        <v>101</v>
      </c>
    </row>
    <row r="938">
      <c r="H938" s="4" t="s">
        <v>101</v>
      </c>
    </row>
    <row r="939">
      <c r="H939" s="4" t="s">
        <v>101</v>
      </c>
    </row>
    <row r="940">
      <c r="H940" s="4" t="s">
        <v>101</v>
      </c>
    </row>
    <row r="941">
      <c r="H941" s="4" t="s">
        <v>101</v>
      </c>
    </row>
    <row r="942">
      <c r="H942" s="4" t="s">
        <v>101</v>
      </c>
    </row>
    <row r="943">
      <c r="H943" s="4" t="s">
        <v>101</v>
      </c>
    </row>
    <row r="944">
      <c r="H944" s="4" t="s">
        <v>101</v>
      </c>
    </row>
    <row r="945">
      <c r="H945" s="4" t="s">
        <v>101</v>
      </c>
    </row>
    <row r="946">
      <c r="H946" s="4" t="s">
        <v>101</v>
      </c>
    </row>
    <row r="947">
      <c r="H947" s="4" t="s">
        <v>101</v>
      </c>
    </row>
    <row r="948">
      <c r="H948" s="4" t="s">
        <v>101</v>
      </c>
    </row>
    <row r="949">
      <c r="H949" s="4" t="s">
        <v>101</v>
      </c>
    </row>
    <row r="950">
      <c r="H950" s="4" t="s">
        <v>101</v>
      </c>
    </row>
    <row r="951">
      <c r="H951" s="4" t="s">
        <v>101</v>
      </c>
    </row>
    <row r="952">
      <c r="H952" s="4" t="s">
        <v>101</v>
      </c>
    </row>
    <row r="953">
      <c r="H953" s="4" t="s">
        <v>101</v>
      </c>
    </row>
    <row r="954">
      <c r="H954" s="4" t="s">
        <v>101</v>
      </c>
    </row>
    <row r="955">
      <c r="H955" s="4" t="s">
        <v>101</v>
      </c>
    </row>
    <row r="956">
      <c r="H956" s="4" t="s">
        <v>101</v>
      </c>
    </row>
    <row r="957">
      <c r="H957" s="4" t="s">
        <v>101</v>
      </c>
    </row>
    <row r="958">
      <c r="H958" s="4" t="s">
        <v>101</v>
      </c>
    </row>
    <row r="959">
      <c r="H959" s="4" t="s">
        <v>101</v>
      </c>
    </row>
    <row r="960">
      <c r="H960" s="4" t="s">
        <v>101</v>
      </c>
    </row>
    <row r="961">
      <c r="H961" s="4" t="s">
        <v>101</v>
      </c>
    </row>
    <row r="962">
      <c r="H962" s="4" t="s">
        <v>101</v>
      </c>
    </row>
    <row r="963">
      <c r="H963" s="4" t="s">
        <v>101</v>
      </c>
    </row>
    <row r="964">
      <c r="H964" s="4" t="s">
        <v>101</v>
      </c>
    </row>
    <row r="965">
      <c r="H965" s="4" t="s">
        <v>101</v>
      </c>
    </row>
    <row r="966">
      <c r="H966" s="4" t="s">
        <v>101</v>
      </c>
    </row>
    <row r="967">
      <c r="H967" s="4" t="s">
        <v>101</v>
      </c>
    </row>
    <row r="968">
      <c r="H968" s="4" t="s">
        <v>101</v>
      </c>
    </row>
    <row r="969">
      <c r="H969" s="4" t="s">
        <v>101</v>
      </c>
    </row>
    <row r="970">
      <c r="H970" s="4" t="s">
        <v>101</v>
      </c>
    </row>
    <row r="971">
      <c r="H971" s="4" t="s">
        <v>101</v>
      </c>
    </row>
    <row r="972">
      <c r="H972" s="4" t="s">
        <v>101</v>
      </c>
    </row>
    <row r="973">
      <c r="H973" s="4" t="s">
        <v>101</v>
      </c>
    </row>
    <row r="974">
      <c r="H974" s="4" t="s">
        <v>101</v>
      </c>
    </row>
    <row r="975">
      <c r="H975" s="4" t="s">
        <v>101</v>
      </c>
    </row>
    <row r="976">
      <c r="H976" s="4" t="s">
        <v>101</v>
      </c>
    </row>
    <row r="977">
      <c r="H977" s="4" t="s">
        <v>101</v>
      </c>
    </row>
    <row r="978">
      <c r="H978" s="4" t="s">
        <v>101</v>
      </c>
    </row>
    <row r="979">
      <c r="H979" s="4" t="s">
        <v>101</v>
      </c>
    </row>
    <row r="980">
      <c r="H980" s="4" t="s">
        <v>101</v>
      </c>
    </row>
    <row r="981">
      <c r="H981" s="4" t="s">
        <v>101</v>
      </c>
    </row>
    <row r="982">
      <c r="H982" s="4" t="s">
        <v>101</v>
      </c>
    </row>
    <row r="983">
      <c r="H983" s="4" t="s">
        <v>101</v>
      </c>
    </row>
    <row r="984">
      <c r="H984" s="4" t="s">
        <v>101</v>
      </c>
    </row>
    <row r="985">
      <c r="H985" s="4" t="s">
        <v>101</v>
      </c>
    </row>
    <row r="986">
      <c r="H986" s="4" t="s">
        <v>101</v>
      </c>
    </row>
    <row r="987">
      <c r="H987" s="4" t="s">
        <v>101</v>
      </c>
    </row>
    <row r="988">
      <c r="H988" s="4" t="s">
        <v>101</v>
      </c>
    </row>
    <row r="989">
      <c r="H989" s="4" t="s">
        <v>101</v>
      </c>
    </row>
    <row r="990">
      <c r="H990" s="4" t="s">
        <v>101</v>
      </c>
    </row>
    <row r="991">
      <c r="H991" s="4" t="s">
        <v>101</v>
      </c>
    </row>
    <row r="992">
      <c r="H992" s="4" t="s">
        <v>101</v>
      </c>
    </row>
    <row r="993">
      <c r="H993" s="4" t="s">
        <v>101</v>
      </c>
    </row>
    <row r="994">
      <c r="H994" s="4" t="s">
        <v>101</v>
      </c>
    </row>
    <row r="995">
      <c r="H995" s="4" t="s">
        <v>101</v>
      </c>
    </row>
    <row r="996">
      <c r="H996" s="4" t="s">
        <v>101</v>
      </c>
    </row>
    <row r="997">
      <c r="H997" s="4" t="s">
        <v>101</v>
      </c>
    </row>
    <row r="998">
      <c r="H998" s="4" t="s">
        <v>101</v>
      </c>
    </row>
    <row r="999">
      <c r="H999" s="4" t="s">
        <v>101</v>
      </c>
    </row>
    <row r="1000">
      <c r="H1000" s="4" t="s">
        <v>101</v>
      </c>
    </row>
    <row r="1001">
      <c r="H1001" s="4" t="s">
        <v>101</v>
      </c>
    </row>
  </sheetData>
  <autoFilter ref="$A$1:$D$1001">
    <sortState ref="A1:D1001">
      <sortCondition ref="A1:A1001"/>
    </sortState>
  </autoFilter>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sheetData>
    <row r="1">
      <c r="A1" s="164" t="s">
        <v>645</v>
      </c>
      <c r="B1" s="164" t="s">
        <v>5231</v>
      </c>
      <c r="C1" s="164" t="s">
        <v>5233</v>
      </c>
      <c r="D1" s="164" t="s">
        <v>5234</v>
      </c>
      <c r="E1" s="164" t="s">
        <v>5235</v>
      </c>
      <c r="F1" s="164" t="s">
        <v>5236</v>
      </c>
      <c r="G1" s="164" t="s">
        <v>5237</v>
      </c>
      <c r="H1" s="164" t="s">
        <v>5238</v>
      </c>
      <c r="I1" s="164" t="s">
        <v>5239</v>
      </c>
      <c r="J1" s="164" t="s">
        <v>5240</v>
      </c>
      <c r="K1" s="164" t="s">
        <v>5241</v>
      </c>
      <c r="L1" s="165"/>
      <c r="M1" s="165"/>
      <c r="N1" s="165"/>
      <c r="O1" s="165"/>
      <c r="P1" s="165"/>
      <c r="Q1" s="165"/>
      <c r="R1" s="165"/>
      <c r="S1" s="165"/>
      <c r="T1" s="165"/>
      <c r="U1" s="165"/>
      <c r="V1" s="165"/>
      <c r="W1" s="165"/>
      <c r="X1" s="165"/>
      <c r="Y1" s="165"/>
      <c r="Z1" s="165"/>
    </row>
    <row r="2">
      <c r="A2" s="166" t="s">
        <v>5021</v>
      </c>
      <c r="B2" s="166" t="str">
        <f>IFERROR(__xludf.DUMMYFUNCTION("REGEXEXTRACT(A2,""\d\d\d\d"")"),"2009")</f>
        <v>2009</v>
      </c>
      <c r="C2" s="166" t="s">
        <v>5243</v>
      </c>
      <c r="D2" s="166"/>
      <c r="E2" s="166"/>
      <c r="F2" s="166"/>
      <c r="G2" s="166"/>
      <c r="H2" s="166"/>
      <c r="I2" s="167"/>
      <c r="J2" s="166"/>
      <c r="K2" s="166"/>
      <c r="L2" s="165"/>
      <c r="M2" s="165"/>
      <c r="N2" s="165"/>
      <c r="O2" s="165"/>
      <c r="P2" s="165"/>
      <c r="Q2" s="165"/>
      <c r="R2" s="165"/>
      <c r="S2" s="165"/>
      <c r="T2" s="165"/>
      <c r="U2" s="165"/>
      <c r="V2" s="165"/>
      <c r="W2" s="165"/>
      <c r="X2" s="165"/>
      <c r="Y2" s="165"/>
      <c r="Z2" s="165"/>
    </row>
    <row r="3">
      <c r="A3" s="166" t="s">
        <v>5025</v>
      </c>
      <c r="B3" s="166" t="str">
        <f>IFERROR(__xludf.DUMMYFUNCTION("REGEXEXTRACT(A3,""\d\d\d\d"")"),"2004")</f>
        <v>2004</v>
      </c>
      <c r="C3" s="166" t="s">
        <v>5243</v>
      </c>
      <c r="D3" s="167"/>
      <c r="E3" s="166"/>
      <c r="F3" s="166"/>
      <c r="G3" s="166"/>
      <c r="H3" s="166"/>
      <c r="I3" s="167"/>
      <c r="J3" s="166"/>
      <c r="K3" s="166"/>
      <c r="L3" s="165"/>
      <c r="M3" s="165"/>
      <c r="N3" s="165"/>
      <c r="O3" s="165"/>
      <c r="P3" s="165"/>
      <c r="Q3" s="165"/>
      <c r="R3" s="165"/>
      <c r="S3" s="165"/>
      <c r="T3" s="165"/>
      <c r="U3" s="165"/>
      <c r="V3" s="165"/>
      <c r="W3" s="165"/>
      <c r="X3" s="165"/>
      <c r="Y3" s="165"/>
      <c r="Z3" s="165"/>
    </row>
    <row r="4">
      <c r="A4" s="168" t="s">
        <v>5028</v>
      </c>
      <c r="B4" s="166" t="str">
        <f>IFERROR(__xludf.DUMMYFUNCTION("REGEXEXTRACT(A4,""\d\d\d\d"")"),"2009")</f>
        <v>2009</v>
      </c>
      <c r="C4" s="166" t="s">
        <v>5243</v>
      </c>
      <c r="D4" s="165"/>
      <c r="E4" s="165"/>
      <c r="F4" s="165"/>
      <c r="G4" s="165"/>
      <c r="H4" s="165"/>
      <c r="I4" s="165"/>
      <c r="J4" s="165"/>
      <c r="K4" s="165"/>
      <c r="L4" s="165"/>
      <c r="M4" s="165"/>
      <c r="N4" s="165"/>
      <c r="O4" s="165"/>
      <c r="P4" s="165"/>
      <c r="Q4" s="165"/>
      <c r="R4" s="165"/>
      <c r="S4" s="165"/>
      <c r="T4" s="165"/>
      <c r="U4" s="165"/>
      <c r="V4" s="165"/>
      <c r="W4" s="165"/>
      <c r="X4" s="165"/>
      <c r="Y4" s="165"/>
      <c r="Z4" s="165"/>
    </row>
    <row r="5">
      <c r="A5" s="168" t="s">
        <v>5031</v>
      </c>
      <c r="B5" s="166" t="str">
        <f>IFERROR(__xludf.DUMMYFUNCTION("REGEXEXTRACT(A5,""\d\d\d\d"")"),"2016")</f>
        <v>2016</v>
      </c>
      <c r="C5" s="166" t="s">
        <v>5243</v>
      </c>
      <c r="D5" s="165"/>
      <c r="E5" s="165"/>
      <c r="F5" s="165"/>
      <c r="G5" s="165"/>
      <c r="H5" s="165"/>
      <c r="I5" s="165"/>
      <c r="J5" s="165"/>
      <c r="K5" s="165"/>
      <c r="L5" s="165"/>
      <c r="M5" s="165"/>
      <c r="N5" s="165"/>
      <c r="O5" s="165"/>
      <c r="P5" s="165"/>
      <c r="Q5" s="165"/>
      <c r="R5" s="165"/>
      <c r="S5" s="165"/>
      <c r="T5" s="165"/>
      <c r="U5" s="165"/>
      <c r="V5" s="165"/>
      <c r="W5" s="165"/>
      <c r="X5" s="165"/>
      <c r="Y5" s="165"/>
      <c r="Z5" s="165"/>
    </row>
    <row r="6">
      <c r="A6" s="168" t="s">
        <v>5034</v>
      </c>
      <c r="B6" s="166" t="str">
        <f>IFERROR(__xludf.DUMMYFUNCTION("REGEXEXTRACT(A6,""\d\d\d\d"")"),"2001")</f>
        <v>2001</v>
      </c>
      <c r="C6" s="166" t="s">
        <v>5243</v>
      </c>
      <c r="D6" s="165"/>
      <c r="E6" s="165"/>
      <c r="F6" s="165"/>
      <c r="G6" s="165"/>
      <c r="H6" s="165"/>
      <c r="I6" s="165"/>
      <c r="J6" s="165"/>
      <c r="K6" s="165"/>
      <c r="L6" s="165"/>
      <c r="M6" s="165"/>
      <c r="N6" s="165"/>
      <c r="O6" s="165"/>
      <c r="P6" s="165"/>
      <c r="Q6" s="165"/>
      <c r="R6" s="165"/>
      <c r="S6" s="165"/>
      <c r="T6" s="165"/>
      <c r="U6" s="165"/>
      <c r="V6" s="165"/>
      <c r="W6" s="165"/>
      <c r="X6" s="165"/>
      <c r="Y6" s="165"/>
      <c r="Z6" s="165"/>
    </row>
    <row r="7">
      <c r="A7" s="168" t="s">
        <v>5038</v>
      </c>
      <c r="B7" s="166" t="str">
        <f>IFERROR(__xludf.DUMMYFUNCTION("REGEXEXTRACT(A7,""\d\d\d\d"")"),"2023")</f>
        <v>2023</v>
      </c>
      <c r="C7" s="166" t="s">
        <v>5243</v>
      </c>
      <c r="D7" s="165"/>
      <c r="E7" s="165"/>
      <c r="F7" s="165"/>
      <c r="G7" s="165"/>
      <c r="H7" s="165"/>
      <c r="I7" s="165"/>
      <c r="J7" s="165"/>
      <c r="K7" s="165"/>
      <c r="L7" s="165"/>
      <c r="M7" s="165"/>
      <c r="N7" s="165"/>
      <c r="O7" s="165"/>
      <c r="P7" s="165"/>
      <c r="Q7" s="165"/>
      <c r="R7" s="165"/>
      <c r="S7" s="165"/>
      <c r="T7" s="165"/>
      <c r="U7" s="165"/>
      <c r="V7" s="165"/>
      <c r="W7" s="165"/>
      <c r="X7" s="165"/>
      <c r="Y7" s="165"/>
      <c r="Z7" s="165"/>
    </row>
    <row r="8">
      <c r="A8" s="168" t="s">
        <v>5040</v>
      </c>
      <c r="B8" s="166" t="str">
        <f>IFERROR(__xludf.DUMMYFUNCTION("REGEXEXTRACT(A8,""\d\d\d\d"")"),"2001")</f>
        <v>2001</v>
      </c>
      <c r="C8" s="166" t="s">
        <v>5243</v>
      </c>
      <c r="D8" s="165"/>
      <c r="E8" s="165"/>
      <c r="F8" s="165"/>
      <c r="G8" s="165"/>
      <c r="H8" s="165"/>
      <c r="I8" s="165"/>
      <c r="J8" s="165"/>
      <c r="K8" s="165"/>
      <c r="L8" s="165"/>
      <c r="M8" s="165"/>
      <c r="N8" s="165"/>
      <c r="O8" s="165"/>
      <c r="P8" s="165"/>
      <c r="Q8" s="165"/>
      <c r="R8" s="165"/>
      <c r="S8" s="165"/>
      <c r="T8" s="165"/>
      <c r="U8" s="165"/>
      <c r="V8" s="165"/>
      <c r="W8" s="165"/>
      <c r="X8" s="165"/>
      <c r="Y8" s="165"/>
      <c r="Z8" s="165"/>
    </row>
    <row r="9">
      <c r="A9" s="168" t="s">
        <v>5046</v>
      </c>
      <c r="B9" s="166" t="str">
        <f>IFERROR(__xludf.DUMMYFUNCTION("REGEXEXTRACT(A9,""\d\d\d\d"")"),"2014")</f>
        <v>2014</v>
      </c>
      <c r="C9" s="166" t="s">
        <v>5243</v>
      </c>
      <c r="D9" s="165"/>
      <c r="E9" s="165"/>
      <c r="F9" s="165"/>
      <c r="G9" s="165"/>
      <c r="H9" s="165"/>
      <c r="I9" s="165"/>
      <c r="J9" s="165"/>
      <c r="K9" s="165"/>
      <c r="L9" s="165"/>
      <c r="M9" s="165"/>
      <c r="N9" s="165"/>
      <c r="O9" s="165"/>
      <c r="P9" s="165"/>
      <c r="Q9" s="165"/>
      <c r="R9" s="165"/>
      <c r="S9" s="165"/>
      <c r="T9" s="165"/>
      <c r="U9" s="165"/>
      <c r="V9" s="165"/>
      <c r="W9" s="165"/>
      <c r="X9" s="165"/>
      <c r="Y9" s="165"/>
      <c r="Z9" s="165"/>
    </row>
    <row r="10">
      <c r="A10" s="168" t="s">
        <v>5049</v>
      </c>
      <c r="B10" s="166" t="str">
        <f>IFERROR(__xludf.DUMMYFUNCTION("REGEXEXTRACT(A10,""\d\d\d\d"")"),"2020")</f>
        <v>2020</v>
      </c>
      <c r="C10" s="166" t="s">
        <v>5243</v>
      </c>
      <c r="D10" s="165"/>
      <c r="E10" s="165"/>
      <c r="F10" s="165"/>
      <c r="G10" s="165"/>
      <c r="H10" s="165"/>
      <c r="I10" s="165"/>
      <c r="J10" s="165"/>
      <c r="K10" s="165"/>
      <c r="L10" s="165"/>
      <c r="M10" s="165"/>
      <c r="N10" s="165"/>
      <c r="O10" s="165"/>
      <c r="P10" s="165"/>
      <c r="Q10" s="165"/>
      <c r="R10" s="165"/>
      <c r="S10" s="165"/>
      <c r="T10" s="165"/>
      <c r="U10" s="165"/>
      <c r="V10" s="165"/>
      <c r="W10" s="165"/>
      <c r="X10" s="165"/>
      <c r="Y10" s="165"/>
      <c r="Z10" s="165"/>
    </row>
    <row r="11">
      <c r="A11" s="168" t="s">
        <v>5052</v>
      </c>
      <c r="B11" s="166" t="str">
        <f>IFERROR(__xludf.DUMMYFUNCTION("REGEXEXTRACT(A11,""\d\d\d\d"")"),"2002")</f>
        <v>2002</v>
      </c>
      <c r="C11" s="166" t="s">
        <v>5243</v>
      </c>
      <c r="D11" s="165"/>
      <c r="E11" s="165"/>
      <c r="F11" s="165"/>
      <c r="G11" s="165"/>
      <c r="H11" s="165"/>
      <c r="I11" s="165"/>
      <c r="J11" s="165"/>
      <c r="K11" s="165"/>
      <c r="L11" s="165"/>
      <c r="M11" s="165"/>
      <c r="N11" s="165"/>
      <c r="O11" s="165"/>
      <c r="P11" s="165"/>
      <c r="Q11" s="165"/>
      <c r="R11" s="165"/>
      <c r="S11" s="165"/>
      <c r="T11" s="165"/>
      <c r="U11" s="165"/>
      <c r="V11" s="165"/>
      <c r="W11" s="165"/>
      <c r="X11" s="165"/>
      <c r="Y11" s="165"/>
      <c r="Z11" s="165"/>
    </row>
    <row r="12">
      <c r="A12" s="168" t="s">
        <v>5055</v>
      </c>
      <c r="B12" s="166" t="str">
        <f>IFERROR(__xludf.DUMMYFUNCTION("REGEXEXTRACT(A12,""\d\d\d\d"")"),"2018")</f>
        <v>2018</v>
      </c>
      <c r="C12" s="166" t="s">
        <v>5243</v>
      </c>
      <c r="D12" s="165"/>
      <c r="E12" s="165"/>
      <c r="F12" s="165"/>
      <c r="G12" s="165"/>
      <c r="H12" s="165"/>
      <c r="I12" s="165"/>
      <c r="J12" s="165"/>
      <c r="K12" s="165"/>
      <c r="L12" s="165"/>
      <c r="M12" s="165"/>
      <c r="N12" s="165"/>
      <c r="O12" s="165"/>
      <c r="P12" s="165"/>
      <c r="Q12" s="165"/>
      <c r="R12" s="165"/>
      <c r="S12" s="165"/>
      <c r="T12" s="165"/>
      <c r="U12" s="165"/>
      <c r="V12" s="165"/>
      <c r="W12" s="165"/>
      <c r="X12" s="165"/>
      <c r="Y12" s="165"/>
      <c r="Z12" s="165"/>
    </row>
    <row r="13">
      <c r="A13" s="168" t="s">
        <v>5058</v>
      </c>
      <c r="B13" s="166" t="str">
        <f>IFERROR(__xludf.DUMMYFUNCTION("REGEXEXTRACT(A13,""\d\d\d\d"")"),"2016")</f>
        <v>2016</v>
      </c>
      <c r="C13" s="166" t="s">
        <v>5243</v>
      </c>
      <c r="D13" s="165"/>
      <c r="E13" s="165"/>
      <c r="F13" s="165"/>
      <c r="G13" s="165"/>
      <c r="H13" s="165"/>
      <c r="I13" s="165"/>
      <c r="J13" s="165"/>
      <c r="K13" s="165"/>
      <c r="L13" s="165"/>
      <c r="M13" s="165"/>
      <c r="N13" s="165"/>
      <c r="O13" s="165"/>
      <c r="P13" s="165"/>
      <c r="Q13" s="165"/>
      <c r="R13" s="165"/>
      <c r="S13" s="165"/>
      <c r="T13" s="165"/>
      <c r="U13" s="165"/>
      <c r="V13" s="165"/>
      <c r="W13" s="165"/>
      <c r="X13" s="165"/>
      <c r="Y13" s="165"/>
      <c r="Z13" s="165"/>
    </row>
    <row r="14">
      <c r="A14" s="168" t="s">
        <v>5061</v>
      </c>
      <c r="B14" s="166" t="str">
        <f>IFERROR(__xludf.DUMMYFUNCTION("REGEXEXTRACT(A14,""\d\d\d\d"")"),"2015")</f>
        <v>2015</v>
      </c>
      <c r="C14" s="166" t="s">
        <v>5243</v>
      </c>
      <c r="D14" s="165"/>
      <c r="E14" s="165"/>
      <c r="F14" s="165"/>
      <c r="G14" s="165"/>
      <c r="H14" s="165"/>
      <c r="I14" s="165"/>
      <c r="J14" s="165"/>
      <c r="K14" s="165"/>
      <c r="L14" s="165"/>
      <c r="M14" s="165"/>
      <c r="N14" s="165"/>
      <c r="O14" s="165"/>
      <c r="P14" s="165"/>
      <c r="Q14" s="165"/>
      <c r="R14" s="165"/>
      <c r="S14" s="165"/>
      <c r="T14" s="165"/>
      <c r="U14" s="165"/>
      <c r="V14" s="165"/>
      <c r="W14" s="165"/>
      <c r="X14" s="165"/>
      <c r="Y14" s="165"/>
      <c r="Z14" s="165"/>
    </row>
    <row r="15">
      <c r="A15" s="168" t="s">
        <v>5066</v>
      </c>
      <c r="B15" s="166" t="str">
        <f>IFERROR(__xludf.DUMMYFUNCTION("REGEXEXTRACT(A15,""\d\d\d\d"")"),"2025")</f>
        <v>2025</v>
      </c>
      <c r="C15" s="166" t="s">
        <v>5243</v>
      </c>
      <c r="D15" s="165"/>
      <c r="E15" s="165"/>
      <c r="F15" s="165"/>
      <c r="G15" s="165"/>
      <c r="H15" s="165"/>
      <c r="I15" s="165"/>
      <c r="J15" s="165"/>
      <c r="K15" s="165"/>
      <c r="L15" s="165"/>
      <c r="M15" s="165"/>
      <c r="N15" s="165"/>
      <c r="O15" s="165"/>
      <c r="P15" s="165"/>
      <c r="Q15" s="165"/>
      <c r="R15" s="165"/>
      <c r="S15" s="165"/>
      <c r="T15" s="165"/>
      <c r="U15" s="165"/>
      <c r="V15" s="165"/>
      <c r="W15" s="165"/>
      <c r="X15" s="165"/>
      <c r="Y15" s="165"/>
      <c r="Z15" s="165"/>
    </row>
    <row r="16">
      <c r="A16" s="168" t="s">
        <v>5072</v>
      </c>
      <c r="B16" s="166" t="str">
        <f>IFERROR(__xludf.DUMMYFUNCTION("REGEXEXTRACT(A16,""\d\d\d\d"")"),"2024")</f>
        <v>2024</v>
      </c>
      <c r="C16" s="166" t="s">
        <v>5243</v>
      </c>
      <c r="D16" s="165"/>
      <c r="E16" s="165"/>
      <c r="F16" s="165"/>
      <c r="G16" s="165"/>
      <c r="H16" s="165"/>
      <c r="I16" s="165"/>
      <c r="J16" s="165"/>
      <c r="K16" s="165"/>
      <c r="L16" s="165"/>
      <c r="M16" s="165"/>
      <c r="N16" s="165"/>
      <c r="O16" s="165"/>
      <c r="P16" s="165"/>
      <c r="Q16" s="165"/>
      <c r="R16" s="165"/>
      <c r="S16" s="165"/>
      <c r="T16" s="165"/>
      <c r="U16" s="165"/>
      <c r="V16" s="165"/>
      <c r="W16" s="165"/>
      <c r="X16" s="165"/>
      <c r="Y16" s="165"/>
      <c r="Z16" s="165"/>
    </row>
    <row r="17">
      <c r="A17" s="168" t="s">
        <v>5075</v>
      </c>
      <c r="B17" s="166" t="str">
        <f>IFERROR(__xludf.DUMMYFUNCTION("REGEXEXTRACT(A17,""\d\d\d\d"")"),"2025")</f>
        <v>2025</v>
      </c>
      <c r="C17" s="166" t="s">
        <v>5243</v>
      </c>
      <c r="D17" s="165"/>
      <c r="E17" s="165"/>
      <c r="F17" s="165"/>
      <c r="G17" s="165"/>
      <c r="H17" s="165"/>
      <c r="I17" s="165"/>
      <c r="J17" s="165"/>
      <c r="K17" s="165"/>
      <c r="L17" s="165"/>
      <c r="M17" s="165"/>
      <c r="N17" s="165"/>
      <c r="O17" s="165"/>
      <c r="P17" s="165"/>
      <c r="Q17" s="165"/>
      <c r="R17" s="165"/>
      <c r="S17" s="165"/>
      <c r="T17" s="165"/>
      <c r="U17" s="165"/>
      <c r="V17" s="165"/>
      <c r="W17" s="165"/>
      <c r="X17" s="165"/>
      <c r="Y17" s="165"/>
      <c r="Z17" s="165"/>
    </row>
    <row r="18">
      <c r="A18" s="168" t="s">
        <v>5085</v>
      </c>
      <c r="B18" s="166" t="str">
        <f>IFERROR(__xludf.DUMMYFUNCTION("REGEXEXTRACT(A18,""\d\d\d\d"")"),"2022")</f>
        <v>2022</v>
      </c>
      <c r="C18" s="166" t="s">
        <v>5243</v>
      </c>
      <c r="D18" s="165"/>
      <c r="E18" s="165"/>
      <c r="F18" s="165"/>
      <c r="G18" s="165"/>
      <c r="H18" s="165"/>
      <c r="I18" s="165"/>
      <c r="J18" s="165"/>
      <c r="K18" s="165"/>
      <c r="L18" s="165"/>
      <c r="M18" s="165"/>
      <c r="N18" s="165"/>
      <c r="O18" s="165"/>
      <c r="P18" s="165"/>
      <c r="Q18" s="165"/>
      <c r="R18" s="165"/>
      <c r="S18" s="165"/>
      <c r="T18" s="165"/>
      <c r="U18" s="165"/>
      <c r="V18" s="165"/>
      <c r="W18" s="165"/>
      <c r="X18" s="165"/>
      <c r="Y18" s="165"/>
      <c r="Z18" s="165"/>
    </row>
    <row r="19">
      <c r="A19" s="168" t="s">
        <v>5089</v>
      </c>
      <c r="B19" s="166" t="str">
        <f>IFERROR(__xludf.DUMMYFUNCTION("REGEXEXTRACT(A19,""\d\d\d\d"")"),"2003")</f>
        <v>2003</v>
      </c>
      <c r="C19" s="166" t="s">
        <v>5243</v>
      </c>
      <c r="D19" s="165"/>
      <c r="E19" s="165"/>
      <c r="F19" s="165"/>
      <c r="G19" s="165"/>
      <c r="H19" s="165"/>
      <c r="I19" s="165"/>
      <c r="J19" s="165"/>
      <c r="K19" s="165"/>
      <c r="L19" s="165"/>
      <c r="M19" s="165"/>
      <c r="N19" s="165"/>
      <c r="O19" s="165"/>
      <c r="P19" s="165"/>
      <c r="Q19" s="165"/>
      <c r="R19" s="165"/>
      <c r="S19" s="165"/>
      <c r="T19" s="165"/>
      <c r="U19" s="165"/>
      <c r="V19" s="165"/>
      <c r="W19" s="165"/>
      <c r="X19" s="165"/>
      <c r="Y19" s="165"/>
      <c r="Z19" s="165"/>
    </row>
    <row r="20">
      <c r="A20" s="168" t="s">
        <v>5095</v>
      </c>
      <c r="B20" s="166" t="str">
        <f>IFERROR(__xludf.DUMMYFUNCTION("REGEXEXTRACT(A20,""\d\d\d\d"")"),"2006")</f>
        <v>2006</v>
      </c>
      <c r="C20" s="166" t="s">
        <v>5243</v>
      </c>
      <c r="D20" s="165"/>
      <c r="E20" s="165"/>
      <c r="F20" s="165"/>
      <c r="G20" s="165"/>
      <c r="H20" s="165"/>
      <c r="I20" s="165"/>
      <c r="J20" s="165"/>
      <c r="K20" s="165"/>
      <c r="L20" s="165"/>
      <c r="M20" s="165"/>
      <c r="N20" s="165"/>
      <c r="O20" s="165"/>
      <c r="P20" s="165"/>
      <c r="Q20" s="165"/>
      <c r="R20" s="165"/>
      <c r="S20" s="165"/>
      <c r="T20" s="165"/>
      <c r="U20" s="165"/>
      <c r="V20" s="165"/>
      <c r="W20" s="165"/>
      <c r="X20" s="165"/>
      <c r="Y20" s="165"/>
      <c r="Z20" s="165"/>
    </row>
    <row r="21">
      <c r="A21" s="168" t="s">
        <v>5098</v>
      </c>
      <c r="B21" s="166" t="str">
        <f>IFERROR(__xludf.DUMMYFUNCTION("REGEXEXTRACT(A21,""\d\d\d\d"")"),"2003")</f>
        <v>2003</v>
      </c>
      <c r="C21" s="166" t="s">
        <v>5243</v>
      </c>
      <c r="D21" s="165"/>
      <c r="E21" s="165"/>
      <c r="F21" s="165"/>
      <c r="G21" s="165"/>
      <c r="H21" s="165"/>
      <c r="I21" s="165"/>
      <c r="J21" s="165"/>
      <c r="K21" s="165"/>
      <c r="L21" s="165"/>
      <c r="M21" s="165"/>
      <c r="N21" s="165"/>
      <c r="O21" s="165"/>
      <c r="P21" s="165"/>
      <c r="Q21" s="165"/>
      <c r="R21" s="165"/>
      <c r="S21" s="165"/>
      <c r="T21" s="165"/>
      <c r="U21" s="165"/>
      <c r="V21" s="165"/>
      <c r="W21" s="165"/>
      <c r="X21" s="165"/>
      <c r="Y21" s="165"/>
      <c r="Z21" s="165"/>
    </row>
    <row r="22">
      <c r="A22" s="168" t="s">
        <v>5103</v>
      </c>
      <c r="B22" s="166" t="str">
        <f>IFERROR(__xludf.DUMMYFUNCTION("REGEXEXTRACT(A22,""\d\d\d\d"")"),"2007")</f>
        <v>2007</v>
      </c>
      <c r="C22" s="166" t="s">
        <v>5243</v>
      </c>
      <c r="D22" s="165"/>
      <c r="E22" s="165"/>
      <c r="F22" s="165"/>
      <c r="G22" s="165"/>
      <c r="H22" s="165"/>
      <c r="I22" s="165"/>
      <c r="J22" s="165"/>
      <c r="K22" s="165"/>
      <c r="L22" s="165"/>
      <c r="M22" s="165"/>
      <c r="N22" s="165"/>
      <c r="O22" s="165"/>
      <c r="P22" s="165"/>
      <c r="Q22" s="165"/>
      <c r="R22" s="165"/>
      <c r="S22" s="165"/>
      <c r="T22" s="165"/>
      <c r="U22" s="165"/>
      <c r="V22" s="165"/>
      <c r="W22" s="165"/>
      <c r="X22" s="165"/>
      <c r="Y22" s="165"/>
      <c r="Z22" s="165"/>
    </row>
    <row r="23">
      <c r="A23" s="168" t="s">
        <v>5109</v>
      </c>
      <c r="B23" s="166" t="str">
        <f>IFERROR(__xludf.DUMMYFUNCTION("REGEXEXTRACT(A23,""\d\d\d\d"")"),"2013")</f>
        <v>2013</v>
      </c>
      <c r="C23" s="166" t="s">
        <v>5243</v>
      </c>
      <c r="D23" s="165"/>
      <c r="E23" s="165"/>
      <c r="F23" s="165"/>
      <c r="G23" s="165"/>
      <c r="H23" s="165"/>
      <c r="I23" s="165"/>
      <c r="J23" s="165"/>
      <c r="K23" s="165"/>
      <c r="L23" s="165"/>
      <c r="M23" s="165"/>
      <c r="N23" s="165"/>
      <c r="O23" s="165"/>
      <c r="P23" s="165"/>
      <c r="Q23" s="165"/>
      <c r="R23" s="165"/>
      <c r="S23" s="165"/>
      <c r="T23" s="165"/>
      <c r="U23" s="165"/>
      <c r="V23" s="165"/>
      <c r="W23" s="165"/>
      <c r="X23" s="165"/>
      <c r="Y23" s="165"/>
      <c r="Z23" s="165"/>
    </row>
    <row r="24">
      <c r="A24" s="168" t="s">
        <v>5116</v>
      </c>
      <c r="B24" s="166" t="str">
        <f>IFERROR(__xludf.DUMMYFUNCTION("REGEXEXTRACT(A24,""\d\d\d\d"")"),"2006")</f>
        <v>2006</v>
      </c>
      <c r="C24" s="166" t="s">
        <v>5243</v>
      </c>
      <c r="D24" s="165"/>
      <c r="E24" s="165"/>
      <c r="F24" s="165"/>
      <c r="G24" s="165"/>
      <c r="H24" s="165"/>
      <c r="I24" s="165"/>
      <c r="J24" s="165"/>
      <c r="K24" s="165"/>
      <c r="L24" s="165"/>
      <c r="M24" s="165"/>
      <c r="N24" s="165"/>
      <c r="O24" s="165"/>
      <c r="P24" s="165"/>
      <c r="Q24" s="165"/>
      <c r="R24" s="165"/>
      <c r="S24" s="165"/>
      <c r="T24" s="165"/>
      <c r="U24" s="165"/>
      <c r="V24" s="165"/>
      <c r="W24" s="165"/>
      <c r="X24" s="165"/>
      <c r="Y24" s="165"/>
      <c r="Z24" s="165"/>
    </row>
    <row r="25">
      <c r="A25" s="168" t="s">
        <v>5119</v>
      </c>
      <c r="B25" s="166" t="str">
        <f>IFERROR(__xludf.DUMMYFUNCTION("REGEXEXTRACT(A25,""\d\d\d\d"")"),"2021")</f>
        <v>2021</v>
      </c>
      <c r="C25" s="166" t="s">
        <v>5243</v>
      </c>
      <c r="D25" s="165"/>
      <c r="E25" s="165"/>
      <c r="F25" s="165"/>
      <c r="G25" s="165"/>
      <c r="H25" s="165"/>
      <c r="I25" s="165"/>
      <c r="J25" s="165"/>
      <c r="K25" s="165"/>
      <c r="L25" s="165"/>
      <c r="M25" s="165"/>
      <c r="N25" s="165"/>
      <c r="O25" s="165"/>
      <c r="P25" s="165"/>
      <c r="Q25" s="165"/>
      <c r="R25" s="165"/>
      <c r="S25" s="165"/>
      <c r="T25" s="165"/>
      <c r="U25" s="165"/>
      <c r="V25" s="165"/>
      <c r="W25" s="165"/>
      <c r="X25" s="165"/>
      <c r="Y25" s="165"/>
      <c r="Z25" s="165"/>
    </row>
    <row r="26">
      <c r="A26" s="168" t="s">
        <v>5123</v>
      </c>
      <c r="B26" s="166" t="str">
        <f>IFERROR(__xludf.DUMMYFUNCTION("REGEXEXTRACT(A26,""\d\d\d\d"")"),"2006")</f>
        <v>2006</v>
      </c>
      <c r="C26" s="166" t="s">
        <v>5243</v>
      </c>
      <c r="D26" s="165"/>
      <c r="E26" s="165"/>
      <c r="F26" s="165"/>
      <c r="G26" s="165"/>
      <c r="H26" s="165"/>
      <c r="I26" s="165"/>
      <c r="J26" s="165"/>
      <c r="K26" s="165"/>
      <c r="L26" s="165"/>
      <c r="M26" s="165"/>
      <c r="N26" s="165"/>
      <c r="O26" s="165"/>
      <c r="P26" s="165"/>
      <c r="Q26" s="165"/>
      <c r="R26" s="165"/>
      <c r="S26" s="165"/>
      <c r="T26" s="165"/>
      <c r="U26" s="165"/>
      <c r="V26" s="165"/>
      <c r="W26" s="165"/>
      <c r="X26" s="165"/>
      <c r="Y26" s="165"/>
      <c r="Z26" s="165"/>
    </row>
    <row r="27">
      <c r="A27" s="168" t="s">
        <v>5126</v>
      </c>
      <c r="B27" s="166" t="str">
        <f>IFERROR(__xludf.DUMMYFUNCTION("REGEXEXTRACT(A27,""\d\d\d\d"")"),"2010")</f>
        <v>2010</v>
      </c>
      <c r="C27" s="166" t="s">
        <v>5243</v>
      </c>
      <c r="D27" s="165"/>
      <c r="E27" s="165"/>
      <c r="F27" s="165"/>
      <c r="G27" s="165"/>
      <c r="H27" s="165"/>
      <c r="I27" s="165"/>
      <c r="J27" s="165"/>
      <c r="K27" s="165"/>
      <c r="L27" s="165"/>
      <c r="M27" s="165"/>
      <c r="N27" s="165"/>
      <c r="O27" s="165"/>
      <c r="P27" s="165"/>
      <c r="Q27" s="165"/>
      <c r="R27" s="165"/>
      <c r="S27" s="165"/>
      <c r="T27" s="165"/>
      <c r="U27" s="165"/>
      <c r="V27" s="165"/>
      <c r="W27" s="165"/>
      <c r="X27" s="165"/>
      <c r="Y27" s="165"/>
      <c r="Z27" s="165"/>
    </row>
    <row r="28">
      <c r="A28" s="168" t="s">
        <v>5129</v>
      </c>
      <c r="B28" s="166" t="str">
        <f>IFERROR(__xludf.DUMMYFUNCTION("REGEXEXTRACT(A28,""\d\d\d\d"")"),"2010")</f>
        <v>2010</v>
      </c>
      <c r="C28" s="166" t="s">
        <v>5243</v>
      </c>
      <c r="D28" s="165"/>
      <c r="E28" s="165"/>
      <c r="F28" s="165"/>
      <c r="G28" s="165"/>
      <c r="H28" s="165"/>
      <c r="I28" s="165"/>
      <c r="J28" s="165"/>
      <c r="K28" s="165"/>
      <c r="L28" s="165"/>
      <c r="M28" s="165"/>
      <c r="N28" s="165"/>
      <c r="O28" s="165"/>
      <c r="P28" s="165"/>
      <c r="Q28" s="165"/>
      <c r="R28" s="165"/>
      <c r="S28" s="165"/>
      <c r="T28" s="165"/>
      <c r="U28" s="165"/>
      <c r="V28" s="165"/>
      <c r="W28" s="165"/>
      <c r="X28" s="165"/>
      <c r="Y28" s="165"/>
      <c r="Z28" s="165"/>
    </row>
    <row r="29">
      <c r="A29" s="168" t="s">
        <v>5134</v>
      </c>
      <c r="B29" s="166" t="str">
        <f>IFERROR(__xludf.DUMMYFUNCTION("REGEXEXTRACT(A29,""\d\d\d\d"")"),"2022")</f>
        <v>2022</v>
      </c>
      <c r="C29" s="166" t="s">
        <v>5243</v>
      </c>
      <c r="D29" s="165"/>
      <c r="E29" s="165"/>
      <c r="F29" s="165"/>
      <c r="G29" s="165"/>
      <c r="H29" s="165"/>
      <c r="I29" s="165"/>
      <c r="J29" s="165"/>
      <c r="K29" s="165"/>
      <c r="L29" s="165"/>
      <c r="M29" s="165"/>
      <c r="N29" s="165"/>
      <c r="O29" s="165"/>
      <c r="P29" s="165"/>
      <c r="Q29" s="165"/>
      <c r="R29" s="165"/>
      <c r="S29" s="165"/>
      <c r="T29" s="165"/>
      <c r="U29" s="165"/>
      <c r="V29" s="165"/>
      <c r="W29" s="165"/>
      <c r="X29" s="165"/>
      <c r="Y29" s="165"/>
      <c r="Z29" s="165"/>
    </row>
    <row r="30">
      <c r="A30" s="168" t="s">
        <v>5137</v>
      </c>
      <c r="B30" s="166" t="str">
        <f>IFERROR(__xludf.DUMMYFUNCTION("REGEXEXTRACT(A30,""\d\d\d\d"")"),"2005")</f>
        <v>2005</v>
      </c>
      <c r="C30" s="166" t="s">
        <v>5243</v>
      </c>
      <c r="D30" s="165"/>
      <c r="E30" s="165"/>
      <c r="F30" s="165"/>
      <c r="G30" s="165"/>
      <c r="H30" s="165"/>
      <c r="I30" s="165"/>
      <c r="J30" s="165"/>
      <c r="K30" s="165"/>
      <c r="L30" s="165"/>
      <c r="M30" s="165"/>
      <c r="N30" s="165"/>
      <c r="O30" s="165"/>
      <c r="P30" s="165"/>
      <c r="Q30" s="165"/>
      <c r="R30" s="165"/>
      <c r="S30" s="165"/>
      <c r="T30" s="165"/>
      <c r="U30" s="165"/>
      <c r="V30" s="165"/>
      <c r="W30" s="165"/>
      <c r="X30" s="165"/>
      <c r="Y30" s="165"/>
      <c r="Z30" s="165"/>
    </row>
    <row r="31">
      <c r="A31" s="168" t="s">
        <v>5140</v>
      </c>
      <c r="B31" s="166" t="str">
        <f>IFERROR(__xludf.DUMMYFUNCTION("REGEXEXTRACT(A31,""\d\d\d\d"")"),"2017")</f>
        <v>2017</v>
      </c>
      <c r="C31" s="166" t="s">
        <v>5243</v>
      </c>
      <c r="D31" s="165"/>
      <c r="E31" s="165"/>
      <c r="F31" s="165"/>
      <c r="G31" s="165"/>
      <c r="H31" s="165"/>
      <c r="I31" s="165"/>
      <c r="J31" s="165"/>
      <c r="K31" s="165"/>
      <c r="L31" s="165"/>
      <c r="M31" s="165"/>
      <c r="N31" s="165"/>
      <c r="O31" s="165"/>
      <c r="P31" s="165"/>
      <c r="Q31" s="165"/>
      <c r="R31" s="165"/>
      <c r="S31" s="165"/>
      <c r="T31" s="165"/>
      <c r="U31" s="165"/>
      <c r="V31" s="165"/>
      <c r="W31" s="165"/>
      <c r="X31" s="165"/>
      <c r="Y31" s="165"/>
      <c r="Z31" s="165"/>
    </row>
    <row r="32">
      <c r="A32" s="168" t="s">
        <v>5152</v>
      </c>
      <c r="B32" s="166" t="str">
        <f>IFERROR(__xludf.DUMMYFUNCTION("REGEXEXTRACT(A32,""\d\d\d\d"")"),"2003")</f>
        <v>2003</v>
      </c>
      <c r="C32" s="166" t="s">
        <v>5243</v>
      </c>
      <c r="D32" s="165"/>
      <c r="E32" s="165"/>
      <c r="F32" s="165"/>
      <c r="G32" s="165"/>
      <c r="H32" s="165"/>
      <c r="I32" s="165"/>
      <c r="J32" s="165"/>
      <c r="K32" s="165"/>
      <c r="L32" s="165"/>
      <c r="M32" s="165"/>
      <c r="N32" s="165"/>
      <c r="O32" s="165"/>
      <c r="P32" s="165"/>
      <c r="Q32" s="165"/>
      <c r="R32" s="165"/>
      <c r="S32" s="165"/>
      <c r="T32" s="165"/>
      <c r="U32" s="165"/>
      <c r="V32" s="165"/>
      <c r="W32" s="165"/>
      <c r="X32" s="165"/>
      <c r="Y32" s="165"/>
      <c r="Z32" s="165"/>
    </row>
    <row r="33">
      <c r="A33" s="168" t="s">
        <v>5163</v>
      </c>
      <c r="B33" s="166" t="str">
        <f>IFERROR(__xludf.DUMMYFUNCTION("REGEXEXTRACT(A33,""\d\d\d\d"")"),"2015")</f>
        <v>2015</v>
      </c>
      <c r="C33" s="166" t="s">
        <v>5243</v>
      </c>
      <c r="D33" s="165"/>
      <c r="E33" s="165"/>
      <c r="F33" s="165"/>
      <c r="G33" s="165"/>
      <c r="H33" s="165"/>
      <c r="I33" s="165"/>
      <c r="J33" s="165"/>
      <c r="K33" s="165"/>
      <c r="L33" s="165"/>
      <c r="M33" s="165"/>
      <c r="N33" s="165"/>
      <c r="O33" s="165"/>
      <c r="P33" s="165"/>
      <c r="Q33" s="165"/>
      <c r="R33" s="165"/>
      <c r="S33" s="165"/>
      <c r="T33" s="165"/>
      <c r="U33" s="165"/>
      <c r="V33" s="165"/>
      <c r="W33" s="165"/>
      <c r="X33" s="165"/>
      <c r="Y33" s="165"/>
      <c r="Z33" s="165"/>
    </row>
    <row r="34">
      <c r="A34" s="168" t="s">
        <v>5169</v>
      </c>
      <c r="B34" s="166" t="str">
        <f>IFERROR(__xludf.DUMMYFUNCTION("REGEXEXTRACT(A34,""\d\d\d\d"")"),"2022")</f>
        <v>2022</v>
      </c>
      <c r="C34" s="166" t="s">
        <v>5243</v>
      </c>
      <c r="D34" s="165"/>
      <c r="E34" s="165"/>
      <c r="F34" s="165"/>
      <c r="G34" s="165"/>
      <c r="H34" s="165"/>
      <c r="I34" s="165"/>
      <c r="J34" s="165"/>
      <c r="K34" s="165"/>
      <c r="L34" s="165"/>
      <c r="M34" s="165"/>
      <c r="N34" s="165"/>
      <c r="O34" s="165"/>
      <c r="P34" s="165"/>
      <c r="Q34" s="165"/>
      <c r="R34" s="165"/>
      <c r="S34" s="165"/>
      <c r="T34" s="165"/>
      <c r="U34" s="165"/>
      <c r="V34" s="165"/>
      <c r="W34" s="165"/>
      <c r="X34" s="165"/>
      <c r="Y34" s="165"/>
      <c r="Z34" s="165"/>
    </row>
    <row r="35">
      <c r="A35" s="168" t="s">
        <v>5174</v>
      </c>
      <c r="B35" s="166" t="str">
        <f>IFERROR(__xludf.DUMMYFUNCTION("REGEXEXTRACT(A35,""\d\d\d\d"")"),"2016")</f>
        <v>2016</v>
      </c>
      <c r="C35" s="166" t="s">
        <v>5243</v>
      </c>
      <c r="D35" s="165"/>
      <c r="E35" s="165"/>
      <c r="F35" s="165"/>
      <c r="G35" s="165"/>
      <c r="H35" s="165"/>
      <c r="I35" s="165"/>
      <c r="J35" s="165"/>
      <c r="K35" s="165"/>
      <c r="L35" s="165"/>
      <c r="M35" s="165"/>
      <c r="N35" s="165"/>
      <c r="O35" s="165"/>
      <c r="P35" s="165"/>
      <c r="Q35" s="165"/>
      <c r="R35" s="165"/>
      <c r="S35" s="165"/>
      <c r="T35" s="165"/>
      <c r="U35" s="165"/>
      <c r="V35" s="165"/>
      <c r="W35" s="165"/>
      <c r="X35" s="165"/>
      <c r="Y35" s="165"/>
      <c r="Z35" s="165"/>
    </row>
    <row r="36">
      <c r="A36" s="168" t="s">
        <v>5178</v>
      </c>
      <c r="B36" s="166" t="str">
        <f>IFERROR(__xludf.DUMMYFUNCTION("REGEXEXTRACT(A36,""\d\d\d\d"")"),"2009")</f>
        <v>2009</v>
      </c>
      <c r="C36" s="166" t="s">
        <v>5243</v>
      </c>
      <c r="D36" s="165"/>
      <c r="E36" s="165"/>
      <c r="F36" s="165"/>
      <c r="G36" s="165"/>
      <c r="H36" s="165"/>
      <c r="I36" s="165"/>
      <c r="J36" s="165"/>
      <c r="K36" s="165"/>
      <c r="L36" s="165"/>
      <c r="M36" s="165"/>
      <c r="N36" s="165"/>
      <c r="O36" s="165"/>
      <c r="P36" s="165"/>
      <c r="Q36" s="165"/>
      <c r="R36" s="165"/>
      <c r="S36" s="165"/>
      <c r="T36" s="165"/>
      <c r="U36" s="165"/>
      <c r="V36" s="165"/>
      <c r="W36" s="165"/>
      <c r="X36" s="165"/>
      <c r="Y36" s="165"/>
      <c r="Z36" s="165"/>
    </row>
    <row r="37">
      <c r="A37" s="168" t="s">
        <v>5179</v>
      </c>
      <c r="B37" s="166" t="str">
        <f>IFERROR(__xludf.DUMMYFUNCTION("REGEXEXTRACT(A37,""\d\d\d\d"")"),"2012")</f>
        <v>2012</v>
      </c>
      <c r="C37" s="166" t="s">
        <v>5243</v>
      </c>
      <c r="D37" s="165"/>
      <c r="E37" s="165"/>
      <c r="F37" s="165"/>
      <c r="G37" s="165"/>
      <c r="H37" s="165"/>
      <c r="I37" s="165"/>
      <c r="J37" s="165"/>
      <c r="K37" s="165"/>
      <c r="L37" s="165"/>
      <c r="M37" s="165"/>
      <c r="N37" s="165"/>
      <c r="O37" s="165"/>
      <c r="P37" s="165"/>
      <c r="Q37" s="165"/>
      <c r="R37" s="165"/>
      <c r="S37" s="165"/>
      <c r="T37" s="165"/>
      <c r="U37" s="165"/>
      <c r="V37" s="165"/>
      <c r="W37" s="165"/>
      <c r="X37" s="165"/>
      <c r="Y37" s="165"/>
      <c r="Z37" s="165"/>
    </row>
    <row r="38">
      <c r="A38" s="168" t="s">
        <v>5180</v>
      </c>
      <c r="B38" s="166" t="str">
        <f>IFERROR(__xludf.DUMMYFUNCTION("REGEXEXTRACT(A38,""\d\d\d\d"")"),"2005")</f>
        <v>2005</v>
      </c>
      <c r="C38" s="166" t="s">
        <v>5243</v>
      </c>
      <c r="D38" s="165"/>
      <c r="E38" s="165"/>
      <c r="F38" s="165"/>
      <c r="G38" s="165"/>
      <c r="H38" s="165"/>
      <c r="I38" s="165"/>
      <c r="J38" s="165"/>
      <c r="K38" s="165"/>
      <c r="L38" s="165"/>
      <c r="M38" s="165"/>
      <c r="N38" s="165"/>
      <c r="O38" s="165"/>
      <c r="P38" s="165"/>
      <c r="Q38" s="165"/>
      <c r="R38" s="165"/>
      <c r="S38" s="165"/>
      <c r="T38" s="165"/>
      <c r="U38" s="165"/>
      <c r="V38" s="165"/>
      <c r="W38" s="165"/>
      <c r="X38" s="165"/>
      <c r="Y38" s="165"/>
      <c r="Z38" s="165"/>
    </row>
    <row r="39">
      <c r="A39" s="168" t="s">
        <v>5181</v>
      </c>
      <c r="B39" s="166" t="str">
        <f>IFERROR(__xludf.DUMMYFUNCTION("REGEXEXTRACT(A39,""\d\d\d\d"")"),"2014")</f>
        <v>2014</v>
      </c>
      <c r="C39" s="166" t="s">
        <v>5243</v>
      </c>
      <c r="D39" s="165"/>
      <c r="E39" s="165"/>
      <c r="F39" s="165"/>
      <c r="G39" s="165"/>
      <c r="H39" s="165"/>
      <c r="I39" s="165"/>
      <c r="J39" s="165"/>
      <c r="K39" s="165"/>
      <c r="L39" s="165"/>
      <c r="M39" s="165"/>
      <c r="N39" s="165"/>
      <c r="O39" s="165"/>
      <c r="P39" s="165"/>
      <c r="Q39" s="165"/>
      <c r="R39" s="165"/>
      <c r="S39" s="165"/>
      <c r="T39" s="165"/>
      <c r="U39" s="165"/>
      <c r="V39" s="165"/>
      <c r="W39" s="165"/>
      <c r="X39" s="165"/>
      <c r="Y39" s="165"/>
      <c r="Z39" s="165"/>
    </row>
    <row r="40">
      <c r="A40" s="168" t="s">
        <v>5184</v>
      </c>
      <c r="B40" s="166" t="str">
        <f>IFERROR(__xludf.DUMMYFUNCTION("REGEXEXTRACT(A40,""\d\d\d\d"")"),"2015")</f>
        <v>2015</v>
      </c>
      <c r="C40" s="166" t="s">
        <v>5243</v>
      </c>
      <c r="D40" s="165"/>
      <c r="E40" s="165"/>
      <c r="F40" s="165"/>
      <c r="G40" s="165"/>
      <c r="H40" s="165"/>
      <c r="I40" s="165"/>
      <c r="J40" s="165"/>
      <c r="K40" s="165"/>
      <c r="L40" s="165"/>
      <c r="M40" s="165"/>
      <c r="N40" s="165"/>
      <c r="O40" s="165"/>
      <c r="P40" s="165"/>
      <c r="Q40" s="165"/>
      <c r="R40" s="165"/>
      <c r="S40" s="165"/>
      <c r="T40" s="165"/>
      <c r="U40" s="165"/>
      <c r="V40" s="165"/>
      <c r="W40" s="165"/>
      <c r="X40" s="165"/>
      <c r="Y40" s="165"/>
      <c r="Z40" s="165"/>
    </row>
    <row r="41">
      <c r="A41" s="168" t="s">
        <v>5185</v>
      </c>
      <c r="B41" s="166" t="str">
        <f>IFERROR(__xludf.DUMMYFUNCTION("REGEXEXTRACT(A41,""\d\d\d\d"")"),"2007")</f>
        <v>2007</v>
      </c>
      <c r="C41" s="166" t="s">
        <v>5243</v>
      </c>
      <c r="D41" s="165"/>
      <c r="E41" s="165"/>
      <c r="F41" s="165"/>
      <c r="G41" s="165"/>
      <c r="H41" s="165"/>
      <c r="I41" s="165"/>
      <c r="J41" s="165"/>
      <c r="K41" s="165"/>
      <c r="L41" s="165"/>
      <c r="M41" s="165"/>
      <c r="N41" s="165"/>
      <c r="O41" s="165"/>
      <c r="P41" s="165"/>
      <c r="Q41" s="165"/>
      <c r="R41" s="165"/>
      <c r="S41" s="165"/>
      <c r="T41" s="165"/>
      <c r="U41" s="165"/>
      <c r="V41" s="165"/>
      <c r="W41" s="165"/>
      <c r="X41" s="165"/>
      <c r="Y41" s="165"/>
      <c r="Z41" s="165"/>
    </row>
    <row r="42">
      <c r="A42" s="168" t="s">
        <v>5189</v>
      </c>
      <c r="B42" s="166" t="str">
        <f>IFERROR(__xludf.DUMMYFUNCTION("REGEXEXTRACT(A42,""\d\d\d\d"")"),"2020")</f>
        <v>2020</v>
      </c>
      <c r="C42" s="166" t="s">
        <v>5243</v>
      </c>
      <c r="D42" s="165"/>
      <c r="E42" s="165"/>
      <c r="F42" s="165"/>
      <c r="G42" s="165"/>
      <c r="H42" s="165"/>
      <c r="I42" s="165"/>
      <c r="J42" s="165"/>
      <c r="K42" s="165"/>
      <c r="L42" s="165"/>
      <c r="M42" s="165"/>
      <c r="N42" s="165"/>
      <c r="O42" s="165"/>
      <c r="P42" s="165"/>
      <c r="Q42" s="165"/>
      <c r="R42" s="165"/>
      <c r="S42" s="165"/>
      <c r="T42" s="165"/>
      <c r="U42" s="165"/>
      <c r="V42" s="165"/>
      <c r="W42" s="165"/>
      <c r="X42" s="165"/>
      <c r="Y42" s="165"/>
      <c r="Z42" s="165"/>
    </row>
    <row r="43">
      <c r="A43" s="168" t="s">
        <v>5191</v>
      </c>
      <c r="B43" s="166" t="str">
        <f>IFERROR(__xludf.DUMMYFUNCTION("REGEXEXTRACT(A43,""\d\d\d\d"")"),"2025")</f>
        <v>2025</v>
      </c>
      <c r="C43" s="166" t="s">
        <v>5243</v>
      </c>
      <c r="D43" s="165"/>
      <c r="E43" s="165"/>
      <c r="F43" s="165"/>
      <c r="G43" s="165"/>
      <c r="H43" s="165"/>
      <c r="I43" s="165"/>
      <c r="J43" s="165"/>
      <c r="K43" s="165"/>
      <c r="L43" s="165"/>
      <c r="M43" s="165"/>
      <c r="N43" s="165"/>
      <c r="O43" s="165"/>
      <c r="P43" s="165"/>
      <c r="Q43" s="165"/>
      <c r="R43" s="165"/>
      <c r="S43" s="165"/>
      <c r="T43" s="165"/>
      <c r="U43" s="165"/>
      <c r="V43" s="165"/>
      <c r="W43" s="165"/>
      <c r="X43" s="165"/>
      <c r="Y43" s="165"/>
      <c r="Z43" s="165"/>
    </row>
    <row r="44">
      <c r="A44" s="168" t="s">
        <v>5192</v>
      </c>
      <c r="B44" s="166" t="str">
        <f>IFERROR(__xludf.DUMMYFUNCTION("REGEXEXTRACT(A44,""\d\d\d\d"")"),"2012")</f>
        <v>2012</v>
      </c>
      <c r="C44" s="166" t="s">
        <v>5243</v>
      </c>
      <c r="D44" s="165"/>
      <c r="E44" s="165"/>
      <c r="F44" s="165"/>
      <c r="G44" s="165"/>
      <c r="H44" s="165"/>
      <c r="I44" s="165"/>
      <c r="J44" s="165"/>
      <c r="K44" s="165"/>
      <c r="L44" s="165"/>
      <c r="M44" s="165"/>
      <c r="N44" s="165"/>
      <c r="O44" s="165"/>
      <c r="P44" s="165"/>
      <c r="Q44" s="165"/>
      <c r="R44" s="165"/>
      <c r="S44" s="165"/>
      <c r="T44" s="165"/>
      <c r="U44" s="165"/>
      <c r="V44" s="165"/>
      <c r="W44" s="165"/>
      <c r="X44" s="165"/>
      <c r="Y44" s="165"/>
      <c r="Z44" s="165"/>
    </row>
    <row r="45">
      <c r="A45" s="168" t="s">
        <v>5193</v>
      </c>
      <c r="B45" s="166" t="str">
        <f>IFERROR(__xludf.DUMMYFUNCTION("REGEXEXTRACT(A45,""\d\d\d\d"")"),"2014")</f>
        <v>2014</v>
      </c>
      <c r="C45" s="166" t="s">
        <v>5243</v>
      </c>
      <c r="D45" s="165"/>
      <c r="E45" s="165"/>
      <c r="F45" s="165"/>
      <c r="G45" s="165"/>
      <c r="H45" s="165"/>
      <c r="I45" s="165"/>
      <c r="J45" s="165"/>
      <c r="K45" s="165"/>
      <c r="L45" s="165"/>
      <c r="M45" s="165"/>
      <c r="N45" s="165"/>
      <c r="O45" s="165"/>
      <c r="P45" s="165"/>
      <c r="Q45" s="165"/>
      <c r="R45" s="165"/>
      <c r="S45" s="165"/>
      <c r="T45" s="165"/>
      <c r="U45" s="165"/>
      <c r="V45" s="165"/>
      <c r="W45" s="165"/>
      <c r="X45" s="165"/>
      <c r="Y45" s="165"/>
      <c r="Z45" s="165"/>
    </row>
    <row r="46">
      <c r="A46" s="168" t="s">
        <v>5194</v>
      </c>
      <c r="B46" s="166" t="str">
        <f>IFERROR(__xludf.DUMMYFUNCTION("REGEXEXTRACT(A46,""\d\d\d\d"")"),"2007")</f>
        <v>2007</v>
      </c>
      <c r="C46" s="166" t="s">
        <v>5243</v>
      </c>
      <c r="D46" s="165"/>
      <c r="E46" s="165"/>
      <c r="F46" s="165"/>
      <c r="G46" s="165"/>
      <c r="H46" s="165"/>
      <c r="I46" s="165"/>
      <c r="J46" s="165"/>
      <c r="K46" s="165"/>
      <c r="L46" s="165"/>
      <c r="M46" s="165"/>
      <c r="N46" s="165"/>
      <c r="O46" s="165"/>
      <c r="P46" s="165"/>
      <c r="Q46" s="165"/>
      <c r="R46" s="165"/>
      <c r="S46" s="165"/>
      <c r="T46" s="165"/>
      <c r="U46" s="165"/>
      <c r="V46" s="165"/>
      <c r="W46" s="165"/>
      <c r="X46" s="165"/>
      <c r="Y46" s="165"/>
      <c r="Z46" s="165"/>
    </row>
    <row r="47">
      <c r="A47" s="168" t="s">
        <v>5196</v>
      </c>
      <c r="B47" s="166" t="str">
        <f>IFERROR(__xludf.DUMMYFUNCTION("REGEXEXTRACT(A47,""\d\d\d\d"")"),"2026")</f>
        <v>2026</v>
      </c>
      <c r="C47" s="166" t="s">
        <v>5243</v>
      </c>
      <c r="D47" s="165"/>
      <c r="E47" s="165"/>
      <c r="F47" s="165"/>
      <c r="G47" s="165"/>
      <c r="H47" s="165"/>
      <c r="I47" s="165"/>
      <c r="J47" s="165"/>
      <c r="K47" s="165"/>
      <c r="L47" s="165"/>
      <c r="M47" s="165"/>
      <c r="N47" s="165"/>
      <c r="O47" s="165"/>
      <c r="P47" s="165"/>
      <c r="Q47" s="165"/>
      <c r="R47" s="165"/>
      <c r="S47" s="165"/>
      <c r="T47" s="165"/>
      <c r="U47" s="165"/>
      <c r="V47" s="165"/>
      <c r="W47" s="165"/>
      <c r="X47" s="165"/>
      <c r="Y47" s="165"/>
      <c r="Z47" s="165"/>
    </row>
    <row r="48">
      <c r="A48" s="168" t="s">
        <v>5198</v>
      </c>
      <c r="B48" s="166" t="str">
        <f>IFERROR(__xludf.DUMMYFUNCTION("REGEXEXTRACT(A48,""\d\d\d\d"")"),"2006")</f>
        <v>2006</v>
      </c>
      <c r="C48" s="166" t="s">
        <v>5243</v>
      </c>
      <c r="D48" s="165"/>
      <c r="E48" s="165"/>
      <c r="F48" s="165"/>
      <c r="G48" s="165"/>
      <c r="H48" s="165"/>
      <c r="I48" s="165"/>
      <c r="J48" s="165"/>
      <c r="K48" s="165"/>
      <c r="L48" s="165"/>
      <c r="M48" s="165"/>
      <c r="N48" s="165"/>
      <c r="O48" s="165"/>
      <c r="P48" s="165"/>
      <c r="Q48" s="165"/>
      <c r="R48" s="165"/>
      <c r="S48" s="165"/>
      <c r="T48" s="165"/>
      <c r="U48" s="165"/>
      <c r="V48" s="165"/>
      <c r="W48" s="165"/>
      <c r="X48" s="165"/>
      <c r="Y48" s="165"/>
      <c r="Z48" s="165"/>
    </row>
    <row r="49">
      <c r="A49" s="168" t="s">
        <v>5200</v>
      </c>
      <c r="B49" s="166" t="str">
        <f>IFERROR(__xludf.DUMMYFUNCTION("REGEXEXTRACT(A49,""\d\d\d\d"")"),"2016")</f>
        <v>2016</v>
      </c>
      <c r="C49" s="166" t="s">
        <v>5243</v>
      </c>
      <c r="D49" s="165"/>
      <c r="E49" s="165"/>
      <c r="F49" s="165"/>
      <c r="G49" s="165"/>
      <c r="H49" s="165"/>
      <c r="I49" s="165"/>
      <c r="J49" s="165"/>
      <c r="K49" s="165"/>
      <c r="L49" s="165"/>
      <c r="M49" s="165"/>
      <c r="N49" s="165"/>
      <c r="O49" s="165"/>
      <c r="P49" s="165"/>
      <c r="Q49" s="165"/>
      <c r="R49" s="165"/>
      <c r="S49" s="165"/>
      <c r="T49" s="165"/>
      <c r="U49" s="165"/>
      <c r="V49" s="165"/>
      <c r="W49" s="165"/>
      <c r="X49" s="165"/>
      <c r="Y49" s="165"/>
      <c r="Z49" s="165"/>
    </row>
    <row r="50">
      <c r="A50" s="168" t="s">
        <v>5202</v>
      </c>
      <c r="B50" s="166" t="str">
        <f>IFERROR(__xludf.DUMMYFUNCTION("REGEXEXTRACT(A50,""\d\d\d\d"")"),"2019")</f>
        <v>2019</v>
      </c>
      <c r="C50" s="166" t="s">
        <v>5243</v>
      </c>
      <c r="D50" s="165"/>
      <c r="E50" s="165"/>
      <c r="F50" s="165"/>
      <c r="G50" s="165"/>
      <c r="H50" s="165"/>
      <c r="I50" s="165"/>
      <c r="J50" s="165"/>
      <c r="K50" s="165"/>
      <c r="L50" s="165"/>
      <c r="M50" s="165"/>
      <c r="N50" s="165"/>
      <c r="O50" s="165"/>
      <c r="P50" s="165"/>
      <c r="Q50" s="165"/>
      <c r="R50" s="165"/>
      <c r="S50" s="165"/>
      <c r="T50" s="165"/>
      <c r="U50" s="165"/>
      <c r="V50" s="165"/>
      <c r="W50" s="165"/>
      <c r="X50" s="165"/>
      <c r="Y50" s="165"/>
      <c r="Z50" s="165"/>
    </row>
    <row r="51">
      <c r="A51" s="168" t="s">
        <v>5204</v>
      </c>
      <c r="B51" s="166" t="str">
        <f>IFERROR(__xludf.DUMMYFUNCTION("REGEXEXTRACT(A51,""\d\d\d\d"")"),"2010")</f>
        <v>2010</v>
      </c>
      <c r="C51" s="166" t="s">
        <v>5243</v>
      </c>
      <c r="D51" s="165"/>
      <c r="E51" s="165"/>
      <c r="F51" s="165"/>
      <c r="G51" s="165"/>
      <c r="H51" s="165"/>
      <c r="I51" s="165"/>
      <c r="J51" s="165"/>
      <c r="K51" s="165"/>
      <c r="L51" s="165"/>
      <c r="M51" s="165"/>
      <c r="N51" s="165"/>
      <c r="O51" s="165"/>
      <c r="P51" s="165"/>
      <c r="Q51" s="165"/>
      <c r="R51" s="165"/>
      <c r="S51" s="165"/>
      <c r="T51" s="165"/>
      <c r="U51" s="165"/>
      <c r="V51" s="165"/>
      <c r="W51" s="165"/>
      <c r="X51" s="165"/>
      <c r="Y51" s="165"/>
      <c r="Z51" s="165"/>
    </row>
    <row r="52">
      <c r="A52" s="168" t="s">
        <v>5205</v>
      </c>
      <c r="B52" s="166" t="str">
        <f>IFERROR(__xludf.DUMMYFUNCTION("REGEXEXTRACT(A52,""\d\d\d\d"")"),"2011")</f>
        <v>2011</v>
      </c>
      <c r="C52" s="166" t="s">
        <v>5243</v>
      </c>
      <c r="D52" s="165"/>
      <c r="E52" s="165"/>
      <c r="F52" s="165"/>
      <c r="G52" s="165"/>
      <c r="H52" s="165"/>
      <c r="I52" s="165"/>
      <c r="J52" s="165"/>
      <c r="K52" s="165"/>
      <c r="L52" s="165"/>
      <c r="M52" s="165"/>
      <c r="N52" s="165"/>
      <c r="O52" s="165"/>
      <c r="P52" s="165"/>
      <c r="Q52" s="165"/>
      <c r="R52" s="165"/>
      <c r="S52" s="165"/>
      <c r="T52" s="165"/>
      <c r="U52" s="165"/>
      <c r="V52" s="165"/>
      <c r="W52" s="165"/>
      <c r="X52" s="165"/>
      <c r="Y52" s="165"/>
      <c r="Z52" s="165"/>
    </row>
    <row r="53">
      <c r="A53" s="168" t="s">
        <v>5206</v>
      </c>
      <c r="B53" s="166" t="str">
        <f>IFERROR(__xludf.DUMMYFUNCTION("REGEXEXTRACT(A53,""\d\d\d\d"")"),"1996")</f>
        <v>1996</v>
      </c>
      <c r="C53" s="166" t="s">
        <v>5243</v>
      </c>
      <c r="D53" s="165"/>
      <c r="E53" s="165"/>
      <c r="F53" s="165"/>
      <c r="G53" s="165"/>
      <c r="H53" s="165"/>
      <c r="I53" s="165"/>
      <c r="J53" s="165"/>
      <c r="K53" s="165"/>
      <c r="L53" s="165"/>
      <c r="M53" s="165"/>
      <c r="N53" s="165"/>
      <c r="O53" s="165"/>
      <c r="P53" s="165"/>
      <c r="Q53" s="165"/>
      <c r="R53" s="165"/>
      <c r="S53" s="165"/>
      <c r="T53" s="165"/>
      <c r="U53" s="165"/>
      <c r="V53" s="165"/>
      <c r="W53" s="165"/>
      <c r="X53" s="165"/>
      <c r="Y53" s="165"/>
      <c r="Z53" s="165"/>
    </row>
    <row r="54">
      <c r="A54" s="168" t="s">
        <v>5208</v>
      </c>
      <c r="B54" s="166" t="str">
        <f>IFERROR(__xludf.DUMMYFUNCTION("REGEXEXTRACT(A54,""\d\d\d\d"")"),"2015")</f>
        <v>2015</v>
      </c>
      <c r="C54" s="166" t="s">
        <v>5243</v>
      </c>
      <c r="D54" s="165"/>
      <c r="E54" s="165"/>
      <c r="F54" s="165"/>
      <c r="G54" s="165"/>
      <c r="H54" s="165"/>
      <c r="I54" s="165"/>
      <c r="J54" s="165"/>
      <c r="K54" s="165"/>
      <c r="L54" s="165"/>
      <c r="M54" s="165"/>
      <c r="N54" s="165"/>
      <c r="O54" s="165"/>
      <c r="P54" s="165"/>
      <c r="Q54" s="165"/>
      <c r="R54" s="165"/>
      <c r="S54" s="165"/>
      <c r="T54" s="165"/>
      <c r="U54" s="165"/>
      <c r="V54" s="165"/>
      <c r="W54" s="165"/>
      <c r="X54" s="165"/>
      <c r="Y54" s="165"/>
      <c r="Z54" s="165"/>
    </row>
    <row r="55">
      <c r="A55" s="168" t="s">
        <v>5209</v>
      </c>
      <c r="B55" s="166" t="str">
        <f>IFERROR(__xludf.DUMMYFUNCTION("REGEXEXTRACT(A55,""\d\d\d\d"")"),"2007")</f>
        <v>2007</v>
      </c>
      <c r="C55" s="166" t="s">
        <v>5243</v>
      </c>
      <c r="D55" s="165"/>
      <c r="E55" s="165"/>
      <c r="F55" s="165"/>
      <c r="G55" s="165"/>
      <c r="H55" s="165"/>
      <c r="I55" s="165"/>
      <c r="J55" s="165"/>
      <c r="K55" s="165"/>
      <c r="L55" s="165"/>
      <c r="M55" s="165"/>
      <c r="N55" s="165"/>
      <c r="O55" s="165"/>
      <c r="P55" s="165"/>
      <c r="Q55" s="165"/>
      <c r="R55" s="165"/>
      <c r="S55" s="165"/>
      <c r="T55" s="165"/>
      <c r="U55" s="165"/>
      <c r="V55" s="165"/>
      <c r="W55" s="165"/>
      <c r="X55" s="165"/>
      <c r="Y55" s="165"/>
      <c r="Z55" s="165"/>
    </row>
    <row r="56">
      <c r="A56" s="168" t="s">
        <v>5212</v>
      </c>
      <c r="B56" s="166" t="str">
        <f>IFERROR(__xludf.DUMMYFUNCTION("REGEXEXTRACT(A56,""\d\d\d\d"")"),"2024")</f>
        <v>2024</v>
      </c>
      <c r="C56" s="166" t="s">
        <v>5243</v>
      </c>
      <c r="D56" s="165"/>
      <c r="E56" s="165"/>
      <c r="F56" s="165"/>
      <c r="G56" s="165"/>
      <c r="H56" s="165"/>
      <c r="I56" s="165"/>
      <c r="J56" s="165"/>
      <c r="K56" s="165"/>
      <c r="L56" s="165"/>
      <c r="M56" s="165"/>
      <c r="N56" s="165"/>
      <c r="O56" s="165"/>
      <c r="P56" s="165"/>
      <c r="Q56" s="165"/>
      <c r="R56" s="165"/>
      <c r="S56" s="165"/>
      <c r="T56" s="165"/>
      <c r="U56" s="165"/>
      <c r="V56" s="165"/>
      <c r="W56" s="165"/>
      <c r="X56" s="165"/>
      <c r="Y56" s="165"/>
      <c r="Z56" s="165"/>
    </row>
    <row r="57">
      <c r="A57" s="168" t="s">
        <v>5213</v>
      </c>
      <c r="B57" s="166" t="str">
        <f>IFERROR(__xludf.DUMMYFUNCTION("REGEXEXTRACT(A57,""\d\d\d\d"")"),"2018")</f>
        <v>2018</v>
      </c>
      <c r="C57" s="166" t="s">
        <v>5243</v>
      </c>
      <c r="D57" s="165"/>
      <c r="E57" s="165"/>
      <c r="F57" s="165"/>
      <c r="G57" s="165"/>
      <c r="H57" s="165"/>
      <c r="I57" s="165"/>
      <c r="J57" s="165"/>
      <c r="K57" s="165"/>
      <c r="L57" s="165"/>
      <c r="M57" s="165"/>
      <c r="N57" s="165"/>
      <c r="O57" s="165"/>
      <c r="P57" s="165"/>
      <c r="Q57" s="165"/>
      <c r="R57" s="165"/>
      <c r="S57" s="165"/>
      <c r="T57" s="165"/>
      <c r="U57" s="165"/>
      <c r="V57" s="165"/>
      <c r="W57" s="165"/>
      <c r="X57" s="165"/>
      <c r="Y57" s="165"/>
      <c r="Z57" s="165"/>
    </row>
    <row r="58">
      <c r="A58" s="168" t="s">
        <v>5214</v>
      </c>
      <c r="B58" s="166" t="str">
        <f>IFERROR(__xludf.DUMMYFUNCTION("REGEXEXTRACT(A58,""\d\d\d\d"")"),"2020")</f>
        <v>2020</v>
      </c>
      <c r="C58" s="166" t="s">
        <v>5243</v>
      </c>
      <c r="D58" s="165"/>
      <c r="E58" s="165"/>
      <c r="F58" s="165"/>
      <c r="G58" s="165"/>
      <c r="H58" s="165"/>
      <c r="I58" s="165"/>
      <c r="J58" s="165"/>
      <c r="K58" s="165"/>
      <c r="L58" s="165"/>
      <c r="M58" s="165"/>
      <c r="N58" s="165"/>
      <c r="O58" s="165"/>
      <c r="P58" s="165"/>
      <c r="Q58" s="165"/>
      <c r="R58" s="165"/>
      <c r="S58" s="165"/>
      <c r="T58" s="165"/>
      <c r="U58" s="165"/>
      <c r="V58" s="165"/>
      <c r="W58" s="165"/>
      <c r="X58" s="165"/>
      <c r="Y58" s="165"/>
      <c r="Z58" s="165"/>
    </row>
    <row r="59">
      <c r="A59" s="168" t="s">
        <v>5215</v>
      </c>
      <c r="B59" s="166" t="str">
        <f>IFERROR(__xludf.DUMMYFUNCTION("REGEXEXTRACT(A59,""\d\d\d\d"")"),"2020")</f>
        <v>2020</v>
      </c>
      <c r="C59" s="166" t="s">
        <v>5243</v>
      </c>
      <c r="D59" s="165"/>
      <c r="E59" s="165"/>
      <c r="F59" s="165"/>
      <c r="G59" s="165"/>
      <c r="H59" s="165"/>
      <c r="I59" s="165"/>
      <c r="J59" s="165"/>
      <c r="K59" s="165"/>
      <c r="L59" s="165"/>
      <c r="M59" s="165"/>
      <c r="N59" s="165"/>
      <c r="O59" s="165"/>
      <c r="P59" s="165"/>
      <c r="Q59" s="165"/>
      <c r="R59" s="165"/>
      <c r="S59" s="165"/>
      <c r="T59" s="165"/>
      <c r="U59" s="165"/>
      <c r="V59" s="165"/>
      <c r="W59" s="165"/>
      <c r="X59" s="165"/>
      <c r="Y59" s="165"/>
      <c r="Z59" s="165"/>
    </row>
    <row r="60">
      <c r="A60" s="168" t="s">
        <v>5218</v>
      </c>
      <c r="B60" s="166" t="str">
        <f>IFERROR(__xludf.DUMMYFUNCTION("REGEXEXTRACT(A60,""\d\d\d\d"")"),"2020")</f>
        <v>2020</v>
      </c>
      <c r="C60" s="166" t="s">
        <v>5243</v>
      </c>
      <c r="D60" s="165"/>
      <c r="E60" s="165"/>
      <c r="F60" s="165"/>
      <c r="G60" s="165"/>
      <c r="H60" s="165"/>
      <c r="I60" s="165"/>
      <c r="J60" s="165"/>
      <c r="K60" s="165"/>
      <c r="L60" s="165"/>
      <c r="M60" s="165"/>
      <c r="N60" s="165"/>
      <c r="O60" s="165"/>
      <c r="P60" s="165"/>
      <c r="Q60" s="165"/>
      <c r="R60" s="165"/>
      <c r="S60" s="165"/>
      <c r="T60" s="165"/>
      <c r="U60" s="165"/>
      <c r="V60" s="165"/>
      <c r="W60" s="165"/>
      <c r="X60" s="165"/>
      <c r="Y60" s="165"/>
      <c r="Z60" s="165"/>
    </row>
    <row r="61">
      <c r="A61" s="168" t="s">
        <v>5220</v>
      </c>
      <c r="B61" s="166" t="str">
        <f>IFERROR(__xludf.DUMMYFUNCTION("REGEXEXTRACT(A61,""\d\d\d\d"")"),"2026")</f>
        <v>2026</v>
      </c>
      <c r="C61" s="166" t="s">
        <v>5243</v>
      </c>
      <c r="D61" s="165"/>
      <c r="E61" s="165"/>
      <c r="F61" s="165"/>
      <c r="G61" s="165"/>
      <c r="H61" s="165"/>
      <c r="I61" s="165"/>
      <c r="J61" s="165"/>
      <c r="K61" s="165"/>
      <c r="L61" s="165"/>
      <c r="M61" s="165"/>
      <c r="N61" s="165"/>
      <c r="O61" s="165"/>
      <c r="P61" s="165"/>
      <c r="Q61" s="165"/>
      <c r="R61" s="165"/>
      <c r="S61" s="165"/>
      <c r="T61" s="165"/>
      <c r="U61" s="165"/>
      <c r="V61" s="165"/>
      <c r="W61" s="165"/>
      <c r="X61" s="165"/>
      <c r="Y61" s="165"/>
      <c r="Z61" s="165"/>
    </row>
    <row r="62">
      <c r="A62" s="168" t="s">
        <v>5221</v>
      </c>
      <c r="B62" s="166" t="str">
        <f>IFERROR(__xludf.DUMMYFUNCTION("REGEXEXTRACT(A62,""\d\d\d\d"")"),"2023")</f>
        <v>2023</v>
      </c>
      <c r="C62" s="166" t="s">
        <v>5243</v>
      </c>
      <c r="D62" s="165"/>
      <c r="E62" s="165"/>
      <c r="F62" s="165"/>
      <c r="G62" s="165"/>
      <c r="H62" s="165"/>
      <c r="I62" s="165"/>
      <c r="J62" s="165"/>
      <c r="K62" s="165"/>
      <c r="L62" s="165"/>
      <c r="M62" s="165"/>
      <c r="N62" s="165"/>
      <c r="O62" s="165"/>
      <c r="P62" s="165"/>
      <c r="Q62" s="165"/>
      <c r="R62" s="165"/>
      <c r="S62" s="165"/>
      <c r="T62" s="165"/>
      <c r="U62" s="165"/>
      <c r="V62" s="165"/>
      <c r="W62" s="165"/>
      <c r="X62" s="165"/>
      <c r="Y62" s="165"/>
      <c r="Z62" s="165"/>
    </row>
    <row r="63">
      <c r="A63" s="168" t="s">
        <v>5222</v>
      </c>
      <c r="B63" s="166" t="str">
        <f>IFERROR(__xludf.DUMMYFUNCTION("REGEXEXTRACT(A63,""\d\d\d\d"")"),"2009")</f>
        <v>2009</v>
      </c>
      <c r="C63" s="166" t="s">
        <v>5243</v>
      </c>
      <c r="D63" s="165"/>
      <c r="E63" s="165"/>
      <c r="F63" s="165"/>
      <c r="G63" s="165"/>
      <c r="H63" s="165"/>
      <c r="I63" s="165"/>
      <c r="J63" s="165"/>
      <c r="K63" s="165"/>
      <c r="L63" s="165"/>
      <c r="M63" s="165"/>
      <c r="N63" s="165"/>
      <c r="O63" s="165"/>
      <c r="P63" s="165"/>
      <c r="Q63" s="165"/>
      <c r="R63" s="165"/>
      <c r="S63" s="165"/>
      <c r="T63" s="165"/>
      <c r="U63" s="165"/>
      <c r="V63" s="165"/>
      <c r="W63" s="165"/>
      <c r="X63" s="165"/>
      <c r="Y63" s="165"/>
      <c r="Z63" s="165"/>
    </row>
    <row r="64">
      <c r="A64" s="168" t="s">
        <v>5224</v>
      </c>
      <c r="B64" s="166" t="str">
        <f>IFERROR(__xludf.DUMMYFUNCTION("REGEXEXTRACT(A64,""\d\d\d\d"")"),"2020")</f>
        <v>2020</v>
      </c>
      <c r="C64" s="166" t="s">
        <v>5243</v>
      </c>
      <c r="D64" s="165"/>
      <c r="E64" s="165"/>
      <c r="F64" s="165"/>
      <c r="G64" s="165"/>
      <c r="H64" s="165"/>
      <c r="I64" s="165"/>
      <c r="J64" s="165"/>
      <c r="K64" s="165"/>
      <c r="L64" s="165"/>
      <c r="M64" s="165"/>
      <c r="N64" s="165"/>
      <c r="O64" s="165"/>
      <c r="P64" s="165"/>
      <c r="Q64" s="165"/>
      <c r="R64" s="165"/>
      <c r="S64" s="165"/>
      <c r="T64" s="165"/>
      <c r="U64" s="165"/>
      <c r="V64" s="165"/>
      <c r="W64" s="165"/>
      <c r="X64" s="165"/>
      <c r="Y64" s="165"/>
      <c r="Z64" s="165"/>
    </row>
    <row r="65">
      <c r="A65" s="168" t="s">
        <v>5225</v>
      </c>
      <c r="B65" s="166" t="str">
        <f>IFERROR(__xludf.DUMMYFUNCTION("REGEXEXTRACT(A65,""\d\d\d\d"")"),"2001")</f>
        <v>2001</v>
      </c>
      <c r="C65" s="166" t="s">
        <v>5243</v>
      </c>
      <c r="D65" s="165"/>
      <c r="E65" s="165"/>
      <c r="F65" s="165"/>
      <c r="G65" s="165"/>
      <c r="H65" s="165"/>
      <c r="I65" s="165"/>
      <c r="J65" s="165"/>
      <c r="K65" s="165"/>
      <c r="L65" s="165"/>
      <c r="M65" s="165"/>
      <c r="N65" s="165"/>
      <c r="O65" s="165"/>
      <c r="P65" s="165"/>
      <c r="Q65" s="165"/>
      <c r="R65" s="165"/>
      <c r="S65" s="165"/>
      <c r="T65" s="165"/>
      <c r="U65" s="165"/>
      <c r="V65" s="165"/>
      <c r="W65" s="165"/>
      <c r="X65" s="165"/>
      <c r="Y65" s="165"/>
      <c r="Z65" s="165"/>
    </row>
    <row r="66">
      <c r="A66" s="168" t="s">
        <v>5227</v>
      </c>
      <c r="B66" s="166" t="str">
        <f>IFERROR(__xludf.DUMMYFUNCTION("REGEXEXTRACT(A66,""\d\d\d\d"")"),"2011")</f>
        <v>2011</v>
      </c>
      <c r="C66" s="166" t="s">
        <v>5243</v>
      </c>
      <c r="D66" s="165"/>
      <c r="E66" s="165"/>
      <c r="F66" s="165"/>
      <c r="G66" s="165"/>
      <c r="H66" s="165"/>
      <c r="I66" s="165"/>
      <c r="J66" s="165"/>
      <c r="K66" s="165"/>
      <c r="L66" s="165"/>
      <c r="M66" s="165"/>
      <c r="N66" s="165"/>
      <c r="O66" s="165"/>
      <c r="P66" s="165"/>
      <c r="Q66" s="165"/>
      <c r="R66" s="165"/>
      <c r="S66" s="165"/>
      <c r="T66" s="165"/>
      <c r="U66" s="165"/>
      <c r="V66" s="165"/>
      <c r="W66" s="165"/>
      <c r="X66" s="165"/>
      <c r="Y66" s="165"/>
      <c r="Z66" s="165"/>
    </row>
    <row r="67">
      <c r="A67" s="168" t="s">
        <v>5229</v>
      </c>
      <c r="B67" s="166" t="str">
        <f>IFERROR(__xludf.DUMMYFUNCTION("REGEXEXTRACT(A67,""\d\d\d\d"")"),"2025")</f>
        <v>2025</v>
      </c>
      <c r="C67" s="166" t="s">
        <v>5243</v>
      </c>
      <c r="D67" s="165"/>
      <c r="E67" s="165"/>
      <c r="F67" s="165"/>
      <c r="G67" s="165"/>
      <c r="H67" s="165"/>
      <c r="I67" s="165"/>
      <c r="J67" s="165"/>
      <c r="K67" s="165"/>
      <c r="L67" s="165"/>
      <c r="M67" s="165"/>
      <c r="N67" s="165"/>
      <c r="O67" s="165"/>
      <c r="P67" s="165"/>
      <c r="Q67" s="165"/>
      <c r="R67" s="165"/>
      <c r="S67" s="165"/>
      <c r="T67" s="165"/>
      <c r="U67" s="165"/>
      <c r="V67" s="165"/>
      <c r="W67" s="165"/>
      <c r="X67" s="165"/>
      <c r="Y67" s="165"/>
      <c r="Z67" s="165"/>
    </row>
    <row r="68">
      <c r="A68" s="168" t="s">
        <v>5232</v>
      </c>
      <c r="B68" s="166" t="str">
        <f>IFERROR(__xludf.DUMMYFUNCTION("REGEXEXTRACT(A68,""\d\d\d\d"")"),"2017")</f>
        <v>2017</v>
      </c>
      <c r="C68" s="166" t="s">
        <v>5243</v>
      </c>
      <c r="D68" s="165"/>
      <c r="E68" s="165"/>
      <c r="F68" s="165"/>
      <c r="G68" s="165"/>
      <c r="H68" s="165"/>
      <c r="I68" s="165"/>
      <c r="J68" s="165"/>
      <c r="K68" s="165"/>
      <c r="L68" s="165"/>
      <c r="M68" s="165"/>
      <c r="N68" s="165"/>
      <c r="O68" s="165"/>
      <c r="P68" s="165"/>
      <c r="Q68" s="165"/>
      <c r="R68" s="165"/>
      <c r="S68" s="165"/>
      <c r="T68" s="165"/>
      <c r="U68" s="165"/>
      <c r="V68" s="165"/>
      <c r="W68" s="165"/>
      <c r="X68" s="165"/>
      <c r="Y68" s="165"/>
      <c r="Z68" s="165"/>
    </row>
    <row r="69">
      <c r="A69" s="168" t="s">
        <v>5242</v>
      </c>
      <c r="B69" s="166" t="str">
        <f>IFERROR(__xludf.DUMMYFUNCTION("REGEXEXTRACT(A69,""\d\d\d\d"")"),"2011")</f>
        <v>2011</v>
      </c>
      <c r="C69" s="166" t="s">
        <v>5243</v>
      </c>
      <c r="D69" s="165"/>
      <c r="E69" s="165"/>
      <c r="F69" s="165"/>
      <c r="G69" s="165"/>
      <c r="H69" s="165"/>
      <c r="I69" s="165"/>
      <c r="J69" s="165"/>
      <c r="K69" s="165"/>
      <c r="L69" s="165"/>
      <c r="M69" s="165"/>
      <c r="N69" s="165"/>
      <c r="O69" s="165"/>
      <c r="P69" s="165"/>
      <c r="Q69" s="165"/>
      <c r="R69" s="165"/>
      <c r="S69" s="165"/>
      <c r="T69" s="165"/>
      <c r="U69" s="165"/>
      <c r="V69" s="165"/>
      <c r="W69" s="165"/>
      <c r="X69" s="165"/>
      <c r="Y69" s="165"/>
      <c r="Z69" s="165"/>
    </row>
    <row r="70">
      <c r="A70" s="165"/>
      <c r="B70" s="165"/>
      <c r="C70" s="165"/>
      <c r="D70" s="165"/>
      <c r="E70" s="165"/>
      <c r="F70" s="165"/>
      <c r="G70" s="165"/>
      <c r="H70" s="165"/>
      <c r="I70" s="165"/>
      <c r="J70" s="165"/>
      <c r="K70" s="165"/>
      <c r="L70" s="165"/>
      <c r="M70" s="165"/>
      <c r="N70" s="165"/>
      <c r="O70" s="165"/>
      <c r="P70" s="165"/>
      <c r="Q70" s="165"/>
      <c r="R70" s="165"/>
      <c r="S70" s="165"/>
      <c r="T70" s="165"/>
      <c r="U70" s="165"/>
      <c r="V70" s="165"/>
      <c r="W70" s="165"/>
      <c r="X70" s="165"/>
      <c r="Y70" s="165"/>
      <c r="Z70" s="165"/>
    </row>
    <row r="71">
      <c r="A71" s="165"/>
      <c r="B71" s="165"/>
      <c r="C71" s="165"/>
      <c r="D71" s="165"/>
      <c r="E71" s="165"/>
      <c r="F71" s="165"/>
      <c r="G71" s="165"/>
      <c r="H71" s="165"/>
      <c r="I71" s="165"/>
      <c r="J71" s="165"/>
      <c r="K71" s="165"/>
      <c r="L71" s="165"/>
      <c r="M71" s="165"/>
      <c r="N71" s="165"/>
      <c r="O71" s="165"/>
      <c r="P71" s="165"/>
      <c r="Q71" s="165"/>
      <c r="R71" s="165"/>
      <c r="S71" s="165"/>
      <c r="T71" s="165"/>
      <c r="U71" s="165"/>
      <c r="V71" s="165"/>
      <c r="W71" s="165"/>
      <c r="X71" s="165"/>
      <c r="Y71" s="165"/>
      <c r="Z71" s="165"/>
    </row>
    <row r="72">
      <c r="A72" s="165"/>
      <c r="B72" s="165"/>
      <c r="C72" s="165"/>
      <c r="D72" s="165"/>
      <c r="E72" s="165"/>
      <c r="F72" s="165"/>
      <c r="G72" s="165"/>
      <c r="H72" s="165"/>
      <c r="I72" s="165"/>
      <c r="J72" s="165"/>
      <c r="K72" s="165"/>
      <c r="L72" s="165"/>
      <c r="M72" s="165"/>
      <c r="N72" s="165"/>
      <c r="O72" s="165"/>
      <c r="P72" s="165"/>
      <c r="Q72" s="165"/>
      <c r="R72" s="165"/>
      <c r="S72" s="165"/>
      <c r="T72" s="165"/>
      <c r="U72" s="165"/>
      <c r="V72" s="165"/>
      <c r="W72" s="165"/>
      <c r="X72" s="165"/>
      <c r="Y72" s="165"/>
      <c r="Z72" s="165"/>
    </row>
    <row r="73">
      <c r="A73" s="165"/>
      <c r="B73" s="165"/>
      <c r="C73" s="165"/>
      <c r="D73" s="165"/>
      <c r="E73" s="165"/>
      <c r="F73" s="165"/>
      <c r="G73" s="165"/>
      <c r="H73" s="165"/>
      <c r="I73" s="165"/>
      <c r="J73" s="165"/>
      <c r="K73" s="165"/>
      <c r="L73" s="165"/>
      <c r="M73" s="165"/>
      <c r="N73" s="165"/>
      <c r="O73" s="165"/>
      <c r="P73" s="165"/>
      <c r="Q73" s="165"/>
      <c r="R73" s="165"/>
      <c r="S73" s="165"/>
      <c r="T73" s="165"/>
      <c r="U73" s="165"/>
      <c r="V73" s="165"/>
      <c r="W73" s="165"/>
      <c r="X73" s="165"/>
      <c r="Y73" s="165"/>
      <c r="Z73" s="165"/>
    </row>
    <row r="74">
      <c r="A74" s="165"/>
      <c r="B74" s="165"/>
      <c r="C74" s="165"/>
      <c r="D74" s="165"/>
      <c r="E74" s="165"/>
      <c r="F74" s="165"/>
      <c r="G74" s="165"/>
      <c r="H74" s="165"/>
      <c r="I74" s="165"/>
      <c r="J74" s="165"/>
      <c r="K74" s="165"/>
      <c r="L74" s="165"/>
      <c r="M74" s="165"/>
      <c r="N74" s="165"/>
      <c r="O74" s="165"/>
      <c r="P74" s="165"/>
      <c r="Q74" s="165"/>
      <c r="R74" s="165"/>
      <c r="S74" s="165"/>
      <c r="T74" s="165"/>
      <c r="U74" s="165"/>
      <c r="V74" s="165"/>
      <c r="W74" s="165"/>
      <c r="X74" s="165"/>
      <c r="Y74" s="165"/>
      <c r="Z74" s="165"/>
    </row>
    <row r="75">
      <c r="A75" s="165"/>
      <c r="B75" s="165"/>
      <c r="C75" s="165"/>
      <c r="D75" s="165"/>
      <c r="E75" s="165"/>
      <c r="F75" s="165"/>
      <c r="G75" s="165"/>
      <c r="H75" s="165"/>
      <c r="I75" s="165"/>
      <c r="J75" s="165"/>
      <c r="K75" s="165"/>
      <c r="L75" s="165"/>
      <c r="M75" s="165"/>
      <c r="N75" s="165"/>
      <c r="O75" s="165"/>
      <c r="P75" s="165"/>
      <c r="Q75" s="165"/>
      <c r="R75" s="165"/>
      <c r="S75" s="165"/>
      <c r="T75" s="165"/>
      <c r="U75" s="165"/>
      <c r="V75" s="165"/>
      <c r="W75" s="165"/>
      <c r="X75" s="165"/>
      <c r="Y75" s="165"/>
      <c r="Z75" s="165"/>
    </row>
    <row r="76">
      <c r="A76" s="165"/>
      <c r="B76" s="165"/>
      <c r="C76" s="165"/>
      <c r="D76" s="165"/>
      <c r="E76" s="165"/>
      <c r="F76" s="165"/>
      <c r="G76" s="165"/>
      <c r="H76" s="165"/>
      <c r="I76" s="165"/>
      <c r="J76" s="165"/>
      <c r="K76" s="165"/>
      <c r="L76" s="165"/>
      <c r="M76" s="165"/>
      <c r="N76" s="165"/>
      <c r="O76" s="165"/>
      <c r="P76" s="165"/>
      <c r="Q76" s="165"/>
      <c r="R76" s="165"/>
      <c r="S76" s="165"/>
      <c r="T76" s="165"/>
      <c r="U76" s="165"/>
      <c r="V76" s="165"/>
      <c r="W76" s="165"/>
      <c r="X76" s="165"/>
      <c r="Y76" s="165"/>
      <c r="Z76" s="165"/>
    </row>
    <row r="77">
      <c r="A77" s="165"/>
      <c r="B77" s="165"/>
      <c r="C77" s="165"/>
      <c r="D77" s="165"/>
      <c r="E77" s="165"/>
      <c r="F77" s="165"/>
      <c r="G77" s="165"/>
      <c r="H77" s="165"/>
      <c r="I77" s="165"/>
      <c r="J77" s="165"/>
      <c r="K77" s="165"/>
      <c r="L77" s="165"/>
      <c r="M77" s="165"/>
      <c r="N77" s="165"/>
      <c r="O77" s="165"/>
      <c r="P77" s="165"/>
      <c r="Q77" s="165"/>
      <c r="R77" s="165"/>
      <c r="S77" s="165"/>
      <c r="T77" s="165"/>
      <c r="U77" s="165"/>
      <c r="V77" s="165"/>
      <c r="W77" s="165"/>
      <c r="X77" s="165"/>
      <c r="Y77" s="165"/>
      <c r="Z77" s="165"/>
    </row>
    <row r="78">
      <c r="A78" s="165"/>
      <c r="B78" s="165"/>
      <c r="C78" s="165"/>
      <c r="D78" s="165"/>
      <c r="E78" s="165"/>
      <c r="F78" s="165"/>
      <c r="G78" s="165"/>
      <c r="H78" s="165"/>
      <c r="I78" s="165"/>
      <c r="J78" s="165"/>
      <c r="K78" s="165"/>
      <c r="L78" s="165"/>
      <c r="M78" s="165"/>
      <c r="N78" s="165"/>
      <c r="O78" s="165"/>
      <c r="P78" s="165"/>
      <c r="Q78" s="165"/>
      <c r="R78" s="165"/>
      <c r="S78" s="165"/>
      <c r="T78" s="165"/>
      <c r="U78" s="165"/>
      <c r="V78" s="165"/>
      <c r="W78" s="165"/>
      <c r="X78" s="165"/>
      <c r="Y78" s="165"/>
      <c r="Z78" s="165"/>
    </row>
    <row r="79">
      <c r="A79" s="165"/>
      <c r="B79" s="165"/>
      <c r="C79" s="165"/>
      <c r="D79" s="165"/>
      <c r="E79" s="165"/>
      <c r="F79" s="165"/>
      <c r="G79" s="165"/>
      <c r="H79" s="165"/>
      <c r="I79" s="165"/>
      <c r="J79" s="165"/>
      <c r="K79" s="165"/>
      <c r="L79" s="165"/>
      <c r="M79" s="165"/>
      <c r="N79" s="165"/>
      <c r="O79" s="165"/>
      <c r="P79" s="165"/>
      <c r="Q79" s="165"/>
      <c r="R79" s="165"/>
      <c r="S79" s="165"/>
      <c r="T79" s="165"/>
      <c r="U79" s="165"/>
      <c r="V79" s="165"/>
      <c r="W79" s="165"/>
      <c r="X79" s="165"/>
      <c r="Y79" s="165"/>
      <c r="Z79" s="165"/>
    </row>
    <row r="80">
      <c r="A80" s="165"/>
      <c r="B80" s="165"/>
      <c r="C80" s="165"/>
      <c r="D80" s="165"/>
      <c r="E80" s="165"/>
      <c r="F80" s="165"/>
      <c r="G80" s="165"/>
      <c r="H80" s="165"/>
      <c r="I80" s="165"/>
      <c r="J80" s="165"/>
      <c r="K80" s="165"/>
      <c r="L80" s="165"/>
      <c r="M80" s="165"/>
      <c r="N80" s="165"/>
      <c r="O80" s="165"/>
      <c r="P80" s="165"/>
      <c r="Q80" s="165"/>
      <c r="R80" s="165"/>
      <c r="S80" s="165"/>
      <c r="T80" s="165"/>
      <c r="U80" s="165"/>
      <c r="V80" s="165"/>
      <c r="W80" s="165"/>
      <c r="X80" s="165"/>
      <c r="Y80" s="165"/>
      <c r="Z80" s="165"/>
    </row>
    <row r="81">
      <c r="A81" s="165"/>
      <c r="B81" s="165"/>
      <c r="C81" s="165"/>
      <c r="D81" s="165"/>
      <c r="E81" s="165"/>
      <c r="F81" s="165"/>
      <c r="G81" s="165"/>
      <c r="H81" s="165"/>
      <c r="I81" s="165"/>
      <c r="J81" s="165"/>
      <c r="K81" s="165"/>
      <c r="L81" s="165"/>
      <c r="M81" s="165"/>
      <c r="N81" s="165"/>
      <c r="O81" s="165"/>
      <c r="P81" s="165"/>
      <c r="Q81" s="165"/>
      <c r="R81" s="165"/>
      <c r="S81" s="165"/>
      <c r="T81" s="165"/>
      <c r="U81" s="165"/>
      <c r="V81" s="165"/>
      <c r="W81" s="165"/>
      <c r="X81" s="165"/>
      <c r="Y81" s="165"/>
      <c r="Z81" s="165"/>
    </row>
    <row r="82">
      <c r="A82" s="165"/>
      <c r="B82" s="165"/>
      <c r="C82" s="165"/>
      <c r="D82" s="165"/>
      <c r="E82" s="165"/>
      <c r="F82" s="165"/>
      <c r="G82" s="165"/>
      <c r="H82" s="165"/>
      <c r="I82" s="165"/>
      <c r="J82" s="165"/>
      <c r="K82" s="165"/>
      <c r="L82" s="165"/>
      <c r="M82" s="165"/>
      <c r="N82" s="165"/>
      <c r="O82" s="165"/>
      <c r="P82" s="165"/>
      <c r="Q82" s="165"/>
      <c r="R82" s="165"/>
      <c r="S82" s="165"/>
      <c r="T82" s="165"/>
      <c r="U82" s="165"/>
      <c r="V82" s="165"/>
      <c r="W82" s="165"/>
      <c r="X82" s="165"/>
      <c r="Y82" s="165"/>
      <c r="Z82" s="165"/>
    </row>
    <row r="83">
      <c r="A83" s="165"/>
      <c r="B83" s="165"/>
      <c r="C83" s="165"/>
      <c r="D83" s="165"/>
      <c r="E83" s="165"/>
      <c r="F83" s="165"/>
      <c r="G83" s="165"/>
      <c r="H83" s="165"/>
      <c r="I83" s="165"/>
      <c r="J83" s="165"/>
      <c r="K83" s="165"/>
      <c r="L83" s="165"/>
      <c r="M83" s="165"/>
      <c r="N83" s="165"/>
      <c r="O83" s="165"/>
      <c r="P83" s="165"/>
      <c r="Q83" s="165"/>
      <c r="R83" s="165"/>
      <c r="S83" s="165"/>
      <c r="T83" s="165"/>
      <c r="U83" s="165"/>
      <c r="V83" s="165"/>
      <c r="W83" s="165"/>
      <c r="X83" s="165"/>
      <c r="Y83" s="165"/>
      <c r="Z83" s="165"/>
    </row>
    <row r="84">
      <c r="A84" s="165"/>
      <c r="B84" s="165"/>
      <c r="C84" s="165"/>
      <c r="D84" s="165"/>
      <c r="E84" s="165"/>
      <c r="F84" s="165"/>
      <c r="G84" s="165"/>
      <c r="H84" s="165"/>
      <c r="I84" s="165"/>
      <c r="J84" s="165"/>
      <c r="K84" s="165"/>
      <c r="L84" s="165"/>
      <c r="M84" s="165"/>
      <c r="N84" s="165"/>
      <c r="O84" s="165"/>
      <c r="P84" s="165"/>
      <c r="Q84" s="165"/>
      <c r="R84" s="165"/>
      <c r="S84" s="165"/>
      <c r="T84" s="165"/>
      <c r="U84" s="165"/>
      <c r="V84" s="165"/>
      <c r="W84" s="165"/>
      <c r="X84" s="165"/>
      <c r="Y84" s="165"/>
      <c r="Z84" s="165"/>
    </row>
    <row r="85">
      <c r="A85" s="165"/>
      <c r="B85" s="165"/>
      <c r="C85" s="165"/>
      <c r="D85" s="165"/>
      <c r="E85" s="165"/>
      <c r="F85" s="165"/>
      <c r="G85" s="165"/>
      <c r="H85" s="165"/>
      <c r="I85" s="165"/>
      <c r="J85" s="165"/>
      <c r="K85" s="165"/>
      <c r="L85" s="165"/>
      <c r="M85" s="165"/>
      <c r="N85" s="165"/>
      <c r="O85" s="165"/>
      <c r="P85" s="165"/>
      <c r="Q85" s="165"/>
      <c r="R85" s="165"/>
      <c r="S85" s="165"/>
      <c r="T85" s="165"/>
      <c r="U85" s="165"/>
      <c r="V85" s="165"/>
      <c r="W85" s="165"/>
      <c r="X85" s="165"/>
      <c r="Y85" s="165"/>
      <c r="Z85" s="165"/>
    </row>
    <row r="86">
      <c r="A86" s="165"/>
      <c r="B86" s="165"/>
      <c r="C86" s="165"/>
      <c r="D86" s="165"/>
      <c r="E86" s="165"/>
      <c r="F86" s="165"/>
      <c r="G86" s="165"/>
      <c r="H86" s="165"/>
      <c r="I86" s="165"/>
      <c r="J86" s="165"/>
      <c r="K86" s="165"/>
      <c r="L86" s="165"/>
      <c r="M86" s="165"/>
      <c r="N86" s="165"/>
      <c r="O86" s="165"/>
      <c r="P86" s="165"/>
      <c r="Q86" s="165"/>
      <c r="R86" s="165"/>
      <c r="S86" s="165"/>
      <c r="T86" s="165"/>
      <c r="U86" s="165"/>
      <c r="V86" s="165"/>
      <c r="W86" s="165"/>
      <c r="X86" s="165"/>
      <c r="Y86" s="165"/>
      <c r="Z86" s="165"/>
    </row>
    <row r="87">
      <c r="A87" s="165"/>
      <c r="B87" s="165"/>
      <c r="C87" s="165"/>
      <c r="D87" s="165"/>
      <c r="E87" s="165"/>
      <c r="F87" s="165"/>
      <c r="G87" s="165"/>
      <c r="H87" s="165"/>
      <c r="I87" s="165"/>
      <c r="J87" s="165"/>
      <c r="K87" s="165"/>
      <c r="L87" s="165"/>
      <c r="M87" s="165"/>
      <c r="N87" s="165"/>
      <c r="O87" s="165"/>
      <c r="P87" s="165"/>
      <c r="Q87" s="165"/>
      <c r="R87" s="165"/>
      <c r="S87" s="165"/>
      <c r="T87" s="165"/>
      <c r="U87" s="165"/>
      <c r="V87" s="165"/>
      <c r="W87" s="165"/>
      <c r="X87" s="165"/>
      <c r="Y87" s="165"/>
      <c r="Z87" s="165"/>
    </row>
    <row r="88">
      <c r="A88" s="165"/>
      <c r="B88" s="165"/>
      <c r="C88" s="165"/>
      <c r="D88" s="165"/>
      <c r="E88" s="165"/>
      <c r="F88" s="165"/>
      <c r="G88" s="165"/>
      <c r="H88" s="165"/>
      <c r="I88" s="165"/>
      <c r="J88" s="165"/>
      <c r="K88" s="165"/>
      <c r="L88" s="165"/>
      <c r="M88" s="165"/>
      <c r="N88" s="165"/>
      <c r="O88" s="165"/>
      <c r="P88" s="165"/>
      <c r="Q88" s="165"/>
      <c r="R88" s="165"/>
      <c r="S88" s="165"/>
      <c r="T88" s="165"/>
      <c r="U88" s="165"/>
      <c r="V88" s="165"/>
      <c r="W88" s="165"/>
      <c r="X88" s="165"/>
      <c r="Y88" s="165"/>
      <c r="Z88" s="165"/>
    </row>
    <row r="89">
      <c r="A89" s="165"/>
      <c r="B89" s="165"/>
      <c r="C89" s="165"/>
      <c r="D89" s="165"/>
      <c r="E89" s="165"/>
      <c r="F89" s="165"/>
      <c r="G89" s="165"/>
      <c r="H89" s="165"/>
      <c r="I89" s="165"/>
      <c r="J89" s="165"/>
      <c r="K89" s="165"/>
      <c r="L89" s="165"/>
      <c r="M89" s="165"/>
      <c r="N89" s="165"/>
      <c r="O89" s="165"/>
      <c r="P89" s="165"/>
      <c r="Q89" s="165"/>
      <c r="R89" s="165"/>
      <c r="S89" s="165"/>
      <c r="T89" s="165"/>
      <c r="U89" s="165"/>
      <c r="V89" s="165"/>
      <c r="W89" s="165"/>
      <c r="X89" s="165"/>
      <c r="Y89" s="165"/>
      <c r="Z89" s="165"/>
    </row>
    <row r="90">
      <c r="A90" s="165"/>
      <c r="B90" s="165"/>
      <c r="C90" s="165"/>
      <c r="D90" s="165"/>
      <c r="E90" s="165"/>
      <c r="F90" s="165"/>
      <c r="G90" s="165"/>
      <c r="H90" s="165"/>
      <c r="I90" s="165"/>
      <c r="J90" s="165"/>
      <c r="K90" s="165"/>
      <c r="L90" s="165"/>
      <c r="M90" s="165"/>
      <c r="N90" s="165"/>
      <c r="O90" s="165"/>
      <c r="P90" s="165"/>
      <c r="Q90" s="165"/>
      <c r="R90" s="165"/>
      <c r="S90" s="165"/>
      <c r="T90" s="165"/>
      <c r="U90" s="165"/>
      <c r="V90" s="165"/>
      <c r="W90" s="165"/>
      <c r="X90" s="165"/>
      <c r="Y90" s="165"/>
      <c r="Z90" s="165"/>
    </row>
    <row r="91">
      <c r="A91" s="165"/>
      <c r="B91" s="165"/>
      <c r="C91" s="165"/>
      <c r="D91" s="165"/>
      <c r="E91" s="165"/>
      <c r="F91" s="165"/>
      <c r="G91" s="165"/>
      <c r="H91" s="165"/>
      <c r="I91" s="165"/>
      <c r="J91" s="165"/>
      <c r="K91" s="165"/>
      <c r="L91" s="165"/>
      <c r="M91" s="165"/>
      <c r="N91" s="165"/>
      <c r="O91" s="165"/>
      <c r="P91" s="165"/>
      <c r="Q91" s="165"/>
      <c r="R91" s="165"/>
      <c r="S91" s="165"/>
      <c r="T91" s="165"/>
      <c r="U91" s="165"/>
      <c r="V91" s="165"/>
      <c r="W91" s="165"/>
      <c r="X91" s="165"/>
      <c r="Y91" s="165"/>
      <c r="Z91" s="165"/>
    </row>
    <row r="92">
      <c r="A92" s="165"/>
      <c r="B92" s="165"/>
      <c r="C92" s="165"/>
      <c r="D92" s="165"/>
      <c r="E92" s="165"/>
      <c r="F92" s="165"/>
      <c r="G92" s="165"/>
      <c r="H92" s="165"/>
      <c r="I92" s="165"/>
      <c r="J92" s="165"/>
      <c r="K92" s="165"/>
      <c r="L92" s="165"/>
      <c r="M92" s="165"/>
      <c r="N92" s="165"/>
      <c r="O92" s="165"/>
      <c r="P92" s="165"/>
      <c r="Q92" s="165"/>
      <c r="R92" s="165"/>
      <c r="S92" s="165"/>
      <c r="T92" s="165"/>
      <c r="U92" s="165"/>
      <c r="V92" s="165"/>
      <c r="W92" s="165"/>
      <c r="X92" s="165"/>
      <c r="Y92" s="165"/>
      <c r="Z92" s="165"/>
    </row>
    <row r="93">
      <c r="A93" s="165"/>
      <c r="B93" s="165"/>
      <c r="C93" s="165"/>
      <c r="D93" s="165"/>
      <c r="E93" s="165"/>
      <c r="F93" s="165"/>
      <c r="G93" s="165"/>
      <c r="H93" s="165"/>
      <c r="I93" s="165"/>
      <c r="J93" s="165"/>
      <c r="K93" s="165"/>
      <c r="L93" s="165"/>
      <c r="M93" s="165"/>
      <c r="N93" s="165"/>
      <c r="O93" s="165"/>
      <c r="P93" s="165"/>
      <c r="Q93" s="165"/>
      <c r="R93" s="165"/>
      <c r="S93" s="165"/>
      <c r="T93" s="165"/>
      <c r="U93" s="165"/>
      <c r="V93" s="165"/>
      <c r="W93" s="165"/>
      <c r="X93" s="165"/>
      <c r="Y93" s="165"/>
      <c r="Z93" s="165"/>
    </row>
    <row r="94">
      <c r="A94" s="165"/>
      <c r="B94" s="165"/>
      <c r="C94" s="165"/>
      <c r="D94" s="165"/>
      <c r="E94" s="165"/>
      <c r="F94" s="165"/>
      <c r="G94" s="165"/>
      <c r="H94" s="165"/>
      <c r="I94" s="165"/>
      <c r="J94" s="165"/>
      <c r="K94" s="165"/>
      <c r="L94" s="165"/>
      <c r="M94" s="165"/>
      <c r="N94" s="165"/>
      <c r="O94" s="165"/>
      <c r="P94" s="165"/>
      <c r="Q94" s="165"/>
      <c r="R94" s="165"/>
      <c r="S94" s="165"/>
      <c r="T94" s="165"/>
      <c r="U94" s="165"/>
      <c r="V94" s="165"/>
      <c r="W94" s="165"/>
      <c r="X94" s="165"/>
      <c r="Y94" s="165"/>
      <c r="Z94" s="165"/>
    </row>
    <row r="95">
      <c r="A95" s="165"/>
      <c r="B95" s="165"/>
      <c r="C95" s="165"/>
      <c r="D95" s="165"/>
      <c r="E95" s="165"/>
      <c r="F95" s="165"/>
      <c r="G95" s="165"/>
      <c r="H95" s="165"/>
      <c r="I95" s="165"/>
      <c r="J95" s="165"/>
      <c r="K95" s="165"/>
      <c r="L95" s="165"/>
      <c r="M95" s="165"/>
      <c r="N95" s="165"/>
      <c r="O95" s="165"/>
      <c r="P95" s="165"/>
      <c r="Q95" s="165"/>
      <c r="R95" s="165"/>
      <c r="S95" s="165"/>
      <c r="T95" s="165"/>
      <c r="U95" s="165"/>
      <c r="V95" s="165"/>
      <c r="W95" s="165"/>
      <c r="X95" s="165"/>
      <c r="Y95" s="165"/>
      <c r="Z95" s="165"/>
    </row>
    <row r="96">
      <c r="A96" s="165"/>
      <c r="B96" s="165"/>
      <c r="C96" s="165"/>
      <c r="D96" s="165"/>
      <c r="E96" s="165"/>
      <c r="F96" s="165"/>
      <c r="G96" s="165"/>
      <c r="H96" s="165"/>
      <c r="I96" s="165"/>
      <c r="J96" s="165"/>
      <c r="K96" s="165"/>
      <c r="L96" s="165"/>
      <c r="M96" s="165"/>
      <c r="N96" s="165"/>
      <c r="O96" s="165"/>
      <c r="P96" s="165"/>
      <c r="Q96" s="165"/>
      <c r="R96" s="165"/>
      <c r="S96" s="165"/>
      <c r="T96" s="165"/>
      <c r="U96" s="165"/>
      <c r="V96" s="165"/>
      <c r="W96" s="165"/>
      <c r="X96" s="165"/>
      <c r="Y96" s="165"/>
      <c r="Z96" s="165"/>
    </row>
    <row r="97">
      <c r="A97" s="165"/>
      <c r="B97" s="165"/>
      <c r="C97" s="165"/>
      <c r="D97" s="165"/>
      <c r="E97" s="165"/>
      <c r="F97" s="165"/>
      <c r="G97" s="165"/>
      <c r="H97" s="165"/>
      <c r="I97" s="165"/>
      <c r="J97" s="165"/>
      <c r="K97" s="165"/>
      <c r="L97" s="165"/>
      <c r="M97" s="165"/>
      <c r="N97" s="165"/>
      <c r="O97" s="165"/>
      <c r="P97" s="165"/>
      <c r="Q97" s="165"/>
      <c r="R97" s="165"/>
      <c r="S97" s="165"/>
      <c r="T97" s="165"/>
      <c r="U97" s="165"/>
      <c r="V97" s="165"/>
      <c r="W97" s="165"/>
      <c r="X97" s="165"/>
      <c r="Y97" s="165"/>
      <c r="Z97" s="165"/>
    </row>
    <row r="98">
      <c r="A98" s="165"/>
      <c r="B98" s="165"/>
      <c r="C98" s="165"/>
      <c r="D98" s="165"/>
      <c r="E98" s="165"/>
      <c r="F98" s="165"/>
      <c r="G98" s="165"/>
      <c r="H98" s="165"/>
      <c r="I98" s="165"/>
      <c r="J98" s="165"/>
      <c r="K98" s="165"/>
      <c r="L98" s="165"/>
      <c r="M98" s="165"/>
      <c r="N98" s="165"/>
      <c r="O98" s="165"/>
      <c r="P98" s="165"/>
      <c r="Q98" s="165"/>
      <c r="R98" s="165"/>
      <c r="S98" s="165"/>
      <c r="T98" s="165"/>
      <c r="U98" s="165"/>
      <c r="V98" s="165"/>
      <c r="W98" s="165"/>
      <c r="X98" s="165"/>
      <c r="Y98" s="165"/>
      <c r="Z98" s="165"/>
    </row>
    <row r="99">
      <c r="A99" s="165"/>
      <c r="B99" s="165"/>
      <c r="C99" s="165"/>
      <c r="D99" s="165"/>
      <c r="E99" s="165"/>
      <c r="F99" s="165"/>
      <c r="G99" s="165"/>
      <c r="H99" s="165"/>
      <c r="I99" s="165"/>
      <c r="J99" s="165"/>
      <c r="K99" s="165"/>
      <c r="L99" s="165"/>
      <c r="M99" s="165"/>
      <c r="N99" s="165"/>
      <c r="O99" s="165"/>
      <c r="P99" s="165"/>
      <c r="Q99" s="165"/>
      <c r="R99" s="165"/>
      <c r="S99" s="165"/>
      <c r="T99" s="165"/>
      <c r="U99" s="165"/>
      <c r="V99" s="165"/>
      <c r="W99" s="165"/>
      <c r="X99" s="165"/>
      <c r="Y99" s="165"/>
      <c r="Z99" s="165"/>
    </row>
    <row r="100">
      <c r="A100" s="165"/>
      <c r="B100" s="165"/>
      <c r="C100" s="165"/>
      <c r="D100" s="165"/>
      <c r="E100" s="165"/>
      <c r="F100" s="165"/>
      <c r="G100" s="165"/>
      <c r="H100" s="165"/>
      <c r="I100" s="165"/>
      <c r="J100" s="165"/>
      <c r="K100" s="165"/>
      <c r="L100" s="165"/>
      <c r="M100" s="165"/>
      <c r="N100" s="165"/>
      <c r="O100" s="165"/>
      <c r="P100" s="165"/>
      <c r="Q100" s="165"/>
      <c r="R100" s="165"/>
      <c r="S100" s="165"/>
      <c r="T100" s="165"/>
      <c r="U100" s="165"/>
      <c r="V100" s="165"/>
      <c r="W100" s="165"/>
      <c r="X100" s="165"/>
      <c r="Y100" s="165"/>
      <c r="Z100" s="165"/>
    </row>
    <row r="101">
      <c r="A101" s="165"/>
      <c r="B101" s="165"/>
      <c r="C101" s="165"/>
      <c r="D101" s="165"/>
      <c r="E101" s="165"/>
      <c r="F101" s="165"/>
      <c r="G101" s="165"/>
      <c r="H101" s="165"/>
      <c r="I101" s="165"/>
      <c r="J101" s="165"/>
      <c r="K101" s="165"/>
      <c r="L101" s="165"/>
      <c r="M101" s="165"/>
      <c r="N101" s="165"/>
      <c r="O101" s="165"/>
      <c r="P101" s="165"/>
      <c r="Q101" s="165"/>
      <c r="R101" s="165"/>
      <c r="S101" s="165"/>
      <c r="T101" s="165"/>
      <c r="U101" s="165"/>
      <c r="V101" s="165"/>
      <c r="W101" s="165"/>
      <c r="X101" s="165"/>
      <c r="Y101" s="165"/>
      <c r="Z101" s="165"/>
    </row>
    <row r="102">
      <c r="A102" s="165"/>
      <c r="B102" s="165"/>
      <c r="C102" s="165"/>
      <c r="D102" s="165"/>
      <c r="E102" s="165"/>
      <c r="F102" s="165"/>
      <c r="G102" s="165"/>
      <c r="H102" s="165"/>
      <c r="I102" s="165"/>
      <c r="J102" s="165"/>
      <c r="K102" s="165"/>
      <c r="L102" s="165"/>
      <c r="M102" s="165"/>
      <c r="N102" s="165"/>
      <c r="O102" s="165"/>
      <c r="P102" s="165"/>
      <c r="Q102" s="165"/>
      <c r="R102" s="165"/>
      <c r="S102" s="165"/>
      <c r="T102" s="165"/>
      <c r="U102" s="165"/>
      <c r="V102" s="165"/>
      <c r="W102" s="165"/>
      <c r="X102" s="165"/>
      <c r="Y102" s="165"/>
      <c r="Z102" s="165"/>
    </row>
    <row r="103">
      <c r="A103" s="165"/>
      <c r="B103" s="165"/>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row>
    <row r="104">
      <c r="A104" s="165"/>
      <c r="B104" s="165"/>
      <c r="C104" s="165"/>
      <c r="D104" s="165"/>
      <c r="E104" s="165"/>
      <c r="F104" s="165"/>
      <c r="G104" s="165"/>
      <c r="H104" s="165"/>
      <c r="I104" s="165"/>
      <c r="J104" s="165"/>
      <c r="K104" s="165"/>
      <c r="L104" s="165"/>
      <c r="M104" s="165"/>
      <c r="N104" s="165"/>
      <c r="O104" s="165"/>
      <c r="P104" s="165"/>
      <c r="Q104" s="165"/>
      <c r="R104" s="165"/>
      <c r="S104" s="165"/>
      <c r="T104" s="165"/>
      <c r="U104" s="165"/>
      <c r="V104" s="165"/>
      <c r="W104" s="165"/>
      <c r="X104" s="165"/>
      <c r="Y104" s="165"/>
      <c r="Z104" s="165"/>
    </row>
    <row r="105">
      <c r="A105" s="165"/>
      <c r="B105" s="165"/>
      <c r="C105" s="165"/>
      <c r="D105" s="165"/>
      <c r="E105" s="165"/>
      <c r="F105" s="165"/>
      <c r="G105" s="165"/>
      <c r="H105" s="165"/>
      <c r="I105" s="165"/>
      <c r="J105" s="165"/>
      <c r="K105" s="165"/>
      <c r="L105" s="165"/>
      <c r="M105" s="165"/>
      <c r="N105" s="165"/>
      <c r="O105" s="165"/>
      <c r="P105" s="165"/>
      <c r="Q105" s="165"/>
      <c r="R105" s="165"/>
      <c r="S105" s="165"/>
      <c r="T105" s="165"/>
      <c r="U105" s="165"/>
      <c r="V105" s="165"/>
      <c r="W105" s="165"/>
      <c r="X105" s="165"/>
      <c r="Y105" s="165"/>
      <c r="Z105" s="165"/>
    </row>
    <row r="106">
      <c r="A106" s="165"/>
      <c r="B106" s="165"/>
      <c r="C106" s="165"/>
      <c r="D106" s="165"/>
      <c r="E106" s="165"/>
      <c r="F106" s="165"/>
      <c r="G106" s="165"/>
      <c r="H106" s="165"/>
      <c r="I106" s="165"/>
      <c r="J106" s="165"/>
      <c r="K106" s="165"/>
      <c r="L106" s="165"/>
      <c r="M106" s="165"/>
      <c r="N106" s="165"/>
      <c r="O106" s="165"/>
      <c r="P106" s="165"/>
      <c r="Q106" s="165"/>
      <c r="R106" s="165"/>
      <c r="S106" s="165"/>
      <c r="T106" s="165"/>
      <c r="U106" s="165"/>
      <c r="V106" s="165"/>
      <c r="W106" s="165"/>
      <c r="X106" s="165"/>
      <c r="Y106" s="165"/>
      <c r="Z106" s="165"/>
    </row>
    <row r="107">
      <c r="A107" s="165"/>
      <c r="B107" s="165"/>
      <c r="C107" s="165"/>
      <c r="D107" s="165"/>
      <c r="E107" s="165"/>
      <c r="F107" s="165"/>
      <c r="G107" s="165"/>
      <c r="H107" s="165"/>
      <c r="I107" s="165"/>
      <c r="J107" s="165"/>
      <c r="K107" s="165"/>
      <c r="L107" s="165"/>
      <c r="M107" s="165"/>
      <c r="N107" s="165"/>
      <c r="O107" s="165"/>
      <c r="P107" s="165"/>
      <c r="Q107" s="165"/>
      <c r="R107" s="165"/>
      <c r="S107" s="165"/>
      <c r="T107" s="165"/>
      <c r="U107" s="165"/>
      <c r="V107" s="165"/>
      <c r="W107" s="165"/>
      <c r="X107" s="165"/>
      <c r="Y107" s="165"/>
      <c r="Z107" s="165"/>
    </row>
    <row r="108">
      <c r="A108" s="165"/>
      <c r="B108" s="165"/>
      <c r="C108" s="165"/>
      <c r="D108" s="165"/>
      <c r="E108" s="165"/>
      <c r="F108" s="165"/>
      <c r="G108" s="165"/>
      <c r="H108" s="165"/>
      <c r="I108" s="165"/>
      <c r="J108" s="165"/>
      <c r="K108" s="165"/>
      <c r="L108" s="165"/>
      <c r="M108" s="165"/>
      <c r="N108" s="165"/>
      <c r="O108" s="165"/>
      <c r="P108" s="165"/>
      <c r="Q108" s="165"/>
      <c r="R108" s="165"/>
      <c r="S108" s="165"/>
      <c r="T108" s="165"/>
      <c r="U108" s="165"/>
      <c r="V108" s="165"/>
      <c r="W108" s="165"/>
      <c r="X108" s="165"/>
      <c r="Y108" s="165"/>
      <c r="Z108" s="165"/>
    </row>
    <row r="109">
      <c r="A109" s="165"/>
      <c r="B109" s="165"/>
      <c r="C109" s="165"/>
      <c r="D109" s="165"/>
      <c r="E109" s="165"/>
      <c r="F109" s="165"/>
      <c r="G109" s="165"/>
      <c r="H109" s="165"/>
      <c r="I109" s="165"/>
      <c r="J109" s="165"/>
      <c r="K109" s="165"/>
      <c r="L109" s="165"/>
      <c r="M109" s="165"/>
      <c r="N109" s="165"/>
      <c r="O109" s="165"/>
      <c r="P109" s="165"/>
      <c r="Q109" s="165"/>
      <c r="R109" s="165"/>
      <c r="S109" s="165"/>
      <c r="T109" s="165"/>
      <c r="U109" s="165"/>
      <c r="V109" s="165"/>
      <c r="W109" s="165"/>
      <c r="X109" s="165"/>
      <c r="Y109" s="165"/>
      <c r="Z109" s="165"/>
    </row>
    <row r="110">
      <c r="A110" s="165"/>
      <c r="B110" s="165"/>
      <c r="C110" s="165"/>
      <c r="D110" s="165"/>
      <c r="E110" s="165"/>
      <c r="F110" s="165"/>
      <c r="G110" s="165"/>
      <c r="H110" s="165"/>
      <c r="I110" s="165"/>
      <c r="J110" s="165"/>
      <c r="K110" s="165"/>
      <c r="L110" s="165"/>
      <c r="M110" s="165"/>
      <c r="N110" s="165"/>
      <c r="O110" s="165"/>
      <c r="P110" s="165"/>
      <c r="Q110" s="165"/>
      <c r="R110" s="165"/>
      <c r="S110" s="165"/>
      <c r="T110" s="165"/>
      <c r="U110" s="165"/>
      <c r="V110" s="165"/>
      <c r="W110" s="165"/>
      <c r="X110" s="165"/>
      <c r="Y110" s="165"/>
      <c r="Z110" s="165"/>
    </row>
    <row r="111">
      <c r="A111" s="165"/>
      <c r="B111" s="165"/>
      <c r="C111" s="165"/>
      <c r="D111" s="165"/>
      <c r="E111" s="165"/>
      <c r="F111" s="165"/>
      <c r="G111" s="165"/>
      <c r="H111" s="165"/>
      <c r="I111" s="165"/>
      <c r="J111" s="165"/>
      <c r="K111" s="165"/>
      <c r="L111" s="165"/>
      <c r="M111" s="165"/>
      <c r="N111" s="165"/>
      <c r="O111" s="165"/>
      <c r="P111" s="165"/>
      <c r="Q111" s="165"/>
      <c r="R111" s="165"/>
      <c r="S111" s="165"/>
      <c r="T111" s="165"/>
      <c r="U111" s="165"/>
      <c r="V111" s="165"/>
      <c r="W111" s="165"/>
      <c r="X111" s="165"/>
      <c r="Y111" s="165"/>
      <c r="Z111" s="165"/>
    </row>
    <row r="112">
      <c r="A112" s="165"/>
      <c r="B112" s="165"/>
      <c r="C112" s="165"/>
      <c r="D112" s="165"/>
      <c r="E112" s="165"/>
      <c r="F112" s="165"/>
      <c r="G112" s="165"/>
      <c r="H112" s="165"/>
      <c r="I112" s="165"/>
      <c r="J112" s="165"/>
      <c r="K112" s="165"/>
      <c r="L112" s="165"/>
      <c r="M112" s="165"/>
      <c r="N112" s="165"/>
      <c r="O112" s="165"/>
      <c r="P112" s="165"/>
      <c r="Q112" s="165"/>
      <c r="R112" s="165"/>
      <c r="S112" s="165"/>
      <c r="T112" s="165"/>
      <c r="U112" s="165"/>
      <c r="V112" s="165"/>
      <c r="W112" s="165"/>
      <c r="X112" s="165"/>
      <c r="Y112" s="165"/>
      <c r="Z112" s="165"/>
    </row>
    <row r="113">
      <c r="A113" s="165"/>
      <c r="B113" s="165"/>
      <c r="C113" s="165"/>
      <c r="D113" s="165"/>
      <c r="E113" s="165"/>
      <c r="F113" s="165"/>
      <c r="G113" s="165"/>
      <c r="H113" s="165"/>
      <c r="I113" s="165"/>
      <c r="J113" s="165"/>
      <c r="K113" s="165"/>
      <c r="L113" s="165"/>
      <c r="M113" s="165"/>
      <c r="N113" s="165"/>
      <c r="O113" s="165"/>
      <c r="P113" s="165"/>
      <c r="Q113" s="165"/>
      <c r="R113" s="165"/>
      <c r="S113" s="165"/>
      <c r="T113" s="165"/>
      <c r="U113" s="165"/>
      <c r="V113" s="165"/>
      <c r="W113" s="165"/>
      <c r="X113" s="165"/>
      <c r="Y113" s="165"/>
      <c r="Z113" s="165"/>
    </row>
    <row r="114">
      <c r="A114" s="165"/>
      <c r="B114" s="165"/>
      <c r="C114" s="165"/>
      <c r="D114" s="165"/>
      <c r="E114" s="165"/>
      <c r="F114" s="165"/>
      <c r="G114" s="165"/>
      <c r="H114" s="165"/>
      <c r="I114" s="165"/>
      <c r="J114" s="165"/>
      <c r="K114" s="165"/>
      <c r="L114" s="165"/>
      <c r="M114" s="165"/>
      <c r="N114" s="165"/>
      <c r="O114" s="165"/>
      <c r="P114" s="165"/>
      <c r="Q114" s="165"/>
      <c r="R114" s="165"/>
      <c r="S114" s="165"/>
      <c r="T114" s="165"/>
      <c r="U114" s="165"/>
      <c r="V114" s="165"/>
      <c r="W114" s="165"/>
      <c r="X114" s="165"/>
      <c r="Y114" s="165"/>
      <c r="Z114" s="165"/>
    </row>
    <row r="115">
      <c r="A115" s="165"/>
      <c r="B115" s="165"/>
      <c r="C115" s="165"/>
      <c r="D115" s="165"/>
      <c r="E115" s="165"/>
      <c r="F115" s="165"/>
      <c r="G115" s="165"/>
      <c r="H115" s="165"/>
      <c r="I115" s="165"/>
      <c r="J115" s="165"/>
      <c r="K115" s="165"/>
      <c r="L115" s="165"/>
      <c r="M115" s="165"/>
      <c r="N115" s="165"/>
      <c r="O115" s="165"/>
      <c r="P115" s="165"/>
      <c r="Q115" s="165"/>
      <c r="R115" s="165"/>
      <c r="S115" s="165"/>
      <c r="T115" s="165"/>
      <c r="U115" s="165"/>
      <c r="V115" s="165"/>
      <c r="W115" s="165"/>
      <c r="X115" s="165"/>
      <c r="Y115" s="165"/>
      <c r="Z115" s="165"/>
    </row>
    <row r="116">
      <c r="A116" s="165"/>
      <c r="B116" s="165"/>
      <c r="C116" s="165"/>
      <c r="D116" s="165"/>
      <c r="E116" s="165"/>
      <c r="F116" s="165"/>
      <c r="G116" s="165"/>
      <c r="H116" s="165"/>
      <c r="I116" s="165"/>
      <c r="J116" s="165"/>
      <c r="K116" s="165"/>
      <c r="L116" s="165"/>
      <c r="M116" s="165"/>
      <c r="N116" s="165"/>
      <c r="O116" s="165"/>
      <c r="P116" s="165"/>
      <c r="Q116" s="165"/>
      <c r="R116" s="165"/>
      <c r="S116" s="165"/>
      <c r="T116" s="165"/>
      <c r="U116" s="165"/>
      <c r="V116" s="165"/>
      <c r="W116" s="165"/>
      <c r="X116" s="165"/>
      <c r="Y116" s="165"/>
      <c r="Z116" s="165"/>
    </row>
    <row r="117">
      <c r="A117" s="165"/>
      <c r="B117" s="165"/>
      <c r="C117" s="165"/>
      <c r="D117" s="165"/>
      <c r="E117" s="165"/>
      <c r="F117" s="165"/>
      <c r="G117" s="165"/>
      <c r="H117" s="165"/>
      <c r="I117" s="165"/>
      <c r="J117" s="165"/>
      <c r="K117" s="165"/>
      <c r="L117" s="165"/>
      <c r="M117" s="165"/>
      <c r="N117" s="165"/>
      <c r="O117" s="165"/>
      <c r="P117" s="165"/>
      <c r="Q117" s="165"/>
      <c r="R117" s="165"/>
      <c r="S117" s="165"/>
      <c r="T117" s="165"/>
      <c r="U117" s="165"/>
      <c r="V117" s="165"/>
      <c r="W117" s="165"/>
      <c r="X117" s="165"/>
      <c r="Y117" s="165"/>
      <c r="Z117" s="165"/>
    </row>
    <row r="118">
      <c r="A118" s="165"/>
      <c r="B118" s="165"/>
      <c r="C118" s="165"/>
      <c r="D118" s="165"/>
      <c r="E118" s="165"/>
      <c r="F118" s="165"/>
      <c r="G118" s="165"/>
      <c r="H118" s="165"/>
      <c r="I118" s="165"/>
      <c r="J118" s="165"/>
      <c r="K118" s="165"/>
      <c r="L118" s="165"/>
      <c r="M118" s="165"/>
      <c r="N118" s="165"/>
      <c r="O118" s="165"/>
      <c r="P118" s="165"/>
      <c r="Q118" s="165"/>
      <c r="R118" s="165"/>
      <c r="S118" s="165"/>
      <c r="T118" s="165"/>
      <c r="U118" s="165"/>
      <c r="V118" s="165"/>
      <c r="W118" s="165"/>
      <c r="X118" s="165"/>
      <c r="Y118" s="165"/>
      <c r="Z118" s="165"/>
    </row>
    <row r="119">
      <c r="A119" s="165"/>
      <c r="B119" s="165"/>
      <c r="C119" s="165"/>
      <c r="D119" s="165"/>
      <c r="E119" s="165"/>
      <c r="F119" s="165"/>
      <c r="G119" s="165"/>
      <c r="H119" s="165"/>
      <c r="I119" s="165"/>
      <c r="J119" s="165"/>
      <c r="K119" s="165"/>
      <c r="L119" s="165"/>
      <c r="M119" s="165"/>
      <c r="N119" s="165"/>
      <c r="O119" s="165"/>
      <c r="P119" s="165"/>
      <c r="Q119" s="165"/>
      <c r="R119" s="165"/>
      <c r="S119" s="165"/>
      <c r="T119" s="165"/>
      <c r="U119" s="165"/>
      <c r="V119" s="165"/>
      <c r="W119" s="165"/>
      <c r="X119" s="165"/>
      <c r="Y119" s="165"/>
      <c r="Z119" s="165"/>
    </row>
    <row r="120">
      <c r="A120" s="165"/>
      <c r="B120" s="165"/>
      <c r="C120" s="165"/>
      <c r="D120" s="165"/>
      <c r="E120" s="165"/>
      <c r="F120" s="165"/>
      <c r="G120" s="165"/>
      <c r="H120" s="165"/>
      <c r="I120" s="165"/>
      <c r="J120" s="165"/>
      <c r="K120" s="165"/>
      <c r="L120" s="165"/>
      <c r="M120" s="165"/>
      <c r="N120" s="165"/>
      <c r="O120" s="165"/>
      <c r="P120" s="165"/>
      <c r="Q120" s="165"/>
      <c r="R120" s="165"/>
      <c r="S120" s="165"/>
      <c r="T120" s="165"/>
      <c r="U120" s="165"/>
      <c r="V120" s="165"/>
      <c r="W120" s="165"/>
      <c r="X120" s="165"/>
      <c r="Y120" s="165"/>
      <c r="Z120" s="165"/>
    </row>
    <row r="121">
      <c r="A121" s="165"/>
      <c r="B121" s="165"/>
      <c r="C121" s="165"/>
      <c r="D121" s="165"/>
      <c r="E121" s="165"/>
      <c r="F121" s="165"/>
      <c r="G121" s="165"/>
      <c r="H121" s="165"/>
      <c r="I121" s="165"/>
      <c r="J121" s="165"/>
      <c r="K121" s="165"/>
      <c r="L121" s="165"/>
      <c r="M121" s="165"/>
      <c r="N121" s="165"/>
      <c r="O121" s="165"/>
      <c r="P121" s="165"/>
      <c r="Q121" s="165"/>
      <c r="R121" s="165"/>
      <c r="S121" s="165"/>
      <c r="T121" s="165"/>
      <c r="U121" s="165"/>
      <c r="V121" s="165"/>
      <c r="W121" s="165"/>
      <c r="X121" s="165"/>
      <c r="Y121" s="165"/>
      <c r="Z121" s="165"/>
    </row>
    <row r="122">
      <c r="A122" s="165"/>
      <c r="B122" s="165"/>
      <c r="C122" s="165"/>
      <c r="D122" s="165"/>
      <c r="E122" s="165"/>
      <c r="F122" s="165"/>
      <c r="G122" s="165"/>
      <c r="H122" s="165"/>
      <c r="I122" s="165"/>
      <c r="J122" s="165"/>
      <c r="K122" s="165"/>
      <c r="L122" s="165"/>
      <c r="M122" s="165"/>
      <c r="N122" s="165"/>
      <c r="O122" s="165"/>
      <c r="P122" s="165"/>
      <c r="Q122" s="165"/>
      <c r="R122" s="165"/>
      <c r="S122" s="165"/>
      <c r="T122" s="165"/>
      <c r="U122" s="165"/>
      <c r="V122" s="165"/>
      <c r="W122" s="165"/>
      <c r="X122" s="165"/>
      <c r="Y122" s="165"/>
      <c r="Z122" s="165"/>
    </row>
    <row r="123">
      <c r="A123" s="165"/>
      <c r="B123" s="165"/>
      <c r="C123" s="165"/>
      <c r="D123" s="165"/>
      <c r="E123" s="165"/>
      <c r="F123" s="165"/>
      <c r="G123" s="165"/>
      <c r="H123" s="165"/>
      <c r="I123" s="165"/>
      <c r="J123" s="165"/>
      <c r="K123" s="165"/>
      <c r="L123" s="165"/>
      <c r="M123" s="165"/>
      <c r="N123" s="165"/>
      <c r="O123" s="165"/>
      <c r="P123" s="165"/>
      <c r="Q123" s="165"/>
      <c r="R123" s="165"/>
      <c r="S123" s="165"/>
      <c r="T123" s="165"/>
      <c r="U123" s="165"/>
      <c r="V123" s="165"/>
      <c r="W123" s="165"/>
      <c r="X123" s="165"/>
      <c r="Y123" s="165"/>
      <c r="Z123" s="165"/>
    </row>
    <row r="124">
      <c r="A124" s="165"/>
      <c r="B124" s="165"/>
      <c r="C124" s="165"/>
      <c r="D124" s="165"/>
      <c r="E124" s="165"/>
      <c r="F124" s="165"/>
      <c r="G124" s="165"/>
      <c r="H124" s="165"/>
      <c r="I124" s="165"/>
      <c r="J124" s="165"/>
      <c r="K124" s="165"/>
      <c r="L124" s="165"/>
      <c r="M124" s="165"/>
      <c r="N124" s="165"/>
      <c r="O124" s="165"/>
      <c r="P124" s="165"/>
      <c r="Q124" s="165"/>
      <c r="R124" s="165"/>
      <c r="S124" s="165"/>
      <c r="T124" s="165"/>
      <c r="U124" s="165"/>
      <c r="V124" s="165"/>
      <c r="W124" s="165"/>
      <c r="X124" s="165"/>
      <c r="Y124" s="165"/>
      <c r="Z124" s="165"/>
    </row>
    <row r="125">
      <c r="A125" s="165"/>
      <c r="B125" s="165"/>
      <c r="C125" s="165"/>
      <c r="D125" s="165"/>
      <c r="E125" s="165"/>
      <c r="F125" s="165"/>
      <c r="G125" s="165"/>
      <c r="H125" s="165"/>
      <c r="I125" s="165"/>
      <c r="J125" s="165"/>
      <c r="K125" s="165"/>
      <c r="L125" s="165"/>
      <c r="M125" s="165"/>
      <c r="N125" s="165"/>
      <c r="O125" s="165"/>
      <c r="P125" s="165"/>
      <c r="Q125" s="165"/>
      <c r="R125" s="165"/>
      <c r="S125" s="165"/>
      <c r="T125" s="165"/>
      <c r="U125" s="165"/>
      <c r="V125" s="165"/>
      <c r="W125" s="165"/>
      <c r="X125" s="165"/>
      <c r="Y125" s="165"/>
      <c r="Z125" s="165"/>
    </row>
    <row r="126">
      <c r="A126" s="165"/>
      <c r="B126" s="165"/>
      <c r="C126" s="165"/>
      <c r="D126" s="165"/>
      <c r="E126" s="165"/>
      <c r="F126" s="165"/>
      <c r="G126" s="165"/>
      <c r="H126" s="165"/>
      <c r="I126" s="165"/>
      <c r="J126" s="165"/>
      <c r="K126" s="165"/>
      <c r="L126" s="165"/>
      <c r="M126" s="165"/>
      <c r="N126" s="165"/>
      <c r="O126" s="165"/>
      <c r="P126" s="165"/>
      <c r="Q126" s="165"/>
      <c r="R126" s="165"/>
      <c r="S126" s="165"/>
      <c r="T126" s="165"/>
      <c r="U126" s="165"/>
      <c r="V126" s="165"/>
      <c r="W126" s="165"/>
      <c r="X126" s="165"/>
      <c r="Y126" s="165"/>
      <c r="Z126" s="165"/>
    </row>
    <row r="127">
      <c r="A127" s="165"/>
      <c r="B127" s="165"/>
      <c r="C127" s="165"/>
      <c r="D127" s="165"/>
      <c r="E127" s="165"/>
      <c r="F127" s="165"/>
      <c r="G127" s="165"/>
      <c r="H127" s="165"/>
      <c r="I127" s="165"/>
      <c r="J127" s="165"/>
      <c r="K127" s="165"/>
      <c r="L127" s="165"/>
      <c r="M127" s="165"/>
      <c r="N127" s="165"/>
      <c r="O127" s="165"/>
      <c r="P127" s="165"/>
      <c r="Q127" s="165"/>
      <c r="R127" s="165"/>
      <c r="S127" s="165"/>
      <c r="T127" s="165"/>
      <c r="U127" s="165"/>
      <c r="V127" s="165"/>
      <c r="W127" s="165"/>
      <c r="X127" s="165"/>
      <c r="Y127" s="165"/>
      <c r="Z127" s="165"/>
    </row>
    <row r="128">
      <c r="A128" s="165"/>
      <c r="B128" s="165"/>
      <c r="C128" s="165"/>
      <c r="D128" s="165"/>
      <c r="E128" s="165"/>
      <c r="F128" s="165"/>
      <c r="G128" s="165"/>
      <c r="H128" s="165"/>
      <c r="I128" s="165"/>
      <c r="J128" s="165"/>
      <c r="K128" s="165"/>
      <c r="L128" s="165"/>
      <c r="M128" s="165"/>
      <c r="N128" s="165"/>
      <c r="O128" s="165"/>
      <c r="P128" s="165"/>
      <c r="Q128" s="165"/>
      <c r="R128" s="165"/>
      <c r="S128" s="165"/>
      <c r="T128" s="165"/>
      <c r="U128" s="165"/>
      <c r="V128" s="165"/>
      <c r="W128" s="165"/>
      <c r="X128" s="165"/>
      <c r="Y128" s="165"/>
      <c r="Z128" s="165"/>
    </row>
    <row r="129">
      <c r="A129" s="165"/>
      <c r="B129" s="165"/>
      <c r="C129" s="165"/>
      <c r="D129" s="165"/>
      <c r="E129" s="165"/>
      <c r="F129" s="165"/>
      <c r="G129" s="165"/>
      <c r="H129" s="165"/>
      <c r="I129" s="165"/>
      <c r="J129" s="165"/>
      <c r="K129" s="165"/>
      <c r="L129" s="165"/>
      <c r="M129" s="165"/>
      <c r="N129" s="165"/>
      <c r="O129" s="165"/>
      <c r="P129" s="165"/>
      <c r="Q129" s="165"/>
      <c r="R129" s="165"/>
      <c r="S129" s="165"/>
      <c r="T129" s="165"/>
      <c r="U129" s="165"/>
      <c r="V129" s="165"/>
      <c r="W129" s="165"/>
      <c r="X129" s="165"/>
      <c r="Y129" s="165"/>
      <c r="Z129" s="165"/>
    </row>
    <row r="130">
      <c r="A130" s="165"/>
      <c r="B130" s="165"/>
      <c r="C130" s="165"/>
      <c r="D130" s="165"/>
      <c r="E130" s="165"/>
      <c r="F130" s="165"/>
      <c r="G130" s="165"/>
      <c r="H130" s="165"/>
      <c r="I130" s="165"/>
      <c r="J130" s="165"/>
      <c r="K130" s="165"/>
      <c r="L130" s="165"/>
      <c r="M130" s="165"/>
      <c r="N130" s="165"/>
      <c r="O130" s="165"/>
      <c r="P130" s="165"/>
      <c r="Q130" s="165"/>
      <c r="R130" s="165"/>
      <c r="S130" s="165"/>
      <c r="T130" s="165"/>
      <c r="U130" s="165"/>
      <c r="V130" s="165"/>
      <c r="W130" s="165"/>
      <c r="X130" s="165"/>
      <c r="Y130" s="165"/>
      <c r="Z130" s="165"/>
    </row>
    <row r="131">
      <c r="A131" s="165"/>
      <c r="B131" s="165"/>
      <c r="C131" s="165"/>
      <c r="D131" s="165"/>
      <c r="E131" s="165"/>
      <c r="F131" s="165"/>
      <c r="G131" s="165"/>
      <c r="H131" s="165"/>
      <c r="I131" s="165"/>
      <c r="J131" s="165"/>
      <c r="K131" s="165"/>
      <c r="L131" s="165"/>
      <c r="M131" s="165"/>
      <c r="N131" s="165"/>
      <c r="O131" s="165"/>
      <c r="P131" s="165"/>
      <c r="Q131" s="165"/>
      <c r="R131" s="165"/>
      <c r="S131" s="165"/>
      <c r="T131" s="165"/>
      <c r="U131" s="165"/>
      <c r="V131" s="165"/>
      <c r="W131" s="165"/>
      <c r="X131" s="165"/>
      <c r="Y131" s="165"/>
      <c r="Z131" s="165"/>
    </row>
    <row r="132">
      <c r="A132" s="165"/>
      <c r="B132" s="165"/>
      <c r="C132" s="165"/>
      <c r="D132" s="165"/>
      <c r="E132" s="165"/>
      <c r="F132" s="165"/>
      <c r="G132" s="165"/>
      <c r="H132" s="165"/>
      <c r="I132" s="165"/>
      <c r="J132" s="165"/>
      <c r="K132" s="165"/>
      <c r="L132" s="165"/>
      <c r="M132" s="165"/>
      <c r="N132" s="165"/>
      <c r="O132" s="165"/>
      <c r="P132" s="165"/>
      <c r="Q132" s="165"/>
      <c r="R132" s="165"/>
      <c r="S132" s="165"/>
      <c r="T132" s="165"/>
      <c r="U132" s="165"/>
      <c r="V132" s="165"/>
      <c r="W132" s="165"/>
      <c r="X132" s="165"/>
      <c r="Y132" s="165"/>
      <c r="Z132" s="165"/>
    </row>
    <row r="133">
      <c r="A133" s="165"/>
      <c r="B133" s="165"/>
      <c r="C133" s="165"/>
      <c r="D133" s="165"/>
      <c r="E133" s="165"/>
      <c r="F133" s="165"/>
      <c r="G133" s="165"/>
      <c r="H133" s="165"/>
      <c r="I133" s="165"/>
      <c r="J133" s="165"/>
      <c r="K133" s="165"/>
      <c r="L133" s="165"/>
      <c r="M133" s="165"/>
      <c r="N133" s="165"/>
      <c r="O133" s="165"/>
      <c r="P133" s="165"/>
      <c r="Q133" s="165"/>
      <c r="R133" s="165"/>
      <c r="S133" s="165"/>
      <c r="T133" s="165"/>
      <c r="U133" s="165"/>
      <c r="V133" s="165"/>
      <c r="W133" s="165"/>
      <c r="X133" s="165"/>
      <c r="Y133" s="165"/>
      <c r="Z133" s="165"/>
    </row>
    <row r="134">
      <c r="A134" s="165"/>
      <c r="B134" s="165"/>
      <c r="C134" s="165"/>
      <c r="D134" s="165"/>
      <c r="E134" s="165"/>
      <c r="F134" s="165"/>
      <c r="G134" s="165"/>
      <c r="H134" s="165"/>
      <c r="I134" s="165"/>
      <c r="J134" s="165"/>
      <c r="K134" s="165"/>
      <c r="L134" s="165"/>
      <c r="M134" s="165"/>
      <c r="N134" s="165"/>
      <c r="O134" s="165"/>
      <c r="P134" s="165"/>
      <c r="Q134" s="165"/>
      <c r="R134" s="165"/>
      <c r="S134" s="165"/>
      <c r="T134" s="165"/>
      <c r="U134" s="165"/>
      <c r="V134" s="165"/>
      <c r="W134" s="165"/>
      <c r="X134" s="165"/>
      <c r="Y134" s="165"/>
      <c r="Z134" s="165"/>
    </row>
    <row r="135">
      <c r="A135" s="165"/>
      <c r="B135" s="165"/>
      <c r="C135" s="165"/>
      <c r="D135" s="165"/>
      <c r="E135" s="165"/>
      <c r="F135" s="165"/>
      <c r="G135" s="165"/>
      <c r="H135" s="165"/>
      <c r="I135" s="165"/>
      <c r="J135" s="165"/>
      <c r="K135" s="165"/>
      <c r="L135" s="165"/>
      <c r="M135" s="165"/>
      <c r="N135" s="165"/>
      <c r="O135" s="165"/>
      <c r="P135" s="165"/>
      <c r="Q135" s="165"/>
      <c r="R135" s="165"/>
      <c r="S135" s="165"/>
      <c r="T135" s="165"/>
      <c r="U135" s="165"/>
      <c r="V135" s="165"/>
      <c r="W135" s="165"/>
      <c r="X135" s="165"/>
      <c r="Y135" s="165"/>
      <c r="Z135" s="165"/>
    </row>
    <row r="136">
      <c r="A136" s="165"/>
      <c r="B136" s="165"/>
      <c r="C136" s="165"/>
      <c r="D136" s="165"/>
      <c r="E136" s="165"/>
      <c r="F136" s="165"/>
      <c r="G136" s="165"/>
      <c r="H136" s="165"/>
      <c r="I136" s="165"/>
      <c r="J136" s="165"/>
      <c r="K136" s="165"/>
      <c r="L136" s="165"/>
      <c r="M136" s="165"/>
      <c r="N136" s="165"/>
      <c r="O136" s="165"/>
      <c r="P136" s="165"/>
      <c r="Q136" s="165"/>
      <c r="R136" s="165"/>
      <c r="S136" s="165"/>
      <c r="T136" s="165"/>
      <c r="U136" s="165"/>
      <c r="V136" s="165"/>
      <c r="W136" s="165"/>
      <c r="X136" s="165"/>
      <c r="Y136" s="165"/>
      <c r="Z136" s="165"/>
    </row>
    <row r="137">
      <c r="A137" s="165"/>
      <c r="B137" s="165"/>
      <c r="C137" s="165"/>
      <c r="D137" s="165"/>
      <c r="E137" s="165"/>
      <c r="F137" s="165"/>
      <c r="G137" s="165"/>
      <c r="H137" s="165"/>
      <c r="I137" s="165"/>
      <c r="J137" s="165"/>
      <c r="K137" s="165"/>
      <c r="L137" s="165"/>
      <c r="M137" s="165"/>
      <c r="N137" s="165"/>
      <c r="O137" s="165"/>
      <c r="P137" s="165"/>
      <c r="Q137" s="165"/>
      <c r="R137" s="165"/>
      <c r="S137" s="165"/>
      <c r="T137" s="165"/>
      <c r="U137" s="165"/>
      <c r="V137" s="165"/>
      <c r="W137" s="165"/>
      <c r="X137" s="165"/>
      <c r="Y137" s="165"/>
      <c r="Z137" s="165"/>
    </row>
    <row r="138">
      <c r="A138" s="165"/>
      <c r="B138" s="165"/>
      <c r="C138" s="165"/>
      <c r="D138" s="165"/>
      <c r="E138" s="165"/>
      <c r="F138" s="165"/>
      <c r="G138" s="165"/>
      <c r="H138" s="165"/>
      <c r="I138" s="165"/>
      <c r="J138" s="165"/>
      <c r="K138" s="165"/>
      <c r="L138" s="165"/>
      <c r="M138" s="165"/>
      <c r="N138" s="165"/>
      <c r="O138" s="165"/>
      <c r="P138" s="165"/>
      <c r="Q138" s="165"/>
      <c r="R138" s="165"/>
      <c r="S138" s="165"/>
      <c r="T138" s="165"/>
      <c r="U138" s="165"/>
      <c r="V138" s="165"/>
      <c r="W138" s="165"/>
      <c r="X138" s="165"/>
      <c r="Y138" s="165"/>
      <c r="Z138" s="165"/>
    </row>
    <row r="139">
      <c r="A139" s="165"/>
      <c r="B139" s="165"/>
      <c r="C139" s="165"/>
      <c r="D139" s="165"/>
      <c r="E139" s="165"/>
      <c r="F139" s="165"/>
      <c r="G139" s="165"/>
      <c r="H139" s="165"/>
      <c r="I139" s="165"/>
      <c r="J139" s="165"/>
      <c r="K139" s="165"/>
      <c r="L139" s="165"/>
      <c r="M139" s="165"/>
      <c r="N139" s="165"/>
      <c r="O139" s="165"/>
      <c r="P139" s="165"/>
      <c r="Q139" s="165"/>
      <c r="R139" s="165"/>
      <c r="S139" s="165"/>
      <c r="T139" s="165"/>
      <c r="U139" s="165"/>
      <c r="V139" s="165"/>
      <c r="W139" s="165"/>
      <c r="X139" s="165"/>
      <c r="Y139" s="165"/>
      <c r="Z139" s="165"/>
    </row>
    <row r="140">
      <c r="A140" s="165"/>
      <c r="B140" s="165"/>
      <c r="C140" s="165"/>
      <c r="D140" s="165"/>
      <c r="E140" s="165"/>
      <c r="F140" s="165"/>
      <c r="G140" s="165"/>
      <c r="H140" s="165"/>
      <c r="I140" s="165"/>
      <c r="J140" s="165"/>
      <c r="K140" s="165"/>
      <c r="L140" s="165"/>
      <c r="M140" s="165"/>
      <c r="N140" s="165"/>
      <c r="O140" s="165"/>
      <c r="P140" s="165"/>
      <c r="Q140" s="165"/>
      <c r="R140" s="165"/>
      <c r="S140" s="165"/>
      <c r="T140" s="165"/>
      <c r="U140" s="165"/>
      <c r="V140" s="165"/>
      <c r="W140" s="165"/>
      <c r="X140" s="165"/>
      <c r="Y140" s="165"/>
      <c r="Z140" s="165"/>
    </row>
    <row r="141">
      <c r="A141" s="165"/>
      <c r="B141" s="165"/>
      <c r="C141" s="165"/>
      <c r="D141" s="165"/>
      <c r="E141" s="165"/>
      <c r="F141" s="165"/>
      <c r="G141" s="165"/>
      <c r="H141" s="165"/>
      <c r="I141" s="165"/>
      <c r="J141" s="165"/>
      <c r="K141" s="165"/>
      <c r="L141" s="165"/>
      <c r="M141" s="165"/>
      <c r="N141" s="165"/>
      <c r="O141" s="165"/>
      <c r="P141" s="165"/>
      <c r="Q141" s="165"/>
      <c r="R141" s="165"/>
      <c r="S141" s="165"/>
      <c r="T141" s="165"/>
      <c r="U141" s="165"/>
      <c r="V141" s="165"/>
      <c r="W141" s="165"/>
      <c r="X141" s="165"/>
      <c r="Y141" s="165"/>
      <c r="Z141" s="165"/>
    </row>
    <row r="142">
      <c r="A142" s="165"/>
      <c r="B142" s="165"/>
      <c r="C142" s="165"/>
      <c r="D142" s="165"/>
      <c r="E142" s="165"/>
      <c r="F142" s="165"/>
      <c r="G142" s="165"/>
      <c r="H142" s="165"/>
      <c r="I142" s="165"/>
      <c r="J142" s="165"/>
      <c r="K142" s="165"/>
      <c r="L142" s="165"/>
      <c r="M142" s="165"/>
      <c r="N142" s="165"/>
      <c r="O142" s="165"/>
      <c r="P142" s="165"/>
      <c r="Q142" s="165"/>
      <c r="R142" s="165"/>
      <c r="S142" s="165"/>
      <c r="T142" s="165"/>
      <c r="U142" s="165"/>
      <c r="V142" s="165"/>
      <c r="W142" s="165"/>
      <c r="X142" s="165"/>
      <c r="Y142" s="165"/>
      <c r="Z142" s="165"/>
    </row>
    <row r="143">
      <c r="A143" s="165"/>
      <c r="B143" s="165"/>
      <c r="C143" s="165"/>
      <c r="D143" s="165"/>
      <c r="E143" s="165"/>
      <c r="F143" s="165"/>
      <c r="G143" s="165"/>
      <c r="H143" s="165"/>
      <c r="I143" s="165"/>
      <c r="J143" s="165"/>
      <c r="K143" s="165"/>
      <c r="L143" s="165"/>
      <c r="M143" s="165"/>
      <c r="N143" s="165"/>
      <c r="O143" s="165"/>
      <c r="P143" s="165"/>
      <c r="Q143" s="165"/>
      <c r="R143" s="165"/>
      <c r="S143" s="165"/>
      <c r="T143" s="165"/>
      <c r="U143" s="165"/>
      <c r="V143" s="165"/>
      <c r="W143" s="165"/>
      <c r="X143" s="165"/>
      <c r="Y143" s="165"/>
      <c r="Z143" s="165"/>
    </row>
    <row r="144">
      <c r="A144" s="165"/>
      <c r="B144" s="165"/>
      <c r="C144" s="165"/>
      <c r="D144" s="165"/>
      <c r="E144" s="165"/>
      <c r="F144" s="165"/>
      <c r="G144" s="165"/>
      <c r="H144" s="165"/>
      <c r="I144" s="165"/>
      <c r="J144" s="165"/>
      <c r="K144" s="165"/>
      <c r="L144" s="165"/>
      <c r="M144" s="165"/>
      <c r="N144" s="165"/>
      <c r="O144" s="165"/>
      <c r="P144" s="165"/>
      <c r="Q144" s="165"/>
      <c r="R144" s="165"/>
      <c r="S144" s="165"/>
      <c r="T144" s="165"/>
      <c r="U144" s="165"/>
      <c r="V144" s="165"/>
      <c r="W144" s="165"/>
      <c r="X144" s="165"/>
      <c r="Y144" s="165"/>
      <c r="Z144" s="165"/>
    </row>
    <row r="145">
      <c r="A145" s="165"/>
      <c r="B145" s="165"/>
      <c r="C145" s="165"/>
      <c r="D145" s="165"/>
      <c r="E145" s="165"/>
      <c r="F145" s="165"/>
      <c r="G145" s="165"/>
      <c r="H145" s="165"/>
      <c r="I145" s="165"/>
      <c r="J145" s="165"/>
      <c r="K145" s="165"/>
      <c r="L145" s="165"/>
      <c r="M145" s="165"/>
      <c r="N145" s="165"/>
      <c r="O145" s="165"/>
      <c r="P145" s="165"/>
      <c r="Q145" s="165"/>
      <c r="R145" s="165"/>
      <c r="S145" s="165"/>
      <c r="T145" s="165"/>
      <c r="U145" s="165"/>
      <c r="V145" s="165"/>
      <c r="W145" s="165"/>
      <c r="X145" s="165"/>
      <c r="Y145" s="165"/>
      <c r="Z145" s="165"/>
    </row>
    <row r="146">
      <c r="A146" s="165"/>
      <c r="B146" s="165"/>
      <c r="C146" s="165"/>
      <c r="D146" s="165"/>
      <c r="E146" s="165"/>
      <c r="F146" s="165"/>
      <c r="G146" s="165"/>
      <c r="H146" s="165"/>
      <c r="I146" s="165"/>
      <c r="J146" s="165"/>
      <c r="K146" s="165"/>
      <c r="L146" s="165"/>
      <c r="M146" s="165"/>
      <c r="N146" s="165"/>
      <c r="O146" s="165"/>
      <c r="P146" s="165"/>
      <c r="Q146" s="165"/>
      <c r="R146" s="165"/>
      <c r="S146" s="165"/>
      <c r="T146" s="165"/>
      <c r="U146" s="165"/>
      <c r="V146" s="165"/>
      <c r="W146" s="165"/>
      <c r="X146" s="165"/>
      <c r="Y146" s="165"/>
      <c r="Z146" s="165"/>
    </row>
    <row r="147">
      <c r="A147" s="165"/>
      <c r="B147" s="165"/>
      <c r="C147" s="165"/>
      <c r="D147" s="165"/>
      <c r="E147" s="165"/>
      <c r="F147" s="165"/>
      <c r="G147" s="165"/>
      <c r="H147" s="165"/>
      <c r="I147" s="165"/>
      <c r="J147" s="165"/>
      <c r="K147" s="165"/>
      <c r="L147" s="165"/>
      <c r="M147" s="165"/>
      <c r="N147" s="165"/>
      <c r="O147" s="165"/>
      <c r="P147" s="165"/>
      <c r="Q147" s="165"/>
      <c r="R147" s="165"/>
      <c r="S147" s="165"/>
      <c r="T147" s="165"/>
      <c r="U147" s="165"/>
      <c r="V147" s="165"/>
      <c r="W147" s="165"/>
      <c r="X147" s="165"/>
      <c r="Y147" s="165"/>
      <c r="Z147" s="165"/>
    </row>
    <row r="148">
      <c r="A148" s="165"/>
      <c r="B148" s="165"/>
      <c r="C148" s="165"/>
      <c r="D148" s="165"/>
      <c r="E148" s="165"/>
      <c r="F148" s="165"/>
      <c r="G148" s="165"/>
      <c r="H148" s="165"/>
      <c r="I148" s="165"/>
      <c r="J148" s="165"/>
      <c r="K148" s="165"/>
      <c r="L148" s="165"/>
      <c r="M148" s="165"/>
      <c r="N148" s="165"/>
      <c r="O148" s="165"/>
      <c r="P148" s="165"/>
      <c r="Q148" s="165"/>
      <c r="R148" s="165"/>
      <c r="S148" s="165"/>
      <c r="T148" s="165"/>
      <c r="U148" s="165"/>
      <c r="V148" s="165"/>
      <c r="W148" s="165"/>
      <c r="X148" s="165"/>
      <c r="Y148" s="165"/>
      <c r="Z148" s="165"/>
    </row>
    <row r="149">
      <c r="A149" s="165"/>
      <c r="B149" s="165"/>
      <c r="C149" s="165"/>
      <c r="D149" s="165"/>
      <c r="E149" s="165"/>
      <c r="F149" s="165"/>
      <c r="G149" s="165"/>
      <c r="H149" s="165"/>
      <c r="I149" s="165"/>
      <c r="J149" s="165"/>
      <c r="K149" s="165"/>
      <c r="L149" s="165"/>
      <c r="M149" s="165"/>
      <c r="N149" s="165"/>
      <c r="O149" s="165"/>
      <c r="P149" s="165"/>
      <c r="Q149" s="165"/>
      <c r="R149" s="165"/>
      <c r="S149" s="165"/>
      <c r="T149" s="165"/>
      <c r="U149" s="165"/>
      <c r="V149" s="165"/>
      <c r="W149" s="165"/>
      <c r="X149" s="165"/>
      <c r="Y149" s="165"/>
      <c r="Z149" s="165"/>
    </row>
    <row r="150">
      <c r="A150" s="165"/>
      <c r="B150" s="165"/>
      <c r="C150" s="165"/>
      <c r="D150" s="165"/>
      <c r="E150" s="165"/>
      <c r="F150" s="165"/>
      <c r="G150" s="165"/>
      <c r="H150" s="165"/>
      <c r="I150" s="165"/>
      <c r="J150" s="165"/>
      <c r="K150" s="165"/>
      <c r="L150" s="165"/>
      <c r="M150" s="165"/>
      <c r="N150" s="165"/>
      <c r="O150" s="165"/>
      <c r="P150" s="165"/>
      <c r="Q150" s="165"/>
      <c r="R150" s="165"/>
      <c r="S150" s="165"/>
      <c r="T150" s="165"/>
      <c r="U150" s="165"/>
      <c r="V150" s="165"/>
      <c r="W150" s="165"/>
      <c r="X150" s="165"/>
      <c r="Y150" s="165"/>
      <c r="Z150" s="165"/>
    </row>
    <row r="151">
      <c r="A151" s="165"/>
      <c r="B151" s="165"/>
      <c r="C151" s="165"/>
      <c r="D151" s="165"/>
      <c r="E151" s="165"/>
      <c r="F151" s="165"/>
      <c r="G151" s="165"/>
      <c r="H151" s="165"/>
      <c r="I151" s="165"/>
      <c r="J151" s="165"/>
      <c r="K151" s="165"/>
      <c r="L151" s="165"/>
      <c r="M151" s="165"/>
      <c r="N151" s="165"/>
      <c r="O151" s="165"/>
      <c r="P151" s="165"/>
      <c r="Q151" s="165"/>
      <c r="R151" s="165"/>
      <c r="S151" s="165"/>
      <c r="T151" s="165"/>
      <c r="U151" s="165"/>
      <c r="V151" s="165"/>
      <c r="W151" s="165"/>
      <c r="X151" s="165"/>
      <c r="Y151" s="165"/>
      <c r="Z151" s="165"/>
    </row>
    <row r="152">
      <c r="A152" s="165"/>
      <c r="B152" s="165"/>
      <c r="C152" s="165"/>
      <c r="D152" s="165"/>
      <c r="E152" s="165"/>
      <c r="F152" s="165"/>
      <c r="G152" s="165"/>
      <c r="H152" s="165"/>
      <c r="I152" s="165"/>
      <c r="J152" s="165"/>
      <c r="K152" s="165"/>
      <c r="L152" s="165"/>
      <c r="M152" s="165"/>
      <c r="N152" s="165"/>
      <c r="O152" s="165"/>
      <c r="P152" s="165"/>
      <c r="Q152" s="165"/>
      <c r="R152" s="165"/>
      <c r="S152" s="165"/>
      <c r="T152" s="165"/>
      <c r="U152" s="165"/>
      <c r="V152" s="165"/>
      <c r="W152" s="165"/>
      <c r="X152" s="165"/>
      <c r="Y152" s="165"/>
      <c r="Z152" s="165"/>
    </row>
    <row r="153">
      <c r="A153" s="165"/>
      <c r="B153" s="165"/>
      <c r="C153" s="165"/>
      <c r="D153" s="165"/>
      <c r="E153" s="165"/>
      <c r="F153" s="165"/>
      <c r="G153" s="165"/>
      <c r="H153" s="165"/>
      <c r="I153" s="165"/>
      <c r="J153" s="165"/>
      <c r="K153" s="165"/>
      <c r="L153" s="165"/>
      <c r="M153" s="165"/>
      <c r="N153" s="165"/>
      <c r="O153" s="165"/>
      <c r="P153" s="165"/>
      <c r="Q153" s="165"/>
      <c r="R153" s="165"/>
      <c r="S153" s="165"/>
      <c r="T153" s="165"/>
      <c r="U153" s="165"/>
      <c r="V153" s="165"/>
      <c r="W153" s="165"/>
      <c r="X153" s="165"/>
      <c r="Y153" s="165"/>
      <c r="Z153" s="165"/>
    </row>
    <row r="154">
      <c r="A154" s="165"/>
      <c r="B154" s="165"/>
      <c r="C154" s="165"/>
      <c r="D154" s="165"/>
      <c r="E154" s="165"/>
      <c r="F154" s="165"/>
      <c r="G154" s="165"/>
      <c r="H154" s="165"/>
      <c r="I154" s="165"/>
      <c r="J154" s="165"/>
      <c r="K154" s="165"/>
      <c r="L154" s="165"/>
      <c r="M154" s="165"/>
      <c r="N154" s="165"/>
      <c r="O154" s="165"/>
      <c r="P154" s="165"/>
      <c r="Q154" s="165"/>
      <c r="R154" s="165"/>
      <c r="S154" s="165"/>
      <c r="T154" s="165"/>
      <c r="U154" s="165"/>
      <c r="V154" s="165"/>
      <c r="W154" s="165"/>
      <c r="X154" s="165"/>
      <c r="Y154" s="165"/>
      <c r="Z154" s="165"/>
    </row>
    <row r="155">
      <c r="A155" s="165"/>
      <c r="B155" s="165"/>
      <c r="C155" s="165"/>
      <c r="D155" s="165"/>
      <c r="E155" s="165"/>
      <c r="F155" s="165"/>
      <c r="G155" s="165"/>
      <c r="H155" s="165"/>
      <c r="I155" s="165"/>
      <c r="J155" s="165"/>
      <c r="K155" s="165"/>
      <c r="L155" s="165"/>
      <c r="M155" s="165"/>
      <c r="N155" s="165"/>
      <c r="O155" s="165"/>
      <c r="P155" s="165"/>
      <c r="Q155" s="165"/>
      <c r="R155" s="165"/>
      <c r="S155" s="165"/>
      <c r="T155" s="165"/>
      <c r="U155" s="165"/>
      <c r="V155" s="165"/>
      <c r="W155" s="165"/>
      <c r="X155" s="165"/>
      <c r="Y155" s="165"/>
      <c r="Z155" s="165"/>
    </row>
    <row r="156">
      <c r="A156" s="165"/>
      <c r="B156" s="165"/>
      <c r="C156" s="165"/>
      <c r="D156" s="165"/>
      <c r="E156" s="165"/>
      <c r="F156" s="165"/>
      <c r="G156" s="165"/>
      <c r="H156" s="165"/>
      <c r="I156" s="165"/>
      <c r="J156" s="165"/>
      <c r="K156" s="165"/>
      <c r="L156" s="165"/>
      <c r="M156" s="165"/>
      <c r="N156" s="165"/>
      <c r="O156" s="165"/>
      <c r="P156" s="165"/>
      <c r="Q156" s="165"/>
      <c r="R156" s="165"/>
      <c r="S156" s="165"/>
      <c r="T156" s="165"/>
      <c r="U156" s="165"/>
      <c r="V156" s="165"/>
      <c r="W156" s="165"/>
      <c r="X156" s="165"/>
      <c r="Y156" s="165"/>
      <c r="Z156" s="165"/>
    </row>
    <row r="157">
      <c r="A157" s="165"/>
      <c r="B157" s="165"/>
      <c r="C157" s="165"/>
      <c r="D157" s="165"/>
      <c r="E157" s="165"/>
      <c r="F157" s="165"/>
      <c r="G157" s="165"/>
      <c r="H157" s="165"/>
      <c r="I157" s="165"/>
      <c r="J157" s="165"/>
      <c r="K157" s="165"/>
      <c r="L157" s="165"/>
      <c r="M157" s="165"/>
      <c r="N157" s="165"/>
      <c r="O157" s="165"/>
      <c r="P157" s="165"/>
      <c r="Q157" s="165"/>
      <c r="R157" s="165"/>
      <c r="S157" s="165"/>
      <c r="T157" s="165"/>
      <c r="U157" s="165"/>
      <c r="V157" s="165"/>
      <c r="W157" s="165"/>
      <c r="X157" s="165"/>
      <c r="Y157" s="165"/>
      <c r="Z157" s="165"/>
    </row>
    <row r="158">
      <c r="A158" s="165"/>
      <c r="B158" s="165"/>
      <c r="C158" s="165"/>
      <c r="D158" s="165"/>
      <c r="E158" s="165"/>
      <c r="F158" s="165"/>
      <c r="G158" s="165"/>
      <c r="H158" s="165"/>
      <c r="I158" s="165"/>
      <c r="J158" s="165"/>
      <c r="K158" s="165"/>
      <c r="L158" s="165"/>
      <c r="M158" s="165"/>
      <c r="N158" s="165"/>
      <c r="O158" s="165"/>
      <c r="P158" s="165"/>
      <c r="Q158" s="165"/>
      <c r="R158" s="165"/>
      <c r="S158" s="165"/>
      <c r="T158" s="165"/>
      <c r="U158" s="165"/>
      <c r="V158" s="165"/>
      <c r="W158" s="165"/>
      <c r="X158" s="165"/>
      <c r="Y158" s="165"/>
      <c r="Z158" s="165"/>
    </row>
    <row r="159">
      <c r="A159" s="165"/>
      <c r="B159" s="165"/>
      <c r="C159" s="165"/>
      <c r="D159" s="165"/>
      <c r="E159" s="165"/>
      <c r="F159" s="165"/>
      <c r="G159" s="165"/>
      <c r="H159" s="165"/>
      <c r="I159" s="165"/>
      <c r="J159" s="165"/>
      <c r="K159" s="165"/>
      <c r="L159" s="165"/>
      <c r="M159" s="165"/>
      <c r="N159" s="165"/>
      <c r="O159" s="165"/>
      <c r="P159" s="165"/>
      <c r="Q159" s="165"/>
      <c r="R159" s="165"/>
      <c r="S159" s="165"/>
      <c r="T159" s="165"/>
      <c r="U159" s="165"/>
      <c r="V159" s="165"/>
      <c r="W159" s="165"/>
      <c r="X159" s="165"/>
      <c r="Y159" s="165"/>
      <c r="Z159" s="165"/>
    </row>
    <row r="160">
      <c r="A160" s="165"/>
      <c r="B160" s="165"/>
      <c r="C160" s="165"/>
      <c r="D160" s="165"/>
      <c r="E160" s="165"/>
      <c r="F160" s="165"/>
      <c r="G160" s="165"/>
      <c r="H160" s="165"/>
      <c r="I160" s="165"/>
      <c r="J160" s="165"/>
      <c r="K160" s="165"/>
      <c r="L160" s="165"/>
      <c r="M160" s="165"/>
      <c r="N160" s="165"/>
      <c r="O160" s="165"/>
      <c r="P160" s="165"/>
      <c r="Q160" s="165"/>
      <c r="R160" s="165"/>
      <c r="S160" s="165"/>
      <c r="T160" s="165"/>
      <c r="U160" s="165"/>
      <c r="V160" s="165"/>
      <c r="W160" s="165"/>
      <c r="X160" s="165"/>
      <c r="Y160" s="165"/>
      <c r="Z160" s="165"/>
    </row>
    <row r="161">
      <c r="A161" s="165"/>
      <c r="B161" s="165"/>
      <c r="C161" s="165"/>
      <c r="D161" s="165"/>
      <c r="E161" s="165"/>
      <c r="F161" s="165"/>
      <c r="G161" s="165"/>
      <c r="H161" s="165"/>
      <c r="I161" s="165"/>
      <c r="J161" s="165"/>
      <c r="K161" s="165"/>
      <c r="L161" s="165"/>
      <c r="M161" s="165"/>
      <c r="N161" s="165"/>
      <c r="O161" s="165"/>
      <c r="P161" s="165"/>
      <c r="Q161" s="165"/>
      <c r="R161" s="165"/>
      <c r="S161" s="165"/>
      <c r="T161" s="165"/>
      <c r="U161" s="165"/>
      <c r="V161" s="165"/>
      <c r="W161" s="165"/>
      <c r="X161" s="165"/>
      <c r="Y161" s="165"/>
      <c r="Z161" s="165"/>
    </row>
    <row r="162">
      <c r="A162" s="165"/>
      <c r="B162" s="165"/>
      <c r="C162" s="165"/>
      <c r="D162" s="165"/>
      <c r="E162" s="165"/>
      <c r="F162" s="165"/>
      <c r="G162" s="165"/>
      <c r="H162" s="165"/>
      <c r="I162" s="165"/>
      <c r="J162" s="165"/>
      <c r="K162" s="165"/>
      <c r="L162" s="165"/>
      <c r="M162" s="165"/>
      <c r="N162" s="165"/>
      <c r="O162" s="165"/>
      <c r="P162" s="165"/>
      <c r="Q162" s="165"/>
      <c r="R162" s="165"/>
      <c r="S162" s="165"/>
      <c r="T162" s="165"/>
      <c r="U162" s="165"/>
      <c r="V162" s="165"/>
      <c r="W162" s="165"/>
      <c r="X162" s="165"/>
      <c r="Y162" s="165"/>
      <c r="Z162" s="165"/>
    </row>
    <row r="163">
      <c r="A163" s="165"/>
      <c r="B163" s="165"/>
      <c r="C163" s="165"/>
      <c r="D163" s="165"/>
      <c r="E163" s="165"/>
      <c r="F163" s="165"/>
      <c r="G163" s="165"/>
      <c r="H163" s="165"/>
      <c r="I163" s="165"/>
      <c r="J163" s="165"/>
      <c r="K163" s="165"/>
      <c r="L163" s="165"/>
      <c r="M163" s="165"/>
      <c r="N163" s="165"/>
      <c r="O163" s="165"/>
      <c r="P163" s="165"/>
      <c r="Q163" s="165"/>
      <c r="R163" s="165"/>
      <c r="S163" s="165"/>
      <c r="T163" s="165"/>
      <c r="U163" s="165"/>
      <c r="V163" s="165"/>
      <c r="W163" s="165"/>
      <c r="X163" s="165"/>
      <c r="Y163" s="165"/>
      <c r="Z163" s="165"/>
    </row>
    <row r="164">
      <c r="A164" s="165"/>
      <c r="B164" s="165"/>
      <c r="C164" s="165"/>
      <c r="D164" s="165"/>
      <c r="E164" s="165"/>
      <c r="F164" s="165"/>
      <c r="G164" s="165"/>
      <c r="H164" s="165"/>
      <c r="I164" s="165"/>
      <c r="J164" s="165"/>
      <c r="K164" s="165"/>
      <c r="L164" s="165"/>
      <c r="M164" s="165"/>
      <c r="N164" s="165"/>
      <c r="O164" s="165"/>
      <c r="P164" s="165"/>
      <c r="Q164" s="165"/>
      <c r="R164" s="165"/>
      <c r="S164" s="165"/>
      <c r="T164" s="165"/>
      <c r="U164" s="165"/>
      <c r="V164" s="165"/>
      <c r="W164" s="165"/>
      <c r="X164" s="165"/>
      <c r="Y164" s="165"/>
      <c r="Z164" s="165"/>
    </row>
    <row r="165">
      <c r="A165" s="165"/>
      <c r="B165" s="165"/>
      <c r="C165" s="165"/>
      <c r="D165" s="165"/>
      <c r="E165" s="165"/>
      <c r="F165" s="165"/>
      <c r="G165" s="165"/>
      <c r="H165" s="165"/>
      <c r="I165" s="165"/>
      <c r="J165" s="165"/>
      <c r="K165" s="165"/>
      <c r="L165" s="165"/>
      <c r="M165" s="165"/>
      <c r="N165" s="165"/>
      <c r="O165" s="165"/>
      <c r="P165" s="165"/>
      <c r="Q165" s="165"/>
      <c r="R165" s="165"/>
      <c r="S165" s="165"/>
      <c r="T165" s="165"/>
      <c r="U165" s="165"/>
      <c r="V165" s="165"/>
      <c r="W165" s="165"/>
      <c r="X165" s="165"/>
      <c r="Y165" s="165"/>
      <c r="Z165" s="165"/>
    </row>
    <row r="166">
      <c r="A166" s="165"/>
      <c r="B166" s="165"/>
      <c r="C166" s="165"/>
      <c r="D166" s="165"/>
      <c r="E166" s="165"/>
      <c r="F166" s="165"/>
      <c r="G166" s="165"/>
      <c r="H166" s="165"/>
      <c r="I166" s="165"/>
      <c r="J166" s="165"/>
      <c r="K166" s="165"/>
      <c r="L166" s="165"/>
      <c r="M166" s="165"/>
      <c r="N166" s="165"/>
      <c r="O166" s="165"/>
      <c r="P166" s="165"/>
      <c r="Q166" s="165"/>
      <c r="R166" s="165"/>
      <c r="S166" s="165"/>
      <c r="T166" s="165"/>
      <c r="U166" s="165"/>
      <c r="V166" s="165"/>
      <c r="W166" s="165"/>
      <c r="X166" s="165"/>
      <c r="Y166" s="165"/>
      <c r="Z166" s="165"/>
    </row>
    <row r="167">
      <c r="A167" s="165"/>
      <c r="B167" s="165"/>
      <c r="C167" s="165"/>
      <c r="D167" s="165"/>
      <c r="E167" s="165"/>
      <c r="F167" s="165"/>
      <c r="G167" s="165"/>
      <c r="H167" s="165"/>
      <c r="I167" s="165"/>
      <c r="J167" s="165"/>
      <c r="K167" s="165"/>
      <c r="L167" s="165"/>
      <c r="M167" s="165"/>
      <c r="N167" s="165"/>
      <c r="O167" s="165"/>
      <c r="P167" s="165"/>
      <c r="Q167" s="165"/>
      <c r="R167" s="165"/>
      <c r="S167" s="165"/>
      <c r="T167" s="165"/>
      <c r="U167" s="165"/>
      <c r="V167" s="165"/>
      <c r="W167" s="165"/>
      <c r="X167" s="165"/>
      <c r="Y167" s="165"/>
      <c r="Z167" s="165"/>
    </row>
    <row r="168">
      <c r="A168" s="165"/>
      <c r="B168" s="165"/>
      <c r="C168" s="165"/>
      <c r="D168" s="165"/>
      <c r="E168" s="165"/>
      <c r="F168" s="165"/>
      <c r="G168" s="165"/>
      <c r="H168" s="165"/>
      <c r="I168" s="165"/>
      <c r="J168" s="165"/>
      <c r="K168" s="165"/>
      <c r="L168" s="165"/>
      <c r="M168" s="165"/>
      <c r="N168" s="165"/>
      <c r="O168" s="165"/>
      <c r="P168" s="165"/>
      <c r="Q168" s="165"/>
      <c r="R168" s="165"/>
      <c r="S168" s="165"/>
      <c r="T168" s="165"/>
      <c r="U168" s="165"/>
      <c r="V168" s="165"/>
      <c r="W168" s="165"/>
      <c r="X168" s="165"/>
      <c r="Y168" s="165"/>
      <c r="Z168" s="165"/>
    </row>
    <row r="169">
      <c r="A169" s="165"/>
      <c r="B169" s="165"/>
      <c r="C169" s="165"/>
      <c r="D169" s="165"/>
      <c r="E169" s="165"/>
      <c r="F169" s="165"/>
      <c r="G169" s="165"/>
      <c r="H169" s="165"/>
      <c r="I169" s="165"/>
      <c r="J169" s="165"/>
      <c r="K169" s="165"/>
      <c r="L169" s="165"/>
      <c r="M169" s="165"/>
      <c r="N169" s="165"/>
      <c r="O169" s="165"/>
      <c r="P169" s="165"/>
      <c r="Q169" s="165"/>
      <c r="R169" s="165"/>
      <c r="S169" s="165"/>
      <c r="T169" s="165"/>
      <c r="U169" s="165"/>
      <c r="V169" s="165"/>
      <c r="W169" s="165"/>
      <c r="X169" s="165"/>
      <c r="Y169" s="165"/>
      <c r="Z169" s="165"/>
    </row>
    <row r="170">
      <c r="A170" s="165"/>
      <c r="B170" s="165"/>
      <c r="C170" s="165"/>
      <c r="D170" s="165"/>
      <c r="E170" s="165"/>
      <c r="F170" s="165"/>
      <c r="G170" s="165"/>
      <c r="H170" s="165"/>
      <c r="I170" s="165"/>
      <c r="J170" s="165"/>
      <c r="K170" s="165"/>
      <c r="L170" s="165"/>
      <c r="M170" s="165"/>
      <c r="N170" s="165"/>
      <c r="O170" s="165"/>
      <c r="P170" s="165"/>
      <c r="Q170" s="165"/>
      <c r="R170" s="165"/>
      <c r="S170" s="165"/>
      <c r="T170" s="165"/>
      <c r="U170" s="165"/>
      <c r="V170" s="165"/>
      <c r="W170" s="165"/>
      <c r="X170" s="165"/>
      <c r="Y170" s="165"/>
      <c r="Z170" s="165"/>
    </row>
    <row r="171">
      <c r="A171" s="165"/>
      <c r="B171" s="165"/>
      <c r="C171" s="165"/>
      <c r="D171" s="165"/>
      <c r="E171" s="165"/>
      <c r="F171" s="165"/>
      <c r="G171" s="165"/>
      <c r="H171" s="165"/>
      <c r="I171" s="165"/>
      <c r="J171" s="165"/>
      <c r="K171" s="165"/>
      <c r="L171" s="165"/>
      <c r="M171" s="165"/>
      <c r="N171" s="165"/>
      <c r="O171" s="165"/>
      <c r="P171" s="165"/>
      <c r="Q171" s="165"/>
      <c r="R171" s="165"/>
      <c r="S171" s="165"/>
      <c r="T171" s="165"/>
      <c r="U171" s="165"/>
      <c r="V171" s="165"/>
      <c r="W171" s="165"/>
      <c r="X171" s="165"/>
      <c r="Y171" s="165"/>
      <c r="Z171" s="165"/>
    </row>
    <row r="172">
      <c r="A172" s="165"/>
      <c r="B172" s="165"/>
      <c r="C172" s="165"/>
      <c r="D172" s="165"/>
      <c r="E172" s="165"/>
      <c r="F172" s="165"/>
      <c r="G172" s="165"/>
      <c r="H172" s="165"/>
      <c r="I172" s="165"/>
      <c r="J172" s="165"/>
      <c r="K172" s="165"/>
      <c r="L172" s="165"/>
      <c r="M172" s="165"/>
      <c r="N172" s="165"/>
      <c r="O172" s="165"/>
      <c r="P172" s="165"/>
      <c r="Q172" s="165"/>
      <c r="R172" s="165"/>
      <c r="S172" s="165"/>
      <c r="T172" s="165"/>
      <c r="U172" s="165"/>
      <c r="V172" s="165"/>
      <c r="W172" s="165"/>
      <c r="X172" s="165"/>
      <c r="Y172" s="165"/>
      <c r="Z172" s="165"/>
    </row>
    <row r="173">
      <c r="A173" s="165"/>
      <c r="B173" s="165"/>
      <c r="C173" s="165"/>
      <c r="D173" s="165"/>
      <c r="E173" s="165"/>
      <c r="F173" s="165"/>
      <c r="G173" s="165"/>
      <c r="H173" s="165"/>
      <c r="I173" s="165"/>
      <c r="J173" s="165"/>
      <c r="K173" s="165"/>
      <c r="L173" s="165"/>
      <c r="M173" s="165"/>
      <c r="N173" s="165"/>
      <c r="O173" s="165"/>
      <c r="P173" s="165"/>
      <c r="Q173" s="165"/>
      <c r="R173" s="165"/>
      <c r="S173" s="165"/>
      <c r="T173" s="165"/>
      <c r="U173" s="165"/>
      <c r="V173" s="165"/>
      <c r="W173" s="165"/>
      <c r="X173" s="165"/>
      <c r="Y173" s="165"/>
      <c r="Z173" s="165"/>
    </row>
    <row r="174">
      <c r="A174" s="165"/>
      <c r="B174" s="165"/>
      <c r="C174" s="165"/>
      <c r="D174" s="165"/>
      <c r="E174" s="165"/>
      <c r="F174" s="165"/>
      <c r="G174" s="165"/>
      <c r="H174" s="165"/>
      <c r="I174" s="165"/>
      <c r="J174" s="165"/>
      <c r="K174" s="165"/>
      <c r="L174" s="165"/>
      <c r="M174" s="165"/>
      <c r="N174" s="165"/>
      <c r="O174" s="165"/>
      <c r="P174" s="165"/>
      <c r="Q174" s="165"/>
      <c r="R174" s="165"/>
      <c r="S174" s="165"/>
      <c r="T174" s="165"/>
      <c r="U174" s="165"/>
      <c r="V174" s="165"/>
      <c r="W174" s="165"/>
      <c r="X174" s="165"/>
      <c r="Y174" s="165"/>
      <c r="Z174" s="165"/>
    </row>
    <row r="175">
      <c r="A175" s="165"/>
      <c r="B175" s="165"/>
      <c r="C175" s="165"/>
      <c r="D175" s="165"/>
      <c r="E175" s="165"/>
      <c r="F175" s="165"/>
      <c r="G175" s="165"/>
      <c r="H175" s="165"/>
      <c r="I175" s="165"/>
      <c r="J175" s="165"/>
      <c r="K175" s="165"/>
      <c r="L175" s="165"/>
      <c r="M175" s="165"/>
      <c r="N175" s="165"/>
      <c r="O175" s="165"/>
      <c r="P175" s="165"/>
      <c r="Q175" s="165"/>
      <c r="R175" s="165"/>
      <c r="S175" s="165"/>
      <c r="T175" s="165"/>
      <c r="U175" s="165"/>
      <c r="V175" s="165"/>
      <c r="W175" s="165"/>
      <c r="X175" s="165"/>
      <c r="Y175" s="165"/>
      <c r="Z175" s="165"/>
    </row>
    <row r="176">
      <c r="A176" s="165"/>
      <c r="B176" s="165"/>
      <c r="C176" s="165"/>
      <c r="D176" s="165"/>
      <c r="E176" s="165"/>
      <c r="F176" s="165"/>
      <c r="G176" s="165"/>
      <c r="H176" s="165"/>
      <c r="I176" s="165"/>
      <c r="J176" s="165"/>
      <c r="K176" s="165"/>
      <c r="L176" s="165"/>
      <c r="M176" s="165"/>
      <c r="N176" s="165"/>
      <c r="O176" s="165"/>
      <c r="P176" s="165"/>
      <c r="Q176" s="165"/>
      <c r="R176" s="165"/>
      <c r="S176" s="165"/>
      <c r="T176" s="165"/>
      <c r="U176" s="165"/>
      <c r="V176" s="165"/>
      <c r="W176" s="165"/>
      <c r="X176" s="165"/>
      <c r="Y176" s="165"/>
      <c r="Z176" s="165"/>
    </row>
    <row r="177">
      <c r="A177" s="165"/>
      <c r="B177" s="165"/>
      <c r="C177" s="165"/>
      <c r="D177" s="165"/>
      <c r="E177" s="165"/>
      <c r="F177" s="165"/>
      <c r="G177" s="165"/>
      <c r="H177" s="165"/>
      <c r="I177" s="165"/>
      <c r="J177" s="165"/>
      <c r="K177" s="165"/>
      <c r="L177" s="165"/>
      <c r="M177" s="165"/>
      <c r="N177" s="165"/>
      <c r="O177" s="165"/>
      <c r="P177" s="165"/>
      <c r="Q177" s="165"/>
      <c r="R177" s="165"/>
      <c r="S177" s="165"/>
      <c r="T177" s="165"/>
      <c r="U177" s="165"/>
      <c r="V177" s="165"/>
      <c r="W177" s="165"/>
      <c r="X177" s="165"/>
      <c r="Y177" s="165"/>
      <c r="Z177" s="165"/>
    </row>
    <row r="178">
      <c r="A178" s="165"/>
      <c r="B178" s="165"/>
      <c r="C178" s="165"/>
      <c r="D178" s="165"/>
      <c r="E178" s="165"/>
      <c r="F178" s="165"/>
      <c r="G178" s="165"/>
      <c r="H178" s="165"/>
      <c r="I178" s="165"/>
      <c r="J178" s="165"/>
      <c r="K178" s="165"/>
      <c r="L178" s="165"/>
      <c r="M178" s="165"/>
      <c r="N178" s="165"/>
      <c r="O178" s="165"/>
      <c r="P178" s="165"/>
      <c r="Q178" s="165"/>
      <c r="R178" s="165"/>
      <c r="S178" s="165"/>
      <c r="T178" s="165"/>
      <c r="U178" s="165"/>
      <c r="V178" s="165"/>
      <c r="W178" s="165"/>
      <c r="X178" s="165"/>
      <c r="Y178" s="165"/>
      <c r="Z178" s="165"/>
    </row>
    <row r="179">
      <c r="A179" s="165"/>
      <c r="B179" s="165"/>
      <c r="C179" s="165"/>
      <c r="D179" s="165"/>
      <c r="E179" s="165"/>
      <c r="F179" s="165"/>
      <c r="G179" s="165"/>
      <c r="H179" s="165"/>
      <c r="I179" s="165"/>
      <c r="J179" s="165"/>
      <c r="K179" s="165"/>
      <c r="L179" s="165"/>
      <c r="M179" s="165"/>
      <c r="N179" s="165"/>
      <c r="O179" s="165"/>
      <c r="P179" s="165"/>
      <c r="Q179" s="165"/>
      <c r="R179" s="165"/>
      <c r="S179" s="165"/>
      <c r="T179" s="165"/>
      <c r="U179" s="165"/>
      <c r="V179" s="165"/>
      <c r="W179" s="165"/>
      <c r="X179" s="165"/>
      <c r="Y179" s="165"/>
      <c r="Z179" s="165"/>
    </row>
    <row r="180">
      <c r="A180" s="165"/>
      <c r="B180" s="165"/>
      <c r="C180" s="165"/>
      <c r="D180" s="165"/>
      <c r="E180" s="165"/>
      <c r="F180" s="165"/>
      <c r="G180" s="165"/>
      <c r="H180" s="165"/>
      <c r="I180" s="165"/>
      <c r="J180" s="165"/>
      <c r="K180" s="165"/>
      <c r="L180" s="165"/>
      <c r="M180" s="165"/>
      <c r="N180" s="165"/>
      <c r="O180" s="165"/>
      <c r="P180" s="165"/>
      <c r="Q180" s="165"/>
      <c r="R180" s="165"/>
      <c r="S180" s="165"/>
      <c r="T180" s="165"/>
      <c r="U180" s="165"/>
      <c r="V180" s="165"/>
      <c r="W180" s="165"/>
      <c r="X180" s="165"/>
      <c r="Y180" s="165"/>
      <c r="Z180" s="165"/>
    </row>
    <row r="181">
      <c r="A181" s="165"/>
      <c r="B181" s="165"/>
      <c r="C181" s="165"/>
      <c r="D181" s="165"/>
      <c r="E181" s="165"/>
      <c r="F181" s="165"/>
      <c r="G181" s="165"/>
      <c r="H181" s="165"/>
      <c r="I181" s="165"/>
      <c r="J181" s="165"/>
      <c r="K181" s="165"/>
      <c r="L181" s="165"/>
      <c r="M181" s="165"/>
      <c r="N181" s="165"/>
      <c r="O181" s="165"/>
      <c r="P181" s="165"/>
      <c r="Q181" s="165"/>
      <c r="R181" s="165"/>
      <c r="S181" s="165"/>
      <c r="T181" s="165"/>
      <c r="U181" s="165"/>
      <c r="V181" s="165"/>
      <c r="W181" s="165"/>
      <c r="X181" s="165"/>
      <c r="Y181" s="165"/>
      <c r="Z181" s="165"/>
    </row>
    <row r="182">
      <c r="A182" s="165"/>
      <c r="B182" s="165"/>
      <c r="C182" s="165"/>
      <c r="D182" s="165"/>
      <c r="E182" s="165"/>
      <c r="F182" s="165"/>
      <c r="G182" s="165"/>
      <c r="H182" s="165"/>
      <c r="I182" s="165"/>
      <c r="J182" s="165"/>
      <c r="K182" s="165"/>
      <c r="L182" s="165"/>
      <c r="M182" s="165"/>
      <c r="N182" s="165"/>
      <c r="O182" s="165"/>
      <c r="P182" s="165"/>
      <c r="Q182" s="165"/>
      <c r="R182" s="165"/>
      <c r="S182" s="165"/>
      <c r="T182" s="165"/>
      <c r="U182" s="165"/>
      <c r="V182" s="165"/>
      <c r="W182" s="165"/>
      <c r="X182" s="165"/>
      <c r="Y182" s="165"/>
      <c r="Z182" s="165"/>
    </row>
    <row r="183">
      <c r="A183" s="165"/>
      <c r="B183" s="165"/>
      <c r="C183" s="165"/>
      <c r="D183" s="165"/>
      <c r="E183" s="165"/>
      <c r="F183" s="165"/>
      <c r="G183" s="165"/>
      <c r="H183" s="165"/>
      <c r="I183" s="165"/>
      <c r="J183" s="165"/>
      <c r="K183" s="165"/>
      <c r="L183" s="165"/>
      <c r="M183" s="165"/>
      <c r="N183" s="165"/>
      <c r="O183" s="165"/>
      <c r="P183" s="165"/>
      <c r="Q183" s="165"/>
      <c r="R183" s="165"/>
      <c r="S183" s="165"/>
      <c r="T183" s="165"/>
      <c r="U183" s="165"/>
      <c r="V183" s="165"/>
      <c r="W183" s="165"/>
      <c r="X183" s="165"/>
      <c r="Y183" s="165"/>
      <c r="Z183" s="165"/>
    </row>
    <row r="184">
      <c r="A184" s="165"/>
      <c r="B184" s="165"/>
      <c r="C184" s="165"/>
      <c r="D184" s="165"/>
      <c r="E184" s="165"/>
      <c r="F184" s="165"/>
      <c r="G184" s="165"/>
      <c r="H184" s="165"/>
      <c r="I184" s="165"/>
      <c r="J184" s="165"/>
      <c r="K184" s="165"/>
      <c r="L184" s="165"/>
      <c r="M184" s="165"/>
      <c r="N184" s="165"/>
      <c r="O184" s="165"/>
      <c r="P184" s="165"/>
      <c r="Q184" s="165"/>
      <c r="R184" s="165"/>
      <c r="S184" s="165"/>
      <c r="T184" s="165"/>
      <c r="U184" s="165"/>
      <c r="V184" s="165"/>
      <c r="W184" s="165"/>
      <c r="X184" s="165"/>
      <c r="Y184" s="165"/>
      <c r="Z184" s="165"/>
    </row>
    <row r="185">
      <c r="A185" s="165"/>
      <c r="B185" s="165"/>
      <c r="C185" s="165"/>
      <c r="D185" s="165"/>
      <c r="E185" s="165"/>
      <c r="F185" s="165"/>
      <c r="G185" s="165"/>
      <c r="H185" s="165"/>
      <c r="I185" s="165"/>
      <c r="J185" s="165"/>
      <c r="K185" s="165"/>
      <c r="L185" s="165"/>
      <c r="M185" s="165"/>
      <c r="N185" s="165"/>
      <c r="O185" s="165"/>
      <c r="P185" s="165"/>
      <c r="Q185" s="165"/>
      <c r="R185" s="165"/>
      <c r="S185" s="165"/>
      <c r="T185" s="165"/>
      <c r="U185" s="165"/>
      <c r="V185" s="165"/>
      <c r="W185" s="165"/>
      <c r="X185" s="165"/>
      <c r="Y185" s="165"/>
      <c r="Z185" s="165"/>
    </row>
    <row r="186">
      <c r="A186" s="165"/>
      <c r="B186" s="165"/>
      <c r="C186" s="165"/>
      <c r="D186" s="165"/>
      <c r="E186" s="165"/>
      <c r="F186" s="165"/>
      <c r="G186" s="165"/>
      <c r="H186" s="165"/>
      <c r="I186" s="165"/>
      <c r="J186" s="165"/>
      <c r="K186" s="165"/>
      <c r="L186" s="165"/>
      <c r="M186" s="165"/>
      <c r="N186" s="165"/>
      <c r="O186" s="165"/>
      <c r="P186" s="165"/>
      <c r="Q186" s="165"/>
      <c r="R186" s="165"/>
      <c r="S186" s="165"/>
      <c r="T186" s="165"/>
      <c r="U186" s="165"/>
      <c r="V186" s="165"/>
      <c r="W186" s="165"/>
      <c r="X186" s="165"/>
      <c r="Y186" s="165"/>
      <c r="Z186" s="165"/>
    </row>
    <row r="187">
      <c r="A187" s="165"/>
      <c r="B187" s="165"/>
      <c r="C187" s="165"/>
      <c r="D187" s="165"/>
      <c r="E187" s="165"/>
      <c r="F187" s="165"/>
      <c r="G187" s="165"/>
      <c r="H187" s="165"/>
      <c r="I187" s="165"/>
      <c r="J187" s="165"/>
      <c r="K187" s="165"/>
      <c r="L187" s="165"/>
      <c r="M187" s="165"/>
      <c r="N187" s="165"/>
      <c r="O187" s="165"/>
      <c r="P187" s="165"/>
      <c r="Q187" s="165"/>
      <c r="R187" s="165"/>
      <c r="S187" s="165"/>
      <c r="T187" s="165"/>
      <c r="U187" s="165"/>
      <c r="V187" s="165"/>
      <c r="W187" s="165"/>
      <c r="X187" s="165"/>
      <c r="Y187" s="165"/>
      <c r="Z187" s="165"/>
    </row>
    <row r="188">
      <c r="A188" s="165"/>
      <c r="B188" s="165"/>
      <c r="C188" s="165"/>
      <c r="D188" s="165"/>
      <c r="E188" s="165"/>
      <c r="F188" s="165"/>
      <c r="G188" s="165"/>
      <c r="H188" s="165"/>
      <c r="I188" s="165"/>
      <c r="J188" s="165"/>
      <c r="K188" s="165"/>
      <c r="L188" s="165"/>
      <c r="M188" s="165"/>
      <c r="N188" s="165"/>
      <c r="O188" s="165"/>
      <c r="P188" s="165"/>
      <c r="Q188" s="165"/>
      <c r="R188" s="165"/>
      <c r="S188" s="165"/>
      <c r="T188" s="165"/>
      <c r="U188" s="165"/>
      <c r="V188" s="165"/>
      <c r="W188" s="165"/>
      <c r="X188" s="165"/>
      <c r="Y188" s="165"/>
      <c r="Z188" s="165"/>
    </row>
    <row r="189">
      <c r="A189" s="165"/>
      <c r="B189" s="165"/>
      <c r="C189" s="165"/>
      <c r="D189" s="165"/>
      <c r="E189" s="165"/>
      <c r="F189" s="165"/>
      <c r="G189" s="165"/>
      <c r="H189" s="165"/>
      <c r="I189" s="165"/>
      <c r="J189" s="165"/>
      <c r="K189" s="165"/>
      <c r="L189" s="165"/>
      <c r="M189" s="165"/>
      <c r="N189" s="165"/>
      <c r="O189" s="165"/>
      <c r="P189" s="165"/>
      <c r="Q189" s="165"/>
      <c r="R189" s="165"/>
      <c r="S189" s="165"/>
      <c r="T189" s="165"/>
      <c r="U189" s="165"/>
      <c r="V189" s="165"/>
      <c r="W189" s="165"/>
      <c r="X189" s="165"/>
      <c r="Y189" s="165"/>
      <c r="Z189" s="165"/>
    </row>
    <row r="190">
      <c r="A190" s="165"/>
      <c r="B190" s="165"/>
      <c r="C190" s="165"/>
      <c r="D190" s="165"/>
      <c r="E190" s="165"/>
      <c r="F190" s="165"/>
      <c r="G190" s="165"/>
      <c r="H190" s="165"/>
      <c r="I190" s="165"/>
      <c r="J190" s="165"/>
      <c r="K190" s="165"/>
      <c r="L190" s="165"/>
      <c r="M190" s="165"/>
      <c r="N190" s="165"/>
      <c r="O190" s="165"/>
      <c r="P190" s="165"/>
      <c r="Q190" s="165"/>
      <c r="R190" s="165"/>
      <c r="S190" s="165"/>
      <c r="T190" s="165"/>
      <c r="U190" s="165"/>
      <c r="V190" s="165"/>
      <c r="W190" s="165"/>
      <c r="X190" s="165"/>
      <c r="Y190" s="165"/>
      <c r="Z190" s="165"/>
    </row>
    <row r="191">
      <c r="A191" s="165"/>
      <c r="B191" s="165"/>
      <c r="C191" s="165"/>
      <c r="D191" s="165"/>
      <c r="E191" s="165"/>
      <c r="F191" s="165"/>
      <c r="G191" s="165"/>
      <c r="H191" s="165"/>
      <c r="I191" s="165"/>
      <c r="J191" s="165"/>
      <c r="K191" s="165"/>
      <c r="L191" s="165"/>
      <c r="M191" s="165"/>
      <c r="N191" s="165"/>
      <c r="O191" s="165"/>
      <c r="P191" s="165"/>
      <c r="Q191" s="165"/>
      <c r="R191" s="165"/>
      <c r="S191" s="165"/>
      <c r="T191" s="165"/>
      <c r="U191" s="165"/>
      <c r="V191" s="165"/>
      <c r="W191" s="165"/>
      <c r="X191" s="165"/>
      <c r="Y191" s="165"/>
      <c r="Z191" s="165"/>
    </row>
    <row r="192">
      <c r="A192" s="165"/>
      <c r="B192" s="165"/>
      <c r="C192" s="165"/>
      <c r="D192" s="165"/>
      <c r="E192" s="165"/>
      <c r="F192" s="165"/>
      <c r="G192" s="165"/>
      <c r="H192" s="165"/>
      <c r="I192" s="165"/>
      <c r="J192" s="165"/>
      <c r="K192" s="165"/>
      <c r="L192" s="165"/>
      <c r="M192" s="165"/>
      <c r="N192" s="165"/>
      <c r="O192" s="165"/>
      <c r="P192" s="165"/>
      <c r="Q192" s="165"/>
      <c r="R192" s="165"/>
      <c r="S192" s="165"/>
      <c r="T192" s="165"/>
      <c r="U192" s="165"/>
      <c r="V192" s="165"/>
      <c r="W192" s="165"/>
      <c r="X192" s="165"/>
      <c r="Y192" s="165"/>
      <c r="Z192" s="165"/>
    </row>
    <row r="193">
      <c r="A193" s="165"/>
      <c r="B193" s="165"/>
      <c r="C193" s="165"/>
      <c r="D193" s="165"/>
      <c r="E193" s="165"/>
      <c r="F193" s="165"/>
      <c r="G193" s="165"/>
      <c r="H193" s="165"/>
      <c r="I193" s="165"/>
      <c r="J193" s="165"/>
      <c r="K193" s="165"/>
      <c r="L193" s="165"/>
      <c r="M193" s="165"/>
      <c r="N193" s="165"/>
      <c r="O193" s="165"/>
      <c r="P193" s="165"/>
      <c r="Q193" s="165"/>
      <c r="R193" s="165"/>
      <c r="S193" s="165"/>
      <c r="T193" s="165"/>
      <c r="U193" s="165"/>
      <c r="V193" s="165"/>
      <c r="W193" s="165"/>
      <c r="X193" s="165"/>
      <c r="Y193" s="165"/>
      <c r="Z193" s="165"/>
    </row>
    <row r="194">
      <c r="A194" s="165"/>
      <c r="B194" s="165"/>
      <c r="C194" s="165"/>
      <c r="D194" s="165"/>
      <c r="E194" s="165"/>
      <c r="F194" s="165"/>
      <c r="G194" s="165"/>
      <c r="H194" s="165"/>
      <c r="I194" s="165"/>
      <c r="J194" s="165"/>
      <c r="K194" s="165"/>
      <c r="L194" s="165"/>
      <c r="M194" s="165"/>
      <c r="N194" s="165"/>
      <c r="O194" s="165"/>
      <c r="P194" s="165"/>
      <c r="Q194" s="165"/>
      <c r="R194" s="165"/>
      <c r="S194" s="165"/>
      <c r="T194" s="165"/>
      <c r="U194" s="165"/>
      <c r="V194" s="165"/>
      <c r="W194" s="165"/>
      <c r="X194" s="165"/>
      <c r="Y194" s="165"/>
      <c r="Z194" s="165"/>
    </row>
    <row r="195">
      <c r="A195" s="165"/>
      <c r="B195" s="165"/>
      <c r="C195" s="165"/>
      <c r="D195" s="165"/>
      <c r="E195" s="165"/>
      <c r="F195" s="165"/>
      <c r="G195" s="165"/>
      <c r="H195" s="165"/>
      <c r="I195" s="165"/>
      <c r="J195" s="165"/>
      <c r="K195" s="165"/>
      <c r="L195" s="165"/>
      <c r="M195" s="165"/>
      <c r="N195" s="165"/>
      <c r="O195" s="165"/>
      <c r="P195" s="165"/>
      <c r="Q195" s="165"/>
      <c r="R195" s="165"/>
      <c r="S195" s="165"/>
      <c r="T195" s="165"/>
      <c r="U195" s="165"/>
      <c r="V195" s="165"/>
      <c r="W195" s="165"/>
      <c r="X195" s="165"/>
      <c r="Y195" s="165"/>
      <c r="Z195" s="165"/>
    </row>
    <row r="196">
      <c r="A196" s="165"/>
      <c r="B196" s="165"/>
      <c r="C196" s="165"/>
      <c r="D196" s="165"/>
      <c r="E196" s="165"/>
      <c r="F196" s="165"/>
      <c r="G196" s="165"/>
      <c r="H196" s="165"/>
      <c r="I196" s="165"/>
      <c r="J196" s="165"/>
      <c r="K196" s="165"/>
      <c r="L196" s="165"/>
      <c r="M196" s="165"/>
      <c r="N196" s="165"/>
      <c r="O196" s="165"/>
      <c r="P196" s="165"/>
      <c r="Q196" s="165"/>
      <c r="R196" s="165"/>
      <c r="S196" s="165"/>
      <c r="T196" s="165"/>
      <c r="U196" s="165"/>
      <c r="V196" s="165"/>
      <c r="W196" s="165"/>
      <c r="X196" s="165"/>
      <c r="Y196" s="165"/>
      <c r="Z196" s="165"/>
    </row>
    <row r="197">
      <c r="A197" s="165"/>
      <c r="B197" s="165"/>
      <c r="C197" s="165"/>
      <c r="D197" s="165"/>
      <c r="E197" s="165"/>
      <c r="F197" s="165"/>
      <c r="G197" s="165"/>
      <c r="H197" s="165"/>
      <c r="I197" s="165"/>
      <c r="J197" s="165"/>
      <c r="K197" s="165"/>
      <c r="L197" s="165"/>
      <c r="M197" s="165"/>
      <c r="N197" s="165"/>
      <c r="O197" s="165"/>
      <c r="P197" s="165"/>
      <c r="Q197" s="165"/>
      <c r="R197" s="165"/>
      <c r="S197" s="165"/>
      <c r="T197" s="165"/>
      <c r="U197" s="165"/>
      <c r="V197" s="165"/>
      <c r="W197" s="165"/>
      <c r="X197" s="165"/>
      <c r="Y197" s="165"/>
      <c r="Z197" s="165"/>
    </row>
    <row r="198">
      <c r="A198" s="165"/>
      <c r="B198" s="165"/>
      <c r="C198" s="165"/>
      <c r="D198" s="165"/>
      <c r="E198" s="165"/>
      <c r="F198" s="165"/>
      <c r="G198" s="165"/>
      <c r="H198" s="165"/>
      <c r="I198" s="165"/>
      <c r="J198" s="165"/>
      <c r="K198" s="165"/>
      <c r="L198" s="165"/>
      <c r="M198" s="165"/>
      <c r="N198" s="165"/>
      <c r="O198" s="165"/>
      <c r="P198" s="165"/>
      <c r="Q198" s="165"/>
      <c r="R198" s="165"/>
      <c r="S198" s="165"/>
      <c r="T198" s="165"/>
      <c r="U198" s="165"/>
      <c r="V198" s="165"/>
      <c r="W198" s="165"/>
      <c r="X198" s="165"/>
      <c r="Y198" s="165"/>
      <c r="Z198" s="165"/>
    </row>
    <row r="199">
      <c r="A199" s="165"/>
      <c r="B199" s="165"/>
      <c r="C199" s="165"/>
      <c r="D199" s="165"/>
      <c r="E199" s="165"/>
      <c r="F199" s="165"/>
      <c r="G199" s="165"/>
      <c r="H199" s="165"/>
      <c r="I199" s="165"/>
      <c r="J199" s="165"/>
      <c r="K199" s="165"/>
      <c r="L199" s="165"/>
      <c r="M199" s="165"/>
      <c r="N199" s="165"/>
      <c r="O199" s="165"/>
      <c r="P199" s="165"/>
      <c r="Q199" s="165"/>
      <c r="R199" s="165"/>
      <c r="S199" s="165"/>
      <c r="T199" s="165"/>
      <c r="U199" s="165"/>
      <c r="V199" s="165"/>
      <c r="W199" s="165"/>
      <c r="X199" s="165"/>
      <c r="Y199" s="165"/>
      <c r="Z199" s="165"/>
    </row>
    <row r="200">
      <c r="A200" s="165"/>
      <c r="B200" s="165"/>
      <c r="C200" s="165"/>
      <c r="D200" s="165"/>
      <c r="E200" s="165"/>
      <c r="F200" s="165"/>
      <c r="G200" s="165"/>
      <c r="H200" s="165"/>
      <c r="I200" s="165"/>
      <c r="J200" s="165"/>
      <c r="K200" s="165"/>
      <c r="L200" s="165"/>
      <c r="M200" s="165"/>
      <c r="N200" s="165"/>
      <c r="O200" s="165"/>
      <c r="P200" s="165"/>
      <c r="Q200" s="165"/>
      <c r="R200" s="165"/>
      <c r="S200" s="165"/>
      <c r="T200" s="165"/>
      <c r="U200" s="165"/>
      <c r="V200" s="165"/>
      <c r="W200" s="165"/>
      <c r="X200" s="165"/>
      <c r="Y200" s="165"/>
      <c r="Z200" s="165"/>
    </row>
    <row r="201">
      <c r="A201" s="165"/>
      <c r="B201" s="165"/>
      <c r="C201" s="165"/>
      <c r="D201" s="165"/>
      <c r="E201" s="165"/>
      <c r="F201" s="165"/>
      <c r="G201" s="165"/>
      <c r="H201" s="165"/>
      <c r="I201" s="165"/>
      <c r="J201" s="165"/>
      <c r="K201" s="165"/>
      <c r="L201" s="165"/>
      <c r="M201" s="165"/>
      <c r="N201" s="165"/>
      <c r="O201" s="165"/>
      <c r="P201" s="165"/>
      <c r="Q201" s="165"/>
      <c r="R201" s="165"/>
      <c r="S201" s="165"/>
      <c r="T201" s="165"/>
      <c r="U201" s="165"/>
      <c r="V201" s="165"/>
      <c r="W201" s="165"/>
      <c r="X201" s="165"/>
      <c r="Y201" s="165"/>
      <c r="Z201" s="165"/>
    </row>
    <row r="202">
      <c r="A202" s="165"/>
      <c r="B202" s="165"/>
      <c r="C202" s="165"/>
      <c r="D202" s="165"/>
      <c r="E202" s="165"/>
      <c r="F202" s="165"/>
      <c r="G202" s="165"/>
      <c r="H202" s="165"/>
      <c r="I202" s="165"/>
      <c r="J202" s="165"/>
      <c r="K202" s="165"/>
      <c r="L202" s="165"/>
      <c r="M202" s="165"/>
      <c r="N202" s="165"/>
      <c r="O202" s="165"/>
      <c r="P202" s="165"/>
      <c r="Q202" s="165"/>
      <c r="R202" s="165"/>
      <c r="S202" s="165"/>
      <c r="T202" s="165"/>
      <c r="U202" s="165"/>
      <c r="V202" s="165"/>
      <c r="W202" s="165"/>
      <c r="X202" s="165"/>
      <c r="Y202" s="165"/>
      <c r="Z202" s="165"/>
    </row>
    <row r="203">
      <c r="A203" s="165"/>
      <c r="B203" s="165"/>
      <c r="C203" s="165"/>
      <c r="D203" s="165"/>
      <c r="E203" s="165"/>
      <c r="F203" s="165"/>
      <c r="G203" s="165"/>
      <c r="H203" s="165"/>
      <c r="I203" s="165"/>
      <c r="J203" s="165"/>
      <c r="K203" s="165"/>
      <c r="L203" s="165"/>
      <c r="M203" s="165"/>
      <c r="N203" s="165"/>
      <c r="O203" s="165"/>
      <c r="P203" s="165"/>
      <c r="Q203" s="165"/>
      <c r="R203" s="165"/>
      <c r="S203" s="165"/>
      <c r="T203" s="165"/>
      <c r="U203" s="165"/>
      <c r="V203" s="165"/>
      <c r="W203" s="165"/>
      <c r="X203" s="165"/>
      <c r="Y203" s="165"/>
      <c r="Z203" s="165"/>
    </row>
    <row r="204">
      <c r="A204" s="165"/>
      <c r="B204" s="165"/>
      <c r="C204" s="165"/>
      <c r="D204" s="165"/>
      <c r="E204" s="165"/>
      <c r="F204" s="165"/>
      <c r="G204" s="165"/>
      <c r="H204" s="165"/>
      <c r="I204" s="165"/>
      <c r="J204" s="165"/>
      <c r="K204" s="165"/>
      <c r="L204" s="165"/>
      <c r="M204" s="165"/>
      <c r="N204" s="165"/>
      <c r="O204" s="165"/>
      <c r="P204" s="165"/>
      <c r="Q204" s="165"/>
      <c r="R204" s="165"/>
      <c r="S204" s="165"/>
      <c r="T204" s="165"/>
      <c r="U204" s="165"/>
      <c r="V204" s="165"/>
      <c r="W204" s="165"/>
      <c r="X204" s="165"/>
      <c r="Y204" s="165"/>
      <c r="Z204" s="165"/>
    </row>
    <row r="205">
      <c r="A205" s="165"/>
      <c r="B205" s="165"/>
      <c r="C205" s="165"/>
      <c r="D205" s="165"/>
      <c r="E205" s="165"/>
      <c r="F205" s="165"/>
      <c r="G205" s="165"/>
      <c r="H205" s="165"/>
      <c r="I205" s="165"/>
      <c r="J205" s="165"/>
      <c r="K205" s="165"/>
      <c r="L205" s="165"/>
      <c r="M205" s="165"/>
      <c r="N205" s="165"/>
      <c r="O205" s="165"/>
      <c r="P205" s="165"/>
      <c r="Q205" s="165"/>
      <c r="R205" s="165"/>
      <c r="S205" s="165"/>
      <c r="T205" s="165"/>
      <c r="U205" s="165"/>
      <c r="V205" s="165"/>
      <c r="W205" s="165"/>
      <c r="X205" s="165"/>
      <c r="Y205" s="165"/>
      <c r="Z205" s="165"/>
    </row>
    <row r="206">
      <c r="A206" s="165"/>
      <c r="B206" s="165"/>
      <c r="C206" s="165"/>
      <c r="D206" s="165"/>
      <c r="E206" s="165"/>
      <c r="F206" s="165"/>
      <c r="G206" s="165"/>
      <c r="H206" s="165"/>
      <c r="I206" s="165"/>
      <c r="J206" s="165"/>
      <c r="K206" s="165"/>
      <c r="L206" s="165"/>
      <c r="M206" s="165"/>
      <c r="N206" s="165"/>
      <c r="O206" s="165"/>
      <c r="P206" s="165"/>
      <c r="Q206" s="165"/>
      <c r="R206" s="165"/>
      <c r="S206" s="165"/>
      <c r="T206" s="165"/>
      <c r="U206" s="165"/>
      <c r="V206" s="165"/>
      <c r="W206" s="165"/>
      <c r="X206" s="165"/>
      <c r="Y206" s="165"/>
      <c r="Z206" s="165"/>
    </row>
    <row r="207">
      <c r="A207" s="165"/>
      <c r="B207" s="165"/>
      <c r="C207" s="165"/>
      <c r="D207" s="165"/>
      <c r="E207" s="165"/>
      <c r="F207" s="165"/>
      <c r="G207" s="165"/>
      <c r="H207" s="165"/>
      <c r="I207" s="165"/>
      <c r="J207" s="165"/>
      <c r="K207" s="165"/>
      <c r="L207" s="165"/>
      <c r="M207" s="165"/>
      <c r="N207" s="165"/>
      <c r="O207" s="165"/>
      <c r="P207" s="165"/>
      <c r="Q207" s="165"/>
      <c r="R207" s="165"/>
      <c r="S207" s="165"/>
      <c r="T207" s="165"/>
      <c r="U207" s="165"/>
      <c r="V207" s="165"/>
      <c r="W207" s="165"/>
      <c r="X207" s="165"/>
      <c r="Y207" s="165"/>
      <c r="Z207" s="165"/>
    </row>
    <row r="208">
      <c r="A208" s="165"/>
      <c r="B208" s="165"/>
      <c r="C208" s="165"/>
      <c r="D208" s="165"/>
      <c r="E208" s="165"/>
      <c r="F208" s="165"/>
      <c r="G208" s="165"/>
      <c r="H208" s="165"/>
      <c r="I208" s="165"/>
      <c r="J208" s="165"/>
      <c r="K208" s="165"/>
      <c r="L208" s="165"/>
      <c r="M208" s="165"/>
      <c r="N208" s="165"/>
      <c r="O208" s="165"/>
      <c r="P208" s="165"/>
      <c r="Q208" s="165"/>
      <c r="R208" s="165"/>
      <c r="S208" s="165"/>
      <c r="T208" s="165"/>
      <c r="U208" s="165"/>
      <c r="V208" s="165"/>
      <c r="W208" s="165"/>
      <c r="X208" s="165"/>
      <c r="Y208" s="165"/>
      <c r="Z208" s="165"/>
    </row>
    <row r="209">
      <c r="A209" s="165"/>
      <c r="B209" s="165"/>
      <c r="C209" s="165"/>
      <c r="D209" s="165"/>
      <c r="E209" s="165"/>
      <c r="F209" s="165"/>
      <c r="G209" s="165"/>
      <c r="H209" s="165"/>
      <c r="I209" s="165"/>
      <c r="J209" s="165"/>
      <c r="K209" s="165"/>
      <c r="L209" s="165"/>
      <c r="M209" s="165"/>
      <c r="N209" s="165"/>
      <c r="O209" s="165"/>
      <c r="P209" s="165"/>
      <c r="Q209" s="165"/>
      <c r="R209" s="165"/>
      <c r="S209" s="165"/>
      <c r="T209" s="165"/>
      <c r="U209" s="165"/>
      <c r="V209" s="165"/>
      <c r="W209" s="165"/>
      <c r="X209" s="165"/>
      <c r="Y209" s="165"/>
      <c r="Z209" s="165"/>
    </row>
    <row r="210">
      <c r="A210" s="165"/>
      <c r="B210" s="165"/>
      <c r="C210" s="165"/>
      <c r="D210" s="165"/>
      <c r="E210" s="165"/>
      <c r="F210" s="165"/>
      <c r="G210" s="165"/>
      <c r="H210" s="165"/>
      <c r="I210" s="165"/>
      <c r="J210" s="165"/>
      <c r="K210" s="165"/>
      <c r="L210" s="165"/>
      <c r="M210" s="165"/>
      <c r="N210" s="165"/>
      <c r="O210" s="165"/>
      <c r="P210" s="165"/>
      <c r="Q210" s="165"/>
      <c r="R210" s="165"/>
      <c r="S210" s="165"/>
      <c r="T210" s="165"/>
      <c r="U210" s="165"/>
      <c r="V210" s="165"/>
      <c r="W210" s="165"/>
      <c r="X210" s="165"/>
      <c r="Y210" s="165"/>
      <c r="Z210" s="165"/>
    </row>
    <row r="211">
      <c r="A211" s="165"/>
      <c r="B211" s="165"/>
      <c r="C211" s="165"/>
      <c r="D211" s="165"/>
      <c r="E211" s="165"/>
      <c r="F211" s="165"/>
      <c r="G211" s="165"/>
      <c r="H211" s="165"/>
      <c r="I211" s="165"/>
      <c r="J211" s="165"/>
      <c r="K211" s="165"/>
      <c r="L211" s="165"/>
      <c r="M211" s="165"/>
      <c r="N211" s="165"/>
      <c r="O211" s="165"/>
      <c r="P211" s="165"/>
      <c r="Q211" s="165"/>
      <c r="R211" s="165"/>
      <c r="S211" s="165"/>
      <c r="T211" s="165"/>
      <c r="U211" s="165"/>
      <c r="V211" s="165"/>
      <c r="W211" s="165"/>
      <c r="X211" s="165"/>
      <c r="Y211" s="165"/>
      <c r="Z211" s="165"/>
    </row>
    <row r="212">
      <c r="A212" s="165"/>
      <c r="B212" s="165"/>
      <c r="C212" s="165"/>
      <c r="D212" s="165"/>
      <c r="E212" s="165"/>
      <c r="F212" s="165"/>
      <c r="G212" s="165"/>
      <c r="H212" s="165"/>
      <c r="I212" s="165"/>
      <c r="J212" s="165"/>
      <c r="K212" s="165"/>
      <c r="L212" s="165"/>
      <c r="M212" s="165"/>
      <c r="N212" s="165"/>
      <c r="O212" s="165"/>
      <c r="P212" s="165"/>
      <c r="Q212" s="165"/>
      <c r="R212" s="165"/>
      <c r="S212" s="165"/>
      <c r="T212" s="165"/>
      <c r="U212" s="165"/>
      <c r="V212" s="165"/>
      <c r="W212" s="165"/>
      <c r="X212" s="165"/>
      <c r="Y212" s="165"/>
      <c r="Z212" s="165"/>
    </row>
    <row r="213">
      <c r="A213" s="165"/>
      <c r="B213" s="165"/>
      <c r="C213" s="165"/>
      <c r="D213" s="165"/>
      <c r="E213" s="165"/>
      <c r="F213" s="165"/>
      <c r="G213" s="165"/>
      <c r="H213" s="165"/>
      <c r="I213" s="165"/>
      <c r="J213" s="165"/>
      <c r="K213" s="165"/>
      <c r="L213" s="165"/>
      <c r="M213" s="165"/>
      <c r="N213" s="165"/>
      <c r="O213" s="165"/>
      <c r="P213" s="165"/>
      <c r="Q213" s="165"/>
      <c r="R213" s="165"/>
      <c r="S213" s="165"/>
      <c r="T213" s="165"/>
      <c r="U213" s="165"/>
      <c r="V213" s="165"/>
      <c r="W213" s="165"/>
      <c r="X213" s="165"/>
      <c r="Y213" s="165"/>
      <c r="Z213" s="165"/>
    </row>
    <row r="214">
      <c r="A214" s="165"/>
      <c r="B214" s="165"/>
      <c r="C214" s="165"/>
      <c r="D214" s="165"/>
      <c r="E214" s="165"/>
      <c r="F214" s="165"/>
      <c r="G214" s="165"/>
      <c r="H214" s="165"/>
      <c r="I214" s="165"/>
      <c r="J214" s="165"/>
      <c r="K214" s="165"/>
      <c r="L214" s="165"/>
      <c r="M214" s="165"/>
      <c r="N214" s="165"/>
      <c r="O214" s="165"/>
      <c r="P214" s="165"/>
      <c r="Q214" s="165"/>
      <c r="R214" s="165"/>
      <c r="S214" s="165"/>
      <c r="T214" s="165"/>
      <c r="U214" s="165"/>
      <c r="V214" s="165"/>
      <c r="W214" s="165"/>
      <c r="X214" s="165"/>
      <c r="Y214" s="165"/>
      <c r="Z214" s="165"/>
    </row>
    <row r="215">
      <c r="A215" s="165"/>
      <c r="B215" s="165"/>
      <c r="C215" s="165"/>
      <c r="D215" s="165"/>
      <c r="E215" s="165"/>
      <c r="F215" s="165"/>
      <c r="G215" s="165"/>
      <c r="H215" s="165"/>
      <c r="I215" s="165"/>
      <c r="J215" s="165"/>
      <c r="K215" s="165"/>
      <c r="L215" s="165"/>
      <c r="M215" s="165"/>
      <c r="N215" s="165"/>
      <c r="O215" s="165"/>
      <c r="P215" s="165"/>
      <c r="Q215" s="165"/>
      <c r="R215" s="165"/>
      <c r="S215" s="165"/>
      <c r="T215" s="165"/>
      <c r="U215" s="165"/>
      <c r="V215" s="165"/>
      <c r="W215" s="165"/>
      <c r="X215" s="165"/>
      <c r="Y215" s="165"/>
      <c r="Z215" s="165"/>
    </row>
    <row r="216">
      <c r="A216" s="165"/>
      <c r="B216" s="165"/>
      <c r="C216" s="165"/>
      <c r="D216" s="165"/>
      <c r="E216" s="165"/>
      <c r="F216" s="165"/>
      <c r="G216" s="165"/>
      <c r="H216" s="165"/>
      <c r="I216" s="165"/>
      <c r="J216" s="165"/>
      <c r="K216" s="165"/>
      <c r="L216" s="165"/>
      <c r="M216" s="165"/>
      <c r="N216" s="165"/>
      <c r="O216" s="165"/>
      <c r="P216" s="165"/>
      <c r="Q216" s="165"/>
      <c r="R216" s="165"/>
      <c r="S216" s="165"/>
      <c r="T216" s="165"/>
      <c r="U216" s="165"/>
      <c r="V216" s="165"/>
      <c r="W216" s="165"/>
      <c r="X216" s="165"/>
      <c r="Y216" s="165"/>
      <c r="Z216" s="165"/>
    </row>
    <row r="217">
      <c r="A217" s="165"/>
      <c r="B217" s="165"/>
      <c r="C217" s="165"/>
      <c r="D217" s="165"/>
      <c r="E217" s="165"/>
      <c r="F217" s="165"/>
      <c r="G217" s="165"/>
      <c r="H217" s="165"/>
      <c r="I217" s="165"/>
      <c r="J217" s="165"/>
      <c r="K217" s="165"/>
      <c r="L217" s="165"/>
      <c r="M217" s="165"/>
      <c r="N217" s="165"/>
      <c r="O217" s="165"/>
      <c r="P217" s="165"/>
      <c r="Q217" s="165"/>
      <c r="R217" s="165"/>
      <c r="S217" s="165"/>
      <c r="T217" s="165"/>
      <c r="U217" s="165"/>
      <c r="V217" s="165"/>
      <c r="W217" s="165"/>
      <c r="X217" s="165"/>
      <c r="Y217" s="165"/>
      <c r="Z217" s="165"/>
    </row>
    <row r="218">
      <c r="A218" s="165"/>
      <c r="B218" s="165"/>
      <c r="C218" s="165"/>
      <c r="D218" s="165"/>
      <c r="E218" s="165"/>
      <c r="F218" s="165"/>
      <c r="G218" s="165"/>
      <c r="H218" s="165"/>
      <c r="I218" s="165"/>
      <c r="J218" s="165"/>
      <c r="K218" s="165"/>
      <c r="L218" s="165"/>
      <c r="M218" s="165"/>
      <c r="N218" s="165"/>
      <c r="O218" s="165"/>
      <c r="P218" s="165"/>
      <c r="Q218" s="165"/>
      <c r="R218" s="165"/>
      <c r="S218" s="165"/>
      <c r="T218" s="165"/>
      <c r="U218" s="165"/>
      <c r="V218" s="165"/>
      <c r="W218" s="165"/>
      <c r="X218" s="165"/>
      <c r="Y218" s="165"/>
      <c r="Z218" s="165"/>
    </row>
    <row r="219">
      <c r="A219" s="165"/>
      <c r="B219" s="165"/>
      <c r="C219" s="165"/>
      <c r="D219" s="165"/>
      <c r="E219" s="165"/>
      <c r="F219" s="165"/>
      <c r="G219" s="165"/>
      <c r="H219" s="165"/>
      <c r="I219" s="165"/>
      <c r="J219" s="165"/>
      <c r="K219" s="165"/>
      <c r="L219" s="165"/>
      <c r="M219" s="165"/>
      <c r="N219" s="165"/>
      <c r="O219" s="165"/>
      <c r="P219" s="165"/>
      <c r="Q219" s="165"/>
      <c r="R219" s="165"/>
      <c r="S219" s="165"/>
      <c r="T219" s="165"/>
      <c r="U219" s="165"/>
      <c r="V219" s="165"/>
      <c r="W219" s="165"/>
      <c r="X219" s="165"/>
      <c r="Y219" s="165"/>
      <c r="Z219" s="165"/>
    </row>
    <row r="220">
      <c r="A220" s="165"/>
      <c r="B220" s="165"/>
      <c r="C220" s="165"/>
      <c r="D220" s="165"/>
      <c r="E220" s="165"/>
      <c r="F220" s="165"/>
      <c r="G220" s="165"/>
      <c r="H220" s="165"/>
      <c r="I220" s="165"/>
      <c r="J220" s="165"/>
      <c r="K220" s="165"/>
      <c r="L220" s="165"/>
      <c r="M220" s="165"/>
      <c r="N220" s="165"/>
      <c r="O220" s="165"/>
      <c r="P220" s="165"/>
      <c r="Q220" s="165"/>
      <c r="R220" s="165"/>
      <c r="S220" s="165"/>
      <c r="T220" s="165"/>
      <c r="U220" s="165"/>
      <c r="V220" s="165"/>
      <c r="W220" s="165"/>
      <c r="X220" s="165"/>
      <c r="Y220" s="165"/>
      <c r="Z220" s="165"/>
    </row>
    <row r="221">
      <c r="A221" s="165"/>
      <c r="B221" s="165"/>
      <c r="C221" s="165"/>
      <c r="D221" s="165"/>
      <c r="E221" s="165"/>
      <c r="F221" s="165"/>
      <c r="G221" s="165"/>
      <c r="H221" s="165"/>
      <c r="I221" s="165"/>
      <c r="J221" s="165"/>
      <c r="K221" s="165"/>
      <c r="L221" s="165"/>
      <c r="M221" s="165"/>
      <c r="N221" s="165"/>
      <c r="O221" s="165"/>
      <c r="P221" s="165"/>
      <c r="Q221" s="165"/>
      <c r="R221" s="165"/>
      <c r="S221" s="165"/>
      <c r="T221" s="165"/>
      <c r="U221" s="165"/>
      <c r="V221" s="165"/>
      <c r="W221" s="165"/>
      <c r="X221" s="165"/>
      <c r="Y221" s="165"/>
      <c r="Z221" s="165"/>
    </row>
    <row r="222">
      <c r="A222" s="165"/>
      <c r="B222" s="165"/>
      <c r="C222" s="165"/>
      <c r="D222" s="165"/>
      <c r="E222" s="165"/>
      <c r="F222" s="165"/>
      <c r="G222" s="165"/>
      <c r="H222" s="165"/>
      <c r="I222" s="165"/>
      <c r="J222" s="165"/>
      <c r="K222" s="165"/>
      <c r="L222" s="165"/>
      <c r="M222" s="165"/>
      <c r="N222" s="165"/>
      <c r="O222" s="165"/>
      <c r="P222" s="165"/>
      <c r="Q222" s="165"/>
      <c r="R222" s="165"/>
      <c r="S222" s="165"/>
      <c r="T222" s="165"/>
      <c r="U222" s="165"/>
      <c r="V222" s="165"/>
      <c r="W222" s="165"/>
      <c r="X222" s="165"/>
      <c r="Y222" s="165"/>
      <c r="Z222" s="165"/>
    </row>
    <row r="223">
      <c r="A223" s="165"/>
      <c r="B223" s="165"/>
      <c r="C223" s="165"/>
      <c r="D223" s="165"/>
      <c r="E223" s="165"/>
      <c r="F223" s="165"/>
      <c r="G223" s="165"/>
      <c r="H223" s="165"/>
      <c r="I223" s="165"/>
      <c r="J223" s="165"/>
      <c r="K223" s="165"/>
      <c r="L223" s="165"/>
      <c r="M223" s="165"/>
      <c r="N223" s="165"/>
      <c r="O223" s="165"/>
      <c r="P223" s="165"/>
      <c r="Q223" s="165"/>
      <c r="R223" s="165"/>
      <c r="S223" s="165"/>
      <c r="T223" s="165"/>
      <c r="U223" s="165"/>
      <c r="V223" s="165"/>
      <c r="W223" s="165"/>
      <c r="X223" s="165"/>
      <c r="Y223" s="165"/>
      <c r="Z223" s="165"/>
    </row>
    <row r="224">
      <c r="A224" s="165"/>
      <c r="B224" s="165"/>
      <c r="C224" s="165"/>
      <c r="D224" s="165"/>
      <c r="E224" s="165"/>
      <c r="F224" s="165"/>
      <c r="G224" s="165"/>
      <c r="H224" s="165"/>
      <c r="I224" s="165"/>
      <c r="J224" s="165"/>
      <c r="K224" s="165"/>
      <c r="L224" s="165"/>
      <c r="M224" s="165"/>
      <c r="N224" s="165"/>
      <c r="O224" s="165"/>
      <c r="P224" s="165"/>
      <c r="Q224" s="165"/>
      <c r="R224" s="165"/>
      <c r="S224" s="165"/>
      <c r="T224" s="165"/>
      <c r="U224" s="165"/>
      <c r="V224" s="165"/>
      <c r="W224" s="165"/>
      <c r="X224" s="165"/>
      <c r="Y224" s="165"/>
      <c r="Z224" s="165"/>
    </row>
    <row r="225">
      <c r="A225" s="165"/>
      <c r="B225" s="165"/>
      <c r="C225" s="165"/>
      <c r="D225" s="165"/>
      <c r="E225" s="165"/>
      <c r="F225" s="165"/>
      <c r="G225" s="165"/>
      <c r="H225" s="165"/>
      <c r="I225" s="165"/>
      <c r="J225" s="165"/>
      <c r="K225" s="165"/>
      <c r="L225" s="165"/>
      <c r="M225" s="165"/>
      <c r="N225" s="165"/>
      <c r="O225" s="165"/>
      <c r="P225" s="165"/>
      <c r="Q225" s="165"/>
      <c r="R225" s="165"/>
      <c r="S225" s="165"/>
      <c r="T225" s="165"/>
      <c r="U225" s="165"/>
      <c r="V225" s="165"/>
      <c r="W225" s="165"/>
      <c r="X225" s="165"/>
      <c r="Y225" s="165"/>
      <c r="Z225" s="165"/>
    </row>
    <row r="226">
      <c r="A226" s="165"/>
      <c r="B226" s="165"/>
      <c r="C226" s="165"/>
      <c r="D226" s="165"/>
      <c r="E226" s="165"/>
      <c r="F226" s="165"/>
      <c r="G226" s="165"/>
      <c r="H226" s="165"/>
      <c r="I226" s="165"/>
      <c r="J226" s="165"/>
      <c r="K226" s="165"/>
      <c r="L226" s="165"/>
      <c r="M226" s="165"/>
      <c r="N226" s="165"/>
      <c r="O226" s="165"/>
      <c r="P226" s="165"/>
      <c r="Q226" s="165"/>
      <c r="R226" s="165"/>
      <c r="S226" s="165"/>
      <c r="T226" s="165"/>
      <c r="U226" s="165"/>
      <c r="V226" s="165"/>
      <c r="W226" s="165"/>
      <c r="X226" s="165"/>
      <c r="Y226" s="165"/>
      <c r="Z226" s="165"/>
    </row>
    <row r="227">
      <c r="A227" s="165"/>
      <c r="B227" s="165"/>
      <c r="C227" s="165"/>
      <c r="D227" s="165"/>
      <c r="E227" s="165"/>
      <c r="F227" s="165"/>
      <c r="G227" s="165"/>
      <c r="H227" s="165"/>
      <c r="I227" s="165"/>
      <c r="J227" s="165"/>
      <c r="K227" s="165"/>
      <c r="L227" s="165"/>
      <c r="M227" s="165"/>
      <c r="N227" s="165"/>
      <c r="O227" s="165"/>
      <c r="P227" s="165"/>
      <c r="Q227" s="165"/>
      <c r="R227" s="165"/>
      <c r="S227" s="165"/>
      <c r="T227" s="165"/>
      <c r="U227" s="165"/>
      <c r="V227" s="165"/>
      <c r="W227" s="165"/>
      <c r="X227" s="165"/>
      <c r="Y227" s="165"/>
      <c r="Z227" s="165"/>
    </row>
    <row r="228">
      <c r="A228" s="165"/>
      <c r="B228" s="165"/>
      <c r="C228" s="165"/>
      <c r="D228" s="165"/>
      <c r="E228" s="165"/>
      <c r="F228" s="165"/>
      <c r="G228" s="165"/>
      <c r="H228" s="165"/>
      <c r="I228" s="165"/>
      <c r="J228" s="165"/>
      <c r="K228" s="165"/>
      <c r="L228" s="165"/>
      <c r="M228" s="165"/>
      <c r="N228" s="165"/>
      <c r="O228" s="165"/>
      <c r="P228" s="165"/>
      <c r="Q228" s="165"/>
      <c r="R228" s="165"/>
      <c r="S228" s="165"/>
      <c r="T228" s="165"/>
      <c r="U228" s="165"/>
      <c r="V228" s="165"/>
      <c r="W228" s="165"/>
      <c r="X228" s="165"/>
      <c r="Y228" s="165"/>
      <c r="Z228" s="165"/>
    </row>
    <row r="229">
      <c r="A229" s="165"/>
      <c r="B229" s="165"/>
      <c r="C229" s="165"/>
      <c r="D229" s="165"/>
      <c r="E229" s="165"/>
      <c r="F229" s="165"/>
      <c r="G229" s="165"/>
      <c r="H229" s="165"/>
      <c r="I229" s="165"/>
      <c r="J229" s="165"/>
      <c r="K229" s="165"/>
      <c r="L229" s="165"/>
      <c r="M229" s="165"/>
      <c r="N229" s="165"/>
      <c r="O229" s="165"/>
      <c r="P229" s="165"/>
      <c r="Q229" s="165"/>
      <c r="R229" s="165"/>
      <c r="S229" s="165"/>
      <c r="T229" s="165"/>
      <c r="U229" s="165"/>
      <c r="V229" s="165"/>
      <c r="W229" s="165"/>
      <c r="X229" s="165"/>
      <c r="Y229" s="165"/>
      <c r="Z229" s="165"/>
    </row>
    <row r="230">
      <c r="A230" s="165"/>
      <c r="B230" s="165"/>
      <c r="C230" s="165"/>
      <c r="D230" s="165"/>
      <c r="E230" s="165"/>
      <c r="F230" s="165"/>
      <c r="G230" s="165"/>
      <c r="H230" s="165"/>
      <c r="I230" s="165"/>
      <c r="J230" s="165"/>
      <c r="K230" s="165"/>
      <c r="L230" s="165"/>
      <c r="M230" s="165"/>
      <c r="N230" s="165"/>
      <c r="O230" s="165"/>
      <c r="P230" s="165"/>
      <c r="Q230" s="165"/>
      <c r="R230" s="165"/>
      <c r="S230" s="165"/>
      <c r="T230" s="165"/>
      <c r="U230" s="165"/>
      <c r="V230" s="165"/>
      <c r="W230" s="165"/>
      <c r="X230" s="165"/>
      <c r="Y230" s="165"/>
      <c r="Z230" s="165"/>
    </row>
    <row r="231">
      <c r="A231" s="165"/>
      <c r="B231" s="165"/>
      <c r="C231" s="165"/>
      <c r="D231" s="165"/>
      <c r="E231" s="165"/>
      <c r="F231" s="165"/>
      <c r="G231" s="165"/>
      <c r="H231" s="165"/>
      <c r="I231" s="165"/>
      <c r="J231" s="165"/>
      <c r="K231" s="165"/>
      <c r="L231" s="165"/>
      <c r="M231" s="165"/>
      <c r="N231" s="165"/>
      <c r="O231" s="165"/>
      <c r="P231" s="165"/>
      <c r="Q231" s="165"/>
      <c r="R231" s="165"/>
      <c r="S231" s="165"/>
      <c r="T231" s="165"/>
      <c r="U231" s="165"/>
      <c r="V231" s="165"/>
      <c r="W231" s="165"/>
      <c r="X231" s="165"/>
      <c r="Y231" s="165"/>
      <c r="Z231" s="165"/>
    </row>
    <row r="232">
      <c r="A232" s="165"/>
      <c r="B232" s="165"/>
      <c r="C232" s="165"/>
      <c r="D232" s="165"/>
      <c r="E232" s="165"/>
      <c r="F232" s="165"/>
      <c r="G232" s="165"/>
      <c r="H232" s="165"/>
      <c r="I232" s="165"/>
      <c r="J232" s="165"/>
      <c r="K232" s="165"/>
      <c r="L232" s="165"/>
      <c r="M232" s="165"/>
      <c r="N232" s="165"/>
      <c r="O232" s="165"/>
      <c r="P232" s="165"/>
      <c r="Q232" s="165"/>
      <c r="R232" s="165"/>
      <c r="S232" s="165"/>
      <c r="T232" s="165"/>
      <c r="U232" s="165"/>
      <c r="V232" s="165"/>
      <c r="W232" s="165"/>
      <c r="X232" s="165"/>
      <c r="Y232" s="165"/>
      <c r="Z232" s="165"/>
    </row>
    <row r="233">
      <c r="A233" s="165"/>
      <c r="B233" s="165"/>
      <c r="C233" s="165"/>
      <c r="D233" s="165"/>
      <c r="E233" s="165"/>
      <c r="F233" s="165"/>
      <c r="G233" s="165"/>
      <c r="H233" s="165"/>
      <c r="I233" s="165"/>
      <c r="J233" s="165"/>
      <c r="K233" s="165"/>
      <c r="L233" s="165"/>
      <c r="M233" s="165"/>
      <c r="N233" s="165"/>
      <c r="O233" s="165"/>
      <c r="P233" s="165"/>
      <c r="Q233" s="165"/>
      <c r="R233" s="165"/>
      <c r="S233" s="165"/>
      <c r="T233" s="165"/>
      <c r="U233" s="165"/>
      <c r="V233" s="165"/>
      <c r="W233" s="165"/>
      <c r="X233" s="165"/>
      <c r="Y233" s="165"/>
      <c r="Z233" s="165"/>
    </row>
    <row r="234">
      <c r="A234" s="165"/>
      <c r="B234" s="165"/>
      <c r="C234" s="165"/>
      <c r="D234" s="165"/>
      <c r="E234" s="165"/>
      <c r="F234" s="165"/>
      <c r="G234" s="165"/>
      <c r="H234" s="165"/>
      <c r="I234" s="165"/>
      <c r="J234" s="165"/>
      <c r="K234" s="165"/>
      <c r="L234" s="165"/>
      <c r="M234" s="165"/>
      <c r="N234" s="165"/>
      <c r="O234" s="165"/>
      <c r="P234" s="165"/>
      <c r="Q234" s="165"/>
      <c r="R234" s="165"/>
      <c r="S234" s="165"/>
      <c r="T234" s="165"/>
      <c r="U234" s="165"/>
      <c r="V234" s="165"/>
      <c r="W234" s="165"/>
      <c r="X234" s="165"/>
      <c r="Y234" s="165"/>
      <c r="Z234" s="165"/>
    </row>
    <row r="235">
      <c r="A235" s="165"/>
      <c r="B235" s="165"/>
      <c r="C235" s="165"/>
      <c r="D235" s="165"/>
      <c r="E235" s="165"/>
      <c r="F235" s="165"/>
      <c r="G235" s="165"/>
      <c r="H235" s="165"/>
      <c r="I235" s="165"/>
      <c r="J235" s="165"/>
      <c r="K235" s="165"/>
      <c r="L235" s="165"/>
      <c r="M235" s="165"/>
      <c r="N235" s="165"/>
      <c r="O235" s="165"/>
      <c r="P235" s="165"/>
      <c r="Q235" s="165"/>
      <c r="R235" s="165"/>
      <c r="S235" s="165"/>
      <c r="T235" s="165"/>
      <c r="U235" s="165"/>
      <c r="V235" s="165"/>
      <c r="W235" s="165"/>
      <c r="X235" s="165"/>
      <c r="Y235" s="165"/>
      <c r="Z235" s="165"/>
    </row>
    <row r="236">
      <c r="A236" s="165"/>
      <c r="B236" s="165"/>
      <c r="C236" s="165"/>
      <c r="D236" s="165"/>
      <c r="E236" s="165"/>
      <c r="F236" s="165"/>
      <c r="G236" s="165"/>
      <c r="H236" s="165"/>
      <c r="I236" s="165"/>
      <c r="J236" s="165"/>
      <c r="K236" s="165"/>
      <c r="L236" s="165"/>
      <c r="M236" s="165"/>
      <c r="N236" s="165"/>
      <c r="O236" s="165"/>
      <c r="P236" s="165"/>
      <c r="Q236" s="165"/>
      <c r="R236" s="165"/>
      <c r="S236" s="165"/>
      <c r="T236" s="165"/>
      <c r="U236" s="165"/>
      <c r="V236" s="165"/>
      <c r="W236" s="165"/>
      <c r="X236" s="165"/>
      <c r="Y236" s="165"/>
      <c r="Z236" s="165"/>
    </row>
    <row r="237">
      <c r="A237" s="165"/>
      <c r="B237" s="165"/>
      <c r="C237" s="165"/>
      <c r="D237" s="165"/>
      <c r="E237" s="165"/>
      <c r="F237" s="165"/>
      <c r="G237" s="165"/>
      <c r="H237" s="165"/>
      <c r="I237" s="165"/>
      <c r="J237" s="165"/>
      <c r="K237" s="165"/>
      <c r="L237" s="165"/>
      <c r="M237" s="165"/>
      <c r="N237" s="165"/>
      <c r="O237" s="165"/>
      <c r="P237" s="165"/>
      <c r="Q237" s="165"/>
      <c r="R237" s="165"/>
      <c r="S237" s="165"/>
      <c r="T237" s="165"/>
      <c r="U237" s="165"/>
      <c r="V237" s="165"/>
      <c r="W237" s="165"/>
      <c r="X237" s="165"/>
      <c r="Y237" s="165"/>
      <c r="Z237" s="165"/>
    </row>
    <row r="238">
      <c r="A238" s="165"/>
      <c r="B238" s="165"/>
      <c r="C238" s="165"/>
      <c r="D238" s="165"/>
      <c r="E238" s="165"/>
      <c r="F238" s="165"/>
      <c r="G238" s="165"/>
      <c r="H238" s="165"/>
      <c r="I238" s="165"/>
      <c r="J238" s="165"/>
      <c r="K238" s="165"/>
      <c r="L238" s="165"/>
      <c r="M238" s="165"/>
      <c r="N238" s="165"/>
      <c r="O238" s="165"/>
      <c r="P238" s="165"/>
      <c r="Q238" s="165"/>
      <c r="R238" s="165"/>
      <c r="S238" s="165"/>
      <c r="T238" s="165"/>
      <c r="U238" s="165"/>
      <c r="V238" s="165"/>
      <c r="W238" s="165"/>
      <c r="X238" s="165"/>
      <c r="Y238" s="165"/>
      <c r="Z238" s="165"/>
    </row>
    <row r="239">
      <c r="A239" s="165"/>
      <c r="B239" s="165"/>
      <c r="C239" s="165"/>
      <c r="D239" s="165"/>
      <c r="E239" s="165"/>
      <c r="F239" s="165"/>
      <c r="G239" s="165"/>
      <c r="H239" s="165"/>
      <c r="I239" s="165"/>
      <c r="J239" s="165"/>
      <c r="K239" s="165"/>
      <c r="L239" s="165"/>
      <c r="M239" s="165"/>
      <c r="N239" s="165"/>
      <c r="O239" s="165"/>
      <c r="P239" s="165"/>
      <c r="Q239" s="165"/>
      <c r="R239" s="165"/>
      <c r="S239" s="165"/>
      <c r="T239" s="165"/>
      <c r="U239" s="165"/>
      <c r="V239" s="165"/>
      <c r="W239" s="165"/>
      <c r="X239" s="165"/>
      <c r="Y239" s="165"/>
      <c r="Z239" s="165"/>
    </row>
    <row r="240">
      <c r="A240" s="165"/>
      <c r="B240" s="165"/>
      <c r="C240" s="165"/>
      <c r="D240" s="165"/>
      <c r="E240" s="165"/>
      <c r="F240" s="165"/>
      <c r="G240" s="165"/>
      <c r="H240" s="165"/>
      <c r="I240" s="165"/>
      <c r="J240" s="165"/>
      <c r="K240" s="165"/>
      <c r="L240" s="165"/>
      <c r="M240" s="165"/>
      <c r="N240" s="165"/>
      <c r="O240" s="165"/>
      <c r="P240" s="165"/>
      <c r="Q240" s="165"/>
      <c r="R240" s="165"/>
      <c r="S240" s="165"/>
      <c r="T240" s="165"/>
      <c r="U240" s="165"/>
      <c r="V240" s="165"/>
      <c r="W240" s="165"/>
      <c r="X240" s="165"/>
      <c r="Y240" s="165"/>
      <c r="Z240" s="165"/>
    </row>
    <row r="241">
      <c r="A241" s="165"/>
      <c r="B241" s="165"/>
      <c r="C241" s="165"/>
      <c r="D241" s="165"/>
      <c r="E241" s="165"/>
      <c r="F241" s="165"/>
      <c r="G241" s="165"/>
      <c r="H241" s="165"/>
      <c r="I241" s="165"/>
      <c r="J241" s="165"/>
      <c r="K241" s="165"/>
      <c r="L241" s="165"/>
      <c r="M241" s="165"/>
      <c r="N241" s="165"/>
      <c r="O241" s="165"/>
      <c r="P241" s="165"/>
      <c r="Q241" s="165"/>
      <c r="R241" s="165"/>
      <c r="S241" s="165"/>
      <c r="T241" s="165"/>
      <c r="U241" s="165"/>
      <c r="V241" s="165"/>
      <c r="W241" s="165"/>
      <c r="X241" s="165"/>
      <c r="Y241" s="165"/>
      <c r="Z241" s="165"/>
    </row>
    <row r="242">
      <c r="A242" s="165"/>
      <c r="B242" s="165"/>
      <c r="C242" s="165"/>
      <c r="D242" s="165"/>
      <c r="E242" s="165"/>
      <c r="F242" s="165"/>
      <c r="G242" s="165"/>
      <c r="H242" s="165"/>
      <c r="I242" s="165"/>
      <c r="J242" s="165"/>
      <c r="K242" s="165"/>
      <c r="L242" s="165"/>
      <c r="M242" s="165"/>
      <c r="N242" s="165"/>
      <c r="O242" s="165"/>
      <c r="P242" s="165"/>
      <c r="Q242" s="165"/>
      <c r="R242" s="165"/>
      <c r="S242" s="165"/>
      <c r="T242" s="165"/>
      <c r="U242" s="165"/>
      <c r="V242" s="165"/>
      <c r="W242" s="165"/>
      <c r="X242" s="165"/>
      <c r="Y242" s="165"/>
      <c r="Z242" s="165"/>
    </row>
    <row r="243">
      <c r="A243" s="165"/>
      <c r="B243" s="165"/>
      <c r="C243" s="165"/>
      <c r="D243" s="165"/>
      <c r="E243" s="165"/>
      <c r="F243" s="165"/>
      <c r="G243" s="165"/>
      <c r="H243" s="165"/>
      <c r="I243" s="165"/>
      <c r="J243" s="165"/>
      <c r="K243" s="165"/>
      <c r="L243" s="165"/>
      <c r="M243" s="165"/>
      <c r="N243" s="165"/>
      <c r="O243" s="165"/>
      <c r="P243" s="165"/>
      <c r="Q243" s="165"/>
      <c r="R243" s="165"/>
      <c r="S243" s="165"/>
      <c r="T243" s="165"/>
      <c r="U243" s="165"/>
      <c r="V243" s="165"/>
      <c r="W243" s="165"/>
      <c r="X243" s="165"/>
      <c r="Y243" s="165"/>
      <c r="Z243" s="165"/>
    </row>
    <row r="244">
      <c r="A244" s="165"/>
      <c r="B244" s="165"/>
      <c r="C244" s="165"/>
      <c r="D244" s="165"/>
      <c r="E244" s="165"/>
      <c r="F244" s="165"/>
      <c r="G244" s="165"/>
      <c r="H244" s="165"/>
      <c r="I244" s="165"/>
      <c r="J244" s="165"/>
      <c r="K244" s="165"/>
      <c r="L244" s="165"/>
      <c r="M244" s="165"/>
      <c r="N244" s="165"/>
      <c r="O244" s="165"/>
      <c r="P244" s="165"/>
      <c r="Q244" s="165"/>
      <c r="R244" s="165"/>
      <c r="S244" s="165"/>
      <c r="T244" s="165"/>
      <c r="U244" s="165"/>
      <c r="V244" s="165"/>
      <c r="W244" s="165"/>
      <c r="X244" s="165"/>
      <c r="Y244" s="165"/>
      <c r="Z244" s="165"/>
    </row>
    <row r="245">
      <c r="A245" s="165"/>
      <c r="B245" s="165"/>
      <c r="C245" s="165"/>
      <c r="D245" s="165"/>
      <c r="E245" s="165"/>
      <c r="F245" s="165"/>
      <c r="G245" s="165"/>
      <c r="H245" s="165"/>
      <c r="I245" s="165"/>
      <c r="J245" s="165"/>
      <c r="K245" s="165"/>
      <c r="L245" s="165"/>
      <c r="M245" s="165"/>
      <c r="N245" s="165"/>
      <c r="O245" s="165"/>
      <c r="P245" s="165"/>
      <c r="Q245" s="165"/>
      <c r="R245" s="165"/>
      <c r="S245" s="165"/>
      <c r="T245" s="165"/>
      <c r="U245" s="165"/>
      <c r="V245" s="165"/>
      <c r="W245" s="165"/>
      <c r="X245" s="165"/>
      <c r="Y245" s="165"/>
      <c r="Z245" s="165"/>
    </row>
    <row r="246">
      <c r="A246" s="165"/>
      <c r="B246" s="165"/>
      <c r="C246" s="165"/>
      <c r="D246" s="165"/>
      <c r="E246" s="165"/>
      <c r="F246" s="165"/>
      <c r="G246" s="165"/>
      <c r="H246" s="165"/>
      <c r="I246" s="165"/>
      <c r="J246" s="165"/>
      <c r="K246" s="165"/>
      <c r="L246" s="165"/>
      <c r="M246" s="165"/>
      <c r="N246" s="165"/>
      <c r="O246" s="165"/>
      <c r="P246" s="165"/>
      <c r="Q246" s="165"/>
      <c r="R246" s="165"/>
      <c r="S246" s="165"/>
      <c r="T246" s="165"/>
      <c r="U246" s="165"/>
      <c r="V246" s="165"/>
      <c r="W246" s="165"/>
      <c r="X246" s="165"/>
      <c r="Y246" s="165"/>
      <c r="Z246" s="165"/>
    </row>
    <row r="247">
      <c r="A247" s="165"/>
      <c r="B247" s="165"/>
      <c r="C247" s="165"/>
      <c r="D247" s="165"/>
      <c r="E247" s="165"/>
      <c r="F247" s="165"/>
      <c r="G247" s="165"/>
      <c r="H247" s="165"/>
      <c r="I247" s="165"/>
      <c r="J247" s="165"/>
      <c r="K247" s="165"/>
      <c r="L247" s="165"/>
      <c r="M247" s="165"/>
      <c r="N247" s="165"/>
      <c r="O247" s="165"/>
      <c r="P247" s="165"/>
      <c r="Q247" s="165"/>
      <c r="R247" s="165"/>
      <c r="S247" s="165"/>
      <c r="T247" s="165"/>
      <c r="U247" s="165"/>
      <c r="V247" s="165"/>
      <c r="W247" s="165"/>
      <c r="X247" s="165"/>
      <c r="Y247" s="165"/>
      <c r="Z247" s="165"/>
    </row>
    <row r="248">
      <c r="A248" s="165"/>
      <c r="B248" s="165"/>
      <c r="C248" s="165"/>
      <c r="D248" s="165"/>
      <c r="E248" s="165"/>
      <c r="F248" s="165"/>
      <c r="G248" s="165"/>
      <c r="H248" s="165"/>
      <c r="I248" s="165"/>
      <c r="J248" s="165"/>
      <c r="K248" s="165"/>
      <c r="L248" s="165"/>
      <c r="M248" s="165"/>
      <c r="N248" s="165"/>
      <c r="O248" s="165"/>
      <c r="P248" s="165"/>
      <c r="Q248" s="165"/>
      <c r="R248" s="165"/>
      <c r="S248" s="165"/>
      <c r="T248" s="165"/>
      <c r="U248" s="165"/>
      <c r="V248" s="165"/>
      <c r="W248" s="165"/>
      <c r="X248" s="165"/>
      <c r="Y248" s="165"/>
      <c r="Z248" s="165"/>
    </row>
    <row r="249">
      <c r="A249" s="165"/>
      <c r="B249" s="165"/>
      <c r="C249" s="165"/>
      <c r="D249" s="165"/>
      <c r="E249" s="165"/>
      <c r="F249" s="165"/>
      <c r="G249" s="165"/>
      <c r="H249" s="165"/>
      <c r="I249" s="165"/>
      <c r="J249" s="165"/>
      <c r="K249" s="165"/>
      <c r="L249" s="165"/>
      <c r="M249" s="165"/>
      <c r="N249" s="165"/>
      <c r="O249" s="165"/>
      <c r="P249" s="165"/>
      <c r="Q249" s="165"/>
      <c r="R249" s="165"/>
      <c r="S249" s="165"/>
      <c r="T249" s="165"/>
      <c r="U249" s="165"/>
      <c r="V249" s="165"/>
      <c r="W249" s="165"/>
      <c r="X249" s="165"/>
      <c r="Y249" s="165"/>
      <c r="Z249" s="165"/>
    </row>
    <row r="250">
      <c r="A250" s="165"/>
      <c r="B250" s="165"/>
      <c r="C250" s="165"/>
      <c r="D250" s="165"/>
      <c r="E250" s="165"/>
      <c r="F250" s="165"/>
      <c r="G250" s="165"/>
      <c r="H250" s="165"/>
      <c r="I250" s="165"/>
      <c r="J250" s="165"/>
      <c r="K250" s="165"/>
      <c r="L250" s="165"/>
      <c r="M250" s="165"/>
      <c r="N250" s="165"/>
      <c r="O250" s="165"/>
      <c r="P250" s="165"/>
      <c r="Q250" s="165"/>
      <c r="R250" s="165"/>
      <c r="S250" s="165"/>
      <c r="T250" s="165"/>
      <c r="U250" s="165"/>
      <c r="V250" s="165"/>
      <c r="W250" s="165"/>
      <c r="X250" s="165"/>
      <c r="Y250" s="165"/>
      <c r="Z250" s="165"/>
    </row>
    <row r="251">
      <c r="A251" s="165"/>
      <c r="B251" s="165"/>
      <c r="C251" s="165"/>
      <c r="D251" s="165"/>
      <c r="E251" s="165"/>
      <c r="F251" s="165"/>
      <c r="G251" s="165"/>
      <c r="H251" s="165"/>
      <c r="I251" s="165"/>
      <c r="J251" s="165"/>
      <c r="K251" s="165"/>
      <c r="L251" s="165"/>
      <c r="M251" s="165"/>
      <c r="N251" s="165"/>
      <c r="O251" s="165"/>
      <c r="P251" s="165"/>
      <c r="Q251" s="165"/>
      <c r="R251" s="165"/>
      <c r="S251" s="165"/>
      <c r="T251" s="165"/>
      <c r="U251" s="165"/>
      <c r="V251" s="165"/>
      <c r="W251" s="165"/>
      <c r="X251" s="165"/>
      <c r="Y251" s="165"/>
      <c r="Z251" s="165"/>
    </row>
    <row r="252">
      <c r="A252" s="165"/>
      <c r="B252" s="165"/>
      <c r="C252" s="165"/>
      <c r="D252" s="165"/>
      <c r="E252" s="165"/>
      <c r="F252" s="165"/>
      <c r="G252" s="165"/>
      <c r="H252" s="165"/>
      <c r="I252" s="165"/>
      <c r="J252" s="165"/>
      <c r="K252" s="165"/>
      <c r="L252" s="165"/>
      <c r="M252" s="165"/>
      <c r="N252" s="165"/>
      <c r="O252" s="165"/>
      <c r="P252" s="165"/>
      <c r="Q252" s="165"/>
      <c r="R252" s="165"/>
      <c r="S252" s="165"/>
      <c r="T252" s="165"/>
      <c r="U252" s="165"/>
      <c r="V252" s="165"/>
      <c r="W252" s="165"/>
      <c r="X252" s="165"/>
      <c r="Y252" s="165"/>
      <c r="Z252" s="165"/>
    </row>
    <row r="253">
      <c r="A253" s="165"/>
      <c r="B253" s="165"/>
      <c r="C253" s="165"/>
      <c r="D253" s="165"/>
      <c r="E253" s="165"/>
      <c r="F253" s="165"/>
      <c r="G253" s="165"/>
      <c r="H253" s="165"/>
      <c r="I253" s="165"/>
      <c r="J253" s="165"/>
      <c r="K253" s="165"/>
      <c r="L253" s="165"/>
      <c r="M253" s="165"/>
      <c r="N253" s="165"/>
      <c r="O253" s="165"/>
      <c r="P253" s="165"/>
      <c r="Q253" s="165"/>
      <c r="R253" s="165"/>
      <c r="S253" s="165"/>
      <c r="T253" s="165"/>
      <c r="U253" s="165"/>
      <c r="V253" s="165"/>
      <c r="W253" s="165"/>
      <c r="X253" s="165"/>
      <c r="Y253" s="165"/>
      <c r="Z253" s="165"/>
    </row>
    <row r="254">
      <c r="A254" s="165"/>
      <c r="B254" s="165"/>
      <c r="C254" s="165"/>
      <c r="D254" s="165"/>
      <c r="E254" s="165"/>
      <c r="F254" s="165"/>
      <c r="G254" s="165"/>
      <c r="H254" s="165"/>
      <c r="I254" s="165"/>
      <c r="J254" s="165"/>
      <c r="K254" s="165"/>
      <c r="L254" s="165"/>
      <c r="M254" s="165"/>
      <c r="N254" s="165"/>
      <c r="O254" s="165"/>
      <c r="P254" s="165"/>
      <c r="Q254" s="165"/>
      <c r="R254" s="165"/>
      <c r="S254" s="165"/>
      <c r="T254" s="165"/>
      <c r="U254" s="165"/>
      <c r="V254" s="165"/>
      <c r="W254" s="165"/>
      <c r="X254" s="165"/>
      <c r="Y254" s="165"/>
      <c r="Z254" s="165"/>
    </row>
    <row r="255">
      <c r="A255" s="165"/>
      <c r="B255" s="165"/>
      <c r="C255" s="165"/>
      <c r="D255" s="165"/>
      <c r="E255" s="165"/>
      <c r="F255" s="165"/>
      <c r="G255" s="165"/>
      <c r="H255" s="165"/>
      <c r="I255" s="165"/>
      <c r="J255" s="165"/>
      <c r="K255" s="165"/>
      <c r="L255" s="165"/>
      <c r="M255" s="165"/>
      <c r="N255" s="165"/>
      <c r="O255" s="165"/>
      <c r="P255" s="165"/>
      <c r="Q255" s="165"/>
      <c r="R255" s="165"/>
      <c r="S255" s="165"/>
      <c r="T255" s="165"/>
      <c r="U255" s="165"/>
      <c r="V255" s="165"/>
      <c r="W255" s="165"/>
      <c r="X255" s="165"/>
      <c r="Y255" s="165"/>
      <c r="Z255" s="165"/>
    </row>
    <row r="256">
      <c r="A256" s="165"/>
      <c r="B256" s="165"/>
      <c r="C256" s="165"/>
      <c r="D256" s="165"/>
      <c r="E256" s="165"/>
      <c r="F256" s="165"/>
      <c r="G256" s="165"/>
      <c r="H256" s="165"/>
      <c r="I256" s="165"/>
      <c r="J256" s="165"/>
      <c r="K256" s="165"/>
      <c r="L256" s="165"/>
      <c r="M256" s="165"/>
      <c r="N256" s="165"/>
      <c r="O256" s="165"/>
      <c r="P256" s="165"/>
      <c r="Q256" s="165"/>
      <c r="R256" s="165"/>
      <c r="S256" s="165"/>
      <c r="T256" s="165"/>
      <c r="U256" s="165"/>
      <c r="V256" s="165"/>
      <c r="W256" s="165"/>
      <c r="X256" s="165"/>
      <c r="Y256" s="165"/>
      <c r="Z256" s="165"/>
    </row>
    <row r="257">
      <c r="A257" s="165"/>
      <c r="B257" s="165"/>
      <c r="C257" s="165"/>
      <c r="D257" s="165"/>
      <c r="E257" s="165"/>
      <c r="F257" s="165"/>
      <c r="G257" s="165"/>
      <c r="H257" s="165"/>
      <c r="I257" s="165"/>
      <c r="J257" s="165"/>
      <c r="K257" s="165"/>
      <c r="L257" s="165"/>
      <c r="M257" s="165"/>
      <c r="N257" s="165"/>
      <c r="O257" s="165"/>
      <c r="P257" s="165"/>
      <c r="Q257" s="165"/>
      <c r="R257" s="165"/>
      <c r="S257" s="165"/>
      <c r="T257" s="165"/>
      <c r="U257" s="165"/>
      <c r="V257" s="165"/>
      <c r="W257" s="165"/>
      <c r="X257" s="165"/>
      <c r="Y257" s="165"/>
      <c r="Z257" s="165"/>
    </row>
    <row r="258">
      <c r="A258" s="165"/>
      <c r="B258" s="165"/>
      <c r="C258" s="165"/>
      <c r="D258" s="165"/>
      <c r="E258" s="165"/>
      <c r="F258" s="165"/>
      <c r="G258" s="165"/>
      <c r="H258" s="165"/>
      <c r="I258" s="165"/>
      <c r="J258" s="165"/>
      <c r="K258" s="165"/>
      <c r="L258" s="165"/>
      <c r="M258" s="165"/>
      <c r="N258" s="165"/>
      <c r="O258" s="165"/>
      <c r="P258" s="165"/>
      <c r="Q258" s="165"/>
      <c r="R258" s="165"/>
      <c r="S258" s="165"/>
      <c r="T258" s="165"/>
      <c r="U258" s="165"/>
      <c r="V258" s="165"/>
      <c r="W258" s="165"/>
      <c r="X258" s="165"/>
      <c r="Y258" s="165"/>
      <c r="Z258" s="165"/>
    </row>
    <row r="259">
      <c r="A259" s="165"/>
      <c r="B259" s="165"/>
      <c r="C259" s="165"/>
      <c r="D259" s="165"/>
      <c r="E259" s="165"/>
      <c r="F259" s="165"/>
      <c r="G259" s="165"/>
      <c r="H259" s="165"/>
      <c r="I259" s="165"/>
      <c r="J259" s="165"/>
      <c r="K259" s="165"/>
      <c r="L259" s="165"/>
      <c r="M259" s="165"/>
      <c r="N259" s="165"/>
      <c r="O259" s="165"/>
      <c r="P259" s="165"/>
      <c r="Q259" s="165"/>
      <c r="R259" s="165"/>
      <c r="S259" s="165"/>
      <c r="T259" s="165"/>
      <c r="U259" s="165"/>
      <c r="V259" s="165"/>
      <c r="W259" s="165"/>
      <c r="X259" s="165"/>
      <c r="Y259" s="165"/>
      <c r="Z259" s="165"/>
    </row>
    <row r="260">
      <c r="A260" s="165"/>
      <c r="B260" s="165"/>
      <c r="C260" s="165"/>
      <c r="D260" s="165"/>
      <c r="E260" s="165"/>
      <c r="F260" s="165"/>
      <c r="G260" s="165"/>
      <c r="H260" s="165"/>
      <c r="I260" s="165"/>
      <c r="J260" s="165"/>
      <c r="K260" s="165"/>
      <c r="L260" s="165"/>
      <c r="M260" s="165"/>
      <c r="N260" s="165"/>
      <c r="O260" s="165"/>
      <c r="P260" s="165"/>
      <c r="Q260" s="165"/>
      <c r="R260" s="165"/>
      <c r="S260" s="165"/>
      <c r="T260" s="165"/>
      <c r="U260" s="165"/>
      <c r="V260" s="165"/>
      <c r="W260" s="165"/>
      <c r="X260" s="165"/>
      <c r="Y260" s="165"/>
      <c r="Z260" s="165"/>
    </row>
    <row r="261">
      <c r="A261" s="165"/>
      <c r="B261" s="165"/>
      <c r="C261" s="165"/>
      <c r="D261" s="165"/>
      <c r="E261" s="165"/>
      <c r="F261" s="165"/>
      <c r="G261" s="165"/>
      <c r="H261" s="165"/>
      <c r="I261" s="165"/>
      <c r="J261" s="165"/>
      <c r="K261" s="165"/>
      <c r="L261" s="165"/>
      <c r="M261" s="165"/>
      <c r="N261" s="165"/>
      <c r="O261" s="165"/>
      <c r="P261" s="165"/>
      <c r="Q261" s="165"/>
      <c r="R261" s="165"/>
      <c r="S261" s="165"/>
      <c r="T261" s="165"/>
      <c r="U261" s="165"/>
      <c r="V261" s="165"/>
      <c r="W261" s="165"/>
      <c r="X261" s="165"/>
      <c r="Y261" s="165"/>
      <c r="Z261" s="165"/>
    </row>
    <row r="262">
      <c r="A262" s="165"/>
      <c r="B262" s="165"/>
      <c r="C262" s="165"/>
      <c r="D262" s="165"/>
      <c r="E262" s="165"/>
      <c r="F262" s="165"/>
      <c r="G262" s="165"/>
      <c r="H262" s="165"/>
      <c r="I262" s="165"/>
      <c r="J262" s="165"/>
      <c r="K262" s="165"/>
      <c r="L262" s="165"/>
      <c r="M262" s="165"/>
      <c r="N262" s="165"/>
      <c r="O262" s="165"/>
      <c r="P262" s="165"/>
      <c r="Q262" s="165"/>
      <c r="R262" s="165"/>
      <c r="S262" s="165"/>
      <c r="T262" s="165"/>
      <c r="U262" s="165"/>
      <c r="V262" s="165"/>
      <c r="W262" s="165"/>
      <c r="X262" s="165"/>
      <c r="Y262" s="165"/>
      <c r="Z262" s="165"/>
    </row>
    <row r="263">
      <c r="A263" s="165"/>
      <c r="B263" s="165"/>
      <c r="C263" s="165"/>
      <c r="D263" s="165"/>
      <c r="E263" s="165"/>
      <c r="F263" s="165"/>
      <c r="G263" s="165"/>
      <c r="H263" s="165"/>
      <c r="I263" s="165"/>
      <c r="J263" s="165"/>
      <c r="K263" s="165"/>
      <c r="L263" s="165"/>
      <c r="M263" s="165"/>
      <c r="N263" s="165"/>
      <c r="O263" s="165"/>
      <c r="P263" s="165"/>
      <c r="Q263" s="165"/>
      <c r="R263" s="165"/>
      <c r="S263" s="165"/>
      <c r="T263" s="165"/>
      <c r="U263" s="165"/>
      <c r="V263" s="165"/>
      <c r="W263" s="165"/>
      <c r="X263" s="165"/>
      <c r="Y263" s="165"/>
      <c r="Z263" s="165"/>
    </row>
    <row r="264">
      <c r="A264" s="165"/>
      <c r="B264" s="165"/>
      <c r="C264" s="165"/>
      <c r="D264" s="165"/>
      <c r="E264" s="165"/>
      <c r="F264" s="165"/>
      <c r="G264" s="165"/>
      <c r="H264" s="165"/>
      <c r="I264" s="165"/>
      <c r="J264" s="165"/>
      <c r="K264" s="165"/>
      <c r="L264" s="165"/>
      <c r="M264" s="165"/>
      <c r="N264" s="165"/>
      <c r="O264" s="165"/>
      <c r="P264" s="165"/>
      <c r="Q264" s="165"/>
      <c r="R264" s="165"/>
      <c r="S264" s="165"/>
      <c r="T264" s="165"/>
      <c r="U264" s="165"/>
      <c r="V264" s="165"/>
      <c r="W264" s="165"/>
      <c r="X264" s="165"/>
      <c r="Y264" s="165"/>
      <c r="Z264" s="165"/>
    </row>
    <row r="265">
      <c r="A265" s="165"/>
      <c r="B265" s="165"/>
      <c r="C265" s="165"/>
      <c r="D265" s="165"/>
      <c r="E265" s="165"/>
      <c r="F265" s="165"/>
      <c r="G265" s="165"/>
      <c r="H265" s="165"/>
      <c r="I265" s="165"/>
      <c r="J265" s="165"/>
      <c r="K265" s="165"/>
      <c r="L265" s="165"/>
      <c r="M265" s="165"/>
      <c r="N265" s="165"/>
      <c r="O265" s="165"/>
      <c r="P265" s="165"/>
      <c r="Q265" s="165"/>
      <c r="R265" s="165"/>
      <c r="S265" s="165"/>
      <c r="T265" s="165"/>
      <c r="U265" s="165"/>
      <c r="V265" s="165"/>
      <c r="W265" s="165"/>
      <c r="X265" s="165"/>
      <c r="Y265" s="165"/>
      <c r="Z265" s="165"/>
    </row>
    <row r="266">
      <c r="A266" s="165"/>
      <c r="B266" s="165"/>
      <c r="C266" s="165"/>
      <c r="D266" s="165"/>
      <c r="E266" s="165"/>
      <c r="F266" s="165"/>
      <c r="G266" s="165"/>
      <c r="H266" s="165"/>
      <c r="I266" s="165"/>
      <c r="J266" s="165"/>
      <c r="K266" s="165"/>
      <c r="L266" s="165"/>
      <c r="M266" s="165"/>
      <c r="N266" s="165"/>
      <c r="O266" s="165"/>
      <c r="P266" s="165"/>
      <c r="Q266" s="165"/>
      <c r="R266" s="165"/>
      <c r="S266" s="165"/>
      <c r="T266" s="165"/>
      <c r="U266" s="165"/>
      <c r="V266" s="165"/>
      <c r="W266" s="165"/>
      <c r="X266" s="165"/>
      <c r="Y266" s="165"/>
      <c r="Z266" s="165"/>
    </row>
    <row r="267">
      <c r="A267" s="165"/>
      <c r="B267" s="165"/>
      <c r="C267" s="165"/>
      <c r="D267" s="165"/>
      <c r="E267" s="165"/>
      <c r="F267" s="165"/>
      <c r="G267" s="165"/>
      <c r="H267" s="165"/>
      <c r="I267" s="165"/>
      <c r="J267" s="165"/>
      <c r="K267" s="165"/>
      <c r="L267" s="165"/>
      <c r="M267" s="165"/>
      <c r="N267" s="165"/>
      <c r="O267" s="165"/>
      <c r="P267" s="165"/>
      <c r="Q267" s="165"/>
      <c r="R267" s="165"/>
      <c r="S267" s="165"/>
      <c r="T267" s="165"/>
      <c r="U267" s="165"/>
      <c r="V267" s="165"/>
      <c r="W267" s="165"/>
      <c r="X267" s="165"/>
      <c r="Y267" s="165"/>
      <c r="Z267" s="165"/>
    </row>
    <row r="268">
      <c r="A268" s="165"/>
      <c r="B268" s="165"/>
      <c r="C268" s="165"/>
      <c r="D268" s="165"/>
      <c r="E268" s="165"/>
      <c r="F268" s="165"/>
      <c r="G268" s="165"/>
      <c r="H268" s="165"/>
      <c r="I268" s="165"/>
      <c r="J268" s="165"/>
      <c r="K268" s="165"/>
      <c r="L268" s="165"/>
      <c r="M268" s="165"/>
      <c r="N268" s="165"/>
      <c r="O268" s="165"/>
      <c r="P268" s="165"/>
      <c r="Q268" s="165"/>
      <c r="R268" s="165"/>
      <c r="S268" s="165"/>
      <c r="T268" s="165"/>
      <c r="U268" s="165"/>
      <c r="V268" s="165"/>
      <c r="W268" s="165"/>
      <c r="X268" s="165"/>
      <c r="Y268" s="165"/>
      <c r="Z268" s="165"/>
    </row>
    <row r="269">
      <c r="A269" s="165"/>
      <c r="B269" s="165"/>
      <c r="C269" s="165"/>
      <c r="D269" s="165"/>
      <c r="E269" s="165"/>
      <c r="F269" s="165"/>
      <c r="G269" s="165"/>
      <c r="H269" s="165"/>
      <c r="I269" s="165"/>
      <c r="J269" s="165"/>
      <c r="K269" s="165"/>
      <c r="L269" s="165"/>
      <c r="M269" s="165"/>
      <c r="N269" s="165"/>
      <c r="O269" s="165"/>
      <c r="P269" s="165"/>
      <c r="Q269" s="165"/>
      <c r="R269" s="165"/>
      <c r="S269" s="165"/>
      <c r="T269" s="165"/>
      <c r="U269" s="165"/>
      <c r="V269" s="165"/>
      <c r="W269" s="165"/>
      <c r="X269" s="165"/>
      <c r="Y269" s="165"/>
      <c r="Z269" s="165"/>
    </row>
    <row r="270">
      <c r="A270" s="165"/>
      <c r="B270" s="165"/>
      <c r="C270" s="165"/>
      <c r="D270" s="165"/>
      <c r="E270" s="165"/>
      <c r="F270" s="165"/>
      <c r="G270" s="165"/>
      <c r="H270" s="165"/>
      <c r="I270" s="165"/>
      <c r="J270" s="165"/>
      <c r="K270" s="165"/>
      <c r="L270" s="165"/>
      <c r="M270" s="165"/>
      <c r="N270" s="165"/>
      <c r="O270" s="165"/>
      <c r="P270" s="165"/>
      <c r="Q270" s="165"/>
      <c r="R270" s="165"/>
      <c r="S270" s="165"/>
      <c r="T270" s="165"/>
      <c r="U270" s="165"/>
      <c r="V270" s="165"/>
      <c r="W270" s="165"/>
      <c r="X270" s="165"/>
      <c r="Y270" s="165"/>
      <c r="Z270" s="165"/>
    </row>
    <row r="271">
      <c r="A271" s="165"/>
      <c r="B271" s="165"/>
      <c r="C271" s="165"/>
      <c r="D271" s="165"/>
      <c r="E271" s="165"/>
      <c r="F271" s="165"/>
      <c r="G271" s="165"/>
      <c r="H271" s="165"/>
      <c r="I271" s="165"/>
      <c r="J271" s="165"/>
      <c r="K271" s="165"/>
      <c r="L271" s="165"/>
      <c r="M271" s="165"/>
      <c r="N271" s="165"/>
      <c r="O271" s="165"/>
      <c r="P271" s="165"/>
      <c r="Q271" s="165"/>
      <c r="R271" s="165"/>
      <c r="S271" s="165"/>
      <c r="T271" s="165"/>
      <c r="U271" s="165"/>
      <c r="V271" s="165"/>
      <c r="W271" s="165"/>
      <c r="X271" s="165"/>
      <c r="Y271" s="165"/>
      <c r="Z271" s="165"/>
    </row>
    <row r="272">
      <c r="A272" s="165"/>
      <c r="B272" s="165"/>
      <c r="C272" s="165"/>
      <c r="D272" s="165"/>
      <c r="E272" s="165"/>
      <c r="F272" s="165"/>
      <c r="G272" s="165"/>
      <c r="H272" s="165"/>
      <c r="I272" s="165"/>
      <c r="J272" s="165"/>
      <c r="K272" s="165"/>
      <c r="L272" s="165"/>
      <c r="M272" s="165"/>
      <c r="N272" s="165"/>
      <c r="O272" s="165"/>
      <c r="P272" s="165"/>
      <c r="Q272" s="165"/>
      <c r="R272" s="165"/>
      <c r="S272" s="165"/>
      <c r="T272" s="165"/>
      <c r="U272" s="165"/>
      <c r="V272" s="165"/>
      <c r="W272" s="165"/>
      <c r="X272" s="165"/>
      <c r="Y272" s="165"/>
      <c r="Z272" s="165"/>
    </row>
    <row r="273">
      <c r="A273" s="165"/>
      <c r="B273" s="165"/>
      <c r="C273" s="165"/>
      <c r="D273" s="165"/>
      <c r="E273" s="165"/>
      <c r="F273" s="165"/>
      <c r="G273" s="165"/>
      <c r="H273" s="165"/>
      <c r="I273" s="165"/>
      <c r="J273" s="165"/>
      <c r="K273" s="165"/>
      <c r="L273" s="165"/>
      <c r="M273" s="165"/>
      <c r="N273" s="165"/>
      <c r="O273" s="165"/>
      <c r="P273" s="165"/>
      <c r="Q273" s="165"/>
      <c r="R273" s="165"/>
      <c r="S273" s="165"/>
      <c r="T273" s="165"/>
      <c r="U273" s="165"/>
      <c r="V273" s="165"/>
      <c r="W273" s="165"/>
      <c r="X273" s="165"/>
      <c r="Y273" s="165"/>
      <c r="Z273" s="165"/>
    </row>
    <row r="274">
      <c r="A274" s="165"/>
      <c r="B274" s="165"/>
      <c r="C274" s="165"/>
      <c r="D274" s="165"/>
      <c r="E274" s="165"/>
      <c r="F274" s="165"/>
      <c r="G274" s="165"/>
      <c r="H274" s="165"/>
      <c r="I274" s="165"/>
      <c r="J274" s="165"/>
      <c r="K274" s="165"/>
      <c r="L274" s="165"/>
      <c r="M274" s="165"/>
      <c r="N274" s="165"/>
      <c r="O274" s="165"/>
      <c r="P274" s="165"/>
      <c r="Q274" s="165"/>
      <c r="R274" s="165"/>
      <c r="S274" s="165"/>
      <c r="T274" s="165"/>
      <c r="U274" s="165"/>
      <c r="V274" s="165"/>
      <c r="W274" s="165"/>
      <c r="X274" s="165"/>
      <c r="Y274" s="165"/>
      <c r="Z274" s="165"/>
    </row>
    <row r="275">
      <c r="A275" s="165"/>
      <c r="B275" s="165"/>
      <c r="C275" s="165"/>
      <c r="D275" s="165"/>
      <c r="E275" s="165"/>
      <c r="F275" s="165"/>
      <c r="G275" s="165"/>
      <c r="H275" s="165"/>
      <c r="I275" s="165"/>
      <c r="J275" s="165"/>
      <c r="K275" s="165"/>
      <c r="L275" s="165"/>
      <c r="M275" s="165"/>
      <c r="N275" s="165"/>
      <c r="O275" s="165"/>
      <c r="P275" s="165"/>
      <c r="Q275" s="165"/>
      <c r="R275" s="165"/>
      <c r="S275" s="165"/>
      <c r="T275" s="165"/>
      <c r="U275" s="165"/>
      <c r="V275" s="165"/>
      <c r="W275" s="165"/>
      <c r="X275" s="165"/>
      <c r="Y275" s="165"/>
      <c r="Z275" s="165"/>
    </row>
    <row r="276">
      <c r="A276" s="165"/>
      <c r="B276" s="165"/>
      <c r="C276" s="165"/>
      <c r="D276" s="165"/>
      <c r="E276" s="165"/>
      <c r="F276" s="165"/>
      <c r="G276" s="165"/>
      <c r="H276" s="165"/>
      <c r="I276" s="165"/>
      <c r="J276" s="165"/>
      <c r="K276" s="165"/>
      <c r="L276" s="165"/>
      <c r="M276" s="165"/>
      <c r="N276" s="165"/>
      <c r="O276" s="165"/>
      <c r="P276" s="165"/>
      <c r="Q276" s="165"/>
      <c r="R276" s="165"/>
      <c r="S276" s="165"/>
      <c r="T276" s="165"/>
      <c r="U276" s="165"/>
      <c r="V276" s="165"/>
      <c r="W276" s="165"/>
      <c r="X276" s="165"/>
      <c r="Y276" s="165"/>
      <c r="Z276" s="165"/>
    </row>
    <row r="277">
      <c r="A277" s="165"/>
      <c r="B277" s="165"/>
      <c r="C277" s="165"/>
      <c r="D277" s="165"/>
      <c r="E277" s="165"/>
      <c r="F277" s="165"/>
      <c r="G277" s="165"/>
      <c r="H277" s="165"/>
      <c r="I277" s="165"/>
      <c r="J277" s="165"/>
      <c r="K277" s="165"/>
      <c r="L277" s="165"/>
      <c r="M277" s="165"/>
      <c r="N277" s="165"/>
      <c r="O277" s="165"/>
      <c r="P277" s="165"/>
      <c r="Q277" s="165"/>
      <c r="R277" s="165"/>
      <c r="S277" s="165"/>
      <c r="T277" s="165"/>
      <c r="U277" s="165"/>
      <c r="V277" s="165"/>
      <c r="W277" s="165"/>
      <c r="X277" s="165"/>
      <c r="Y277" s="165"/>
      <c r="Z277" s="165"/>
    </row>
    <row r="278">
      <c r="A278" s="165"/>
      <c r="B278" s="165"/>
      <c r="C278" s="165"/>
      <c r="D278" s="165"/>
      <c r="E278" s="165"/>
      <c r="F278" s="165"/>
      <c r="G278" s="165"/>
      <c r="H278" s="165"/>
      <c r="I278" s="165"/>
      <c r="J278" s="165"/>
      <c r="K278" s="165"/>
      <c r="L278" s="165"/>
      <c r="M278" s="165"/>
      <c r="N278" s="165"/>
      <c r="O278" s="165"/>
      <c r="P278" s="165"/>
      <c r="Q278" s="165"/>
      <c r="R278" s="165"/>
      <c r="S278" s="165"/>
      <c r="T278" s="165"/>
      <c r="U278" s="165"/>
      <c r="V278" s="165"/>
      <c r="W278" s="165"/>
      <c r="X278" s="165"/>
      <c r="Y278" s="165"/>
      <c r="Z278" s="165"/>
    </row>
    <row r="279">
      <c r="A279" s="165"/>
      <c r="B279" s="165"/>
      <c r="C279" s="165"/>
      <c r="D279" s="165"/>
      <c r="E279" s="165"/>
      <c r="F279" s="165"/>
      <c r="G279" s="165"/>
      <c r="H279" s="165"/>
      <c r="I279" s="165"/>
      <c r="J279" s="165"/>
      <c r="K279" s="165"/>
      <c r="L279" s="165"/>
      <c r="M279" s="165"/>
      <c r="N279" s="165"/>
      <c r="O279" s="165"/>
      <c r="P279" s="165"/>
      <c r="Q279" s="165"/>
      <c r="R279" s="165"/>
      <c r="S279" s="165"/>
      <c r="T279" s="165"/>
      <c r="U279" s="165"/>
      <c r="V279" s="165"/>
      <c r="W279" s="165"/>
      <c r="X279" s="165"/>
      <c r="Y279" s="165"/>
      <c r="Z279" s="165"/>
    </row>
    <row r="280">
      <c r="A280" s="165"/>
      <c r="B280" s="165"/>
      <c r="C280" s="165"/>
      <c r="D280" s="165"/>
      <c r="E280" s="165"/>
      <c r="F280" s="165"/>
      <c r="G280" s="165"/>
      <c r="H280" s="165"/>
      <c r="I280" s="165"/>
      <c r="J280" s="165"/>
      <c r="K280" s="165"/>
      <c r="L280" s="165"/>
      <c r="M280" s="165"/>
      <c r="N280" s="165"/>
      <c r="O280" s="165"/>
      <c r="P280" s="165"/>
      <c r="Q280" s="165"/>
      <c r="R280" s="165"/>
      <c r="S280" s="165"/>
      <c r="T280" s="165"/>
      <c r="U280" s="165"/>
      <c r="V280" s="165"/>
      <c r="W280" s="165"/>
      <c r="X280" s="165"/>
      <c r="Y280" s="165"/>
      <c r="Z280" s="165"/>
    </row>
    <row r="281">
      <c r="A281" s="165"/>
      <c r="B281" s="165"/>
      <c r="C281" s="165"/>
      <c r="D281" s="165"/>
      <c r="E281" s="165"/>
      <c r="F281" s="165"/>
      <c r="G281" s="165"/>
      <c r="H281" s="165"/>
      <c r="I281" s="165"/>
      <c r="J281" s="165"/>
      <c r="K281" s="165"/>
      <c r="L281" s="165"/>
      <c r="M281" s="165"/>
      <c r="N281" s="165"/>
      <c r="O281" s="165"/>
      <c r="P281" s="165"/>
      <c r="Q281" s="165"/>
      <c r="R281" s="165"/>
      <c r="S281" s="165"/>
      <c r="T281" s="165"/>
      <c r="U281" s="165"/>
      <c r="V281" s="165"/>
      <c r="W281" s="165"/>
      <c r="X281" s="165"/>
      <c r="Y281" s="165"/>
      <c r="Z281" s="165"/>
    </row>
    <row r="282">
      <c r="A282" s="165"/>
      <c r="B282" s="165"/>
      <c r="C282" s="165"/>
      <c r="D282" s="165"/>
      <c r="E282" s="165"/>
      <c r="F282" s="165"/>
      <c r="G282" s="165"/>
      <c r="H282" s="165"/>
      <c r="I282" s="165"/>
      <c r="J282" s="165"/>
      <c r="K282" s="165"/>
      <c r="L282" s="165"/>
      <c r="M282" s="165"/>
      <c r="N282" s="165"/>
      <c r="O282" s="165"/>
      <c r="P282" s="165"/>
      <c r="Q282" s="165"/>
      <c r="R282" s="165"/>
      <c r="S282" s="165"/>
      <c r="T282" s="165"/>
      <c r="U282" s="165"/>
      <c r="V282" s="165"/>
      <c r="W282" s="165"/>
      <c r="X282" s="165"/>
      <c r="Y282" s="165"/>
      <c r="Z282" s="165"/>
    </row>
    <row r="283">
      <c r="A283" s="165"/>
      <c r="B283" s="165"/>
      <c r="C283" s="165"/>
      <c r="D283" s="165"/>
      <c r="E283" s="165"/>
      <c r="F283" s="165"/>
      <c r="G283" s="165"/>
      <c r="H283" s="165"/>
      <c r="I283" s="165"/>
      <c r="J283" s="165"/>
      <c r="K283" s="165"/>
      <c r="L283" s="165"/>
      <c r="M283" s="165"/>
      <c r="N283" s="165"/>
      <c r="O283" s="165"/>
      <c r="P283" s="165"/>
      <c r="Q283" s="165"/>
      <c r="R283" s="165"/>
      <c r="S283" s="165"/>
      <c r="T283" s="165"/>
      <c r="U283" s="165"/>
      <c r="V283" s="165"/>
      <c r="W283" s="165"/>
      <c r="X283" s="165"/>
      <c r="Y283" s="165"/>
      <c r="Z283" s="165"/>
    </row>
    <row r="284">
      <c r="A284" s="165"/>
      <c r="B284" s="165"/>
      <c r="C284" s="165"/>
      <c r="D284" s="165"/>
      <c r="E284" s="165"/>
      <c r="F284" s="165"/>
      <c r="G284" s="165"/>
      <c r="H284" s="165"/>
      <c r="I284" s="165"/>
      <c r="J284" s="165"/>
      <c r="K284" s="165"/>
      <c r="L284" s="165"/>
      <c r="M284" s="165"/>
      <c r="N284" s="165"/>
      <c r="O284" s="165"/>
      <c r="P284" s="165"/>
      <c r="Q284" s="165"/>
      <c r="R284" s="165"/>
      <c r="S284" s="165"/>
      <c r="T284" s="165"/>
      <c r="U284" s="165"/>
      <c r="V284" s="165"/>
      <c r="W284" s="165"/>
      <c r="X284" s="165"/>
      <c r="Y284" s="165"/>
      <c r="Z284" s="165"/>
    </row>
    <row r="285">
      <c r="A285" s="165"/>
      <c r="B285" s="165"/>
      <c r="C285" s="165"/>
      <c r="D285" s="165"/>
      <c r="E285" s="165"/>
      <c r="F285" s="165"/>
      <c r="G285" s="165"/>
      <c r="H285" s="165"/>
      <c r="I285" s="165"/>
      <c r="J285" s="165"/>
      <c r="K285" s="165"/>
      <c r="L285" s="165"/>
      <c r="M285" s="165"/>
      <c r="N285" s="165"/>
      <c r="O285" s="165"/>
      <c r="P285" s="165"/>
      <c r="Q285" s="165"/>
      <c r="R285" s="165"/>
      <c r="S285" s="165"/>
      <c r="T285" s="165"/>
      <c r="U285" s="165"/>
      <c r="V285" s="165"/>
      <c r="W285" s="165"/>
      <c r="X285" s="165"/>
      <c r="Y285" s="165"/>
      <c r="Z285" s="165"/>
    </row>
    <row r="286">
      <c r="A286" s="165"/>
      <c r="B286" s="165"/>
      <c r="C286" s="165"/>
      <c r="D286" s="165"/>
      <c r="E286" s="165"/>
      <c r="F286" s="165"/>
      <c r="G286" s="165"/>
      <c r="H286" s="165"/>
      <c r="I286" s="165"/>
      <c r="J286" s="165"/>
      <c r="K286" s="165"/>
      <c r="L286" s="165"/>
      <c r="M286" s="165"/>
      <c r="N286" s="165"/>
      <c r="O286" s="165"/>
      <c r="P286" s="165"/>
      <c r="Q286" s="165"/>
      <c r="R286" s="165"/>
      <c r="S286" s="165"/>
      <c r="T286" s="165"/>
      <c r="U286" s="165"/>
      <c r="V286" s="165"/>
      <c r="W286" s="165"/>
      <c r="X286" s="165"/>
      <c r="Y286" s="165"/>
      <c r="Z286" s="165"/>
    </row>
    <row r="287">
      <c r="A287" s="165"/>
      <c r="B287" s="165"/>
      <c r="C287" s="165"/>
      <c r="D287" s="165"/>
      <c r="E287" s="165"/>
      <c r="F287" s="165"/>
      <c r="G287" s="165"/>
      <c r="H287" s="165"/>
      <c r="I287" s="165"/>
      <c r="J287" s="165"/>
      <c r="K287" s="165"/>
      <c r="L287" s="165"/>
      <c r="M287" s="165"/>
      <c r="N287" s="165"/>
      <c r="O287" s="165"/>
      <c r="P287" s="165"/>
      <c r="Q287" s="165"/>
      <c r="R287" s="165"/>
      <c r="S287" s="165"/>
      <c r="T287" s="165"/>
      <c r="U287" s="165"/>
      <c r="V287" s="165"/>
      <c r="W287" s="165"/>
      <c r="X287" s="165"/>
      <c r="Y287" s="165"/>
      <c r="Z287" s="165"/>
    </row>
    <row r="288">
      <c r="A288" s="165"/>
      <c r="B288" s="165"/>
      <c r="C288" s="165"/>
      <c r="D288" s="165"/>
      <c r="E288" s="165"/>
      <c r="F288" s="165"/>
      <c r="G288" s="165"/>
      <c r="H288" s="165"/>
      <c r="I288" s="165"/>
      <c r="J288" s="165"/>
      <c r="K288" s="165"/>
      <c r="L288" s="165"/>
      <c r="M288" s="165"/>
      <c r="N288" s="165"/>
      <c r="O288" s="165"/>
      <c r="P288" s="165"/>
      <c r="Q288" s="165"/>
      <c r="R288" s="165"/>
      <c r="S288" s="165"/>
      <c r="T288" s="165"/>
      <c r="U288" s="165"/>
      <c r="V288" s="165"/>
      <c r="W288" s="165"/>
      <c r="X288" s="165"/>
      <c r="Y288" s="165"/>
      <c r="Z288" s="165"/>
    </row>
    <row r="289">
      <c r="A289" s="165"/>
      <c r="B289" s="165"/>
      <c r="C289" s="165"/>
      <c r="D289" s="165"/>
      <c r="E289" s="165"/>
      <c r="F289" s="165"/>
      <c r="G289" s="165"/>
      <c r="H289" s="165"/>
      <c r="I289" s="165"/>
      <c r="J289" s="165"/>
      <c r="K289" s="165"/>
      <c r="L289" s="165"/>
      <c r="M289" s="165"/>
      <c r="N289" s="165"/>
      <c r="O289" s="165"/>
      <c r="P289" s="165"/>
      <c r="Q289" s="165"/>
      <c r="R289" s="165"/>
      <c r="S289" s="165"/>
      <c r="T289" s="165"/>
      <c r="U289" s="165"/>
      <c r="V289" s="165"/>
      <c r="W289" s="165"/>
      <c r="X289" s="165"/>
      <c r="Y289" s="165"/>
      <c r="Z289" s="165"/>
    </row>
    <row r="290">
      <c r="A290" s="165"/>
      <c r="B290" s="165"/>
      <c r="C290" s="165"/>
      <c r="D290" s="165"/>
      <c r="E290" s="165"/>
      <c r="F290" s="165"/>
      <c r="G290" s="165"/>
      <c r="H290" s="165"/>
      <c r="I290" s="165"/>
      <c r="J290" s="165"/>
      <c r="K290" s="165"/>
      <c r="L290" s="165"/>
      <c r="M290" s="165"/>
      <c r="N290" s="165"/>
      <c r="O290" s="165"/>
      <c r="P290" s="165"/>
      <c r="Q290" s="165"/>
      <c r="R290" s="165"/>
      <c r="S290" s="165"/>
      <c r="T290" s="165"/>
      <c r="U290" s="165"/>
      <c r="V290" s="165"/>
      <c r="W290" s="165"/>
      <c r="X290" s="165"/>
      <c r="Y290" s="165"/>
      <c r="Z290" s="165"/>
    </row>
    <row r="291">
      <c r="A291" s="165"/>
      <c r="B291" s="165"/>
      <c r="C291" s="165"/>
      <c r="D291" s="165"/>
      <c r="E291" s="165"/>
      <c r="F291" s="165"/>
      <c r="G291" s="165"/>
      <c r="H291" s="165"/>
      <c r="I291" s="165"/>
      <c r="J291" s="165"/>
      <c r="K291" s="165"/>
      <c r="L291" s="165"/>
      <c r="M291" s="165"/>
      <c r="N291" s="165"/>
      <c r="O291" s="165"/>
      <c r="P291" s="165"/>
      <c r="Q291" s="165"/>
      <c r="R291" s="165"/>
      <c r="S291" s="165"/>
      <c r="T291" s="165"/>
      <c r="U291" s="165"/>
      <c r="V291" s="165"/>
      <c r="W291" s="165"/>
      <c r="X291" s="165"/>
      <c r="Y291" s="165"/>
      <c r="Z291" s="165"/>
    </row>
    <row r="292">
      <c r="A292" s="165"/>
      <c r="B292" s="165"/>
      <c r="C292" s="165"/>
      <c r="D292" s="165"/>
      <c r="E292" s="165"/>
      <c r="F292" s="165"/>
      <c r="G292" s="165"/>
      <c r="H292" s="165"/>
      <c r="I292" s="165"/>
      <c r="J292" s="165"/>
      <c r="K292" s="165"/>
      <c r="L292" s="165"/>
      <c r="M292" s="165"/>
      <c r="N292" s="165"/>
      <c r="O292" s="165"/>
      <c r="P292" s="165"/>
      <c r="Q292" s="165"/>
      <c r="R292" s="165"/>
      <c r="S292" s="165"/>
      <c r="T292" s="165"/>
      <c r="U292" s="165"/>
      <c r="V292" s="165"/>
      <c r="W292" s="165"/>
      <c r="X292" s="165"/>
      <c r="Y292" s="165"/>
      <c r="Z292" s="165"/>
    </row>
    <row r="293">
      <c r="A293" s="165"/>
      <c r="B293" s="165"/>
      <c r="C293" s="165"/>
      <c r="D293" s="165"/>
      <c r="E293" s="165"/>
      <c r="F293" s="165"/>
      <c r="G293" s="165"/>
      <c r="H293" s="165"/>
      <c r="I293" s="165"/>
      <c r="J293" s="165"/>
      <c r="K293" s="165"/>
      <c r="L293" s="165"/>
      <c r="M293" s="165"/>
      <c r="N293" s="165"/>
      <c r="O293" s="165"/>
      <c r="P293" s="165"/>
      <c r="Q293" s="165"/>
      <c r="R293" s="165"/>
      <c r="S293" s="165"/>
      <c r="T293" s="165"/>
      <c r="U293" s="165"/>
      <c r="V293" s="165"/>
      <c r="W293" s="165"/>
      <c r="X293" s="165"/>
      <c r="Y293" s="165"/>
      <c r="Z293" s="165"/>
    </row>
    <row r="294">
      <c r="A294" s="165"/>
      <c r="B294" s="165"/>
      <c r="C294" s="165"/>
      <c r="D294" s="165"/>
      <c r="E294" s="165"/>
      <c r="F294" s="165"/>
      <c r="G294" s="165"/>
      <c r="H294" s="165"/>
      <c r="I294" s="165"/>
      <c r="J294" s="165"/>
      <c r="K294" s="165"/>
      <c r="L294" s="165"/>
      <c r="M294" s="165"/>
      <c r="N294" s="165"/>
      <c r="O294" s="165"/>
      <c r="P294" s="165"/>
      <c r="Q294" s="165"/>
      <c r="R294" s="165"/>
      <c r="S294" s="165"/>
      <c r="T294" s="165"/>
      <c r="U294" s="165"/>
      <c r="V294" s="165"/>
      <c r="W294" s="165"/>
      <c r="X294" s="165"/>
      <c r="Y294" s="165"/>
      <c r="Z294" s="165"/>
    </row>
    <row r="295">
      <c r="A295" s="165"/>
      <c r="B295" s="165"/>
      <c r="C295" s="165"/>
      <c r="D295" s="165"/>
      <c r="E295" s="165"/>
      <c r="F295" s="165"/>
      <c r="G295" s="165"/>
      <c r="H295" s="165"/>
      <c r="I295" s="165"/>
      <c r="J295" s="165"/>
      <c r="K295" s="165"/>
      <c r="L295" s="165"/>
      <c r="M295" s="165"/>
      <c r="N295" s="165"/>
      <c r="O295" s="165"/>
      <c r="P295" s="165"/>
      <c r="Q295" s="165"/>
      <c r="R295" s="165"/>
      <c r="S295" s="165"/>
      <c r="T295" s="165"/>
      <c r="U295" s="165"/>
      <c r="V295" s="165"/>
      <c r="W295" s="165"/>
      <c r="X295" s="165"/>
      <c r="Y295" s="165"/>
      <c r="Z295" s="165"/>
    </row>
    <row r="296">
      <c r="A296" s="165"/>
      <c r="B296" s="165"/>
      <c r="C296" s="165"/>
      <c r="D296" s="165"/>
      <c r="E296" s="165"/>
      <c r="F296" s="165"/>
      <c r="G296" s="165"/>
      <c r="H296" s="165"/>
      <c r="I296" s="165"/>
      <c r="J296" s="165"/>
      <c r="K296" s="165"/>
      <c r="L296" s="165"/>
      <c r="M296" s="165"/>
      <c r="N296" s="165"/>
      <c r="O296" s="165"/>
      <c r="P296" s="165"/>
      <c r="Q296" s="165"/>
      <c r="R296" s="165"/>
      <c r="S296" s="165"/>
      <c r="T296" s="165"/>
      <c r="U296" s="165"/>
      <c r="V296" s="165"/>
      <c r="W296" s="165"/>
      <c r="X296" s="165"/>
      <c r="Y296" s="165"/>
      <c r="Z296" s="165"/>
    </row>
    <row r="297">
      <c r="A297" s="165"/>
      <c r="B297" s="165"/>
      <c r="C297" s="165"/>
      <c r="D297" s="165"/>
      <c r="E297" s="165"/>
      <c r="F297" s="165"/>
      <c r="G297" s="165"/>
      <c r="H297" s="165"/>
      <c r="I297" s="165"/>
      <c r="J297" s="165"/>
      <c r="K297" s="165"/>
      <c r="L297" s="165"/>
      <c r="M297" s="165"/>
      <c r="N297" s="165"/>
      <c r="O297" s="165"/>
      <c r="P297" s="165"/>
      <c r="Q297" s="165"/>
      <c r="R297" s="165"/>
      <c r="S297" s="165"/>
      <c r="T297" s="165"/>
      <c r="U297" s="165"/>
      <c r="V297" s="165"/>
      <c r="W297" s="165"/>
      <c r="X297" s="165"/>
      <c r="Y297" s="165"/>
      <c r="Z297" s="165"/>
    </row>
    <row r="298">
      <c r="A298" s="165"/>
      <c r="B298" s="165"/>
      <c r="C298" s="165"/>
      <c r="D298" s="165"/>
      <c r="E298" s="165"/>
      <c r="F298" s="165"/>
      <c r="G298" s="165"/>
      <c r="H298" s="165"/>
      <c r="I298" s="165"/>
      <c r="J298" s="165"/>
      <c r="K298" s="165"/>
      <c r="L298" s="165"/>
      <c r="M298" s="165"/>
      <c r="N298" s="165"/>
      <c r="O298" s="165"/>
      <c r="P298" s="165"/>
      <c r="Q298" s="165"/>
      <c r="R298" s="165"/>
      <c r="S298" s="165"/>
      <c r="T298" s="165"/>
      <c r="U298" s="165"/>
      <c r="V298" s="165"/>
      <c r="W298" s="165"/>
      <c r="X298" s="165"/>
      <c r="Y298" s="165"/>
      <c r="Z298" s="165"/>
    </row>
    <row r="299">
      <c r="A299" s="165"/>
      <c r="B299" s="165"/>
      <c r="C299" s="165"/>
      <c r="D299" s="165"/>
      <c r="E299" s="165"/>
      <c r="F299" s="165"/>
      <c r="G299" s="165"/>
      <c r="H299" s="165"/>
      <c r="I299" s="165"/>
      <c r="J299" s="165"/>
      <c r="K299" s="165"/>
      <c r="L299" s="165"/>
      <c r="M299" s="165"/>
      <c r="N299" s="165"/>
      <c r="O299" s="165"/>
      <c r="P299" s="165"/>
      <c r="Q299" s="165"/>
      <c r="R299" s="165"/>
      <c r="S299" s="165"/>
      <c r="T299" s="165"/>
      <c r="U299" s="165"/>
      <c r="V299" s="165"/>
      <c r="W299" s="165"/>
      <c r="X299" s="165"/>
      <c r="Y299" s="165"/>
      <c r="Z299" s="165"/>
    </row>
    <row r="300">
      <c r="A300" s="165"/>
      <c r="B300" s="165"/>
      <c r="C300" s="165"/>
      <c r="D300" s="165"/>
      <c r="E300" s="165"/>
      <c r="F300" s="165"/>
      <c r="G300" s="165"/>
      <c r="H300" s="165"/>
      <c r="I300" s="165"/>
      <c r="J300" s="165"/>
      <c r="K300" s="165"/>
      <c r="L300" s="165"/>
      <c r="M300" s="165"/>
      <c r="N300" s="165"/>
      <c r="O300" s="165"/>
      <c r="P300" s="165"/>
      <c r="Q300" s="165"/>
      <c r="R300" s="165"/>
      <c r="S300" s="165"/>
      <c r="T300" s="165"/>
      <c r="U300" s="165"/>
      <c r="V300" s="165"/>
      <c r="W300" s="165"/>
      <c r="X300" s="165"/>
      <c r="Y300" s="165"/>
      <c r="Z300" s="165"/>
    </row>
    <row r="301">
      <c r="A301" s="165"/>
      <c r="B301" s="165"/>
      <c r="C301" s="165"/>
      <c r="D301" s="165"/>
      <c r="E301" s="165"/>
      <c r="F301" s="165"/>
      <c r="G301" s="165"/>
      <c r="H301" s="165"/>
      <c r="I301" s="165"/>
      <c r="J301" s="165"/>
      <c r="K301" s="165"/>
      <c r="L301" s="165"/>
      <c r="M301" s="165"/>
      <c r="N301" s="165"/>
      <c r="O301" s="165"/>
      <c r="P301" s="165"/>
      <c r="Q301" s="165"/>
      <c r="R301" s="165"/>
      <c r="S301" s="165"/>
      <c r="T301" s="165"/>
      <c r="U301" s="165"/>
      <c r="V301" s="165"/>
      <c r="W301" s="165"/>
      <c r="X301" s="165"/>
      <c r="Y301" s="165"/>
      <c r="Z301" s="165"/>
    </row>
    <row r="302">
      <c r="A302" s="165"/>
      <c r="B302" s="165"/>
      <c r="C302" s="165"/>
      <c r="D302" s="165"/>
      <c r="E302" s="165"/>
      <c r="F302" s="165"/>
      <c r="G302" s="165"/>
      <c r="H302" s="165"/>
      <c r="I302" s="165"/>
      <c r="J302" s="165"/>
      <c r="K302" s="165"/>
      <c r="L302" s="165"/>
      <c r="M302" s="165"/>
      <c r="N302" s="165"/>
      <c r="O302" s="165"/>
      <c r="P302" s="165"/>
      <c r="Q302" s="165"/>
      <c r="R302" s="165"/>
      <c r="S302" s="165"/>
      <c r="T302" s="165"/>
      <c r="U302" s="165"/>
      <c r="V302" s="165"/>
      <c r="W302" s="165"/>
      <c r="X302" s="165"/>
      <c r="Y302" s="165"/>
      <c r="Z302" s="165"/>
    </row>
    <row r="303">
      <c r="A303" s="165"/>
      <c r="B303" s="165"/>
      <c r="C303" s="165"/>
      <c r="D303" s="165"/>
      <c r="E303" s="165"/>
      <c r="F303" s="165"/>
      <c r="G303" s="165"/>
      <c r="H303" s="165"/>
      <c r="I303" s="165"/>
      <c r="J303" s="165"/>
      <c r="K303" s="165"/>
      <c r="L303" s="165"/>
      <c r="M303" s="165"/>
      <c r="N303" s="165"/>
      <c r="O303" s="165"/>
      <c r="P303" s="165"/>
      <c r="Q303" s="165"/>
      <c r="R303" s="165"/>
      <c r="S303" s="165"/>
      <c r="T303" s="165"/>
      <c r="U303" s="165"/>
      <c r="V303" s="165"/>
      <c r="W303" s="165"/>
      <c r="X303" s="165"/>
      <c r="Y303" s="165"/>
      <c r="Z303" s="165"/>
    </row>
    <row r="304">
      <c r="A304" s="165"/>
      <c r="B304" s="165"/>
      <c r="C304" s="165"/>
      <c r="D304" s="165"/>
      <c r="E304" s="165"/>
      <c r="F304" s="165"/>
      <c r="G304" s="165"/>
      <c r="H304" s="165"/>
      <c r="I304" s="165"/>
      <c r="J304" s="165"/>
      <c r="K304" s="165"/>
      <c r="L304" s="165"/>
      <c r="M304" s="165"/>
      <c r="N304" s="165"/>
      <c r="O304" s="165"/>
      <c r="P304" s="165"/>
      <c r="Q304" s="165"/>
      <c r="R304" s="165"/>
      <c r="S304" s="165"/>
      <c r="T304" s="165"/>
      <c r="U304" s="165"/>
      <c r="V304" s="165"/>
      <c r="W304" s="165"/>
      <c r="X304" s="165"/>
      <c r="Y304" s="165"/>
      <c r="Z304" s="165"/>
    </row>
    <row r="305">
      <c r="A305" s="165"/>
      <c r="B305" s="165"/>
      <c r="C305" s="165"/>
      <c r="D305" s="165"/>
      <c r="E305" s="165"/>
      <c r="F305" s="165"/>
      <c r="G305" s="165"/>
      <c r="H305" s="165"/>
      <c r="I305" s="165"/>
      <c r="J305" s="165"/>
      <c r="K305" s="165"/>
      <c r="L305" s="165"/>
      <c r="M305" s="165"/>
      <c r="N305" s="165"/>
      <c r="O305" s="165"/>
      <c r="P305" s="165"/>
      <c r="Q305" s="165"/>
      <c r="R305" s="165"/>
      <c r="S305" s="165"/>
      <c r="T305" s="165"/>
      <c r="U305" s="165"/>
      <c r="V305" s="165"/>
      <c r="W305" s="165"/>
      <c r="X305" s="165"/>
      <c r="Y305" s="165"/>
      <c r="Z305" s="165"/>
    </row>
    <row r="306">
      <c r="A306" s="165"/>
      <c r="B306" s="165"/>
      <c r="C306" s="165"/>
      <c r="D306" s="165"/>
      <c r="E306" s="165"/>
      <c r="F306" s="165"/>
      <c r="G306" s="165"/>
      <c r="H306" s="165"/>
      <c r="I306" s="165"/>
      <c r="J306" s="165"/>
      <c r="K306" s="165"/>
      <c r="L306" s="165"/>
      <c r="M306" s="165"/>
      <c r="N306" s="165"/>
      <c r="O306" s="165"/>
      <c r="P306" s="165"/>
      <c r="Q306" s="165"/>
      <c r="R306" s="165"/>
      <c r="S306" s="165"/>
      <c r="T306" s="165"/>
      <c r="U306" s="165"/>
      <c r="V306" s="165"/>
      <c r="W306" s="165"/>
      <c r="X306" s="165"/>
      <c r="Y306" s="165"/>
      <c r="Z306" s="165"/>
    </row>
    <row r="307">
      <c r="A307" s="165"/>
      <c r="B307" s="165"/>
      <c r="C307" s="165"/>
      <c r="D307" s="165"/>
      <c r="E307" s="165"/>
      <c r="F307" s="165"/>
      <c r="G307" s="165"/>
      <c r="H307" s="165"/>
      <c r="I307" s="165"/>
      <c r="J307" s="165"/>
      <c r="K307" s="165"/>
      <c r="L307" s="165"/>
      <c r="M307" s="165"/>
      <c r="N307" s="165"/>
      <c r="O307" s="165"/>
      <c r="P307" s="165"/>
      <c r="Q307" s="165"/>
      <c r="R307" s="165"/>
      <c r="S307" s="165"/>
      <c r="T307" s="165"/>
      <c r="U307" s="165"/>
      <c r="V307" s="165"/>
      <c r="W307" s="165"/>
      <c r="X307" s="165"/>
      <c r="Y307" s="165"/>
      <c r="Z307" s="165"/>
    </row>
    <row r="308">
      <c r="A308" s="165"/>
      <c r="B308" s="165"/>
      <c r="C308" s="165"/>
      <c r="D308" s="165"/>
      <c r="E308" s="165"/>
      <c r="F308" s="165"/>
      <c r="G308" s="165"/>
      <c r="H308" s="165"/>
      <c r="I308" s="165"/>
      <c r="J308" s="165"/>
      <c r="K308" s="165"/>
      <c r="L308" s="165"/>
      <c r="M308" s="165"/>
      <c r="N308" s="165"/>
      <c r="O308" s="165"/>
      <c r="P308" s="165"/>
      <c r="Q308" s="165"/>
      <c r="R308" s="165"/>
      <c r="S308" s="165"/>
      <c r="T308" s="165"/>
      <c r="U308" s="165"/>
      <c r="V308" s="165"/>
      <c r="W308" s="165"/>
      <c r="X308" s="165"/>
      <c r="Y308" s="165"/>
      <c r="Z308" s="165"/>
    </row>
    <row r="309">
      <c r="A309" s="165"/>
      <c r="B309" s="165"/>
      <c r="C309" s="165"/>
      <c r="D309" s="165"/>
      <c r="E309" s="165"/>
      <c r="F309" s="165"/>
      <c r="G309" s="165"/>
      <c r="H309" s="165"/>
      <c r="I309" s="165"/>
      <c r="J309" s="165"/>
      <c r="K309" s="165"/>
      <c r="L309" s="165"/>
      <c r="M309" s="165"/>
      <c r="N309" s="165"/>
      <c r="O309" s="165"/>
      <c r="P309" s="165"/>
      <c r="Q309" s="165"/>
      <c r="R309" s="165"/>
      <c r="S309" s="165"/>
      <c r="T309" s="165"/>
      <c r="U309" s="165"/>
      <c r="V309" s="165"/>
      <c r="W309" s="165"/>
      <c r="X309" s="165"/>
      <c r="Y309" s="165"/>
      <c r="Z309" s="165"/>
    </row>
    <row r="310">
      <c r="A310" s="165"/>
      <c r="B310" s="165"/>
      <c r="C310" s="165"/>
      <c r="D310" s="165"/>
      <c r="E310" s="165"/>
      <c r="F310" s="165"/>
      <c r="G310" s="165"/>
      <c r="H310" s="165"/>
      <c r="I310" s="165"/>
      <c r="J310" s="165"/>
      <c r="K310" s="165"/>
      <c r="L310" s="165"/>
      <c r="M310" s="165"/>
      <c r="N310" s="165"/>
      <c r="O310" s="165"/>
      <c r="P310" s="165"/>
      <c r="Q310" s="165"/>
      <c r="R310" s="165"/>
      <c r="S310" s="165"/>
      <c r="T310" s="165"/>
      <c r="U310" s="165"/>
      <c r="V310" s="165"/>
      <c r="W310" s="165"/>
      <c r="X310" s="165"/>
      <c r="Y310" s="165"/>
      <c r="Z310" s="165"/>
    </row>
    <row r="311">
      <c r="A311" s="165"/>
      <c r="B311" s="165"/>
      <c r="C311" s="165"/>
      <c r="D311" s="165"/>
      <c r="E311" s="165"/>
      <c r="F311" s="165"/>
      <c r="G311" s="165"/>
      <c r="H311" s="165"/>
      <c r="I311" s="165"/>
      <c r="J311" s="165"/>
      <c r="K311" s="165"/>
      <c r="L311" s="165"/>
      <c r="M311" s="165"/>
      <c r="N311" s="165"/>
      <c r="O311" s="165"/>
      <c r="P311" s="165"/>
      <c r="Q311" s="165"/>
      <c r="R311" s="165"/>
      <c r="S311" s="165"/>
      <c r="T311" s="165"/>
      <c r="U311" s="165"/>
      <c r="V311" s="165"/>
      <c r="W311" s="165"/>
      <c r="X311" s="165"/>
      <c r="Y311" s="165"/>
      <c r="Z311" s="165"/>
    </row>
    <row r="312">
      <c r="A312" s="165"/>
      <c r="B312" s="165"/>
      <c r="C312" s="165"/>
      <c r="D312" s="165"/>
      <c r="E312" s="165"/>
      <c r="F312" s="165"/>
      <c r="G312" s="165"/>
      <c r="H312" s="165"/>
      <c r="I312" s="165"/>
      <c r="J312" s="165"/>
      <c r="K312" s="165"/>
      <c r="L312" s="165"/>
      <c r="M312" s="165"/>
      <c r="N312" s="165"/>
      <c r="O312" s="165"/>
      <c r="P312" s="165"/>
      <c r="Q312" s="165"/>
      <c r="R312" s="165"/>
      <c r="S312" s="165"/>
      <c r="T312" s="165"/>
      <c r="U312" s="165"/>
      <c r="V312" s="165"/>
      <c r="W312" s="165"/>
      <c r="X312" s="165"/>
      <c r="Y312" s="165"/>
      <c r="Z312" s="165"/>
    </row>
    <row r="313">
      <c r="A313" s="165"/>
      <c r="B313" s="165"/>
      <c r="C313" s="165"/>
      <c r="D313" s="165"/>
      <c r="E313" s="165"/>
      <c r="F313" s="165"/>
      <c r="G313" s="165"/>
      <c r="H313" s="165"/>
      <c r="I313" s="165"/>
      <c r="J313" s="165"/>
      <c r="K313" s="165"/>
      <c r="L313" s="165"/>
      <c r="M313" s="165"/>
      <c r="N313" s="165"/>
      <c r="O313" s="165"/>
      <c r="P313" s="165"/>
      <c r="Q313" s="165"/>
      <c r="R313" s="165"/>
      <c r="S313" s="165"/>
      <c r="T313" s="165"/>
      <c r="U313" s="165"/>
      <c r="V313" s="165"/>
      <c r="W313" s="165"/>
      <c r="X313" s="165"/>
      <c r="Y313" s="165"/>
      <c r="Z313" s="165"/>
    </row>
    <row r="314">
      <c r="A314" s="165"/>
      <c r="B314" s="165"/>
      <c r="C314" s="165"/>
      <c r="D314" s="165"/>
      <c r="E314" s="165"/>
      <c r="F314" s="165"/>
      <c r="G314" s="165"/>
      <c r="H314" s="165"/>
      <c r="I314" s="165"/>
      <c r="J314" s="165"/>
      <c r="K314" s="165"/>
      <c r="L314" s="165"/>
      <c r="M314" s="165"/>
      <c r="N314" s="165"/>
      <c r="O314" s="165"/>
      <c r="P314" s="165"/>
      <c r="Q314" s="165"/>
      <c r="R314" s="165"/>
      <c r="S314" s="165"/>
      <c r="T314" s="165"/>
      <c r="U314" s="165"/>
      <c r="V314" s="165"/>
      <c r="W314" s="165"/>
      <c r="X314" s="165"/>
      <c r="Y314" s="165"/>
      <c r="Z314" s="165"/>
    </row>
    <row r="315">
      <c r="A315" s="165"/>
      <c r="B315" s="165"/>
      <c r="C315" s="165"/>
      <c r="D315" s="165"/>
      <c r="E315" s="165"/>
      <c r="F315" s="165"/>
      <c r="G315" s="165"/>
      <c r="H315" s="165"/>
      <c r="I315" s="165"/>
      <c r="J315" s="165"/>
      <c r="K315" s="165"/>
      <c r="L315" s="165"/>
      <c r="M315" s="165"/>
      <c r="N315" s="165"/>
      <c r="O315" s="165"/>
      <c r="P315" s="165"/>
      <c r="Q315" s="165"/>
      <c r="R315" s="165"/>
      <c r="S315" s="165"/>
      <c r="T315" s="165"/>
      <c r="U315" s="165"/>
      <c r="V315" s="165"/>
      <c r="W315" s="165"/>
      <c r="X315" s="165"/>
      <c r="Y315" s="165"/>
      <c r="Z315" s="165"/>
    </row>
    <row r="316">
      <c r="A316" s="165"/>
      <c r="B316" s="165"/>
      <c r="C316" s="165"/>
      <c r="D316" s="165"/>
      <c r="E316" s="165"/>
      <c r="F316" s="165"/>
      <c r="G316" s="165"/>
      <c r="H316" s="165"/>
      <c r="I316" s="165"/>
      <c r="J316" s="165"/>
      <c r="K316" s="165"/>
      <c r="L316" s="165"/>
      <c r="M316" s="165"/>
      <c r="N316" s="165"/>
      <c r="O316" s="165"/>
      <c r="P316" s="165"/>
      <c r="Q316" s="165"/>
      <c r="R316" s="165"/>
      <c r="S316" s="165"/>
      <c r="T316" s="165"/>
      <c r="U316" s="165"/>
      <c r="V316" s="165"/>
      <c r="W316" s="165"/>
      <c r="X316" s="165"/>
      <c r="Y316" s="165"/>
      <c r="Z316" s="165"/>
    </row>
    <row r="317">
      <c r="A317" s="165"/>
      <c r="B317" s="165"/>
      <c r="C317" s="165"/>
      <c r="D317" s="165"/>
      <c r="E317" s="165"/>
      <c r="F317" s="165"/>
      <c r="G317" s="165"/>
      <c r="H317" s="165"/>
      <c r="I317" s="165"/>
      <c r="J317" s="165"/>
      <c r="K317" s="165"/>
      <c r="L317" s="165"/>
      <c r="M317" s="165"/>
      <c r="N317" s="165"/>
      <c r="O317" s="165"/>
      <c r="P317" s="165"/>
      <c r="Q317" s="165"/>
      <c r="R317" s="165"/>
      <c r="S317" s="165"/>
      <c r="T317" s="165"/>
      <c r="U317" s="165"/>
      <c r="V317" s="165"/>
      <c r="W317" s="165"/>
      <c r="X317" s="165"/>
      <c r="Y317" s="165"/>
      <c r="Z317" s="165"/>
    </row>
    <row r="318">
      <c r="A318" s="165"/>
      <c r="B318" s="165"/>
      <c r="C318" s="165"/>
      <c r="D318" s="165"/>
      <c r="E318" s="165"/>
      <c r="F318" s="165"/>
      <c r="G318" s="165"/>
      <c r="H318" s="165"/>
      <c r="I318" s="165"/>
      <c r="J318" s="165"/>
      <c r="K318" s="165"/>
      <c r="L318" s="165"/>
      <c r="M318" s="165"/>
      <c r="N318" s="165"/>
      <c r="O318" s="165"/>
      <c r="P318" s="165"/>
      <c r="Q318" s="165"/>
      <c r="R318" s="165"/>
      <c r="S318" s="165"/>
      <c r="T318" s="165"/>
      <c r="U318" s="165"/>
      <c r="V318" s="165"/>
      <c r="W318" s="165"/>
      <c r="X318" s="165"/>
      <c r="Y318" s="165"/>
      <c r="Z318" s="165"/>
    </row>
    <row r="319">
      <c r="A319" s="165"/>
      <c r="B319" s="165"/>
      <c r="C319" s="165"/>
      <c r="D319" s="165"/>
      <c r="E319" s="165"/>
      <c r="F319" s="165"/>
      <c r="G319" s="165"/>
      <c r="H319" s="165"/>
      <c r="I319" s="165"/>
      <c r="J319" s="165"/>
      <c r="K319" s="165"/>
      <c r="L319" s="165"/>
      <c r="M319" s="165"/>
      <c r="N319" s="165"/>
      <c r="O319" s="165"/>
      <c r="P319" s="165"/>
      <c r="Q319" s="165"/>
      <c r="R319" s="165"/>
      <c r="S319" s="165"/>
      <c r="T319" s="165"/>
      <c r="U319" s="165"/>
      <c r="V319" s="165"/>
      <c r="W319" s="165"/>
      <c r="X319" s="165"/>
      <c r="Y319" s="165"/>
      <c r="Z319" s="165"/>
    </row>
    <row r="320">
      <c r="A320" s="165"/>
      <c r="B320" s="165"/>
      <c r="C320" s="165"/>
      <c r="D320" s="165"/>
      <c r="E320" s="165"/>
      <c r="F320" s="165"/>
      <c r="G320" s="165"/>
      <c r="H320" s="165"/>
      <c r="I320" s="165"/>
      <c r="J320" s="165"/>
      <c r="K320" s="165"/>
      <c r="L320" s="165"/>
      <c r="M320" s="165"/>
      <c r="N320" s="165"/>
      <c r="O320" s="165"/>
      <c r="P320" s="165"/>
      <c r="Q320" s="165"/>
      <c r="R320" s="165"/>
      <c r="S320" s="165"/>
      <c r="T320" s="165"/>
      <c r="U320" s="165"/>
      <c r="V320" s="165"/>
      <c r="W320" s="165"/>
      <c r="X320" s="165"/>
      <c r="Y320" s="165"/>
      <c r="Z320" s="165"/>
    </row>
    <row r="321">
      <c r="A321" s="165"/>
      <c r="B321" s="165"/>
      <c r="C321" s="165"/>
      <c r="D321" s="165"/>
      <c r="E321" s="165"/>
      <c r="F321" s="165"/>
      <c r="G321" s="165"/>
      <c r="H321" s="165"/>
      <c r="I321" s="165"/>
      <c r="J321" s="165"/>
      <c r="K321" s="165"/>
      <c r="L321" s="165"/>
      <c r="M321" s="165"/>
      <c r="N321" s="165"/>
      <c r="O321" s="165"/>
      <c r="P321" s="165"/>
      <c r="Q321" s="165"/>
      <c r="R321" s="165"/>
      <c r="S321" s="165"/>
      <c r="T321" s="165"/>
      <c r="U321" s="165"/>
      <c r="V321" s="165"/>
      <c r="W321" s="165"/>
      <c r="X321" s="165"/>
      <c r="Y321" s="165"/>
      <c r="Z321" s="165"/>
    </row>
    <row r="322">
      <c r="A322" s="165"/>
      <c r="B322" s="165"/>
      <c r="C322" s="165"/>
      <c r="D322" s="165"/>
      <c r="E322" s="165"/>
      <c r="F322" s="165"/>
      <c r="G322" s="165"/>
      <c r="H322" s="165"/>
      <c r="I322" s="165"/>
      <c r="J322" s="165"/>
      <c r="K322" s="165"/>
      <c r="L322" s="165"/>
      <c r="M322" s="165"/>
      <c r="N322" s="165"/>
      <c r="O322" s="165"/>
      <c r="P322" s="165"/>
      <c r="Q322" s="165"/>
      <c r="R322" s="165"/>
      <c r="S322" s="165"/>
      <c r="T322" s="165"/>
      <c r="U322" s="165"/>
      <c r="V322" s="165"/>
      <c r="W322" s="165"/>
      <c r="X322" s="165"/>
      <c r="Y322" s="165"/>
      <c r="Z322" s="165"/>
    </row>
    <row r="323">
      <c r="A323" s="165"/>
      <c r="B323" s="165"/>
      <c r="C323" s="165"/>
      <c r="D323" s="165"/>
      <c r="E323" s="165"/>
      <c r="F323" s="165"/>
      <c r="G323" s="165"/>
      <c r="H323" s="165"/>
      <c r="I323" s="165"/>
      <c r="J323" s="165"/>
      <c r="K323" s="165"/>
      <c r="L323" s="165"/>
      <c r="M323" s="165"/>
      <c r="N323" s="165"/>
      <c r="O323" s="165"/>
      <c r="P323" s="165"/>
      <c r="Q323" s="165"/>
      <c r="R323" s="165"/>
      <c r="S323" s="165"/>
      <c r="T323" s="165"/>
      <c r="U323" s="165"/>
      <c r="V323" s="165"/>
      <c r="W323" s="165"/>
      <c r="X323" s="165"/>
      <c r="Y323" s="165"/>
      <c r="Z323" s="165"/>
    </row>
    <row r="324">
      <c r="A324" s="165"/>
      <c r="B324" s="165"/>
      <c r="C324" s="165"/>
      <c r="D324" s="165"/>
      <c r="E324" s="165"/>
      <c r="F324" s="165"/>
      <c r="G324" s="165"/>
      <c r="H324" s="165"/>
      <c r="I324" s="165"/>
      <c r="J324" s="165"/>
      <c r="K324" s="165"/>
      <c r="L324" s="165"/>
      <c r="M324" s="165"/>
      <c r="N324" s="165"/>
      <c r="O324" s="165"/>
      <c r="P324" s="165"/>
      <c r="Q324" s="165"/>
      <c r="R324" s="165"/>
      <c r="S324" s="165"/>
      <c r="T324" s="165"/>
      <c r="U324" s="165"/>
      <c r="V324" s="165"/>
      <c r="W324" s="165"/>
      <c r="X324" s="165"/>
      <c r="Y324" s="165"/>
      <c r="Z324" s="165"/>
    </row>
    <row r="325">
      <c r="A325" s="165"/>
      <c r="B325" s="165"/>
      <c r="C325" s="165"/>
      <c r="D325" s="165"/>
      <c r="E325" s="165"/>
      <c r="F325" s="165"/>
      <c r="G325" s="165"/>
      <c r="H325" s="165"/>
      <c r="I325" s="165"/>
      <c r="J325" s="165"/>
      <c r="K325" s="165"/>
      <c r="L325" s="165"/>
      <c r="M325" s="165"/>
      <c r="N325" s="165"/>
      <c r="O325" s="165"/>
      <c r="P325" s="165"/>
      <c r="Q325" s="165"/>
      <c r="R325" s="165"/>
      <c r="S325" s="165"/>
      <c r="T325" s="165"/>
      <c r="U325" s="165"/>
      <c r="V325" s="165"/>
      <c r="W325" s="165"/>
      <c r="X325" s="165"/>
      <c r="Y325" s="165"/>
      <c r="Z325" s="165"/>
    </row>
    <row r="326">
      <c r="A326" s="165"/>
      <c r="B326" s="165"/>
      <c r="C326" s="165"/>
      <c r="D326" s="165"/>
      <c r="E326" s="165"/>
      <c r="F326" s="165"/>
      <c r="G326" s="165"/>
      <c r="H326" s="165"/>
      <c r="I326" s="165"/>
      <c r="J326" s="165"/>
      <c r="K326" s="165"/>
      <c r="L326" s="165"/>
      <c r="M326" s="165"/>
      <c r="N326" s="165"/>
      <c r="O326" s="165"/>
      <c r="P326" s="165"/>
      <c r="Q326" s="165"/>
      <c r="R326" s="165"/>
      <c r="S326" s="165"/>
      <c r="T326" s="165"/>
      <c r="U326" s="165"/>
      <c r="V326" s="165"/>
      <c r="W326" s="165"/>
      <c r="X326" s="165"/>
      <c r="Y326" s="165"/>
      <c r="Z326" s="165"/>
    </row>
    <row r="327">
      <c r="A327" s="165"/>
      <c r="B327" s="165"/>
      <c r="C327" s="165"/>
      <c r="D327" s="165"/>
      <c r="E327" s="165"/>
      <c r="F327" s="165"/>
      <c r="G327" s="165"/>
      <c r="H327" s="165"/>
      <c r="I327" s="165"/>
      <c r="J327" s="165"/>
      <c r="K327" s="165"/>
      <c r="L327" s="165"/>
      <c r="M327" s="165"/>
      <c r="N327" s="165"/>
      <c r="O327" s="165"/>
      <c r="P327" s="165"/>
      <c r="Q327" s="165"/>
      <c r="R327" s="165"/>
      <c r="S327" s="165"/>
      <c r="T327" s="165"/>
      <c r="U327" s="165"/>
      <c r="V327" s="165"/>
      <c r="W327" s="165"/>
      <c r="X327" s="165"/>
      <c r="Y327" s="165"/>
      <c r="Z327" s="165"/>
    </row>
    <row r="328">
      <c r="A328" s="165"/>
      <c r="B328" s="165"/>
      <c r="C328" s="165"/>
      <c r="D328" s="165"/>
      <c r="E328" s="165"/>
      <c r="F328" s="165"/>
      <c r="G328" s="165"/>
      <c r="H328" s="165"/>
      <c r="I328" s="165"/>
      <c r="J328" s="165"/>
      <c r="K328" s="165"/>
      <c r="L328" s="165"/>
      <c r="M328" s="165"/>
      <c r="N328" s="165"/>
      <c r="O328" s="165"/>
      <c r="P328" s="165"/>
      <c r="Q328" s="165"/>
      <c r="R328" s="165"/>
      <c r="S328" s="165"/>
      <c r="T328" s="165"/>
      <c r="U328" s="165"/>
      <c r="V328" s="165"/>
      <c r="W328" s="165"/>
      <c r="X328" s="165"/>
      <c r="Y328" s="165"/>
      <c r="Z328" s="165"/>
    </row>
    <row r="329">
      <c r="A329" s="165"/>
      <c r="B329" s="165"/>
      <c r="C329" s="165"/>
      <c r="D329" s="165"/>
      <c r="E329" s="165"/>
      <c r="F329" s="165"/>
      <c r="G329" s="165"/>
      <c r="H329" s="165"/>
      <c r="I329" s="165"/>
      <c r="J329" s="165"/>
      <c r="K329" s="165"/>
      <c r="L329" s="165"/>
      <c r="M329" s="165"/>
      <c r="N329" s="165"/>
      <c r="O329" s="165"/>
      <c r="P329" s="165"/>
      <c r="Q329" s="165"/>
      <c r="R329" s="165"/>
      <c r="S329" s="165"/>
      <c r="T329" s="165"/>
      <c r="U329" s="165"/>
      <c r="V329" s="165"/>
      <c r="W329" s="165"/>
      <c r="X329" s="165"/>
      <c r="Y329" s="165"/>
      <c r="Z329" s="165"/>
    </row>
    <row r="330">
      <c r="A330" s="165"/>
      <c r="B330" s="165"/>
      <c r="C330" s="165"/>
      <c r="D330" s="165"/>
      <c r="E330" s="165"/>
      <c r="F330" s="165"/>
      <c r="G330" s="165"/>
      <c r="H330" s="165"/>
      <c r="I330" s="165"/>
      <c r="J330" s="165"/>
      <c r="K330" s="165"/>
      <c r="L330" s="165"/>
      <c r="M330" s="165"/>
      <c r="N330" s="165"/>
      <c r="O330" s="165"/>
      <c r="P330" s="165"/>
      <c r="Q330" s="165"/>
      <c r="R330" s="165"/>
      <c r="S330" s="165"/>
      <c r="T330" s="165"/>
      <c r="U330" s="165"/>
      <c r="V330" s="165"/>
      <c r="W330" s="165"/>
      <c r="X330" s="165"/>
      <c r="Y330" s="165"/>
      <c r="Z330" s="165"/>
    </row>
    <row r="331">
      <c r="A331" s="165"/>
      <c r="B331" s="165"/>
      <c r="C331" s="165"/>
      <c r="D331" s="165"/>
      <c r="E331" s="165"/>
      <c r="F331" s="165"/>
      <c r="G331" s="165"/>
      <c r="H331" s="165"/>
      <c r="I331" s="165"/>
      <c r="J331" s="165"/>
      <c r="K331" s="165"/>
      <c r="L331" s="165"/>
      <c r="M331" s="165"/>
      <c r="N331" s="165"/>
      <c r="O331" s="165"/>
      <c r="P331" s="165"/>
      <c r="Q331" s="165"/>
      <c r="R331" s="165"/>
      <c r="S331" s="165"/>
      <c r="T331" s="165"/>
      <c r="U331" s="165"/>
      <c r="V331" s="165"/>
      <c r="W331" s="165"/>
      <c r="X331" s="165"/>
      <c r="Y331" s="165"/>
      <c r="Z331" s="165"/>
    </row>
    <row r="332">
      <c r="A332" s="165"/>
      <c r="B332" s="165"/>
      <c r="C332" s="165"/>
      <c r="D332" s="165"/>
      <c r="E332" s="165"/>
      <c r="F332" s="165"/>
      <c r="G332" s="165"/>
      <c r="H332" s="165"/>
      <c r="I332" s="165"/>
      <c r="J332" s="165"/>
      <c r="K332" s="165"/>
      <c r="L332" s="165"/>
      <c r="M332" s="165"/>
      <c r="N332" s="165"/>
      <c r="O332" s="165"/>
      <c r="P332" s="165"/>
      <c r="Q332" s="165"/>
      <c r="R332" s="165"/>
      <c r="S332" s="165"/>
      <c r="T332" s="165"/>
      <c r="U332" s="165"/>
      <c r="V332" s="165"/>
      <c r="W332" s="165"/>
      <c r="X332" s="165"/>
      <c r="Y332" s="165"/>
      <c r="Z332" s="165"/>
    </row>
    <row r="333">
      <c r="A333" s="165"/>
      <c r="B333" s="165"/>
      <c r="C333" s="165"/>
      <c r="D333" s="165"/>
      <c r="E333" s="165"/>
      <c r="F333" s="165"/>
      <c r="G333" s="165"/>
      <c r="H333" s="165"/>
      <c r="I333" s="165"/>
      <c r="J333" s="165"/>
      <c r="K333" s="165"/>
      <c r="L333" s="165"/>
      <c r="M333" s="165"/>
      <c r="N333" s="165"/>
      <c r="O333" s="165"/>
      <c r="P333" s="165"/>
      <c r="Q333" s="165"/>
      <c r="R333" s="165"/>
      <c r="S333" s="165"/>
      <c r="T333" s="165"/>
      <c r="U333" s="165"/>
      <c r="V333" s="165"/>
      <c r="W333" s="165"/>
      <c r="X333" s="165"/>
      <c r="Y333" s="165"/>
      <c r="Z333" s="165"/>
    </row>
    <row r="334">
      <c r="A334" s="165"/>
      <c r="B334" s="165"/>
      <c r="C334" s="165"/>
      <c r="D334" s="165"/>
      <c r="E334" s="165"/>
      <c r="F334" s="165"/>
      <c r="G334" s="165"/>
      <c r="H334" s="165"/>
      <c r="I334" s="165"/>
      <c r="J334" s="165"/>
      <c r="K334" s="165"/>
      <c r="L334" s="165"/>
      <c r="M334" s="165"/>
      <c r="N334" s="165"/>
      <c r="O334" s="165"/>
      <c r="P334" s="165"/>
      <c r="Q334" s="165"/>
      <c r="R334" s="165"/>
      <c r="S334" s="165"/>
      <c r="T334" s="165"/>
      <c r="U334" s="165"/>
      <c r="V334" s="165"/>
      <c r="W334" s="165"/>
      <c r="X334" s="165"/>
      <c r="Y334" s="165"/>
      <c r="Z334" s="165"/>
    </row>
    <row r="335">
      <c r="A335" s="165"/>
      <c r="B335" s="165"/>
      <c r="C335" s="165"/>
      <c r="D335" s="165"/>
      <c r="E335" s="165"/>
      <c r="F335" s="165"/>
      <c r="G335" s="165"/>
      <c r="H335" s="165"/>
      <c r="I335" s="165"/>
      <c r="J335" s="165"/>
      <c r="K335" s="165"/>
      <c r="L335" s="165"/>
      <c r="M335" s="165"/>
      <c r="N335" s="165"/>
      <c r="O335" s="165"/>
      <c r="P335" s="165"/>
      <c r="Q335" s="165"/>
      <c r="R335" s="165"/>
      <c r="S335" s="165"/>
      <c r="T335" s="165"/>
      <c r="U335" s="165"/>
      <c r="V335" s="165"/>
      <c r="W335" s="165"/>
      <c r="X335" s="165"/>
      <c r="Y335" s="165"/>
      <c r="Z335" s="165"/>
    </row>
    <row r="336">
      <c r="A336" s="165"/>
      <c r="B336" s="165"/>
      <c r="C336" s="165"/>
      <c r="D336" s="165"/>
      <c r="E336" s="165"/>
      <c r="F336" s="165"/>
      <c r="G336" s="165"/>
      <c r="H336" s="165"/>
      <c r="I336" s="165"/>
      <c r="J336" s="165"/>
      <c r="K336" s="165"/>
      <c r="L336" s="165"/>
      <c r="M336" s="165"/>
      <c r="N336" s="165"/>
      <c r="O336" s="165"/>
      <c r="P336" s="165"/>
      <c r="Q336" s="165"/>
      <c r="R336" s="165"/>
      <c r="S336" s="165"/>
      <c r="T336" s="165"/>
      <c r="U336" s="165"/>
      <c r="V336" s="165"/>
      <c r="W336" s="165"/>
      <c r="X336" s="165"/>
      <c r="Y336" s="165"/>
      <c r="Z336" s="165"/>
    </row>
    <row r="337">
      <c r="A337" s="165"/>
      <c r="B337" s="165"/>
      <c r="C337" s="165"/>
      <c r="D337" s="165"/>
      <c r="E337" s="165"/>
      <c r="F337" s="165"/>
      <c r="G337" s="165"/>
      <c r="H337" s="165"/>
      <c r="I337" s="165"/>
      <c r="J337" s="165"/>
      <c r="K337" s="165"/>
      <c r="L337" s="165"/>
      <c r="M337" s="165"/>
      <c r="N337" s="165"/>
      <c r="O337" s="165"/>
      <c r="P337" s="165"/>
      <c r="Q337" s="165"/>
      <c r="R337" s="165"/>
      <c r="S337" s="165"/>
      <c r="T337" s="165"/>
      <c r="U337" s="165"/>
      <c r="V337" s="165"/>
      <c r="W337" s="165"/>
      <c r="X337" s="165"/>
      <c r="Y337" s="165"/>
      <c r="Z337" s="165"/>
    </row>
    <row r="338">
      <c r="A338" s="165"/>
      <c r="B338" s="165"/>
      <c r="C338" s="165"/>
      <c r="D338" s="165"/>
      <c r="E338" s="165"/>
      <c r="F338" s="165"/>
      <c r="G338" s="165"/>
      <c r="H338" s="165"/>
      <c r="I338" s="165"/>
      <c r="J338" s="165"/>
      <c r="K338" s="165"/>
      <c r="L338" s="165"/>
      <c r="M338" s="165"/>
      <c r="N338" s="165"/>
      <c r="O338" s="165"/>
      <c r="P338" s="165"/>
      <c r="Q338" s="165"/>
      <c r="R338" s="165"/>
      <c r="S338" s="165"/>
      <c r="T338" s="165"/>
      <c r="U338" s="165"/>
      <c r="V338" s="165"/>
      <c r="W338" s="165"/>
      <c r="X338" s="165"/>
      <c r="Y338" s="165"/>
      <c r="Z338" s="165"/>
    </row>
    <row r="339">
      <c r="A339" s="165"/>
      <c r="B339" s="165"/>
      <c r="C339" s="165"/>
      <c r="D339" s="165"/>
      <c r="E339" s="165"/>
      <c r="F339" s="165"/>
      <c r="G339" s="165"/>
      <c r="H339" s="165"/>
      <c r="I339" s="165"/>
      <c r="J339" s="165"/>
      <c r="K339" s="165"/>
      <c r="L339" s="165"/>
      <c r="M339" s="165"/>
      <c r="N339" s="165"/>
      <c r="O339" s="165"/>
      <c r="P339" s="165"/>
      <c r="Q339" s="165"/>
      <c r="R339" s="165"/>
      <c r="S339" s="165"/>
      <c r="T339" s="165"/>
      <c r="U339" s="165"/>
      <c r="V339" s="165"/>
      <c r="W339" s="165"/>
      <c r="X339" s="165"/>
      <c r="Y339" s="165"/>
      <c r="Z339" s="165"/>
    </row>
    <row r="340">
      <c r="A340" s="165"/>
      <c r="B340" s="165"/>
      <c r="C340" s="165"/>
      <c r="D340" s="165"/>
      <c r="E340" s="165"/>
      <c r="F340" s="165"/>
      <c r="G340" s="165"/>
      <c r="H340" s="165"/>
      <c r="I340" s="165"/>
      <c r="J340" s="165"/>
      <c r="K340" s="165"/>
      <c r="L340" s="165"/>
      <c r="M340" s="165"/>
      <c r="N340" s="165"/>
      <c r="O340" s="165"/>
      <c r="P340" s="165"/>
      <c r="Q340" s="165"/>
      <c r="R340" s="165"/>
      <c r="S340" s="165"/>
      <c r="T340" s="165"/>
      <c r="U340" s="165"/>
      <c r="V340" s="165"/>
      <c r="W340" s="165"/>
      <c r="X340" s="165"/>
      <c r="Y340" s="165"/>
      <c r="Z340" s="165"/>
    </row>
    <row r="341">
      <c r="A341" s="165"/>
      <c r="B341" s="165"/>
      <c r="C341" s="165"/>
      <c r="D341" s="165"/>
      <c r="E341" s="165"/>
      <c r="F341" s="165"/>
      <c r="G341" s="165"/>
      <c r="H341" s="165"/>
      <c r="I341" s="165"/>
      <c r="J341" s="165"/>
      <c r="K341" s="165"/>
      <c r="L341" s="165"/>
      <c r="M341" s="165"/>
      <c r="N341" s="165"/>
      <c r="O341" s="165"/>
      <c r="P341" s="165"/>
      <c r="Q341" s="165"/>
      <c r="R341" s="165"/>
      <c r="S341" s="165"/>
      <c r="T341" s="165"/>
      <c r="U341" s="165"/>
      <c r="V341" s="165"/>
      <c r="W341" s="165"/>
      <c r="X341" s="165"/>
      <c r="Y341" s="165"/>
      <c r="Z341" s="165"/>
    </row>
    <row r="342">
      <c r="A342" s="165"/>
      <c r="B342" s="165"/>
      <c r="C342" s="165"/>
      <c r="D342" s="165"/>
      <c r="E342" s="165"/>
      <c r="F342" s="165"/>
      <c r="G342" s="165"/>
      <c r="H342" s="165"/>
      <c r="I342" s="165"/>
      <c r="J342" s="165"/>
      <c r="K342" s="165"/>
      <c r="L342" s="165"/>
      <c r="M342" s="165"/>
      <c r="N342" s="165"/>
      <c r="O342" s="165"/>
      <c r="P342" s="165"/>
      <c r="Q342" s="165"/>
      <c r="R342" s="165"/>
      <c r="S342" s="165"/>
      <c r="T342" s="165"/>
      <c r="U342" s="165"/>
      <c r="V342" s="165"/>
      <c r="W342" s="165"/>
      <c r="X342" s="165"/>
      <c r="Y342" s="165"/>
      <c r="Z342" s="165"/>
    </row>
    <row r="343">
      <c r="A343" s="165"/>
      <c r="B343" s="165"/>
      <c r="C343" s="165"/>
      <c r="D343" s="165"/>
      <c r="E343" s="165"/>
      <c r="F343" s="165"/>
      <c r="G343" s="165"/>
      <c r="H343" s="165"/>
      <c r="I343" s="165"/>
      <c r="J343" s="165"/>
      <c r="K343" s="165"/>
      <c r="L343" s="165"/>
      <c r="M343" s="165"/>
      <c r="N343" s="165"/>
      <c r="O343" s="165"/>
      <c r="P343" s="165"/>
      <c r="Q343" s="165"/>
      <c r="R343" s="165"/>
      <c r="S343" s="165"/>
      <c r="T343" s="165"/>
      <c r="U343" s="165"/>
      <c r="V343" s="165"/>
      <c r="W343" s="165"/>
      <c r="X343" s="165"/>
      <c r="Y343" s="165"/>
      <c r="Z343" s="165"/>
    </row>
    <row r="344">
      <c r="A344" s="165"/>
      <c r="B344" s="165"/>
      <c r="C344" s="165"/>
      <c r="D344" s="165"/>
      <c r="E344" s="165"/>
      <c r="F344" s="165"/>
      <c r="G344" s="165"/>
      <c r="H344" s="165"/>
      <c r="I344" s="165"/>
      <c r="J344" s="165"/>
      <c r="K344" s="165"/>
      <c r="L344" s="165"/>
      <c r="M344" s="165"/>
      <c r="N344" s="165"/>
      <c r="O344" s="165"/>
      <c r="P344" s="165"/>
      <c r="Q344" s="165"/>
      <c r="R344" s="165"/>
      <c r="S344" s="165"/>
      <c r="T344" s="165"/>
      <c r="U344" s="165"/>
      <c r="V344" s="165"/>
      <c r="W344" s="165"/>
      <c r="X344" s="165"/>
      <c r="Y344" s="165"/>
      <c r="Z344" s="165"/>
    </row>
    <row r="345">
      <c r="A345" s="165"/>
      <c r="B345" s="165"/>
      <c r="C345" s="165"/>
      <c r="D345" s="165"/>
      <c r="E345" s="165"/>
      <c r="F345" s="165"/>
      <c r="G345" s="165"/>
      <c r="H345" s="165"/>
      <c r="I345" s="165"/>
      <c r="J345" s="165"/>
      <c r="K345" s="165"/>
      <c r="L345" s="165"/>
      <c r="M345" s="165"/>
      <c r="N345" s="165"/>
      <c r="O345" s="165"/>
      <c r="P345" s="165"/>
      <c r="Q345" s="165"/>
      <c r="R345" s="165"/>
      <c r="S345" s="165"/>
      <c r="T345" s="165"/>
      <c r="U345" s="165"/>
      <c r="V345" s="165"/>
      <c r="W345" s="165"/>
      <c r="X345" s="165"/>
      <c r="Y345" s="165"/>
      <c r="Z345" s="165"/>
    </row>
    <row r="346">
      <c r="A346" s="165"/>
      <c r="B346" s="165"/>
      <c r="C346" s="165"/>
      <c r="D346" s="165"/>
      <c r="E346" s="165"/>
      <c r="F346" s="165"/>
      <c r="G346" s="165"/>
      <c r="H346" s="165"/>
      <c r="I346" s="165"/>
      <c r="J346" s="165"/>
      <c r="K346" s="165"/>
      <c r="L346" s="165"/>
      <c r="M346" s="165"/>
      <c r="N346" s="165"/>
      <c r="O346" s="165"/>
      <c r="P346" s="165"/>
      <c r="Q346" s="165"/>
      <c r="R346" s="165"/>
      <c r="S346" s="165"/>
      <c r="T346" s="165"/>
      <c r="U346" s="165"/>
      <c r="V346" s="165"/>
      <c r="W346" s="165"/>
      <c r="X346" s="165"/>
      <c r="Y346" s="165"/>
      <c r="Z346" s="165"/>
    </row>
    <row r="347">
      <c r="A347" s="165"/>
      <c r="B347" s="165"/>
      <c r="C347" s="165"/>
      <c r="D347" s="165"/>
      <c r="E347" s="165"/>
      <c r="F347" s="165"/>
      <c r="G347" s="165"/>
      <c r="H347" s="165"/>
      <c r="I347" s="165"/>
      <c r="J347" s="165"/>
      <c r="K347" s="165"/>
      <c r="L347" s="165"/>
      <c r="M347" s="165"/>
      <c r="N347" s="165"/>
      <c r="O347" s="165"/>
      <c r="P347" s="165"/>
      <c r="Q347" s="165"/>
      <c r="R347" s="165"/>
      <c r="S347" s="165"/>
      <c r="T347" s="165"/>
      <c r="U347" s="165"/>
      <c r="V347" s="165"/>
      <c r="W347" s="165"/>
      <c r="X347" s="165"/>
      <c r="Y347" s="165"/>
      <c r="Z347" s="165"/>
    </row>
    <row r="348">
      <c r="A348" s="165"/>
      <c r="B348" s="165"/>
      <c r="C348" s="165"/>
      <c r="D348" s="165"/>
      <c r="E348" s="165"/>
      <c r="F348" s="165"/>
      <c r="G348" s="165"/>
      <c r="H348" s="165"/>
      <c r="I348" s="165"/>
      <c r="J348" s="165"/>
      <c r="K348" s="165"/>
      <c r="L348" s="165"/>
      <c r="M348" s="165"/>
      <c r="N348" s="165"/>
      <c r="O348" s="165"/>
      <c r="P348" s="165"/>
      <c r="Q348" s="165"/>
      <c r="R348" s="165"/>
      <c r="S348" s="165"/>
      <c r="T348" s="165"/>
      <c r="U348" s="165"/>
      <c r="V348" s="165"/>
      <c r="W348" s="165"/>
      <c r="X348" s="165"/>
      <c r="Y348" s="165"/>
      <c r="Z348" s="165"/>
    </row>
    <row r="349">
      <c r="A349" s="165"/>
      <c r="B349" s="165"/>
      <c r="C349" s="165"/>
      <c r="D349" s="165"/>
      <c r="E349" s="165"/>
      <c r="F349" s="165"/>
      <c r="G349" s="165"/>
      <c r="H349" s="165"/>
      <c r="I349" s="165"/>
      <c r="J349" s="165"/>
      <c r="K349" s="165"/>
      <c r="L349" s="165"/>
      <c r="M349" s="165"/>
      <c r="N349" s="165"/>
      <c r="O349" s="165"/>
      <c r="P349" s="165"/>
      <c r="Q349" s="165"/>
      <c r="R349" s="165"/>
      <c r="S349" s="165"/>
      <c r="T349" s="165"/>
      <c r="U349" s="165"/>
      <c r="V349" s="165"/>
      <c r="W349" s="165"/>
      <c r="X349" s="165"/>
      <c r="Y349" s="165"/>
      <c r="Z349" s="165"/>
    </row>
    <row r="350">
      <c r="A350" s="165"/>
      <c r="B350" s="165"/>
      <c r="C350" s="165"/>
      <c r="D350" s="165"/>
      <c r="E350" s="165"/>
      <c r="F350" s="165"/>
      <c r="G350" s="165"/>
      <c r="H350" s="165"/>
      <c r="I350" s="165"/>
      <c r="J350" s="165"/>
      <c r="K350" s="165"/>
      <c r="L350" s="165"/>
      <c r="M350" s="165"/>
      <c r="N350" s="165"/>
      <c r="O350" s="165"/>
      <c r="P350" s="165"/>
      <c r="Q350" s="165"/>
      <c r="R350" s="165"/>
      <c r="S350" s="165"/>
      <c r="T350" s="165"/>
      <c r="U350" s="165"/>
      <c r="V350" s="165"/>
      <c r="W350" s="165"/>
      <c r="X350" s="165"/>
      <c r="Y350" s="165"/>
      <c r="Z350" s="165"/>
    </row>
    <row r="351">
      <c r="A351" s="165"/>
      <c r="B351" s="165"/>
      <c r="C351" s="165"/>
      <c r="D351" s="165"/>
      <c r="E351" s="165"/>
      <c r="F351" s="165"/>
      <c r="G351" s="165"/>
      <c r="H351" s="165"/>
      <c r="I351" s="165"/>
      <c r="J351" s="165"/>
      <c r="K351" s="165"/>
      <c r="L351" s="165"/>
      <c r="M351" s="165"/>
      <c r="N351" s="165"/>
      <c r="O351" s="165"/>
      <c r="P351" s="165"/>
      <c r="Q351" s="165"/>
      <c r="R351" s="165"/>
      <c r="S351" s="165"/>
      <c r="T351" s="165"/>
      <c r="U351" s="165"/>
      <c r="V351" s="165"/>
      <c r="W351" s="165"/>
      <c r="X351" s="165"/>
      <c r="Y351" s="165"/>
      <c r="Z351" s="165"/>
    </row>
    <row r="352">
      <c r="A352" s="165"/>
      <c r="B352" s="165"/>
      <c r="C352" s="165"/>
      <c r="D352" s="165"/>
      <c r="E352" s="165"/>
      <c r="F352" s="165"/>
      <c r="G352" s="165"/>
      <c r="H352" s="165"/>
      <c r="I352" s="165"/>
      <c r="J352" s="165"/>
      <c r="K352" s="165"/>
      <c r="L352" s="165"/>
      <c r="M352" s="165"/>
      <c r="N352" s="165"/>
      <c r="O352" s="165"/>
      <c r="P352" s="165"/>
      <c r="Q352" s="165"/>
      <c r="R352" s="165"/>
      <c r="S352" s="165"/>
      <c r="T352" s="165"/>
      <c r="U352" s="165"/>
      <c r="V352" s="165"/>
      <c r="W352" s="165"/>
      <c r="X352" s="165"/>
      <c r="Y352" s="165"/>
      <c r="Z352" s="165"/>
    </row>
    <row r="353">
      <c r="A353" s="165"/>
      <c r="B353" s="165"/>
      <c r="C353" s="165"/>
      <c r="D353" s="165"/>
      <c r="E353" s="165"/>
      <c r="F353" s="165"/>
      <c r="G353" s="165"/>
      <c r="H353" s="165"/>
      <c r="I353" s="165"/>
      <c r="J353" s="165"/>
      <c r="K353" s="165"/>
      <c r="L353" s="165"/>
      <c r="M353" s="165"/>
      <c r="N353" s="165"/>
      <c r="O353" s="165"/>
      <c r="P353" s="165"/>
      <c r="Q353" s="165"/>
      <c r="R353" s="165"/>
      <c r="S353" s="165"/>
      <c r="T353" s="165"/>
      <c r="U353" s="165"/>
      <c r="V353" s="165"/>
      <c r="W353" s="165"/>
      <c r="X353" s="165"/>
      <c r="Y353" s="165"/>
      <c r="Z353" s="165"/>
    </row>
    <row r="354">
      <c r="A354" s="165"/>
      <c r="B354" s="165"/>
      <c r="C354" s="165"/>
      <c r="D354" s="165"/>
      <c r="E354" s="165"/>
      <c r="F354" s="165"/>
      <c r="G354" s="165"/>
      <c r="H354" s="165"/>
      <c r="I354" s="165"/>
      <c r="J354" s="165"/>
      <c r="K354" s="165"/>
      <c r="L354" s="165"/>
      <c r="M354" s="165"/>
      <c r="N354" s="165"/>
      <c r="O354" s="165"/>
      <c r="P354" s="165"/>
      <c r="Q354" s="165"/>
      <c r="R354" s="165"/>
      <c r="S354" s="165"/>
      <c r="T354" s="165"/>
      <c r="U354" s="165"/>
      <c r="V354" s="165"/>
      <c r="W354" s="165"/>
      <c r="X354" s="165"/>
      <c r="Y354" s="165"/>
      <c r="Z354" s="165"/>
    </row>
    <row r="355">
      <c r="A355" s="165"/>
      <c r="B355" s="165"/>
      <c r="C355" s="165"/>
      <c r="D355" s="165"/>
      <c r="E355" s="165"/>
      <c r="F355" s="165"/>
      <c r="G355" s="165"/>
      <c r="H355" s="165"/>
      <c r="I355" s="165"/>
      <c r="J355" s="165"/>
      <c r="K355" s="165"/>
      <c r="L355" s="165"/>
      <c r="M355" s="165"/>
      <c r="N355" s="165"/>
      <c r="O355" s="165"/>
      <c r="P355" s="165"/>
      <c r="Q355" s="165"/>
      <c r="R355" s="165"/>
      <c r="S355" s="165"/>
      <c r="T355" s="165"/>
      <c r="U355" s="165"/>
      <c r="V355" s="165"/>
      <c r="W355" s="165"/>
      <c r="X355" s="165"/>
      <c r="Y355" s="165"/>
      <c r="Z355" s="165"/>
    </row>
    <row r="356">
      <c r="A356" s="165"/>
      <c r="B356" s="165"/>
      <c r="C356" s="165"/>
      <c r="D356" s="165"/>
      <c r="E356" s="165"/>
      <c r="F356" s="165"/>
      <c r="G356" s="165"/>
      <c r="H356" s="165"/>
      <c r="I356" s="165"/>
      <c r="J356" s="165"/>
      <c r="K356" s="165"/>
      <c r="L356" s="165"/>
      <c r="M356" s="165"/>
      <c r="N356" s="165"/>
      <c r="O356" s="165"/>
      <c r="P356" s="165"/>
      <c r="Q356" s="165"/>
      <c r="R356" s="165"/>
      <c r="S356" s="165"/>
      <c r="T356" s="165"/>
      <c r="U356" s="165"/>
      <c r="V356" s="165"/>
      <c r="W356" s="165"/>
      <c r="X356" s="165"/>
      <c r="Y356" s="165"/>
      <c r="Z356" s="165"/>
    </row>
    <row r="357">
      <c r="A357" s="165"/>
      <c r="B357" s="165"/>
      <c r="C357" s="165"/>
      <c r="D357" s="165"/>
      <c r="E357" s="165"/>
      <c r="F357" s="165"/>
      <c r="G357" s="165"/>
      <c r="H357" s="165"/>
      <c r="I357" s="165"/>
      <c r="J357" s="165"/>
      <c r="K357" s="165"/>
      <c r="L357" s="165"/>
      <c r="M357" s="165"/>
      <c r="N357" s="165"/>
      <c r="O357" s="165"/>
      <c r="P357" s="165"/>
      <c r="Q357" s="165"/>
      <c r="R357" s="165"/>
      <c r="S357" s="165"/>
      <c r="T357" s="165"/>
      <c r="U357" s="165"/>
      <c r="V357" s="165"/>
      <c r="W357" s="165"/>
      <c r="X357" s="165"/>
      <c r="Y357" s="165"/>
      <c r="Z357" s="165"/>
    </row>
    <row r="358">
      <c r="A358" s="165"/>
      <c r="B358" s="165"/>
      <c r="C358" s="165"/>
      <c r="D358" s="165"/>
      <c r="E358" s="165"/>
      <c r="F358" s="165"/>
      <c r="G358" s="165"/>
      <c r="H358" s="165"/>
      <c r="I358" s="165"/>
      <c r="J358" s="165"/>
      <c r="K358" s="165"/>
      <c r="L358" s="165"/>
      <c r="M358" s="165"/>
      <c r="N358" s="165"/>
      <c r="O358" s="165"/>
      <c r="P358" s="165"/>
      <c r="Q358" s="165"/>
      <c r="R358" s="165"/>
      <c r="S358" s="165"/>
      <c r="T358" s="165"/>
      <c r="U358" s="165"/>
      <c r="V358" s="165"/>
      <c r="W358" s="165"/>
      <c r="X358" s="165"/>
      <c r="Y358" s="165"/>
      <c r="Z358" s="165"/>
    </row>
    <row r="359">
      <c r="A359" s="165"/>
      <c r="B359" s="165"/>
      <c r="C359" s="165"/>
      <c r="D359" s="165"/>
      <c r="E359" s="165"/>
      <c r="F359" s="165"/>
      <c r="G359" s="165"/>
      <c r="H359" s="165"/>
      <c r="I359" s="165"/>
      <c r="J359" s="165"/>
      <c r="K359" s="165"/>
      <c r="L359" s="165"/>
      <c r="M359" s="165"/>
      <c r="N359" s="165"/>
      <c r="O359" s="165"/>
      <c r="P359" s="165"/>
      <c r="Q359" s="165"/>
      <c r="R359" s="165"/>
      <c r="S359" s="165"/>
      <c r="T359" s="165"/>
      <c r="U359" s="165"/>
      <c r="V359" s="165"/>
      <c r="W359" s="165"/>
      <c r="X359" s="165"/>
      <c r="Y359" s="165"/>
      <c r="Z359" s="165"/>
    </row>
    <row r="360">
      <c r="A360" s="165"/>
      <c r="B360" s="165"/>
      <c r="C360" s="165"/>
      <c r="D360" s="165"/>
      <c r="E360" s="165"/>
      <c r="F360" s="165"/>
      <c r="G360" s="165"/>
      <c r="H360" s="165"/>
      <c r="I360" s="165"/>
      <c r="J360" s="165"/>
      <c r="K360" s="165"/>
      <c r="L360" s="165"/>
      <c r="M360" s="165"/>
      <c r="N360" s="165"/>
      <c r="O360" s="165"/>
      <c r="P360" s="165"/>
      <c r="Q360" s="165"/>
      <c r="R360" s="165"/>
      <c r="S360" s="165"/>
      <c r="T360" s="165"/>
      <c r="U360" s="165"/>
      <c r="V360" s="165"/>
      <c r="W360" s="165"/>
      <c r="X360" s="165"/>
      <c r="Y360" s="165"/>
      <c r="Z360" s="165"/>
    </row>
    <row r="361">
      <c r="A361" s="165"/>
      <c r="B361" s="165"/>
      <c r="C361" s="165"/>
      <c r="D361" s="165"/>
      <c r="E361" s="165"/>
      <c r="F361" s="165"/>
      <c r="G361" s="165"/>
      <c r="H361" s="165"/>
      <c r="I361" s="165"/>
      <c r="J361" s="165"/>
      <c r="K361" s="165"/>
      <c r="L361" s="165"/>
      <c r="M361" s="165"/>
      <c r="N361" s="165"/>
      <c r="O361" s="165"/>
      <c r="P361" s="165"/>
      <c r="Q361" s="165"/>
      <c r="R361" s="165"/>
      <c r="S361" s="165"/>
      <c r="T361" s="165"/>
      <c r="U361" s="165"/>
      <c r="V361" s="165"/>
      <c r="W361" s="165"/>
      <c r="X361" s="165"/>
      <c r="Y361" s="165"/>
      <c r="Z361" s="165"/>
    </row>
    <row r="362">
      <c r="A362" s="165"/>
      <c r="B362" s="165"/>
      <c r="C362" s="165"/>
      <c r="D362" s="165"/>
      <c r="E362" s="165"/>
      <c r="F362" s="165"/>
      <c r="G362" s="165"/>
      <c r="H362" s="165"/>
      <c r="I362" s="165"/>
      <c r="J362" s="165"/>
      <c r="K362" s="165"/>
      <c r="L362" s="165"/>
      <c r="M362" s="165"/>
      <c r="N362" s="165"/>
      <c r="O362" s="165"/>
      <c r="P362" s="165"/>
      <c r="Q362" s="165"/>
      <c r="R362" s="165"/>
      <c r="S362" s="165"/>
      <c r="T362" s="165"/>
      <c r="U362" s="165"/>
      <c r="V362" s="165"/>
      <c r="W362" s="165"/>
      <c r="X362" s="165"/>
      <c r="Y362" s="165"/>
      <c r="Z362" s="165"/>
    </row>
    <row r="363">
      <c r="A363" s="165"/>
      <c r="B363" s="165"/>
      <c r="C363" s="165"/>
      <c r="D363" s="165"/>
      <c r="E363" s="165"/>
      <c r="F363" s="165"/>
      <c r="G363" s="165"/>
      <c r="H363" s="165"/>
      <c r="I363" s="165"/>
      <c r="J363" s="165"/>
      <c r="K363" s="165"/>
      <c r="L363" s="165"/>
      <c r="M363" s="165"/>
      <c r="N363" s="165"/>
      <c r="O363" s="165"/>
      <c r="P363" s="165"/>
      <c r="Q363" s="165"/>
      <c r="R363" s="165"/>
      <c r="S363" s="165"/>
      <c r="T363" s="165"/>
      <c r="U363" s="165"/>
      <c r="V363" s="165"/>
      <c r="W363" s="165"/>
      <c r="X363" s="165"/>
      <c r="Y363" s="165"/>
      <c r="Z363" s="165"/>
    </row>
    <row r="364">
      <c r="A364" s="165"/>
      <c r="B364" s="165"/>
      <c r="C364" s="165"/>
      <c r="D364" s="165"/>
      <c r="E364" s="165"/>
      <c r="F364" s="165"/>
      <c r="G364" s="165"/>
      <c r="H364" s="165"/>
      <c r="I364" s="165"/>
      <c r="J364" s="165"/>
      <c r="K364" s="165"/>
      <c r="L364" s="165"/>
      <c r="M364" s="165"/>
      <c r="N364" s="165"/>
      <c r="O364" s="165"/>
      <c r="P364" s="165"/>
      <c r="Q364" s="165"/>
      <c r="R364" s="165"/>
      <c r="S364" s="165"/>
      <c r="T364" s="165"/>
      <c r="U364" s="165"/>
      <c r="V364" s="165"/>
      <c r="W364" s="165"/>
      <c r="X364" s="165"/>
      <c r="Y364" s="165"/>
      <c r="Z364" s="165"/>
    </row>
    <row r="365">
      <c r="A365" s="165"/>
      <c r="B365" s="165"/>
      <c r="C365" s="165"/>
      <c r="D365" s="165"/>
      <c r="E365" s="165"/>
      <c r="F365" s="165"/>
      <c r="G365" s="165"/>
      <c r="H365" s="165"/>
      <c r="I365" s="165"/>
      <c r="J365" s="165"/>
      <c r="K365" s="165"/>
      <c r="L365" s="165"/>
      <c r="M365" s="165"/>
      <c r="N365" s="165"/>
      <c r="O365" s="165"/>
      <c r="P365" s="165"/>
      <c r="Q365" s="165"/>
      <c r="R365" s="165"/>
      <c r="S365" s="165"/>
      <c r="T365" s="165"/>
      <c r="U365" s="165"/>
      <c r="V365" s="165"/>
      <c r="W365" s="165"/>
      <c r="X365" s="165"/>
      <c r="Y365" s="165"/>
      <c r="Z365" s="165"/>
    </row>
    <row r="366">
      <c r="A366" s="165"/>
      <c r="B366" s="165"/>
      <c r="C366" s="165"/>
      <c r="D366" s="165"/>
      <c r="E366" s="165"/>
      <c r="F366" s="165"/>
      <c r="G366" s="165"/>
      <c r="H366" s="165"/>
      <c r="I366" s="165"/>
      <c r="J366" s="165"/>
      <c r="K366" s="165"/>
      <c r="L366" s="165"/>
      <c r="M366" s="165"/>
      <c r="N366" s="165"/>
      <c r="O366" s="165"/>
      <c r="P366" s="165"/>
      <c r="Q366" s="165"/>
      <c r="R366" s="165"/>
      <c r="S366" s="165"/>
      <c r="T366" s="165"/>
      <c r="U366" s="165"/>
      <c r="V366" s="165"/>
      <c r="W366" s="165"/>
      <c r="X366" s="165"/>
      <c r="Y366" s="165"/>
      <c r="Z366" s="165"/>
    </row>
    <row r="367">
      <c r="A367" s="165"/>
      <c r="B367" s="165"/>
      <c r="C367" s="165"/>
      <c r="D367" s="165"/>
      <c r="E367" s="165"/>
      <c r="F367" s="165"/>
      <c r="G367" s="165"/>
      <c r="H367" s="165"/>
      <c r="I367" s="165"/>
      <c r="J367" s="165"/>
      <c r="K367" s="165"/>
      <c r="L367" s="165"/>
      <c r="M367" s="165"/>
      <c r="N367" s="165"/>
      <c r="O367" s="165"/>
      <c r="P367" s="165"/>
      <c r="Q367" s="165"/>
      <c r="R367" s="165"/>
      <c r="S367" s="165"/>
      <c r="T367" s="165"/>
      <c r="U367" s="165"/>
      <c r="V367" s="165"/>
      <c r="W367" s="165"/>
      <c r="X367" s="165"/>
      <c r="Y367" s="165"/>
      <c r="Z367" s="165"/>
    </row>
    <row r="368">
      <c r="A368" s="165"/>
      <c r="B368" s="165"/>
      <c r="C368" s="165"/>
      <c r="D368" s="165"/>
      <c r="E368" s="165"/>
      <c r="F368" s="165"/>
      <c r="G368" s="165"/>
      <c r="H368" s="165"/>
      <c r="I368" s="165"/>
      <c r="J368" s="165"/>
      <c r="K368" s="165"/>
      <c r="L368" s="165"/>
      <c r="M368" s="165"/>
      <c r="N368" s="165"/>
      <c r="O368" s="165"/>
      <c r="P368" s="165"/>
      <c r="Q368" s="165"/>
      <c r="R368" s="165"/>
      <c r="S368" s="165"/>
      <c r="T368" s="165"/>
      <c r="U368" s="165"/>
      <c r="V368" s="165"/>
      <c r="W368" s="165"/>
      <c r="X368" s="165"/>
      <c r="Y368" s="165"/>
      <c r="Z368" s="165"/>
    </row>
    <row r="369">
      <c r="A369" s="165"/>
      <c r="B369" s="165"/>
      <c r="C369" s="165"/>
      <c r="D369" s="165"/>
      <c r="E369" s="165"/>
      <c r="F369" s="165"/>
      <c r="G369" s="165"/>
      <c r="H369" s="165"/>
      <c r="I369" s="165"/>
      <c r="J369" s="165"/>
      <c r="K369" s="165"/>
      <c r="L369" s="165"/>
      <c r="M369" s="165"/>
      <c r="N369" s="165"/>
      <c r="O369" s="165"/>
      <c r="P369" s="165"/>
      <c r="Q369" s="165"/>
      <c r="R369" s="165"/>
      <c r="S369" s="165"/>
      <c r="T369" s="165"/>
      <c r="U369" s="165"/>
      <c r="V369" s="165"/>
      <c r="W369" s="165"/>
      <c r="X369" s="165"/>
      <c r="Y369" s="165"/>
      <c r="Z369" s="165"/>
    </row>
    <row r="370">
      <c r="A370" s="165"/>
      <c r="B370" s="165"/>
      <c r="C370" s="165"/>
      <c r="D370" s="165"/>
      <c r="E370" s="165"/>
      <c r="F370" s="165"/>
      <c r="G370" s="165"/>
      <c r="H370" s="165"/>
      <c r="I370" s="165"/>
      <c r="J370" s="165"/>
      <c r="K370" s="165"/>
      <c r="L370" s="165"/>
      <c r="M370" s="165"/>
      <c r="N370" s="165"/>
      <c r="O370" s="165"/>
      <c r="P370" s="165"/>
      <c r="Q370" s="165"/>
      <c r="R370" s="165"/>
      <c r="S370" s="165"/>
      <c r="T370" s="165"/>
      <c r="U370" s="165"/>
      <c r="V370" s="165"/>
      <c r="W370" s="165"/>
      <c r="X370" s="165"/>
      <c r="Y370" s="165"/>
      <c r="Z370" s="165"/>
    </row>
    <row r="371">
      <c r="A371" s="165"/>
      <c r="B371" s="165"/>
      <c r="C371" s="165"/>
      <c r="D371" s="165"/>
      <c r="E371" s="165"/>
      <c r="F371" s="165"/>
      <c r="G371" s="165"/>
      <c r="H371" s="165"/>
      <c r="I371" s="165"/>
      <c r="J371" s="165"/>
      <c r="K371" s="165"/>
      <c r="L371" s="165"/>
      <c r="M371" s="165"/>
      <c r="N371" s="165"/>
      <c r="O371" s="165"/>
      <c r="P371" s="165"/>
      <c r="Q371" s="165"/>
      <c r="R371" s="165"/>
      <c r="S371" s="165"/>
      <c r="T371" s="165"/>
      <c r="U371" s="165"/>
      <c r="V371" s="165"/>
      <c r="W371" s="165"/>
      <c r="X371" s="165"/>
      <c r="Y371" s="165"/>
      <c r="Z371" s="165"/>
    </row>
    <row r="372">
      <c r="A372" s="165"/>
      <c r="B372" s="165"/>
      <c r="C372" s="165"/>
      <c r="D372" s="165"/>
      <c r="E372" s="165"/>
      <c r="F372" s="165"/>
      <c r="G372" s="165"/>
      <c r="H372" s="165"/>
      <c r="I372" s="165"/>
      <c r="J372" s="165"/>
      <c r="K372" s="165"/>
      <c r="L372" s="165"/>
      <c r="M372" s="165"/>
      <c r="N372" s="165"/>
      <c r="O372" s="165"/>
      <c r="P372" s="165"/>
      <c r="Q372" s="165"/>
      <c r="R372" s="165"/>
      <c r="S372" s="165"/>
      <c r="T372" s="165"/>
      <c r="U372" s="165"/>
      <c r="V372" s="165"/>
      <c r="W372" s="165"/>
      <c r="X372" s="165"/>
      <c r="Y372" s="165"/>
      <c r="Z372" s="165"/>
    </row>
    <row r="373">
      <c r="A373" s="165"/>
      <c r="B373" s="165"/>
      <c r="C373" s="165"/>
      <c r="D373" s="165"/>
      <c r="E373" s="165"/>
      <c r="F373" s="165"/>
      <c r="G373" s="165"/>
      <c r="H373" s="165"/>
      <c r="I373" s="165"/>
      <c r="J373" s="165"/>
      <c r="K373" s="165"/>
      <c r="L373" s="165"/>
      <c r="M373" s="165"/>
      <c r="N373" s="165"/>
      <c r="O373" s="165"/>
      <c r="P373" s="165"/>
      <c r="Q373" s="165"/>
      <c r="R373" s="165"/>
      <c r="S373" s="165"/>
      <c r="T373" s="165"/>
      <c r="U373" s="165"/>
      <c r="V373" s="165"/>
      <c r="W373" s="165"/>
      <c r="X373" s="165"/>
      <c r="Y373" s="165"/>
      <c r="Z373" s="165"/>
    </row>
    <row r="374">
      <c r="A374" s="165"/>
      <c r="B374" s="165"/>
      <c r="C374" s="165"/>
      <c r="D374" s="165"/>
      <c r="E374" s="165"/>
      <c r="F374" s="165"/>
      <c r="G374" s="165"/>
      <c r="H374" s="165"/>
      <c r="I374" s="165"/>
      <c r="J374" s="165"/>
      <c r="K374" s="165"/>
      <c r="L374" s="165"/>
      <c r="M374" s="165"/>
      <c r="N374" s="165"/>
      <c r="O374" s="165"/>
      <c r="P374" s="165"/>
      <c r="Q374" s="165"/>
      <c r="R374" s="165"/>
      <c r="S374" s="165"/>
      <c r="T374" s="165"/>
      <c r="U374" s="165"/>
      <c r="V374" s="165"/>
      <c r="W374" s="165"/>
      <c r="X374" s="165"/>
      <c r="Y374" s="165"/>
      <c r="Z374" s="165"/>
    </row>
    <row r="375">
      <c r="A375" s="165"/>
      <c r="B375" s="165"/>
      <c r="C375" s="165"/>
      <c r="D375" s="165"/>
      <c r="E375" s="165"/>
      <c r="F375" s="165"/>
      <c r="G375" s="165"/>
      <c r="H375" s="165"/>
      <c r="I375" s="165"/>
      <c r="J375" s="165"/>
      <c r="K375" s="165"/>
      <c r="L375" s="165"/>
      <c r="M375" s="165"/>
      <c r="N375" s="165"/>
      <c r="O375" s="165"/>
      <c r="P375" s="165"/>
      <c r="Q375" s="165"/>
      <c r="R375" s="165"/>
      <c r="S375" s="165"/>
      <c r="T375" s="165"/>
      <c r="U375" s="165"/>
      <c r="V375" s="165"/>
      <c r="W375" s="165"/>
      <c r="X375" s="165"/>
      <c r="Y375" s="165"/>
      <c r="Z375" s="165"/>
    </row>
    <row r="376">
      <c r="A376" s="165"/>
      <c r="B376" s="165"/>
      <c r="C376" s="165"/>
      <c r="D376" s="165"/>
      <c r="E376" s="165"/>
      <c r="F376" s="165"/>
      <c r="G376" s="165"/>
      <c r="H376" s="165"/>
      <c r="I376" s="165"/>
      <c r="J376" s="165"/>
      <c r="K376" s="165"/>
      <c r="L376" s="165"/>
      <c r="M376" s="165"/>
      <c r="N376" s="165"/>
      <c r="O376" s="165"/>
      <c r="P376" s="165"/>
      <c r="Q376" s="165"/>
      <c r="R376" s="165"/>
      <c r="S376" s="165"/>
      <c r="T376" s="165"/>
      <c r="U376" s="165"/>
      <c r="V376" s="165"/>
      <c r="W376" s="165"/>
      <c r="X376" s="165"/>
      <c r="Y376" s="165"/>
      <c r="Z376" s="165"/>
    </row>
    <row r="377">
      <c r="A377" s="165"/>
      <c r="B377" s="165"/>
      <c r="C377" s="165"/>
      <c r="D377" s="165"/>
      <c r="E377" s="165"/>
      <c r="F377" s="165"/>
      <c r="G377" s="165"/>
      <c r="H377" s="165"/>
      <c r="I377" s="165"/>
      <c r="J377" s="165"/>
      <c r="K377" s="165"/>
      <c r="L377" s="165"/>
      <c r="M377" s="165"/>
      <c r="N377" s="165"/>
      <c r="O377" s="165"/>
      <c r="P377" s="165"/>
      <c r="Q377" s="165"/>
      <c r="R377" s="165"/>
      <c r="S377" s="165"/>
      <c r="T377" s="165"/>
      <c r="U377" s="165"/>
      <c r="V377" s="165"/>
      <c r="W377" s="165"/>
      <c r="X377" s="165"/>
      <c r="Y377" s="165"/>
      <c r="Z377" s="165"/>
    </row>
    <row r="378">
      <c r="A378" s="165"/>
      <c r="B378" s="165"/>
      <c r="C378" s="165"/>
      <c r="D378" s="165"/>
      <c r="E378" s="165"/>
      <c r="F378" s="165"/>
      <c r="G378" s="165"/>
      <c r="H378" s="165"/>
      <c r="I378" s="165"/>
      <c r="J378" s="165"/>
      <c r="K378" s="165"/>
      <c r="L378" s="165"/>
      <c r="M378" s="165"/>
      <c r="N378" s="165"/>
      <c r="O378" s="165"/>
      <c r="P378" s="165"/>
      <c r="Q378" s="165"/>
      <c r="R378" s="165"/>
      <c r="S378" s="165"/>
      <c r="T378" s="165"/>
      <c r="U378" s="165"/>
      <c r="V378" s="165"/>
      <c r="W378" s="165"/>
      <c r="X378" s="165"/>
      <c r="Y378" s="165"/>
      <c r="Z378" s="165"/>
    </row>
    <row r="379">
      <c r="A379" s="165"/>
      <c r="B379" s="165"/>
      <c r="C379" s="165"/>
      <c r="D379" s="165"/>
      <c r="E379" s="165"/>
      <c r="F379" s="165"/>
      <c r="G379" s="165"/>
      <c r="H379" s="165"/>
      <c r="I379" s="165"/>
      <c r="J379" s="165"/>
      <c r="K379" s="165"/>
      <c r="L379" s="165"/>
      <c r="M379" s="165"/>
      <c r="N379" s="165"/>
      <c r="O379" s="165"/>
      <c r="P379" s="165"/>
      <c r="Q379" s="165"/>
      <c r="R379" s="165"/>
      <c r="S379" s="165"/>
      <c r="T379" s="165"/>
      <c r="U379" s="165"/>
      <c r="V379" s="165"/>
      <c r="W379" s="165"/>
      <c r="X379" s="165"/>
      <c r="Y379" s="165"/>
      <c r="Z379" s="165"/>
    </row>
    <row r="380">
      <c r="A380" s="165"/>
      <c r="B380" s="165"/>
      <c r="C380" s="165"/>
      <c r="D380" s="165"/>
      <c r="E380" s="165"/>
      <c r="F380" s="165"/>
      <c r="G380" s="165"/>
      <c r="H380" s="165"/>
      <c r="I380" s="165"/>
      <c r="J380" s="165"/>
      <c r="K380" s="165"/>
      <c r="L380" s="165"/>
      <c r="M380" s="165"/>
      <c r="N380" s="165"/>
      <c r="O380" s="165"/>
      <c r="P380" s="165"/>
      <c r="Q380" s="165"/>
      <c r="R380" s="165"/>
      <c r="S380" s="165"/>
      <c r="T380" s="165"/>
      <c r="U380" s="165"/>
      <c r="V380" s="165"/>
      <c r="W380" s="165"/>
      <c r="X380" s="165"/>
      <c r="Y380" s="165"/>
      <c r="Z380" s="165"/>
    </row>
    <row r="381">
      <c r="A381" s="165"/>
      <c r="B381" s="165"/>
      <c r="C381" s="165"/>
      <c r="D381" s="165"/>
      <c r="E381" s="165"/>
      <c r="F381" s="165"/>
      <c r="G381" s="165"/>
      <c r="H381" s="165"/>
      <c r="I381" s="165"/>
      <c r="J381" s="165"/>
      <c r="K381" s="165"/>
      <c r="L381" s="165"/>
      <c r="M381" s="165"/>
      <c r="N381" s="165"/>
      <c r="O381" s="165"/>
      <c r="P381" s="165"/>
      <c r="Q381" s="165"/>
      <c r="R381" s="165"/>
      <c r="S381" s="165"/>
      <c r="T381" s="165"/>
      <c r="U381" s="165"/>
      <c r="V381" s="165"/>
      <c r="W381" s="165"/>
      <c r="X381" s="165"/>
      <c r="Y381" s="165"/>
      <c r="Z381" s="165"/>
    </row>
    <row r="382">
      <c r="A382" s="165"/>
      <c r="B382" s="165"/>
      <c r="C382" s="165"/>
      <c r="D382" s="165"/>
      <c r="E382" s="165"/>
      <c r="F382" s="165"/>
      <c r="G382" s="165"/>
      <c r="H382" s="165"/>
      <c r="I382" s="165"/>
      <c r="J382" s="165"/>
      <c r="K382" s="165"/>
      <c r="L382" s="165"/>
      <c r="M382" s="165"/>
      <c r="N382" s="165"/>
      <c r="O382" s="165"/>
      <c r="P382" s="165"/>
      <c r="Q382" s="165"/>
      <c r="R382" s="165"/>
      <c r="S382" s="165"/>
      <c r="T382" s="165"/>
      <c r="U382" s="165"/>
      <c r="V382" s="165"/>
      <c r="W382" s="165"/>
      <c r="X382" s="165"/>
      <c r="Y382" s="165"/>
      <c r="Z382" s="165"/>
    </row>
    <row r="383">
      <c r="A383" s="165"/>
      <c r="B383" s="165"/>
      <c r="C383" s="165"/>
      <c r="D383" s="165"/>
      <c r="E383" s="165"/>
      <c r="F383" s="165"/>
      <c r="G383" s="165"/>
      <c r="H383" s="165"/>
      <c r="I383" s="165"/>
      <c r="J383" s="165"/>
      <c r="K383" s="165"/>
      <c r="L383" s="165"/>
      <c r="M383" s="165"/>
      <c r="N383" s="165"/>
      <c r="O383" s="165"/>
      <c r="P383" s="165"/>
      <c r="Q383" s="165"/>
      <c r="R383" s="165"/>
      <c r="S383" s="165"/>
      <c r="T383" s="165"/>
      <c r="U383" s="165"/>
      <c r="V383" s="165"/>
      <c r="W383" s="165"/>
      <c r="X383" s="165"/>
      <c r="Y383" s="165"/>
      <c r="Z383" s="165"/>
    </row>
    <row r="384">
      <c r="A384" s="165"/>
      <c r="B384" s="165"/>
      <c r="C384" s="165"/>
      <c r="D384" s="165"/>
      <c r="E384" s="165"/>
      <c r="F384" s="165"/>
      <c r="G384" s="165"/>
      <c r="H384" s="165"/>
      <c r="I384" s="165"/>
      <c r="J384" s="165"/>
      <c r="K384" s="165"/>
      <c r="L384" s="165"/>
      <c r="M384" s="165"/>
      <c r="N384" s="165"/>
      <c r="O384" s="165"/>
      <c r="P384" s="165"/>
      <c r="Q384" s="165"/>
      <c r="R384" s="165"/>
      <c r="S384" s="165"/>
      <c r="T384" s="165"/>
      <c r="U384" s="165"/>
      <c r="V384" s="165"/>
      <c r="W384" s="165"/>
      <c r="X384" s="165"/>
      <c r="Y384" s="165"/>
      <c r="Z384" s="165"/>
    </row>
    <row r="385">
      <c r="A385" s="165"/>
      <c r="B385" s="165"/>
      <c r="C385" s="165"/>
      <c r="D385" s="165"/>
      <c r="E385" s="165"/>
      <c r="F385" s="165"/>
      <c r="G385" s="165"/>
      <c r="H385" s="165"/>
      <c r="I385" s="165"/>
      <c r="J385" s="165"/>
      <c r="K385" s="165"/>
      <c r="L385" s="165"/>
      <c r="M385" s="165"/>
      <c r="N385" s="165"/>
      <c r="O385" s="165"/>
      <c r="P385" s="165"/>
      <c r="Q385" s="165"/>
      <c r="R385" s="165"/>
      <c r="S385" s="165"/>
      <c r="T385" s="165"/>
      <c r="U385" s="165"/>
      <c r="V385" s="165"/>
      <c r="W385" s="165"/>
      <c r="X385" s="165"/>
      <c r="Y385" s="165"/>
      <c r="Z385" s="165"/>
    </row>
    <row r="386">
      <c r="A386" s="165"/>
      <c r="B386" s="165"/>
      <c r="C386" s="165"/>
      <c r="D386" s="165"/>
      <c r="E386" s="165"/>
      <c r="F386" s="165"/>
      <c r="G386" s="165"/>
      <c r="H386" s="165"/>
      <c r="I386" s="165"/>
      <c r="J386" s="165"/>
      <c r="K386" s="165"/>
      <c r="L386" s="165"/>
      <c r="M386" s="165"/>
      <c r="N386" s="165"/>
      <c r="O386" s="165"/>
      <c r="P386" s="165"/>
      <c r="Q386" s="165"/>
      <c r="R386" s="165"/>
      <c r="S386" s="165"/>
      <c r="T386" s="165"/>
      <c r="U386" s="165"/>
      <c r="V386" s="165"/>
      <c r="W386" s="165"/>
      <c r="X386" s="165"/>
      <c r="Y386" s="165"/>
      <c r="Z386" s="165"/>
    </row>
    <row r="387">
      <c r="A387" s="165"/>
      <c r="B387" s="165"/>
      <c r="C387" s="165"/>
      <c r="D387" s="165"/>
      <c r="E387" s="165"/>
      <c r="F387" s="165"/>
      <c r="G387" s="165"/>
      <c r="H387" s="165"/>
      <c r="I387" s="165"/>
      <c r="J387" s="165"/>
      <c r="K387" s="165"/>
      <c r="L387" s="165"/>
      <c r="M387" s="165"/>
      <c r="N387" s="165"/>
      <c r="O387" s="165"/>
      <c r="P387" s="165"/>
      <c r="Q387" s="165"/>
      <c r="R387" s="165"/>
      <c r="S387" s="165"/>
      <c r="T387" s="165"/>
      <c r="U387" s="165"/>
      <c r="V387" s="165"/>
      <c r="W387" s="165"/>
      <c r="X387" s="165"/>
      <c r="Y387" s="165"/>
      <c r="Z387" s="165"/>
    </row>
    <row r="388">
      <c r="A388" s="165"/>
      <c r="B388" s="165"/>
      <c r="C388" s="165"/>
      <c r="D388" s="165"/>
      <c r="E388" s="165"/>
      <c r="F388" s="165"/>
      <c r="G388" s="165"/>
      <c r="H388" s="165"/>
      <c r="I388" s="165"/>
      <c r="J388" s="165"/>
      <c r="K388" s="165"/>
      <c r="L388" s="165"/>
      <c r="M388" s="165"/>
      <c r="N388" s="165"/>
      <c r="O388" s="165"/>
      <c r="P388" s="165"/>
      <c r="Q388" s="165"/>
      <c r="R388" s="165"/>
      <c r="S388" s="165"/>
      <c r="T388" s="165"/>
      <c r="U388" s="165"/>
      <c r="V388" s="165"/>
      <c r="W388" s="165"/>
      <c r="X388" s="165"/>
      <c r="Y388" s="165"/>
      <c r="Z388" s="165"/>
    </row>
    <row r="389">
      <c r="A389" s="165"/>
      <c r="B389" s="165"/>
      <c r="C389" s="165"/>
      <c r="D389" s="165"/>
      <c r="E389" s="165"/>
      <c r="F389" s="165"/>
      <c r="G389" s="165"/>
      <c r="H389" s="165"/>
      <c r="I389" s="165"/>
      <c r="J389" s="165"/>
      <c r="K389" s="165"/>
      <c r="L389" s="165"/>
      <c r="M389" s="165"/>
      <c r="N389" s="165"/>
      <c r="O389" s="165"/>
      <c r="P389" s="165"/>
      <c r="Q389" s="165"/>
      <c r="R389" s="165"/>
      <c r="S389" s="165"/>
      <c r="T389" s="165"/>
      <c r="U389" s="165"/>
      <c r="V389" s="165"/>
      <c r="W389" s="165"/>
      <c r="X389" s="165"/>
      <c r="Y389" s="165"/>
      <c r="Z389" s="165"/>
    </row>
    <row r="390">
      <c r="A390" s="165"/>
      <c r="B390" s="165"/>
      <c r="C390" s="165"/>
      <c r="D390" s="165"/>
      <c r="E390" s="165"/>
      <c r="F390" s="165"/>
      <c r="G390" s="165"/>
      <c r="H390" s="165"/>
      <c r="I390" s="165"/>
      <c r="J390" s="165"/>
      <c r="K390" s="165"/>
      <c r="L390" s="165"/>
      <c r="M390" s="165"/>
      <c r="N390" s="165"/>
      <c r="O390" s="165"/>
      <c r="P390" s="165"/>
      <c r="Q390" s="165"/>
      <c r="R390" s="165"/>
      <c r="S390" s="165"/>
      <c r="T390" s="165"/>
      <c r="U390" s="165"/>
      <c r="V390" s="165"/>
      <c r="W390" s="165"/>
      <c r="X390" s="165"/>
      <c r="Y390" s="165"/>
      <c r="Z390" s="165"/>
    </row>
    <row r="391">
      <c r="A391" s="165"/>
      <c r="B391" s="165"/>
      <c r="C391" s="165"/>
      <c r="D391" s="165"/>
      <c r="E391" s="165"/>
      <c r="F391" s="165"/>
      <c r="G391" s="165"/>
      <c r="H391" s="165"/>
      <c r="I391" s="165"/>
      <c r="J391" s="165"/>
      <c r="K391" s="165"/>
      <c r="L391" s="165"/>
      <c r="M391" s="165"/>
      <c r="N391" s="165"/>
      <c r="O391" s="165"/>
      <c r="P391" s="165"/>
      <c r="Q391" s="165"/>
      <c r="R391" s="165"/>
      <c r="S391" s="165"/>
      <c r="T391" s="165"/>
      <c r="U391" s="165"/>
      <c r="V391" s="165"/>
      <c r="W391" s="165"/>
      <c r="X391" s="165"/>
      <c r="Y391" s="165"/>
      <c r="Z391" s="165"/>
    </row>
    <row r="392">
      <c r="A392" s="165"/>
      <c r="B392" s="165"/>
      <c r="C392" s="165"/>
      <c r="D392" s="165"/>
      <c r="E392" s="165"/>
      <c r="F392" s="165"/>
      <c r="G392" s="165"/>
      <c r="H392" s="165"/>
      <c r="I392" s="165"/>
      <c r="J392" s="165"/>
      <c r="K392" s="165"/>
      <c r="L392" s="165"/>
      <c r="M392" s="165"/>
      <c r="N392" s="165"/>
      <c r="O392" s="165"/>
      <c r="P392" s="165"/>
      <c r="Q392" s="165"/>
      <c r="R392" s="165"/>
      <c r="S392" s="165"/>
      <c r="T392" s="165"/>
      <c r="U392" s="165"/>
      <c r="V392" s="165"/>
      <c r="W392" s="165"/>
      <c r="X392" s="165"/>
      <c r="Y392" s="165"/>
      <c r="Z392" s="165"/>
    </row>
    <row r="393">
      <c r="A393" s="165"/>
      <c r="B393" s="165"/>
      <c r="C393" s="165"/>
      <c r="D393" s="165"/>
      <c r="E393" s="165"/>
      <c r="F393" s="165"/>
      <c r="G393" s="165"/>
      <c r="H393" s="165"/>
      <c r="I393" s="165"/>
      <c r="J393" s="165"/>
      <c r="K393" s="165"/>
      <c r="L393" s="165"/>
      <c r="M393" s="165"/>
      <c r="N393" s="165"/>
      <c r="O393" s="165"/>
      <c r="P393" s="165"/>
      <c r="Q393" s="165"/>
      <c r="R393" s="165"/>
      <c r="S393" s="165"/>
      <c r="T393" s="165"/>
      <c r="U393" s="165"/>
      <c r="V393" s="165"/>
      <c r="W393" s="165"/>
      <c r="X393" s="165"/>
      <c r="Y393" s="165"/>
      <c r="Z393" s="165"/>
    </row>
    <row r="394">
      <c r="A394" s="165"/>
      <c r="B394" s="165"/>
      <c r="C394" s="165"/>
      <c r="D394" s="165"/>
      <c r="E394" s="165"/>
      <c r="F394" s="165"/>
      <c r="G394" s="165"/>
      <c r="H394" s="165"/>
      <c r="I394" s="165"/>
      <c r="J394" s="165"/>
      <c r="K394" s="165"/>
      <c r="L394" s="165"/>
      <c r="M394" s="165"/>
      <c r="N394" s="165"/>
      <c r="O394" s="165"/>
      <c r="P394" s="165"/>
      <c r="Q394" s="165"/>
      <c r="R394" s="165"/>
      <c r="S394" s="165"/>
      <c r="T394" s="165"/>
      <c r="U394" s="165"/>
      <c r="V394" s="165"/>
      <c r="W394" s="165"/>
      <c r="X394" s="165"/>
      <c r="Y394" s="165"/>
      <c r="Z394" s="165"/>
    </row>
    <row r="395">
      <c r="A395" s="165"/>
      <c r="B395" s="165"/>
      <c r="C395" s="165"/>
      <c r="D395" s="165"/>
      <c r="E395" s="165"/>
      <c r="F395" s="165"/>
      <c r="G395" s="165"/>
      <c r="H395" s="165"/>
      <c r="I395" s="165"/>
      <c r="J395" s="165"/>
      <c r="K395" s="165"/>
      <c r="L395" s="165"/>
      <c r="M395" s="165"/>
      <c r="N395" s="165"/>
      <c r="O395" s="165"/>
      <c r="P395" s="165"/>
      <c r="Q395" s="165"/>
      <c r="R395" s="165"/>
      <c r="S395" s="165"/>
      <c r="T395" s="165"/>
      <c r="U395" s="165"/>
      <c r="V395" s="165"/>
      <c r="W395" s="165"/>
      <c r="X395" s="165"/>
      <c r="Y395" s="165"/>
      <c r="Z395" s="165"/>
    </row>
    <row r="396">
      <c r="A396" s="165"/>
      <c r="B396" s="165"/>
      <c r="C396" s="165"/>
      <c r="D396" s="165"/>
      <c r="E396" s="165"/>
      <c r="F396" s="165"/>
      <c r="G396" s="165"/>
      <c r="H396" s="165"/>
      <c r="I396" s="165"/>
      <c r="J396" s="165"/>
      <c r="K396" s="165"/>
      <c r="L396" s="165"/>
      <c r="M396" s="165"/>
      <c r="N396" s="165"/>
      <c r="O396" s="165"/>
      <c r="P396" s="165"/>
      <c r="Q396" s="165"/>
      <c r="R396" s="165"/>
      <c r="S396" s="165"/>
      <c r="T396" s="165"/>
      <c r="U396" s="165"/>
      <c r="V396" s="165"/>
      <c r="W396" s="165"/>
      <c r="X396" s="165"/>
      <c r="Y396" s="165"/>
      <c r="Z396" s="165"/>
    </row>
    <row r="397">
      <c r="A397" s="165"/>
      <c r="B397" s="165"/>
      <c r="C397" s="165"/>
      <c r="D397" s="165"/>
      <c r="E397" s="165"/>
      <c r="F397" s="165"/>
      <c r="G397" s="165"/>
      <c r="H397" s="165"/>
      <c r="I397" s="165"/>
      <c r="J397" s="165"/>
      <c r="K397" s="165"/>
      <c r="L397" s="165"/>
      <c r="M397" s="165"/>
      <c r="N397" s="165"/>
      <c r="O397" s="165"/>
      <c r="P397" s="165"/>
      <c r="Q397" s="165"/>
      <c r="R397" s="165"/>
      <c r="S397" s="165"/>
      <c r="T397" s="165"/>
      <c r="U397" s="165"/>
      <c r="V397" s="165"/>
      <c r="W397" s="165"/>
      <c r="X397" s="165"/>
      <c r="Y397" s="165"/>
      <c r="Z397" s="165"/>
    </row>
    <row r="398">
      <c r="A398" s="165"/>
      <c r="B398" s="165"/>
      <c r="C398" s="165"/>
      <c r="D398" s="165"/>
      <c r="E398" s="165"/>
      <c r="F398" s="165"/>
      <c r="G398" s="165"/>
      <c r="H398" s="165"/>
      <c r="I398" s="165"/>
      <c r="J398" s="165"/>
      <c r="K398" s="165"/>
      <c r="L398" s="165"/>
      <c r="M398" s="165"/>
      <c r="N398" s="165"/>
      <c r="O398" s="165"/>
      <c r="P398" s="165"/>
      <c r="Q398" s="165"/>
      <c r="R398" s="165"/>
      <c r="S398" s="165"/>
      <c r="T398" s="165"/>
      <c r="U398" s="165"/>
      <c r="V398" s="165"/>
      <c r="W398" s="165"/>
      <c r="X398" s="165"/>
      <c r="Y398" s="165"/>
      <c r="Z398" s="165"/>
    </row>
    <row r="399">
      <c r="A399" s="165"/>
      <c r="B399" s="165"/>
      <c r="C399" s="165"/>
      <c r="D399" s="165"/>
      <c r="E399" s="165"/>
      <c r="F399" s="165"/>
      <c r="G399" s="165"/>
      <c r="H399" s="165"/>
      <c r="I399" s="165"/>
      <c r="J399" s="165"/>
      <c r="K399" s="165"/>
      <c r="L399" s="165"/>
      <c r="M399" s="165"/>
      <c r="N399" s="165"/>
      <c r="O399" s="165"/>
      <c r="P399" s="165"/>
      <c r="Q399" s="165"/>
      <c r="R399" s="165"/>
      <c r="S399" s="165"/>
      <c r="T399" s="165"/>
      <c r="U399" s="165"/>
      <c r="V399" s="165"/>
      <c r="W399" s="165"/>
      <c r="X399" s="165"/>
      <c r="Y399" s="165"/>
      <c r="Z399" s="165"/>
    </row>
    <row r="400">
      <c r="A400" s="165"/>
      <c r="B400" s="165"/>
      <c r="C400" s="165"/>
      <c r="D400" s="165"/>
      <c r="E400" s="165"/>
      <c r="F400" s="165"/>
      <c r="G400" s="165"/>
      <c r="H400" s="165"/>
      <c r="I400" s="165"/>
      <c r="J400" s="165"/>
      <c r="K400" s="165"/>
      <c r="L400" s="165"/>
      <c r="M400" s="165"/>
      <c r="N400" s="165"/>
      <c r="O400" s="165"/>
      <c r="P400" s="165"/>
      <c r="Q400" s="165"/>
      <c r="R400" s="165"/>
      <c r="S400" s="165"/>
      <c r="T400" s="165"/>
      <c r="U400" s="165"/>
      <c r="V400" s="165"/>
      <c r="W400" s="165"/>
      <c r="X400" s="165"/>
      <c r="Y400" s="165"/>
      <c r="Z400" s="165"/>
    </row>
    <row r="401">
      <c r="A401" s="165"/>
      <c r="B401" s="165"/>
      <c r="C401" s="165"/>
      <c r="D401" s="165"/>
      <c r="E401" s="165"/>
      <c r="F401" s="165"/>
      <c r="G401" s="165"/>
      <c r="H401" s="165"/>
      <c r="I401" s="165"/>
      <c r="J401" s="165"/>
      <c r="K401" s="165"/>
      <c r="L401" s="165"/>
      <c r="M401" s="165"/>
      <c r="N401" s="165"/>
      <c r="O401" s="165"/>
      <c r="P401" s="165"/>
      <c r="Q401" s="165"/>
      <c r="R401" s="165"/>
      <c r="S401" s="165"/>
      <c r="T401" s="165"/>
      <c r="U401" s="165"/>
      <c r="V401" s="165"/>
      <c r="W401" s="165"/>
      <c r="X401" s="165"/>
      <c r="Y401" s="165"/>
      <c r="Z401" s="165"/>
    </row>
    <row r="402">
      <c r="A402" s="165"/>
      <c r="B402" s="165"/>
      <c r="C402" s="165"/>
      <c r="D402" s="165"/>
      <c r="E402" s="165"/>
      <c r="F402" s="165"/>
      <c r="G402" s="165"/>
      <c r="H402" s="165"/>
      <c r="I402" s="165"/>
      <c r="J402" s="165"/>
      <c r="K402" s="165"/>
      <c r="L402" s="165"/>
      <c r="M402" s="165"/>
      <c r="N402" s="165"/>
      <c r="O402" s="165"/>
      <c r="P402" s="165"/>
      <c r="Q402" s="165"/>
      <c r="R402" s="165"/>
      <c r="S402" s="165"/>
      <c r="T402" s="165"/>
      <c r="U402" s="165"/>
      <c r="V402" s="165"/>
      <c r="W402" s="165"/>
      <c r="X402" s="165"/>
      <c r="Y402" s="165"/>
      <c r="Z402" s="165"/>
    </row>
    <row r="403">
      <c r="A403" s="165"/>
      <c r="B403" s="165"/>
      <c r="C403" s="165"/>
      <c r="D403" s="165"/>
      <c r="E403" s="165"/>
      <c r="F403" s="165"/>
      <c r="G403" s="165"/>
      <c r="H403" s="165"/>
      <c r="I403" s="165"/>
      <c r="J403" s="165"/>
      <c r="K403" s="165"/>
      <c r="L403" s="165"/>
      <c r="M403" s="165"/>
      <c r="N403" s="165"/>
      <c r="O403" s="165"/>
      <c r="P403" s="165"/>
      <c r="Q403" s="165"/>
      <c r="R403" s="165"/>
      <c r="S403" s="165"/>
      <c r="T403" s="165"/>
      <c r="U403" s="165"/>
      <c r="V403" s="165"/>
      <c r="W403" s="165"/>
      <c r="X403" s="165"/>
      <c r="Y403" s="165"/>
      <c r="Z403" s="165"/>
    </row>
    <row r="404">
      <c r="A404" s="165"/>
      <c r="B404" s="165"/>
      <c r="C404" s="165"/>
      <c r="D404" s="165"/>
      <c r="E404" s="165"/>
      <c r="F404" s="165"/>
      <c r="G404" s="165"/>
      <c r="H404" s="165"/>
      <c r="I404" s="165"/>
      <c r="J404" s="165"/>
      <c r="K404" s="165"/>
      <c r="L404" s="165"/>
      <c r="M404" s="165"/>
      <c r="N404" s="165"/>
      <c r="O404" s="165"/>
      <c r="P404" s="165"/>
      <c r="Q404" s="165"/>
      <c r="R404" s="165"/>
      <c r="S404" s="165"/>
      <c r="T404" s="165"/>
      <c r="U404" s="165"/>
      <c r="V404" s="165"/>
      <c r="W404" s="165"/>
      <c r="X404" s="165"/>
      <c r="Y404" s="165"/>
      <c r="Z404" s="165"/>
    </row>
    <row r="405">
      <c r="A405" s="165"/>
      <c r="B405" s="165"/>
      <c r="C405" s="165"/>
      <c r="D405" s="165"/>
      <c r="E405" s="165"/>
      <c r="F405" s="165"/>
      <c r="G405" s="165"/>
      <c r="H405" s="165"/>
      <c r="I405" s="165"/>
      <c r="J405" s="165"/>
      <c r="K405" s="165"/>
      <c r="L405" s="165"/>
      <c r="M405" s="165"/>
      <c r="N405" s="165"/>
      <c r="O405" s="165"/>
      <c r="P405" s="165"/>
      <c r="Q405" s="165"/>
      <c r="R405" s="165"/>
      <c r="S405" s="165"/>
      <c r="T405" s="165"/>
      <c r="U405" s="165"/>
      <c r="V405" s="165"/>
      <c r="W405" s="165"/>
      <c r="X405" s="165"/>
      <c r="Y405" s="165"/>
      <c r="Z405" s="165"/>
    </row>
    <row r="406">
      <c r="A406" s="165"/>
      <c r="B406" s="165"/>
      <c r="C406" s="165"/>
      <c r="D406" s="165"/>
      <c r="E406" s="165"/>
      <c r="F406" s="165"/>
      <c r="G406" s="165"/>
      <c r="H406" s="165"/>
      <c r="I406" s="165"/>
      <c r="J406" s="165"/>
      <c r="K406" s="165"/>
      <c r="L406" s="165"/>
      <c r="M406" s="165"/>
      <c r="N406" s="165"/>
      <c r="O406" s="165"/>
      <c r="P406" s="165"/>
      <c r="Q406" s="165"/>
      <c r="R406" s="165"/>
      <c r="S406" s="165"/>
      <c r="T406" s="165"/>
      <c r="U406" s="165"/>
      <c r="V406" s="165"/>
      <c r="W406" s="165"/>
      <c r="X406" s="165"/>
      <c r="Y406" s="165"/>
      <c r="Z406" s="165"/>
    </row>
    <row r="407">
      <c r="A407" s="165"/>
      <c r="B407" s="165"/>
      <c r="C407" s="165"/>
      <c r="D407" s="165"/>
      <c r="E407" s="165"/>
      <c r="F407" s="165"/>
      <c r="G407" s="165"/>
      <c r="H407" s="165"/>
      <c r="I407" s="165"/>
      <c r="J407" s="165"/>
      <c r="K407" s="165"/>
      <c r="L407" s="165"/>
      <c r="M407" s="165"/>
      <c r="N407" s="165"/>
      <c r="O407" s="165"/>
      <c r="P407" s="165"/>
      <c r="Q407" s="165"/>
      <c r="R407" s="165"/>
      <c r="S407" s="165"/>
      <c r="T407" s="165"/>
      <c r="U407" s="165"/>
      <c r="V407" s="165"/>
      <c r="W407" s="165"/>
      <c r="X407" s="165"/>
      <c r="Y407" s="165"/>
      <c r="Z407" s="165"/>
    </row>
    <row r="408">
      <c r="A408" s="165"/>
      <c r="B408" s="165"/>
      <c r="C408" s="165"/>
      <c r="D408" s="165"/>
      <c r="E408" s="165"/>
      <c r="F408" s="165"/>
      <c r="G408" s="165"/>
      <c r="H408" s="165"/>
      <c r="I408" s="165"/>
      <c r="J408" s="165"/>
      <c r="K408" s="165"/>
      <c r="L408" s="165"/>
      <c r="M408" s="165"/>
      <c r="N408" s="165"/>
      <c r="O408" s="165"/>
      <c r="P408" s="165"/>
      <c r="Q408" s="165"/>
      <c r="R408" s="165"/>
      <c r="S408" s="165"/>
      <c r="T408" s="165"/>
      <c r="U408" s="165"/>
      <c r="V408" s="165"/>
      <c r="W408" s="165"/>
      <c r="X408" s="165"/>
      <c r="Y408" s="165"/>
      <c r="Z408" s="165"/>
    </row>
    <row r="409">
      <c r="A409" s="165"/>
      <c r="B409" s="165"/>
      <c r="C409" s="165"/>
      <c r="D409" s="165"/>
      <c r="E409" s="165"/>
      <c r="F409" s="165"/>
      <c r="G409" s="165"/>
      <c r="H409" s="165"/>
      <c r="I409" s="165"/>
      <c r="J409" s="165"/>
      <c r="K409" s="165"/>
      <c r="L409" s="165"/>
      <c r="M409" s="165"/>
      <c r="N409" s="165"/>
      <c r="O409" s="165"/>
      <c r="P409" s="165"/>
      <c r="Q409" s="165"/>
      <c r="R409" s="165"/>
      <c r="S409" s="165"/>
      <c r="T409" s="165"/>
      <c r="U409" s="165"/>
      <c r="V409" s="165"/>
      <c r="W409" s="165"/>
      <c r="X409" s="165"/>
      <c r="Y409" s="165"/>
      <c r="Z409" s="165"/>
    </row>
    <row r="410">
      <c r="A410" s="165"/>
      <c r="B410" s="165"/>
      <c r="C410" s="165"/>
      <c r="D410" s="165"/>
      <c r="E410" s="165"/>
      <c r="F410" s="165"/>
      <c r="G410" s="165"/>
      <c r="H410" s="165"/>
      <c r="I410" s="165"/>
      <c r="J410" s="165"/>
      <c r="K410" s="165"/>
      <c r="L410" s="165"/>
      <c r="M410" s="165"/>
      <c r="N410" s="165"/>
      <c r="O410" s="165"/>
      <c r="P410" s="165"/>
      <c r="Q410" s="165"/>
      <c r="R410" s="165"/>
      <c r="S410" s="165"/>
      <c r="T410" s="165"/>
      <c r="U410" s="165"/>
      <c r="V410" s="165"/>
      <c r="W410" s="165"/>
      <c r="X410" s="165"/>
      <c r="Y410" s="165"/>
      <c r="Z410" s="165"/>
    </row>
    <row r="411">
      <c r="A411" s="165"/>
      <c r="B411" s="165"/>
      <c r="C411" s="165"/>
      <c r="D411" s="165"/>
      <c r="E411" s="165"/>
      <c r="F411" s="165"/>
      <c r="G411" s="165"/>
      <c r="H411" s="165"/>
      <c r="I411" s="165"/>
      <c r="J411" s="165"/>
      <c r="K411" s="165"/>
      <c r="L411" s="165"/>
      <c r="M411" s="165"/>
      <c r="N411" s="165"/>
      <c r="O411" s="165"/>
      <c r="P411" s="165"/>
      <c r="Q411" s="165"/>
      <c r="R411" s="165"/>
      <c r="S411" s="165"/>
      <c r="T411" s="165"/>
      <c r="U411" s="165"/>
      <c r="V411" s="165"/>
      <c r="W411" s="165"/>
      <c r="X411" s="165"/>
      <c r="Y411" s="165"/>
      <c r="Z411" s="165"/>
    </row>
    <row r="412">
      <c r="A412" s="165"/>
      <c r="B412" s="165"/>
      <c r="C412" s="165"/>
      <c r="D412" s="165"/>
      <c r="E412" s="165"/>
      <c r="F412" s="165"/>
      <c r="G412" s="165"/>
      <c r="H412" s="165"/>
      <c r="I412" s="165"/>
      <c r="J412" s="165"/>
      <c r="K412" s="165"/>
      <c r="L412" s="165"/>
      <c r="M412" s="165"/>
      <c r="N412" s="165"/>
      <c r="O412" s="165"/>
      <c r="P412" s="165"/>
      <c r="Q412" s="165"/>
      <c r="R412" s="165"/>
      <c r="S412" s="165"/>
      <c r="T412" s="165"/>
      <c r="U412" s="165"/>
      <c r="V412" s="165"/>
      <c r="W412" s="165"/>
      <c r="X412" s="165"/>
      <c r="Y412" s="165"/>
      <c r="Z412" s="165"/>
    </row>
    <row r="413">
      <c r="A413" s="165"/>
      <c r="B413" s="165"/>
      <c r="C413" s="165"/>
      <c r="D413" s="165"/>
      <c r="E413" s="165"/>
      <c r="F413" s="165"/>
      <c r="G413" s="165"/>
      <c r="H413" s="165"/>
      <c r="I413" s="165"/>
      <c r="J413" s="165"/>
      <c r="K413" s="165"/>
      <c r="L413" s="165"/>
      <c r="M413" s="165"/>
      <c r="N413" s="165"/>
      <c r="O413" s="165"/>
      <c r="P413" s="165"/>
      <c r="Q413" s="165"/>
      <c r="R413" s="165"/>
      <c r="S413" s="165"/>
      <c r="T413" s="165"/>
      <c r="U413" s="165"/>
      <c r="V413" s="165"/>
      <c r="W413" s="165"/>
      <c r="X413" s="165"/>
      <c r="Y413" s="165"/>
      <c r="Z413" s="165"/>
    </row>
    <row r="414">
      <c r="A414" s="165"/>
      <c r="B414" s="165"/>
      <c r="C414" s="165"/>
      <c r="D414" s="165"/>
      <c r="E414" s="165"/>
      <c r="F414" s="165"/>
      <c r="G414" s="165"/>
      <c r="H414" s="165"/>
      <c r="I414" s="165"/>
      <c r="J414" s="165"/>
      <c r="K414" s="165"/>
      <c r="L414" s="165"/>
      <c r="M414" s="165"/>
      <c r="N414" s="165"/>
      <c r="O414" s="165"/>
      <c r="P414" s="165"/>
      <c r="Q414" s="165"/>
      <c r="R414" s="165"/>
      <c r="S414" s="165"/>
      <c r="T414" s="165"/>
      <c r="U414" s="165"/>
      <c r="V414" s="165"/>
      <c r="W414" s="165"/>
      <c r="X414" s="165"/>
      <c r="Y414" s="165"/>
      <c r="Z414" s="165"/>
    </row>
    <row r="415">
      <c r="A415" s="165"/>
      <c r="B415" s="165"/>
      <c r="C415" s="165"/>
      <c r="D415" s="165"/>
      <c r="E415" s="165"/>
      <c r="F415" s="165"/>
      <c r="G415" s="165"/>
      <c r="H415" s="165"/>
      <c r="I415" s="165"/>
      <c r="J415" s="165"/>
      <c r="K415" s="165"/>
      <c r="L415" s="165"/>
      <c r="M415" s="165"/>
      <c r="N415" s="165"/>
      <c r="O415" s="165"/>
      <c r="P415" s="165"/>
      <c r="Q415" s="165"/>
      <c r="R415" s="165"/>
      <c r="S415" s="165"/>
      <c r="T415" s="165"/>
      <c r="U415" s="165"/>
      <c r="V415" s="165"/>
      <c r="W415" s="165"/>
      <c r="X415" s="165"/>
      <c r="Y415" s="165"/>
      <c r="Z415" s="165"/>
    </row>
    <row r="416">
      <c r="A416" s="165"/>
      <c r="B416" s="165"/>
      <c r="C416" s="165"/>
      <c r="D416" s="165"/>
      <c r="E416" s="165"/>
      <c r="F416" s="165"/>
      <c r="G416" s="165"/>
      <c r="H416" s="165"/>
      <c r="I416" s="165"/>
      <c r="J416" s="165"/>
      <c r="K416" s="165"/>
      <c r="L416" s="165"/>
      <c r="M416" s="165"/>
      <c r="N416" s="165"/>
      <c r="O416" s="165"/>
      <c r="P416" s="165"/>
      <c r="Q416" s="165"/>
      <c r="R416" s="165"/>
      <c r="S416" s="165"/>
      <c r="T416" s="165"/>
      <c r="U416" s="165"/>
      <c r="V416" s="165"/>
      <c r="W416" s="165"/>
      <c r="X416" s="165"/>
      <c r="Y416" s="165"/>
      <c r="Z416" s="165"/>
    </row>
    <row r="417">
      <c r="A417" s="165"/>
      <c r="B417" s="165"/>
      <c r="C417" s="165"/>
      <c r="D417" s="165"/>
      <c r="E417" s="165"/>
      <c r="F417" s="165"/>
      <c r="G417" s="165"/>
      <c r="H417" s="165"/>
      <c r="I417" s="165"/>
      <c r="J417" s="165"/>
      <c r="K417" s="165"/>
      <c r="L417" s="165"/>
      <c r="M417" s="165"/>
      <c r="N417" s="165"/>
      <c r="O417" s="165"/>
      <c r="P417" s="165"/>
      <c r="Q417" s="165"/>
      <c r="R417" s="165"/>
      <c r="S417" s="165"/>
      <c r="T417" s="165"/>
      <c r="U417" s="165"/>
      <c r="V417" s="165"/>
      <c r="W417" s="165"/>
      <c r="X417" s="165"/>
      <c r="Y417" s="165"/>
      <c r="Z417" s="165"/>
    </row>
    <row r="418">
      <c r="A418" s="165"/>
      <c r="B418" s="165"/>
      <c r="C418" s="165"/>
      <c r="D418" s="165"/>
      <c r="E418" s="165"/>
      <c r="F418" s="165"/>
      <c r="G418" s="165"/>
      <c r="H418" s="165"/>
      <c r="I418" s="165"/>
      <c r="J418" s="165"/>
      <c r="K418" s="165"/>
      <c r="L418" s="165"/>
      <c r="M418" s="165"/>
      <c r="N418" s="165"/>
      <c r="O418" s="165"/>
      <c r="P418" s="165"/>
      <c r="Q418" s="165"/>
      <c r="R418" s="165"/>
      <c r="S418" s="165"/>
      <c r="T418" s="165"/>
      <c r="U418" s="165"/>
      <c r="V418" s="165"/>
      <c r="W418" s="165"/>
      <c r="X418" s="165"/>
      <c r="Y418" s="165"/>
      <c r="Z418" s="165"/>
    </row>
    <row r="419">
      <c r="A419" s="165"/>
      <c r="B419" s="165"/>
      <c r="C419" s="165"/>
      <c r="D419" s="165"/>
      <c r="E419" s="165"/>
      <c r="F419" s="165"/>
      <c r="G419" s="165"/>
      <c r="H419" s="165"/>
      <c r="I419" s="165"/>
      <c r="J419" s="165"/>
      <c r="K419" s="165"/>
      <c r="L419" s="165"/>
      <c r="M419" s="165"/>
      <c r="N419" s="165"/>
      <c r="O419" s="165"/>
      <c r="P419" s="165"/>
      <c r="Q419" s="165"/>
      <c r="R419" s="165"/>
      <c r="S419" s="165"/>
      <c r="T419" s="165"/>
      <c r="U419" s="165"/>
      <c r="V419" s="165"/>
      <c r="W419" s="165"/>
      <c r="X419" s="165"/>
      <c r="Y419" s="165"/>
      <c r="Z419" s="165"/>
    </row>
    <row r="420">
      <c r="A420" s="165"/>
      <c r="B420" s="165"/>
      <c r="C420" s="165"/>
      <c r="D420" s="165"/>
      <c r="E420" s="165"/>
      <c r="F420" s="165"/>
      <c r="G420" s="165"/>
      <c r="H420" s="165"/>
      <c r="I420" s="165"/>
      <c r="J420" s="165"/>
      <c r="K420" s="165"/>
      <c r="L420" s="165"/>
      <c r="M420" s="165"/>
      <c r="N420" s="165"/>
      <c r="O420" s="165"/>
      <c r="P420" s="165"/>
      <c r="Q420" s="165"/>
      <c r="R420" s="165"/>
      <c r="S420" s="165"/>
      <c r="T420" s="165"/>
      <c r="U420" s="165"/>
      <c r="V420" s="165"/>
      <c r="W420" s="165"/>
      <c r="X420" s="165"/>
      <c r="Y420" s="165"/>
      <c r="Z420" s="165"/>
    </row>
    <row r="421">
      <c r="A421" s="165"/>
      <c r="B421" s="165"/>
      <c r="C421" s="165"/>
      <c r="D421" s="165"/>
      <c r="E421" s="165"/>
      <c r="F421" s="165"/>
      <c r="G421" s="165"/>
      <c r="H421" s="165"/>
      <c r="I421" s="165"/>
      <c r="J421" s="165"/>
      <c r="K421" s="165"/>
      <c r="L421" s="165"/>
      <c r="M421" s="165"/>
      <c r="N421" s="165"/>
      <c r="O421" s="165"/>
      <c r="P421" s="165"/>
      <c r="Q421" s="165"/>
      <c r="R421" s="165"/>
      <c r="S421" s="165"/>
      <c r="T421" s="165"/>
      <c r="U421" s="165"/>
      <c r="V421" s="165"/>
      <c r="W421" s="165"/>
      <c r="X421" s="165"/>
      <c r="Y421" s="165"/>
      <c r="Z421" s="165"/>
    </row>
    <row r="422">
      <c r="A422" s="165"/>
      <c r="B422" s="165"/>
      <c r="C422" s="165"/>
      <c r="D422" s="165"/>
      <c r="E422" s="165"/>
      <c r="F422" s="165"/>
      <c r="G422" s="165"/>
      <c r="H422" s="165"/>
      <c r="I422" s="165"/>
      <c r="J422" s="165"/>
      <c r="K422" s="165"/>
      <c r="L422" s="165"/>
      <c r="M422" s="165"/>
      <c r="N422" s="165"/>
      <c r="O422" s="165"/>
      <c r="P422" s="165"/>
      <c r="Q422" s="165"/>
      <c r="R422" s="165"/>
      <c r="S422" s="165"/>
      <c r="T422" s="165"/>
      <c r="U422" s="165"/>
      <c r="V422" s="165"/>
      <c r="W422" s="165"/>
      <c r="X422" s="165"/>
      <c r="Y422" s="165"/>
      <c r="Z422" s="165"/>
    </row>
    <row r="423">
      <c r="A423" s="165"/>
      <c r="B423" s="165"/>
      <c r="C423" s="165"/>
      <c r="D423" s="165"/>
      <c r="E423" s="165"/>
      <c r="F423" s="165"/>
      <c r="G423" s="165"/>
      <c r="H423" s="165"/>
      <c r="I423" s="165"/>
      <c r="J423" s="165"/>
      <c r="K423" s="165"/>
      <c r="L423" s="165"/>
      <c r="M423" s="165"/>
      <c r="N423" s="165"/>
      <c r="O423" s="165"/>
      <c r="P423" s="165"/>
      <c r="Q423" s="165"/>
      <c r="R423" s="165"/>
      <c r="S423" s="165"/>
      <c r="T423" s="165"/>
      <c r="U423" s="165"/>
      <c r="V423" s="165"/>
      <c r="W423" s="165"/>
      <c r="X423" s="165"/>
      <c r="Y423" s="165"/>
      <c r="Z423" s="165"/>
    </row>
    <row r="424">
      <c r="A424" s="165"/>
      <c r="B424" s="165"/>
      <c r="C424" s="165"/>
      <c r="D424" s="165"/>
      <c r="E424" s="165"/>
      <c r="F424" s="165"/>
      <c r="G424" s="165"/>
      <c r="H424" s="165"/>
      <c r="I424" s="165"/>
      <c r="J424" s="165"/>
      <c r="K424" s="165"/>
      <c r="L424" s="165"/>
      <c r="M424" s="165"/>
      <c r="N424" s="165"/>
      <c r="O424" s="165"/>
      <c r="P424" s="165"/>
      <c r="Q424" s="165"/>
      <c r="R424" s="165"/>
      <c r="S424" s="165"/>
      <c r="T424" s="165"/>
      <c r="U424" s="165"/>
      <c r="V424" s="165"/>
      <c r="W424" s="165"/>
      <c r="X424" s="165"/>
      <c r="Y424" s="165"/>
      <c r="Z424" s="165"/>
    </row>
    <row r="425">
      <c r="A425" s="165"/>
      <c r="B425" s="165"/>
      <c r="C425" s="165"/>
      <c r="D425" s="165"/>
      <c r="E425" s="165"/>
      <c r="F425" s="165"/>
      <c r="G425" s="165"/>
      <c r="H425" s="165"/>
      <c r="I425" s="165"/>
      <c r="J425" s="165"/>
      <c r="K425" s="165"/>
      <c r="L425" s="165"/>
      <c r="M425" s="165"/>
      <c r="N425" s="165"/>
      <c r="O425" s="165"/>
      <c r="P425" s="165"/>
      <c r="Q425" s="165"/>
      <c r="R425" s="165"/>
      <c r="S425" s="165"/>
      <c r="T425" s="165"/>
      <c r="U425" s="165"/>
      <c r="V425" s="165"/>
      <c r="W425" s="165"/>
      <c r="X425" s="165"/>
      <c r="Y425" s="165"/>
      <c r="Z425" s="165"/>
    </row>
    <row r="426">
      <c r="A426" s="165"/>
      <c r="B426" s="165"/>
      <c r="C426" s="165"/>
      <c r="D426" s="165"/>
      <c r="E426" s="165"/>
      <c r="F426" s="165"/>
      <c r="G426" s="165"/>
      <c r="H426" s="165"/>
      <c r="I426" s="165"/>
      <c r="J426" s="165"/>
      <c r="K426" s="165"/>
      <c r="L426" s="165"/>
      <c r="M426" s="165"/>
      <c r="N426" s="165"/>
      <c r="O426" s="165"/>
      <c r="P426" s="165"/>
      <c r="Q426" s="165"/>
      <c r="R426" s="165"/>
      <c r="S426" s="165"/>
      <c r="T426" s="165"/>
      <c r="U426" s="165"/>
      <c r="V426" s="165"/>
      <c r="W426" s="165"/>
      <c r="X426" s="165"/>
      <c r="Y426" s="165"/>
      <c r="Z426" s="165"/>
    </row>
    <row r="427">
      <c r="A427" s="165"/>
      <c r="B427" s="165"/>
      <c r="C427" s="165"/>
      <c r="D427" s="165"/>
      <c r="E427" s="165"/>
      <c r="F427" s="165"/>
      <c r="G427" s="165"/>
      <c r="H427" s="165"/>
      <c r="I427" s="165"/>
      <c r="J427" s="165"/>
      <c r="K427" s="165"/>
      <c r="L427" s="165"/>
      <c r="M427" s="165"/>
      <c r="N427" s="165"/>
      <c r="O427" s="165"/>
      <c r="P427" s="165"/>
      <c r="Q427" s="165"/>
      <c r="R427" s="165"/>
      <c r="S427" s="165"/>
      <c r="T427" s="165"/>
      <c r="U427" s="165"/>
      <c r="V427" s="165"/>
      <c r="W427" s="165"/>
      <c r="X427" s="165"/>
      <c r="Y427" s="165"/>
      <c r="Z427" s="165"/>
    </row>
    <row r="428">
      <c r="A428" s="165"/>
      <c r="B428" s="165"/>
      <c r="C428" s="165"/>
      <c r="D428" s="165"/>
      <c r="E428" s="165"/>
      <c r="F428" s="165"/>
      <c r="G428" s="165"/>
      <c r="H428" s="165"/>
      <c r="I428" s="165"/>
      <c r="J428" s="165"/>
      <c r="K428" s="165"/>
      <c r="L428" s="165"/>
      <c r="M428" s="165"/>
      <c r="N428" s="165"/>
      <c r="O428" s="165"/>
      <c r="P428" s="165"/>
      <c r="Q428" s="165"/>
      <c r="R428" s="165"/>
      <c r="S428" s="165"/>
      <c r="T428" s="165"/>
      <c r="U428" s="165"/>
      <c r="V428" s="165"/>
      <c r="W428" s="165"/>
      <c r="X428" s="165"/>
      <c r="Y428" s="165"/>
      <c r="Z428" s="165"/>
    </row>
    <row r="429">
      <c r="A429" s="165"/>
      <c r="B429" s="165"/>
      <c r="C429" s="165"/>
      <c r="D429" s="165"/>
      <c r="E429" s="165"/>
      <c r="F429" s="165"/>
      <c r="G429" s="165"/>
      <c r="H429" s="165"/>
      <c r="I429" s="165"/>
      <c r="J429" s="165"/>
      <c r="K429" s="165"/>
      <c r="L429" s="165"/>
      <c r="M429" s="165"/>
      <c r="N429" s="165"/>
      <c r="O429" s="165"/>
      <c r="P429" s="165"/>
      <c r="Q429" s="165"/>
      <c r="R429" s="165"/>
      <c r="S429" s="165"/>
      <c r="T429" s="165"/>
      <c r="U429" s="165"/>
      <c r="V429" s="165"/>
      <c r="W429" s="165"/>
      <c r="X429" s="165"/>
      <c r="Y429" s="165"/>
      <c r="Z429" s="165"/>
    </row>
    <row r="430">
      <c r="A430" s="165"/>
      <c r="B430" s="165"/>
      <c r="C430" s="165"/>
      <c r="D430" s="165"/>
      <c r="E430" s="165"/>
      <c r="F430" s="165"/>
      <c r="G430" s="165"/>
      <c r="H430" s="165"/>
      <c r="I430" s="165"/>
      <c r="J430" s="165"/>
      <c r="K430" s="165"/>
      <c r="L430" s="165"/>
      <c r="M430" s="165"/>
      <c r="N430" s="165"/>
      <c r="O430" s="165"/>
      <c r="P430" s="165"/>
      <c r="Q430" s="165"/>
      <c r="R430" s="165"/>
      <c r="S430" s="165"/>
      <c r="T430" s="165"/>
      <c r="U430" s="165"/>
      <c r="V430" s="165"/>
      <c r="W430" s="165"/>
      <c r="X430" s="165"/>
      <c r="Y430" s="165"/>
      <c r="Z430" s="165"/>
    </row>
    <row r="431">
      <c r="A431" s="165"/>
      <c r="B431" s="165"/>
      <c r="C431" s="165"/>
      <c r="D431" s="165"/>
      <c r="E431" s="165"/>
      <c r="F431" s="165"/>
      <c r="G431" s="165"/>
      <c r="H431" s="165"/>
      <c r="I431" s="165"/>
      <c r="J431" s="165"/>
      <c r="K431" s="165"/>
      <c r="L431" s="165"/>
      <c r="M431" s="165"/>
      <c r="N431" s="165"/>
      <c r="O431" s="165"/>
      <c r="P431" s="165"/>
      <c r="Q431" s="165"/>
      <c r="R431" s="165"/>
      <c r="S431" s="165"/>
      <c r="T431" s="165"/>
      <c r="U431" s="165"/>
      <c r="V431" s="165"/>
      <c r="W431" s="165"/>
      <c r="X431" s="165"/>
      <c r="Y431" s="165"/>
      <c r="Z431" s="165"/>
    </row>
    <row r="432">
      <c r="A432" s="165"/>
      <c r="B432" s="165"/>
      <c r="C432" s="165"/>
      <c r="D432" s="165"/>
      <c r="E432" s="165"/>
      <c r="F432" s="165"/>
      <c r="G432" s="165"/>
      <c r="H432" s="165"/>
      <c r="I432" s="165"/>
      <c r="J432" s="165"/>
      <c r="K432" s="165"/>
      <c r="L432" s="165"/>
      <c r="M432" s="165"/>
      <c r="N432" s="165"/>
      <c r="O432" s="165"/>
      <c r="P432" s="165"/>
      <c r="Q432" s="165"/>
      <c r="R432" s="165"/>
      <c r="S432" s="165"/>
      <c r="T432" s="165"/>
      <c r="U432" s="165"/>
      <c r="V432" s="165"/>
      <c r="W432" s="165"/>
      <c r="X432" s="165"/>
      <c r="Y432" s="165"/>
      <c r="Z432" s="165"/>
    </row>
    <row r="433">
      <c r="A433" s="165"/>
      <c r="B433" s="165"/>
      <c r="C433" s="165"/>
      <c r="D433" s="165"/>
      <c r="E433" s="165"/>
      <c r="F433" s="165"/>
      <c r="G433" s="165"/>
      <c r="H433" s="165"/>
      <c r="I433" s="165"/>
      <c r="J433" s="165"/>
      <c r="K433" s="165"/>
      <c r="L433" s="165"/>
      <c r="M433" s="165"/>
      <c r="N433" s="165"/>
      <c r="O433" s="165"/>
      <c r="P433" s="165"/>
      <c r="Q433" s="165"/>
      <c r="R433" s="165"/>
      <c r="S433" s="165"/>
      <c r="T433" s="165"/>
      <c r="U433" s="165"/>
      <c r="V433" s="165"/>
      <c r="W433" s="165"/>
      <c r="X433" s="165"/>
      <c r="Y433" s="165"/>
      <c r="Z433" s="165"/>
    </row>
    <row r="434">
      <c r="A434" s="165"/>
      <c r="B434" s="165"/>
      <c r="C434" s="165"/>
      <c r="D434" s="165"/>
      <c r="E434" s="165"/>
      <c r="F434" s="165"/>
      <c r="G434" s="165"/>
      <c r="H434" s="165"/>
      <c r="I434" s="165"/>
      <c r="J434" s="165"/>
      <c r="K434" s="165"/>
      <c r="L434" s="165"/>
      <c r="M434" s="165"/>
      <c r="N434" s="165"/>
      <c r="O434" s="165"/>
      <c r="P434" s="165"/>
      <c r="Q434" s="165"/>
      <c r="R434" s="165"/>
      <c r="S434" s="165"/>
      <c r="T434" s="165"/>
      <c r="U434" s="165"/>
      <c r="V434" s="165"/>
      <c r="W434" s="165"/>
      <c r="X434" s="165"/>
      <c r="Y434" s="165"/>
      <c r="Z434" s="165"/>
    </row>
    <row r="435">
      <c r="A435" s="165"/>
      <c r="B435" s="165"/>
      <c r="C435" s="165"/>
      <c r="D435" s="165"/>
      <c r="E435" s="165"/>
      <c r="F435" s="165"/>
      <c r="G435" s="165"/>
      <c r="H435" s="165"/>
      <c r="I435" s="165"/>
      <c r="J435" s="165"/>
      <c r="K435" s="165"/>
      <c r="L435" s="165"/>
      <c r="M435" s="165"/>
      <c r="N435" s="165"/>
      <c r="O435" s="165"/>
      <c r="P435" s="165"/>
      <c r="Q435" s="165"/>
      <c r="R435" s="165"/>
      <c r="S435" s="165"/>
      <c r="T435" s="165"/>
      <c r="U435" s="165"/>
      <c r="V435" s="165"/>
      <c r="W435" s="165"/>
      <c r="X435" s="165"/>
      <c r="Y435" s="165"/>
      <c r="Z435" s="165"/>
    </row>
    <row r="436">
      <c r="A436" s="165"/>
      <c r="B436" s="165"/>
      <c r="C436" s="165"/>
      <c r="D436" s="165"/>
      <c r="E436" s="165"/>
      <c r="F436" s="165"/>
      <c r="G436" s="165"/>
      <c r="H436" s="165"/>
      <c r="I436" s="165"/>
      <c r="J436" s="165"/>
      <c r="K436" s="165"/>
      <c r="L436" s="165"/>
      <c r="M436" s="165"/>
      <c r="N436" s="165"/>
      <c r="O436" s="165"/>
      <c r="P436" s="165"/>
      <c r="Q436" s="165"/>
      <c r="R436" s="165"/>
      <c r="S436" s="165"/>
      <c r="T436" s="165"/>
      <c r="U436" s="165"/>
      <c r="V436" s="165"/>
      <c r="W436" s="165"/>
      <c r="X436" s="165"/>
      <c r="Y436" s="165"/>
      <c r="Z436" s="165"/>
    </row>
    <row r="437">
      <c r="A437" s="165"/>
      <c r="B437" s="165"/>
      <c r="C437" s="165"/>
      <c r="D437" s="165"/>
      <c r="E437" s="165"/>
      <c r="F437" s="165"/>
      <c r="G437" s="165"/>
      <c r="H437" s="165"/>
      <c r="I437" s="165"/>
      <c r="J437" s="165"/>
      <c r="K437" s="165"/>
      <c r="L437" s="165"/>
      <c r="M437" s="165"/>
      <c r="N437" s="165"/>
      <c r="O437" s="165"/>
      <c r="P437" s="165"/>
      <c r="Q437" s="165"/>
      <c r="R437" s="165"/>
      <c r="S437" s="165"/>
      <c r="T437" s="165"/>
      <c r="U437" s="165"/>
      <c r="V437" s="165"/>
      <c r="W437" s="165"/>
      <c r="X437" s="165"/>
      <c r="Y437" s="165"/>
      <c r="Z437" s="165"/>
    </row>
    <row r="438">
      <c r="A438" s="165"/>
      <c r="B438" s="165"/>
      <c r="C438" s="165"/>
      <c r="D438" s="165"/>
      <c r="E438" s="165"/>
      <c r="F438" s="165"/>
      <c r="G438" s="165"/>
      <c r="H438" s="165"/>
      <c r="I438" s="165"/>
      <c r="J438" s="165"/>
      <c r="K438" s="165"/>
      <c r="L438" s="165"/>
      <c r="M438" s="165"/>
      <c r="N438" s="165"/>
      <c r="O438" s="165"/>
      <c r="P438" s="165"/>
      <c r="Q438" s="165"/>
      <c r="R438" s="165"/>
      <c r="S438" s="165"/>
      <c r="T438" s="165"/>
      <c r="U438" s="165"/>
      <c r="V438" s="165"/>
      <c r="W438" s="165"/>
      <c r="X438" s="165"/>
      <c r="Y438" s="165"/>
      <c r="Z438" s="165"/>
    </row>
    <row r="439">
      <c r="A439" s="165"/>
      <c r="B439" s="165"/>
      <c r="C439" s="165"/>
      <c r="D439" s="165"/>
      <c r="E439" s="165"/>
      <c r="F439" s="165"/>
      <c r="G439" s="165"/>
      <c r="H439" s="165"/>
      <c r="I439" s="165"/>
      <c r="J439" s="165"/>
      <c r="K439" s="165"/>
      <c r="L439" s="165"/>
      <c r="M439" s="165"/>
      <c r="N439" s="165"/>
      <c r="O439" s="165"/>
      <c r="P439" s="165"/>
      <c r="Q439" s="165"/>
      <c r="R439" s="165"/>
      <c r="S439" s="165"/>
      <c r="T439" s="165"/>
      <c r="U439" s="165"/>
      <c r="V439" s="165"/>
      <c r="W439" s="165"/>
      <c r="X439" s="165"/>
      <c r="Y439" s="165"/>
      <c r="Z439" s="165"/>
    </row>
    <row r="440">
      <c r="A440" s="165"/>
      <c r="B440" s="165"/>
      <c r="C440" s="165"/>
      <c r="D440" s="165"/>
      <c r="E440" s="165"/>
      <c r="F440" s="165"/>
      <c r="G440" s="165"/>
      <c r="H440" s="165"/>
      <c r="I440" s="165"/>
      <c r="J440" s="165"/>
      <c r="K440" s="165"/>
      <c r="L440" s="165"/>
      <c r="M440" s="165"/>
      <c r="N440" s="165"/>
      <c r="O440" s="165"/>
      <c r="P440" s="165"/>
      <c r="Q440" s="165"/>
      <c r="R440" s="165"/>
      <c r="S440" s="165"/>
      <c r="T440" s="165"/>
      <c r="U440" s="165"/>
      <c r="V440" s="165"/>
      <c r="W440" s="165"/>
      <c r="X440" s="165"/>
      <c r="Y440" s="165"/>
      <c r="Z440" s="165"/>
    </row>
    <row r="441">
      <c r="A441" s="165"/>
      <c r="B441" s="165"/>
      <c r="C441" s="165"/>
      <c r="D441" s="165"/>
      <c r="E441" s="165"/>
      <c r="F441" s="165"/>
      <c r="G441" s="165"/>
      <c r="H441" s="165"/>
      <c r="I441" s="165"/>
      <c r="J441" s="165"/>
      <c r="K441" s="165"/>
      <c r="L441" s="165"/>
      <c r="M441" s="165"/>
      <c r="N441" s="165"/>
      <c r="O441" s="165"/>
      <c r="P441" s="165"/>
      <c r="Q441" s="165"/>
      <c r="R441" s="165"/>
      <c r="S441" s="165"/>
      <c r="T441" s="165"/>
      <c r="U441" s="165"/>
      <c r="V441" s="165"/>
      <c r="W441" s="165"/>
      <c r="X441" s="165"/>
      <c r="Y441" s="165"/>
      <c r="Z441" s="165"/>
    </row>
    <row r="442">
      <c r="A442" s="165"/>
      <c r="B442" s="165"/>
      <c r="C442" s="165"/>
      <c r="D442" s="165"/>
      <c r="E442" s="165"/>
      <c r="F442" s="165"/>
      <c r="G442" s="165"/>
      <c r="H442" s="165"/>
      <c r="I442" s="165"/>
      <c r="J442" s="165"/>
      <c r="K442" s="165"/>
      <c r="L442" s="165"/>
      <c r="M442" s="165"/>
      <c r="N442" s="165"/>
      <c r="O442" s="165"/>
      <c r="P442" s="165"/>
      <c r="Q442" s="165"/>
      <c r="R442" s="165"/>
      <c r="S442" s="165"/>
      <c r="T442" s="165"/>
      <c r="U442" s="165"/>
      <c r="V442" s="165"/>
      <c r="W442" s="165"/>
      <c r="X442" s="165"/>
      <c r="Y442" s="165"/>
      <c r="Z442" s="165"/>
    </row>
    <row r="443">
      <c r="A443" s="165"/>
      <c r="B443" s="165"/>
      <c r="C443" s="165"/>
      <c r="D443" s="165"/>
      <c r="E443" s="165"/>
      <c r="F443" s="165"/>
      <c r="G443" s="165"/>
      <c r="H443" s="165"/>
      <c r="I443" s="165"/>
      <c r="J443" s="165"/>
      <c r="K443" s="165"/>
      <c r="L443" s="165"/>
      <c r="M443" s="165"/>
      <c r="N443" s="165"/>
      <c r="O443" s="165"/>
      <c r="P443" s="165"/>
      <c r="Q443" s="165"/>
      <c r="R443" s="165"/>
      <c r="S443" s="165"/>
      <c r="T443" s="165"/>
      <c r="U443" s="165"/>
      <c r="V443" s="165"/>
      <c r="W443" s="165"/>
      <c r="X443" s="165"/>
      <c r="Y443" s="165"/>
      <c r="Z443" s="165"/>
    </row>
    <row r="444">
      <c r="A444" s="165"/>
      <c r="B444" s="165"/>
      <c r="C444" s="165"/>
      <c r="D444" s="165"/>
      <c r="E444" s="165"/>
      <c r="F444" s="165"/>
      <c r="G444" s="165"/>
      <c r="H444" s="165"/>
      <c r="I444" s="165"/>
      <c r="J444" s="165"/>
      <c r="K444" s="165"/>
      <c r="L444" s="165"/>
      <c r="M444" s="165"/>
      <c r="N444" s="165"/>
      <c r="O444" s="165"/>
      <c r="P444" s="165"/>
      <c r="Q444" s="165"/>
      <c r="R444" s="165"/>
      <c r="S444" s="165"/>
      <c r="T444" s="165"/>
      <c r="U444" s="165"/>
      <c r="V444" s="165"/>
      <c r="W444" s="165"/>
      <c r="X444" s="165"/>
      <c r="Y444" s="165"/>
      <c r="Z444" s="165"/>
    </row>
    <row r="445">
      <c r="A445" s="165"/>
      <c r="B445" s="165"/>
      <c r="C445" s="165"/>
      <c r="D445" s="165"/>
      <c r="E445" s="165"/>
      <c r="F445" s="165"/>
      <c r="G445" s="165"/>
      <c r="H445" s="165"/>
      <c r="I445" s="165"/>
      <c r="J445" s="165"/>
      <c r="K445" s="165"/>
      <c r="L445" s="165"/>
      <c r="M445" s="165"/>
      <c r="N445" s="165"/>
      <c r="O445" s="165"/>
      <c r="P445" s="165"/>
      <c r="Q445" s="165"/>
      <c r="R445" s="165"/>
      <c r="S445" s="165"/>
      <c r="T445" s="165"/>
      <c r="U445" s="165"/>
      <c r="V445" s="165"/>
      <c r="W445" s="165"/>
      <c r="X445" s="165"/>
      <c r="Y445" s="165"/>
      <c r="Z445" s="165"/>
    </row>
    <row r="446">
      <c r="A446" s="165"/>
      <c r="B446" s="165"/>
      <c r="C446" s="165"/>
      <c r="D446" s="165"/>
      <c r="E446" s="165"/>
      <c r="F446" s="165"/>
      <c r="G446" s="165"/>
      <c r="H446" s="165"/>
      <c r="I446" s="165"/>
      <c r="J446" s="165"/>
      <c r="K446" s="165"/>
      <c r="L446" s="165"/>
      <c r="M446" s="165"/>
      <c r="N446" s="165"/>
      <c r="O446" s="165"/>
      <c r="P446" s="165"/>
      <c r="Q446" s="165"/>
      <c r="R446" s="165"/>
      <c r="S446" s="165"/>
      <c r="T446" s="165"/>
      <c r="U446" s="165"/>
      <c r="V446" s="165"/>
      <c r="W446" s="165"/>
      <c r="X446" s="165"/>
      <c r="Y446" s="165"/>
      <c r="Z446" s="165"/>
    </row>
    <row r="447">
      <c r="A447" s="165"/>
      <c r="B447" s="165"/>
      <c r="C447" s="165"/>
      <c r="D447" s="165"/>
      <c r="E447" s="165"/>
      <c r="F447" s="165"/>
      <c r="G447" s="165"/>
      <c r="H447" s="165"/>
      <c r="I447" s="165"/>
      <c r="J447" s="165"/>
      <c r="K447" s="165"/>
      <c r="L447" s="165"/>
      <c r="M447" s="165"/>
      <c r="N447" s="165"/>
      <c r="O447" s="165"/>
      <c r="P447" s="165"/>
      <c r="Q447" s="165"/>
      <c r="R447" s="165"/>
      <c r="S447" s="165"/>
      <c r="T447" s="165"/>
      <c r="U447" s="165"/>
      <c r="V447" s="165"/>
      <c r="W447" s="165"/>
      <c r="X447" s="165"/>
      <c r="Y447" s="165"/>
      <c r="Z447" s="165"/>
    </row>
    <row r="448">
      <c r="A448" s="165"/>
      <c r="B448" s="165"/>
      <c r="C448" s="165"/>
      <c r="D448" s="165"/>
      <c r="E448" s="165"/>
      <c r="F448" s="165"/>
      <c r="G448" s="165"/>
      <c r="H448" s="165"/>
      <c r="I448" s="165"/>
      <c r="J448" s="165"/>
      <c r="K448" s="165"/>
      <c r="L448" s="165"/>
      <c r="M448" s="165"/>
      <c r="N448" s="165"/>
      <c r="O448" s="165"/>
      <c r="P448" s="165"/>
      <c r="Q448" s="165"/>
      <c r="R448" s="165"/>
      <c r="S448" s="165"/>
      <c r="T448" s="165"/>
      <c r="U448" s="165"/>
      <c r="V448" s="165"/>
      <c r="W448" s="165"/>
      <c r="X448" s="165"/>
      <c r="Y448" s="165"/>
      <c r="Z448" s="165"/>
    </row>
    <row r="449">
      <c r="A449" s="165"/>
      <c r="B449" s="165"/>
      <c r="C449" s="165"/>
      <c r="D449" s="165"/>
      <c r="E449" s="165"/>
      <c r="F449" s="165"/>
      <c r="G449" s="165"/>
      <c r="H449" s="165"/>
      <c r="I449" s="165"/>
      <c r="J449" s="165"/>
      <c r="K449" s="165"/>
      <c r="L449" s="165"/>
      <c r="M449" s="165"/>
      <c r="N449" s="165"/>
      <c r="O449" s="165"/>
      <c r="P449" s="165"/>
      <c r="Q449" s="165"/>
      <c r="R449" s="165"/>
      <c r="S449" s="165"/>
      <c r="T449" s="165"/>
      <c r="U449" s="165"/>
      <c r="V449" s="165"/>
      <c r="W449" s="165"/>
      <c r="X449" s="165"/>
      <c r="Y449" s="165"/>
      <c r="Z449" s="165"/>
    </row>
    <row r="450">
      <c r="A450" s="165"/>
      <c r="B450" s="165"/>
      <c r="C450" s="165"/>
      <c r="D450" s="165"/>
      <c r="E450" s="165"/>
      <c r="F450" s="165"/>
      <c r="G450" s="165"/>
      <c r="H450" s="165"/>
      <c r="I450" s="165"/>
      <c r="J450" s="165"/>
      <c r="K450" s="165"/>
      <c r="L450" s="165"/>
      <c r="M450" s="165"/>
      <c r="N450" s="165"/>
      <c r="O450" s="165"/>
      <c r="P450" s="165"/>
      <c r="Q450" s="165"/>
      <c r="R450" s="165"/>
      <c r="S450" s="165"/>
      <c r="T450" s="165"/>
      <c r="U450" s="165"/>
      <c r="V450" s="165"/>
      <c r="W450" s="165"/>
      <c r="X450" s="165"/>
      <c r="Y450" s="165"/>
      <c r="Z450" s="165"/>
    </row>
    <row r="451">
      <c r="A451" s="165"/>
      <c r="B451" s="165"/>
      <c r="C451" s="165"/>
      <c r="D451" s="165"/>
      <c r="E451" s="165"/>
      <c r="F451" s="165"/>
      <c r="G451" s="165"/>
      <c r="H451" s="165"/>
      <c r="I451" s="165"/>
      <c r="J451" s="165"/>
      <c r="K451" s="165"/>
      <c r="L451" s="165"/>
      <c r="M451" s="165"/>
      <c r="N451" s="165"/>
      <c r="O451" s="165"/>
      <c r="P451" s="165"/>
      <c r="Q451" s="165"/>
      <c r="R451" s="165"/>
      <c r="S451" s="165"/>
      <c r="T451" s="165"/>
      <c r="U451" s="165"/>
      <c r="V451" s="165"/>
      <c r="W451" s="165"/>
      <c r="X451" s="165"/>
      <c r="Y451" s="165"/>
      <c r="Z451" s="165"/>
    </row>
    <row r="452">
      <c r="A452" s="165"/>
      <c r="B452" s="165"/>
      <c r="C452" s="165"/>
      <c r="D452" s="165"/>
      <c r="E452" s="165"/>
      <c r="F452" s="165"/>
      <c r="G452" s="165"/>
      <c r="H452" s="165"/>
      <c r="I452" s="165"/>
      <c r="J452" s="165"/>
      <c r="K452" s="165"/>
      <c r="L452" s="165"/>
      <c r="M452" s="165"/>
      <c r="N452" s="165"/>
      <c r="O452" s="165"/>
      <c r="P452" s="165"/>
      <c r="Q452" s="165"/>
      <c r="R452" s="165"/>
      <c r="S452" s="165"/>
      <c r="T452" s="165"/>
      <c r="U452" s="165"/>
      <c r="V452" s="165"/>
      <c r="W452" s="165"/>
      <c r="X452" s="165"/>
      <c r="Y452" s="165"/>
      <c r="Z452" s="165"/>
    </row>
    <row r="453">
      <c r="A453" s="165"/>
      <c r="B453" s="165"/>
      <c r="C453" s="165"/>
      <c r="D453" s="165"/>
      <c r="E453" s="165"/>
      <c r="F453" s="165"/>
      <c r="G453" s="165"/>
      <c r="H453" s="165"/>
      <c r="I453" s="165"/>
      <c r="J453" s="165"/>
      <c r="K453" s="165"/>
      <c r="L453" s="165"/>
      <c r="M453" s="165"/>
      <c r="N453" s="165"/>
      <c r="O453" s="165"/>
      <c r="P453" s="165"/>
      <c r="Q453" s="165"/>
      <c r="R453" s="165"/>
      <c r="S453" s="165"/>
      <c r="T453" s="165"/>
      <c r="U453" s="165"/>
      <c r="V453" s="165"/>
      <c r="W453" s="165"/>
      <c r="X453" s="165"/>
      <c r="Y453" s="165"/>
      <c r="Z453" s="165"/>
    </row>
    <row r="454">
      <c r="A454" s="165"/>
      <c r="B454" s="165"/>
      <c r="C454" s="165"/>
      <c r="D454" s="165"/>
      <c r="E454" s="165"/>
      <c r="F454" s="165"/>
      <c r="G454" s="165"/>
      <c r="H454" s="165"/>
      <c r="I454" s="165"/>
      <c r="J454" s="165"/>
      <c r="K454" s="165"/>
      <c r="L454" s="165"/>
      <c r="M454" s="165"/>
      <c r="N454" s="165"/>
      <c r="O454" s="165"/>
      <c r="P454" s="165"/>
      <c r="Q454" s="165"/>
      <c r="R454" s="165"/>
      <c r="S454" s="165"/>
      <c r="T454" s="165"/>
      <c r="U454" s="165"/>
      <c r="V454" s="165"/>
      <c r="W454" s="165"/>
      <c r="X454" s="165"/>
      <c r="Y454" s="165"/>
      <c r="Z454" s="165"/>
    </row>
    <row r="455">
      <c r="A455" s="165"/>
      <c r="B455" s="165"/>
      <c r="C455" s="165"/>
      <c r="D455" s="165"/>
      <c r="E455" s="165"/>
      <c r="F455" s="165"/>
      <c r="G455" s="165"/>
      <c r="H455" s="165"/>
      <c r="I455" s="165"/>
      <c r="J455" s="165"/>
      <c r="K455" s="165"/>
      <c r="L455" s="165"/>
      <c r="M455" s="165"/>
      <c r="N455" s="165"/>
      <c r="O455" s="165"/>
      <c r="P455" s="165"/>
      <c r="Q455" s="165"/>
      <c r="R455" s="165"/>
      <c r="S455" s="165"/>
      <c r="T455" s="165"/>
      <c r="U455" s="165"/>
      <c r="V455" s="165"/>
      <c r="W455" s="165"/>
      <c r="X455" s="165"/>
      <c r="Y455" s="165"/>
      <c r="Z455" s="165"/>
    </row>
    <row r="456">
      <c r="A456" s="165"/>
      <c r="B456" s="165"/>
      <c r="C456" s="165"/>
      <c r="D456" s="165"/>
      <c r="E456" s="165"/>
      <c r="F456" s="165"/>
      <c r="G456" s="165"/>
      <c r="H456" s="165"/>
      <c r="I456" s="165"/>
      <c r="J456" s="165"/>
      <c r="K456" s="165"/>
      <c r="L456" s="165"/>
      <c r="M456" s="165"/>
      <c r="N456" s="165"/>
      <c r="O456" s="165"/>
      <c r="P456" s="165"/>
      <c r="Q456" s="165"/>
      <c r="R456" s="165"/>
      <c r="S456" s="165"/>
      <c r="T456" s="165"/>
      <c r="U456" s="165"/>
      <c r="V456" s="165"/>
      <c r="W456" s="165"/>
      <c r="X456" s="165"/>
      <c r="Y456" s="165"/>
      <c r="Z456" s="165"/>
    </row>
    <row r="457">
      <c r="A457" s="165"/>
      <c r="B457" s="165"/>
      <c r="C457" s="165"/>
      <c r="D457" s="165"/>
      <c r="E457" s="165"/>
      <c r="F457" s="165"/>
      <c r="G457" s="165"/>
      <c r="H457" s="165"/>
      <c r="I457" s="165"/>
      <c r="J457" s="165"/>
      <c r="K457" s="165"/>
      <c r="L457" s="165"/>
      <c r="M457" s="165"/>
      <c r="N457" s="165"/>
      <c r="O457" s="165"/>
      <c r="P457" s="165"/>
      <c r="Q457" s="165"/>
      <c r="R457" s="165"/>
      <c r="S457" s="165"/>
      <c r="T457" s="165"/>
      <c r="U457" s="165"/>
      <c r="V457" s="165"/>
      <c r="W457" s="165"/>
      <c r="X457" s="165"/>
      <c r="Y457" s="165"/>
      <c r="Z457" s="165"/>
    </row>
    <row r="458">
      <c r="A458" s="165"/>
      <c r="B458" s="165"/>
      <c r="C458" s="165"/>
      <c r="D458" s="165"/>
      <c r="E458" s="165"/>
      <c r="F458" s="165"/>
      <c r="G458" s="165"/>
      <c r="H458" s="165"/>
      <c r="I458" s="165"/>
      <c r="J458" s="165"/>
      <c r="K458" s="165"/>
      <c r="L458" s="165"/>
      <c r="M458" s="165"/>
      <c r="N458" s="165"/>
      <c r="O458" s="165"/>
      <c r="P458" s="165"/>
      <c r="Q458" s="165"/>
      <c r="R458" s="165"/>
      <c r="S458" s="165"/>
      <c r="T458" s="165"/>
      <c r="U458" s="165"/>
      <c r="V458" s="165"/>
      <c r="W458" s="165"/>
      <c r="X458" s="165"/>
      <c r="Y458" s="165"/>
      <c r="Z458" s="165"/>
    </row>
    <row r="459">
      <c r="A459" s="165"/>
      <c r="B459" s="165"/>
      <c r="C459" s="165"/>
      <c r="D459" s="165"/>
      <c r="E459" s="165"/>
      <c r="F459" s="165"/>
      <c r="G459" s="165"/>
      <c r="H459" s="165"/>
      <c r="I459" s="165"/>
      <c r="J459" s="165"/>
      <c r="K459" s="165"/>
      <c r="L459" s="165"/>
      <c r="M459" s="165"/>
      <c r="N459" s="165"/>
      <c r="O459" s="165"/>
      <c r="P459" s="165"/>
      <c r="Q459" s="165"/>
      <c r="R459" s="165"/>
      <c r="S459" s="165"/>
      <c r="T459" s="165"/>
      <c r="U459" s="165"/>
      <c r="V459" s="165"/>
      <c r="W459" s="165"/>
      <c r="X459" s="165"/>
      <c r="Y459" s="165"/>
      <c r="Z459" s="165"/>
    </row>
    <row r="460">
      <c r="A460" s="165"/>
      <c r="B460" s="165"/>
      <c r="C460" s="165"/>
      <c r="D460" s="165"/>
      <c r="E460" s="165"/>
      <c r="F460" s="165"/>
      <c r="G460" s="165"/>
      <c r="H460" s="165"/>
      <c r="I460" s="165"/>
      <c r="J460" s="165"/>
      <c r="K460" s="165"/>
      <c r="L460" s="165"/>
      <c r="M460" s="165"/>
      <c r="N460" s="165"/>
      <c r="O460" s="165"/>
      <c r="P460" s="165"/>
      <c r="Q460" s="165"/>
      <c r="R460" s="165"/>
      <c r="S460" s="165"/>
      <c r="T460" s="165"/>
      <c r="U460" s="165"/>
      <c r="V460" s="165"/>
      <c r="W460" s="165"/>
      <c r="X460" s="165"/>
      <c r="Y460" s="165"/>
      <c r="Z460" s="165"/>
    </row>
    <row r="461">
      <c r="A461" s="165"/>
      <c r="B461" s="165"/>
      <c r="C461" s="165"/>
      <c r="D461" s="165"/>
      <c r="E461" s="165"/>
      <c r="F461" s="165"/>
      <c r="G461" s="165"/>
      <c r="H461" s="165"/>
      <c r="I461" s="165"/>
      <c r="J461" s="165"/>
      <c r="K461" s="165"/>
      <c r="L461" s="165"/>
      <c r="M461" s="165"/>
      <c r="N461" s="165"/>
      <c r="O461" s="165"/>
      <c r="P461" s="165"/>
      <c r="Q461" s="165"/>
      <c r="R461" s="165"/>
      <c r="S461" s="165"/>
      <c r="T461" s="165"/>
      <c r="U461" s="165"/>
      <c r="V461" s="165"/>
      <c r="W461" s="165"/>
      <c r="X461" s="165"/>
      <c r="Y461" s="165"/>
      <c r="Z461" s="165"/>
    </row>
    <row r="462">
      <c r="A462" s="165"/>
      <c r="B462" s="165"/>
      <c r="C462" s="165"/>
      <c r="D462" s="165"/>
      <c r="E462" s="165"/>
      <c r="F462" s="165"/>
      <c r="G462" s="165"/>
      <c r="H462" s="165"/>
      <c r="I462" s="165"/>
      <c r="J462" s="165"/>
      <c r="K462" s="165"/>
      <c r="L462" s="165"/>
      <c r="M462" s="165"/>
      <c r="N462" s="165"/>
      <c r="O462" s="165"/>
      <c r="P462" s="165"/>
      <c r="Q462" s="165"/>
      <c r="R462" s="165"/>
      <c r="S462" s="165"/>
      <c r="T462" s="165"/>
      <c r="U462" s="165"/>
      <c r="V462" s="165"/>
      <c r="W462" s="165"/>
      <c r="X462" s="165"/>
      <c r="Y462" s="165"/>
      <c r="Z462" s="165"/>
    </row>
    <row r="463">
      <c r="A463" s="165"/>
      <c r="B463" s="165"/>
      <c r="C463" s="165"/>
      <c r="D463" s="165"/>
      <c r="E463" s="165"/>
      <c r="F463" s="165"/>
      <c r="G463" s="165"/>
      <c r="H463" s="165"/>
      <c r="I463" s="165"/>
      <c r="J463" s="165"/>
      <c r="K463" s="165"/>
      <c r="L463" s="165"/>
      <c r="M463" s="165"/>
      <c r="N463" s="165"/>
      <c r="O463" s="165"/>
      <c r="P463" s="165"/>
      <c r="Q463" s="165"/>
      <c r="R463" s="165"/>
      <c r="S463" s="165"/>
      <c r="T463" s="165"/>
      <c r="U463" s="165"/>
      <c r="V463" s="165"/>
      <c r="W463" s="165"/>
      <c r="X463" s="165"/>
      <c r="Y463" s="165"/>
      <c r="Z463" s="165"/>
    </row>
    <row r="464">
      <c r="A464" s="165"/>
      <c r="B464" s="165"/>
      <c r="C464" s="165"/>
      <c r="D464" s="165"/>
      <c r="E464" s="165"/>
      <c r="F464" s="165"/>
      <c r="G464" s="165"/>
      <c r="H464" s="165"/>
      <c r="I464" s="165"/>
      <c r="J464" s="165"/>
      <c r="K464" s="165"/>
      <c r="L464" s="165"/>
      <c r="M464" s="165"/>
      <c r="N464" s="165"/>
      <c r="O464" s="165"/>
      <c r="P464" s="165"/>
      <c r="Q464" s="165"/>
      <c r="R464" s="165"/>
      <c r="S464" s="165"/>
      <c r="T464" s="165"/>
      <c r="U464" s="165"/>
      <c r="V464" s="165"/>
      <c r="W464" s="165"/>
      <c r="X464" s="165"/>
      <c r="Y464" s="165"/>
      <c r="Z464" s="165"/>
    </row>
    <row r="465">
      <c r="A465" s="165"/>
      <c r="B465" s="165"/>
      <c r="C465" s="165"/>
      <c r="D465" s="165"/>
      <c r="E465" s="165"/>
      <c r="F465" s="165"/>
      <c r="G465" s="165"/>
      <c r="H465" s="165"/>
      <c r="I465" s="165"/>
      <c r="J465" s="165"/>
      <c r="K465" s="165"/>
      <c r="L465" s="165"/>
      <c r="M465" s="165"/>
      <c r="N465" s="165"/>
      <c r="O465" s="165"/>
      <c r="P465" s="165"/>
      <c r="Q465" s="165"/>
      <c r="R465" s="165"/>
      <c r="S465" s="165"/>
      <c r="T465" s="165"/>
      <c r="U465" s="165"/>
      <c r="V465" s="165"/>
      <c r="W465" s="165"/>
      <c r="X465" s="165"/>
      <c r="Y465" s="165"/>
      <c r="Z465" s="165"/>
    </row>
    <row r="466">
      <c r="A466" s="165"/>
      <c r="B466" s="165"/>
      <c r="C466" s="165"/>
      <c r="D466" s="165"/>
      <c r="E466" s="165"/>
      <c r="F466" s="165"/>
      <c r="G466" s="165"/>
      <c r="H466" s="165"/>
      <c r="I466" s="165"/>
      <c r="J466" s="165"/>
      <c r="K466" s="165"/>
      <c r="L466" s="165"/>
      <c r="M466" s="165"/>
      <c r="N466" s="165"/>
      <c r="O466" s="165"/>
      <c r="P466" s="165"/>
      <c r="Q466" s="165"/>
      <c r="R466" s="165"/>
      <c r="S466" s="165"/>
      <c r="T466" s="165"/>
      <c r="U466" s="165"/>
      <c r="V466" s="165"/>
      <c r="W466" s="165"/>
      <c r="X466" s="165"/>
      <c r="Y466" s="165"/>
      <c r="Z466" s="165"/>
    </row>
    <row r="467">
      <c r="A467" s="165"/>
      <c r="B467" s="165"/>
      <c r="C467" s="165"/>
      <c r="D467" s="165"/>
      <c r="E467" s="165"/>
      <c r="F467" s="165"/>
      <c r="G467" s="165"/>
      <c r="H467" s="165"/>
      <c r="I467" s="165"/>
      <c r="J467" s="165"/>
      <c r="K467" s="165"/>
      <c r="L467" s="165"/>
      <c r="M467" s="165"/>
      <c r="N467" s="165"/>
      <c r="O467" s="165"/>
      <c r="P467" s="165"/>
      <c r="Q467" s="165"/>
      <c r="R467" s="165"/>
      <c r="S467" s="165"/>
      <c r="T467" s="165"/>
      <c r="U467" s="165"/>
      <c r="V467" s="165"/>
      <c r="W467" s="165"/>
      <c r="X467" s="165"/>
      <c r="Y467" s="165"/>
      <c r="Z467" s="165"/>
    </row>
    <row r="468">
      <c r="A468" s="165"/>
      <c r="B468" s="165"/>
      <c r="C468" s="165"/>
      <c r="D468" s="165"/>
      <c r="E468" s="165"/>
      <c r="F468" s="165"/>
      <c r="G468" s="165"/>
      <c r="H468" s="165"/>
      <c r="I468" s="165"/>
      <c r="J468" s="165"/>
      <c r="K468" s="165"/>
      <c r="L468" s="165"/>
      <c r="M468" s="165"/>
      <c r="N468" s="165"/>
      <c r="O468" s="165"/>
      <c r="P468" s="165"/>
      <c r="Q468" s="165"/>
      <c r="R468" s="165"/>
      <c r="S468" s="165"/>
      <c r="T468" s="165"/>
      <c r="U468" s="165"/>
      <c r="V468" s="165"/>
      <c r="W468" s="165"/>
      <c r="X468" s="165"/>
      <c r="Y468" s="165"/>
      <c r="Z468" s="165"/>
    </row>
    <row r="469">
      <c r="A469" s="165"/>
      <c r="B469" s="165"/>
      <c r="C469" s="165"/>
      <c r="D469" s="165"/>
      <c r="E469" s="165"/>
      <c r="F469" s="165"/>
      <c r="G469" s="165"/>
      <c r="H469" s="165"/>
      <c r="I469" s="165"/>
      <c r="J469" s="165"/>
      <c r="K469" s="165"/>
      <c r="L469" s="165"/>
      <c r="M469" s="165"/>
      <c r="N469" s="165"/>
      <c r="O469" s="165"/>
      <c r="P469" s="165"/>
      <c r="Q469" s="165"/>
      <c r="R469" s="165"/>
      <c r="S469" s="165"/>
      <c r="T469" s="165"/>
      <c r="U469" s="165"/>
      <c r="V469" s="165"/>
      <c r="W469" s="165"/>
      <c r="X469" s="165"/>
      <c r="Y469" s="165"/>
      <c r="Z469" s="165"/>
    </row>
    <row r="470">
      <c r="A470" s="165"/>
      <c r="B470" s="165"/>
      <c r="C470" s="165"/>
      <c r="D470" s="165"/>
      <c r="E470" s="165"/>
      <c r="F470" s="165"/>
      <c r="G470" s="165"/>
      <c r="H470" s="165"/>
      <c r="I470" s="165"/>
      <c r="J470" s="165"/>
      <c r="K470" s="165"/>
      <c r="L470" s="165"/>
      <c r="M470" s="165"/>
      <c r="N470" s="165"/>
      <c r="O470" s="165"/>
      <c r="P470" s="165"/>
      <c r="Q470" s="165"/>
      <c r="R470" s="165"/>
      <c r="S470" s="165"/>
      <c r="T470" s="165"/>
      <c r="U470" s="165"/>
      <c r="V470" s="165"/>
      <c r="W470" s="165"/>
      <c r="X470" s="165"/>
      <c r="Y470" s="165"/>
      <c r="Z470" s="165"/>
    </row>
    <row r="471">
      <c r="A471" s="165"/>
      <c r="B471" s="165"/>
      <c r="C471" s="165"/>
      <c r="D471" s="165"/>
      <c r="E471" s="165"/>
      <c r="F471" s="165"/>
      <c r="G471" s="165"/>
      <c r="H471" s="165"/>
      <c r="I471" s="165"/>
      <c r="J471" s="165"/>
      <c r="K471" s="165"/>
      <c r="L471" s="165"/>
      <c r="M471" s="165"/>
      <c r="N471" s="165"/>
      <c r="O471" s="165"/>
      <c r="P471" s="165"/>
      <c r="Q471" s="165"/>
      <c r="R471" s="165"/>
      <c r="S471" s="165"/>
      <c r="T471" s="165"/>
      <c r="U471" s="165"/>
      <c r="V471" s="165"/>
      <c r="W471" s="165"/>
      <c r="X471" s="165"/>
      <c r="Y471" s="165"/>
      <c r="Z471" s="165"/>
    </row>
    <row r="472">
      <c r="A472" s="165"/>
      <c r="B472" s="165"/>
      <c r="C472" s="165"/>
      <c r="D472" s="165"/>
      <c r="E472" s="165"/>
      <c r="F472" s="165"/>
      <c r="G472" s="165"/>
      <c r="H472" s="165"/>
      <c r="I472" s="165"/>
      <c r="J472" s="165"/>
      <c r="K472" s="165"/>
      <c r="L472" s="165"/>
      <c r="M472" s="165"/>
      <c r="N472" s="165"/>
      <c r="O472" s="165"/>
      <c r="P472" s="165"/>
      <c r="Q472" s="165"/>
      <c r="R472" s="165"/>
      <c r="S472" s="165"/>
      <c r="T472" s="165"/>
      <c r="U472" s="165"/>
      <c r="V472" s="165"/>
      <c r="W472" s="165"/>
      <c r="X472" s="165"/>
      <c r="Y472" s="165"/>
      <c r="Z472" s="165"/>
    </row>
    <row r="473">
      <c r="A473" s="165"/>
      <c r="B473" s="165"/>
      <c r="C473" s="165"/>
      <c r="D473" s="165"/>
      <c r="E473" s="165"/>
      <c r="F473" s="165"/>
      <c r="G473" s="165"/>
      <c r="H473" s="165"/>
      <c r="I473" s="165"/>
      <c r="J473" s="165"/>
      <c r="K473" s="165"/>
      <c r="L473" s="165"/>
      <c r="M473" s="165"/>
      <c r="N473" s="165"/>
      <c r="O473" s="165"/>
      <c r="P473" s="165"/>
      <c r="Q473" s="165"/>
      <c r="R473" s="165"/>
      <c r="S473" s="165"/>
      <c r="T473" s="165"/>
      <c r="U473" s="165"/>
      <c r="V473" s="165"/>
      <c r="W473" s="165"/>
      <c r="X473" s="165"/>
      <c r="Y473" s="165"/>
      <c r="Z473" s="165"/>
    </row>
    <row r="474">
      <c r="A474" s="165"/>
      <c r="B474" s="165"/>
      <c r="C474" s="165"/>
      <c r="D474" s="165"/>
      <c r="E474" s="165"/>
      <c r="F474" s="165"/>
      <c r="G474" s="165"/>
      <c r="H474" s="165"/>
      <c r="I474" s="165"/>
      <c r="J474" s="165"/>
      <c r="K474" s="165"/>
      <c r="L474" s="165"/>
      <c r="M474" s="165"/>
      <c r="N474" s="165"/>
      <c r="O474" s="165"/>
      <c r="P474" s="165"/>
      <c r="Q474" s="165"/>
      <c r="R474" s="165"/>
      <c r="S474" s="165"/>
      <c r="T474" s="165"/>
      <c r="U474" s="165"/>
      <c r="V474" s="165"/>
      <c r="W474" s="165"/>
      <c r="X474" s="165"/>
      <c r="Y474" s="165"/>
      <c r="Z474" s="165"/>
    </row>
    <row r="475">
      <c r="A475" s="165"/>
      <c r="B475" s="165"/>
      <c r="C475" s="165"/>
      <c r="D475" s="165"/>
      <c r="E475" s="165"/>
      <c r="F475" s="165"/>
      <c r="G475" s="165"/>
      <c r="H475" s="165"/>
      <c r="I475" s="165"/>
      <c r="J475" s="165"/>
      <c r="K475" s="165"/>
      <c r="L475" s="165"/>
      <c r="M475" s="165"/>
      <c r="N475" s="165"/>
      <c r="O475" s="165"/>
      <c r="P475" s="165"/>
      <c r="Q475" s="165"/>
      <c r="R475" s="165"/>
      <c r="S475" s="165"/>
      <c r="T475" s="165"/>
      <c r="U475" s="165"/>
      <c r="V475" s="165"/>
      <c r="W475" s="165"/>
      <c r="X475" s="165"/>
      <c r="Y475" s="165"/>
      <c r="Z475" s="165"/>
    </row>
    <row r="476">
      <c r="A476" s="165"/>
      <c r="B476" s="165"/>
      <c r="C476" s="165"/>
      <c r="D476" s="165"/>
      <c r="E476" s="165"/>
      <c r="F476" s="165"/>
      <c r="G476" s="165"/>
      <c r="H476" s="165"/>
      <c r="I476" s="165"/>
      <c r="J476" s="165"/>
      <c r="K476" s="165"/>
      <c r="L476" s="165"/>
      <c r="M476" s="165"/>
      <c r="N476" s="165"/>
      <c r="O476" s="165"/>
      <c r="P476" s="165"/>
      <c r="Q476" s="165"/>
      <c r="R476" s="165"/>
      <c r="S476" s="165"/>
      <c r="T476" s="165"/>
      <c r="U476" s="165"/>
      <c r="V476" s="165"/>
      <c r="W476" s="165"/>
      <c r="X476" s="165"/>
      <c r="Y476" s="165"/>
      <c r="Z476" s="165"/>
    </row>
    <row r="477">
      <c r="A477" s="165"/>
      <c r="B477" s="165"/>
      <c r="C477" s="165"/>
      <c r="D477" s="165"/>
      <c r="E477" s="165"/>
      <c r="F477" s="165"/>
      <c r="G477" s="165"/>
      <c r="H477" s="165"/>
      <c r="I477" s="165"/>
      <c r="J477" s="165"/>
      <c r="K477" s="165"/>
      <c r="L477" s="165"/>
      <c r="M477" s="165"/>
      <c r="N477" s="165"/>
      <c r="O477" s="165"/>
      <c r="P477" s="165"/>
      <c r="Q477" s="165"/>
      <c r="R477" s="165"/>
      <c r="S477" s="165"/>
      <c r="T477" s="165"/>
      <c r="U477" s="165"/>
      <c r="V477" s="165"/>
      <c r="W477" s="165"/>
      <c r="X477" s="165"/>
      <c r="Y477" s="165"/>
      <c r="Z477" s="165"/>
    </row>
    <row r="478">
      <c r="A478" s="165"/>
      <c r="B478" s="165"/>
      <c r="C478" s="165"/>
      <c r="D478" s="165"/>
      <c r="E478" s="165"/>
      <c r="F478" s="165"/>
      <c r="G478" s="165"/>
      <c r="H478" s="165"/>
      <c r="I478" s="165"/>
      <c r="J478" s="165"/>
      <c r="K478" s="165"/>
      <c r="L478" s="165"/>
      <c r="M478" s="165"/>
      <c r="N478" s="165"/>
      <c r="O478" s="165"/>
      <c r="P478" s="165"/>
      <c r="Q478" s="165"/>
      <c r="R478" s="165"/>
      <c r="S478" s="165"/>
      <c r="T478" s="165"/>
      <c r="U478" s="165"/>
      <c r="V478" s="165"/>
      <c r="W478" s="165"/>
      <c r="X478" s="165"/>
      <c r="Y478" s="165"/>
      <c r="Z478" s="165"/>
    </row>
    <row r="479">
      <c r="A479" s="165"/>
      <c r="B479" s="165"/>
      <c r="C479" s="165"/>
      <c r="D479" s="165"/>
      <c r="E479" s="165"/>
      <c r="F479" s="165"/>
      <c r="G479" s="165"/>
      <c r="H479" s="165"/>
      <c r="I479" s="165"/>
      <c r="J479" s="165"/>
      <c r="K479" s="165"/>
      <c r="L479" s="165"/>
      <c r="M479" s="165"/>
      <c r="N479" s="165"/>
      <c r="O479" s="165"/>
      <c r="P479" s="165"/>
      <c r="Q479" s="165"/>
      <c r="R479" s="165"/>
      <c r="S479" s="165"/>
      <c r="T479" s="165"/>
      <c r="U479" s="165"/>
      <c r="V479" s="165"/>
      <c r="W479" s="165"/>
      <c r="X479" s="165"/>
      <c r="Y479" s="165"/>
      <c r="Z479" s="165"/>
    </row>
    <row r="480">
      <c r="A480" s="165"/>
      <c r="B480" s="165"/>
      <c r="C480" s="165"/>
      <c r="D480" s="165"/>
      <c r="E480" s="165"/>
      <c r="F480" s="165"/>
      <c r="G480" s="165"/>
      <c r="H480" s="165"/>
      <c r="I480" s="165"/>
      <c r="J480" s="165"/>
      <c r="K480" s="165"/>
      <c r="L480" s="165"/>
      <c r="M480" s="165"/>
      <c r="N480" s="165"/>
      <c r="O480" s="165"/>
      <c r="P480" s="165"/>
      <c r="Q480" s="165"/>
      <c r="R480" s="165"/>
      <c r="S480" s="165"/>
      <c r="T480" s="165"/>
      <c r="U480" s="165"/>
      <c r="V480" s="165"/>
      <c r="W480" s="165"/>
      <c r="X480" s="165"/>
      <c r="Y480" s="165"/>
      <c r="Z480" s="165"/>
    </row>
    <row r="481">
      <c r="A481" s="165"/>
      <c r="B481" s="165"/>
      <c r="C481" s="165"/>
      <c r="D481" s="165"/>
      <c r="E481" s="165"/>
      <c r="F481" s="165"/>
      <c r="G481" s="165"/>
      <c r="H481" s="165"/>
      <c r="I481" s="165"/>
      <c r="J481" s="165"/>
      <c r="K481" s="165"/>
      <c r="L481" s="165"/>
      <c r="M481" s="165"/>
      <c r="N481" s="165"/>
      <c r="O481" s="165"/>
      <c r="P481" s="165"/>
      <c r="Q481" s="165"/>
      <c r="R481" s="165"/>
      <c r="S481" s="165"/>
      <c r="T481" s="165"/>
      <c r="U481" s="165"/>
      <c r="V481" s="165"/>
      <c r="W481" s="165"/>
      <c r="X481" s="165"/>
      <c r="Y481" s="165"/>
      <c r="Z481" s="165"/>
    </row>
    <row r="482">
      <c r="A482" s="165"/>
      <c r="B482" s="165"/>
      <c r="C482" s="165"/>
      <c r="D482" s="165"/>
      <c r="E482" s="165"/>
      <c r="F482" s="165"/>
      <c r="G482" s="165"/>
      <c r="H482" s="165"/>
      <c r="I482" s="165"/>
      <c r="J482" s="165"/>
      <c r="K482" s="165"/>
      <c r="L482" s="165"/>
      <c r="M482" s="165"/>
      <c r="N482" s="165"/>
      <c r="O482" s="165"/>
      <c r="P482" s="165"/>
      <c r="Q482" s="165"/>
      <c r="R482" s="165"/>
      <c r="S482" s="165"/>
      <c r="T482" s="165"/>
      <c r="U482" s="165"/>
      <c r="V482" s="165"/>
      <c r="W482" s="165"/>
      <c r="X482" s="165"/>
      <c r="Y482" s="165"/>
      <c r="Z482" s="165"/>
    </row>
    <row r="483">
      <c r="A483" s="165"/>
      <c r="B483" s="165"/>
      <c r="C483" s="165"/>
      <c r="D483" s="165"/>
      <c r="E483" s="165"/>
      <c r="F483" s="165"/>
      <c r="G483" s="165"/>
      <c r="H483" s="165"/>
      <c r="I483" s="165"/>
      <c r="J483" s="165"/>
      <c r="K483" s="165"/>
      <c r="L483" s="165"/>
      <c r="M483" s="165"/>
      <c r="N483" s="165"/>
      <c r="O483" s="165"/>
      <c r="P483" s="165"/>
      <c r="Q483" s="165"/>
      <c r="R483" s="165"/>
      <c r="S483" s="165"/>
      <c r="T483" s="165"/>
      <c r="U483" s="165"/>
      <c r="V483" s="165"/>
      <c r="W483" s="165"/>
      <c r="X483" s="165"/>
      <c r="Y483" s="165"/>
      <c r="Z483" s="165"/>
    </row>
    <row r="484">
      <c r="A484" s="165"/>
      <c r="B484" s="165"/>
      <c r="C484" s="165"/>
      <c r="D484" s="165"/>
      <c r="E484" s="165"/>
      <c r="F484" s="165"/>
      <c r="G484" s="165"/>
      <c r="H484" s="165"/>
      <c r="I484" s="165"/>
      <c r="J484" s="165"/>
      <c r="K484" s="165"/>
      <c r="L484" s="165"/>
      <c r="M484" s="165"/>
      <c r="N484" s="165"/>
      <c r="O484" s="165"/>
      <c r="P484" s="165"/>
      <c r="Q484" s="165"/>
      <c r="R484" s="165"/>
      <c r="S484" s="165"/>
      <c r="T484" s="165"/>
      <c r="U484" s="165"/>
      <c r="V484" s="165"/>
      <c r="W484" s="165"/>
      <c r="X484" s="165"/>
      <c r="Y484" s="165"/>
      <c r="Z484" s="165"/>
    </row>
    <row r="485">
      <c r="A485" s="165"/>
      <c r="B485" s="165"/>
      <c r="C485" s="165"/>
      <c r="D485" s="165"/>
      <c r="E485" s="165"/>
      <c r="F485" s="165"/>
      <c r="G485" s="165"/>
      <c r="H485" s="165"/>
      <c r="I485" s="165"/>
      <c r="J485" s="165"/>
      <c r="K485" s="165"/>
      <c r="L485" s="165"/>
      <c r="M485" s="165"/>
      <c r="N485" s="165"/>
      <c r="O485" s="165"/>
      <c r="P485" s="165"/>
      <c r="Q485" s="165"/>
      <c r="R485" s="165"/>
      <c r="S485" s="165"/>
      <c r="T485" s="165"/>
      <c r="U485" s="165"/>
      <c r="V485" s="165"/>
      <c r="W485" s="165"/>
      <c r="X485" s="165"/>
      <c r="Y485" s="165"/>
      <c r="Z485" s="165"/>
    </row>
    <row r="486">
      <c r="A486" s="165"/>
      <c r="B486" s="165"/>
      <c r="C486" s="165"/>
      <c r="D486" s="165"/>
      <c r="E486" s="165"/>
      <c r="F486" s="165"/>
      <c r="G486" s="165"/>
      <c r="H486" s="165"/>
      <c r="I486" s="165"/>
      <c r="J486" s="165"/>
      <c r="K486" s="165"/>
      <c r="L486" s="165"/>
      <c r="M486" s="165"/>
      <c r="N486" s="165"/>
      <c r="O486" s="165"/>
      <c r="P486" s="165"/>
      <c r="Q486" s="165"/>
      <c r="R486" s="165"/>
      <c r="S486" s="165"/>
      <c r="T486" s="165"/>
      <c r="U486" s="165"/>
      <c r="V486" s="165"/>
      <c r="W486" s="165"/>
      <c r="X486" s="165"/>
      <c r="Y486" s="165"/>
      <c r="Z486" s="165"/>
    </row>
    <row r="487">
      <c r="A487" s="165"/>
      <c r="B487" s="165"/>
      <c r="C487" s="165"/>
      <c r="D487" s="165"/>
      <c r="E487" s="165"/>
      <c r="F487" s="165"/>
      <c r="G487" s="165"/>
      <c r="H487" s="165"/>
      <c r="I487" s="165"/>
      <c r="J487" s="165"/>
      <c r="K487" s="165"/>
      <c r="L487" s="165"/>
      <c r="M487" s="165"/>
      <c r="N487" s="165"/>
      <c r="O487" s="165"/>
      <c r="P487" s="165"/>
      <c r="Q487" s="165"/>
      <c r="R487" s="165"/>
      <c r="S487" s="165"/>
      <c r="T487" s="165"/>
      <c r="U487" s="165"/>
      <c r="V487" s="165"/>
      <c r="W487" s="165"/>
      <c r="X487" s="165"/>
      <c r="Y487" s="165"/>
      <c r="Z487" s="165"/>
    </row>
    <row r="488">
      <c r="A488" s="165"/>
      <c r="B488" s="165"/>
      <c r="C488" s="165"/>
      <c r="D488" s="165"/>
      <c r="E488" s="165"/>
      <c r="F488" s="165"/>
      <c r="G488" s="165"/>
      <c r="H488" s="165"/>
      <c r="I488" s="165"/>
      <c r="J488" s="165"/>
      <c r="K488" s="165"/>
      <c r="L488" s="165"/>
      <c r="M488" s="165"/>
      <c r="N488" s="165"/>
      <c r="O488" s="165"/>
      <c r="P488" s="165"/>
      <c r="Q488" s="165"/>
      <c r="R488" s="165"/>
      <c r="S488" s="165"/>
      <c r="T488" s="165"/>
      <c r="U488" s="165"/>
      <c r="V488" s="165"/>
      <c r="W488" s="165"/>
      <c r="X488" s="165"/>
      <c r="Y488" s="165"/>
      <c r="Z488" s="165"/>
    </row>
    <row r="489">
      <c r="A489" s="165"/>
      <c r="B489" s="165"/>
      <c r="C489" s="165"/>
      <c r="D489" s="165"/>
      <c r="E489" s="165"/>
      <c r="F489" s="165"/>
      <c r="G489" s="165"/>
      <c r="H489" s="165"/>
      <c r="I489" s="165"/>
      <c r="J489" s="165"/>
      <c r="K489" s="165"/>
      <c r="L489" s="165"/>
      <c r="M489" s="165"/>
      <c r="N489" s="165"/>
      <c r="O489" s="165"/>
      <c r="P489" s="165"/>
      <c r="Q489" s="165"/>
      <c r="R489" s="165"/>
      <c r="S489" s="165"/>
      <c r="T489" s="165"/>
      <c r="U489" s="165"/>
      <c r="V489" s="165"/>
      <c r="W489" s="165"/>
      <c r="X489" s="165"/>
      <c r="Y489" s="165"/>
      <c r="Z489" s="165"/>
    </row>
    <row r="490">
      <c r="A490" s="165"/>
      <c r="B490" s="165"/>
      <c r="C490" s="165"/>
      <c r="D490" s="165"/>
      <c r="E490" s="165"/>
      <c r="F490" s="165"/>
      <c r="G490" s="165"/>
      <c r="H490" s="165"/>
      <c r="I490" s="165"/>
      <c r="J490" s="165"/>
      <c r="K490" s="165"/>
      <c r="L490" s="165"/>
      <c r="M490" s="165"/>
      <c r="N490" s="165"/>
      <c r="O490" s="165"/>
      <c r="P490" s="165"/>
      <c r="Q490" s="165"/>
      <c r="R490" s="165"/>
      <c r="S490" s="165"/>
      <c r="T490" s="165"/>
      <c r="U490" s="165"/>
      <c r="V490" s="165"/>
      <c r="W490" s="165"/>
      <c r="X490" s="165"/>
      <c r="Y490" s="165"/>
      <c r="Z490" s="165"/>
    </row>
    <row r="491">
      <c r="A491" s="165"/>
      <c r="B491" s="165"/>
      <c r="C491" s="165"/>
      <c r="D491" s="165"/>
      <c r="E491" s="165"/>
      <c r="F491" s="165"/>
      <c r="G491" s="165"/>
      <c r="H491" s="165"/>
      <c r="I491" s="165"/>
      <c r="J491" s="165"/>
      <c r="K491" s="165"/>
      <c r="L491" s="165"/>
      <c r="M491" s="165"/>
      <c r="N491" s="165"/>
      <c r="O491" s="165"/>
      <c r="P491" s="165"/>
      <c r="Q491" s="165"/>
      <c r="R491" s="165"/>
      <c r="S491" s="165"/>
      <c r="T491" s="165"/>
      <c r="U491" s="165"/>
      <c r="V491" s="165"/>
      <c r="W491" s="165"/>
      <c r="X491" s="165"/>
      <c r="Y491" s="165"/>
      <c r="Z491" s="165"/>
    </row>
    <row r="492">
      <c r="A492" s="165"/>
      <c r="B492" s="165"/>
      <c r="C492" s="165"/>
      <c r="D492" s="165"/>
      <c r="E492" s="165"/>
      <c r="F492" s="165"/>
      <c r="G492" s="165"/>
      <c r="H492" s="165"/>
      <c r="I492" s="165"/>
      <c r="J492" s="165"/>
      <c r="K492" s="165"/>
      <c r="L492" s="165"/>
      <c r="M492" s="165"/>
      <c r="N492" s="165"/>
      <c r="O492" s="165"/>
      <c r="P492" s="165"/>
      <c r="Q492" s="165"/>
      <c r="R492" s="165"/>
      <c r="S492" s="165"/>
      <c r="T492" s="165"/>
      <c r="U492" s="165"/>
      <c r="V492" s="165"/>
      <c r="W492" s="165"/>
      <c r="X492" s="165"/>
      <c r="Y492" s="165"/>
      <c r="Z492" s="165"/>
    </row>
    <row r="493">
      <c r="A493" s="165"/>
      <c r="B493" s="165"/>
      <c r="C493" s="165"/>
      <c r="D493" s="165"/>
      <c r="E493" s="165"/>
      <c r="F493" s="165"/>
      <c r="G493" s="165"/>
      <c r="H493" s="165"/>
      <c r="I493" s="165"/>
      <c r="J493" s="165"/>
      <c r="K493" s="165"/>
      <c r="L493" s="165"/>
      <c r="M493" s="165"/>
      <c r="N493" s="165"/>
      <c r="O493" s="165"/>
      <c r="P493" s="165"/>
      <c r="Q493" s="165"/>
      <c r="R493" s="165"/>
      <c r="S493" s="165"/>
      <c r="T493" s="165"/>
      <c r="U493" s="165"/>
      <c r="V493" s="165"/>
      <c r="W493" s="165"/>
      <c r="X493" s="165"/>
      <c r="Y493" s="165"/>
      <c r="Z493" s="165"/>
    </row>
    <row r="494">
      <c r="A494" s="165"/>
      <c r="B494" s="165"/>
      <c r="C494" s="165"/>
      <c r="D494" s="165"/>
      <c r="E494" s="165"/>
      <c r="F494" s="165"/>
      <c r="G494" s="165"/>
      <c r="H494" s="165"/>
      <c r="I494" s="165"/>
      <c r="J494" s="165"/>
      <c r="K494" s="165"/>
      <c r="L494" s="165"/>
      <c r="M494" s="165"/>
      <c r="N494" s="165"/>
      <c r="O494" s="165"/>
      <c r="P494" s="165"/>
      <c r="Q494" s="165"/>
      <c r="R494" s="165"/>
      <c r="S494" s="165"/>
      <c r="T494" s="165"/>
      <c r="U494" s="165"/>
      <c r="V494" s="165"/>
      <c r="W494" s="165"/>
      <c r="X494" s="165"/>
      <c r="Y494" s="165"/>
      <c r="Z494" s="165"/>
    </row>
    <row r="495">
      <c r="A495" s="165"/>
      <c r="B495" s="165"/>
      <c r="C495" s="165"/>
      <c r="D495" s="165"/>
      <c r="E495" s="165"/>
      <c r="F495" s="165"/>
      <c r="G495" s="165"/>
      <c r="H495" s="165"/>
      <c r="I495" s="165"/>
      <c r="J495" s="165"/>
      <c r="K495" s="165"/>
      <c r="L495" s="165"/>
      <c r="M495" s="165"/>
      <c r="N495" s="165"/>
      <c r="O495" s="165"/>
      <c r="P495" s="165"/>
      <c r="Q495" s="165"/>
      <c r="R495" s="165"/>
      <c r="S495" s="165"/>
      <c r="T495" s="165"/>
      <c r="U495" s="165"/>
      <c r="V495" s="165"/>
      <c r="W495" s="165"/>
      <c r="X495" s="165"/>
      <c r="Y495" s="165"/>
      <c r="Z495" s="165"/>
    </row>
    <row r="496">
      <c r="A496" s="165"/>
      <c r="B496" s="165"/>
      <c r="C496" s="165"/>
      <c r="D496" s="165"/>
      <c r="E496" s="165"/>
      <c r="F496" s="165"/>
      <c r="G496" s="165"/>
      <c r="H496" s="165"/>
      <c r="I496" s="165"/>
      <c r="J496" s="165"/>
      <c r="K496" s="165"/>
      <c r="L496" s="165"/>
      <c r="M496" s="165"/>
      <c r="N496" s="165"/>
      <c r="O496" s="165"/>
      <c r="P496" s="165"/>
      <c r="Q496" s="165"/>
      <c r="R496" s="165"/>
      <c r="S496" s="165"/>
      <c r="T496" s="165"/>
      <c r="U496" s="165"/>
      <c r="V496" s="165"/>
      <c r="W496" s="165"/>
      <c r="X496" s="165"/>
      <c r="Y496" s="165"/>
      <c r="Z496" s="165"/>
    </row>
    <row r="497">
      <c r="A497" s="165"/>
      <c r="B497" s="165"/>
      <c r="C497" s="165"/>
      <c r="D497" s="165"/>
      <c r="E497" s="165"/>
      <c r="F497" s="165"/>
      <c r="G497" s="165"/>
      <c r="H497" s="165"/>
      <c r="I497" s="165"/>
      <c r="J497" s="165"/>
      <c r="K497" s="165"/>
      <c r="L497" s="165"/>
      <c r="M497" s="165"/>
      <c r="N497" s="165"/>
      <c r="O497" s="165"/>
      <c r="P497" s="165"/>
      <c r="Q497" s="165"/>
      <c r="R497" s="165"/>
      <c r="S497" s="165"/>
      <c r="T497" s="165"/>
      <c r="U497" s="165"/>
      <c r="V497" s="165"/>
      <c r="W497" s="165"/>
      <c r="X497" s="165"/>
      <c r="Y497" s="165"/>
      <c r="Z497" s="165"/>
    </row>
    <row r="498">
      <c r="A498" s="165"/>
      <c r="B498" s="165"/>
      <c r="C498" s="165"/>
      <c r="D498" s="165"/>
      <c r="E498" s="165"/>
      <c r="F498" s="165"/>
      <c r="G498" s="165"/>
      <c r="H498" s="165"/>
      <c r="I498" s="165"/>
      <c r="J498" s="165"/>
      <c r="K498" s="165"/>
      <c r="L498" s="165"/>
      <c r="M498" s="165"/>
      <c r="N498" s="165"/>
      <c r="O498" s="165"/>
      <c r="P498" s="165"/>
      <c r="Q498" s="165"/>
      <c r="R498" s="165"/>
      <c r="S498" s="165"/>
      <c r="T498" s="165"/>
      <c r="U498" s="165"/>
      <c r="V498" s="165"/>
      <c r="W498" s="165"/>
      <c r="X498" s="165"/>
      <c r="Y498" s="165"/>
      <c r="Z498" s="165"/>
    </row>
    <row r="499">
      <c r="A499" s="165"/>
      <c r="B499" s="165"/>
      <c r="C499" s="165"/>
      <c r="D499" s="165"/>
      <c r="E499" s="165"/>
      <c r="F499" s="165"/>
      <c r="G499" s="165"/>
      <c r="H499" s="165"/>
      <c r="I499" s="165"/>
      <c r="J499" s="165"/>
      <c r="K499" s="165"/>
      <c r="L499" s="165"/>
      <c r="M499" s="165"/>
      <c r="N499" s="165"/>
      <c r="O499" s="165"/>
      <c r="P499" s="165"/>
      <c r="Q499" s="165"/>
      <c r="R499" s="165"/>
      <c r="S499" s="165"/>
      <c r="T499" s="165"/>
      <c r="U499" s="165"/>
      <c r="V499" s="165"/>
      <c r="W499" s="165"/>
      <c r="X499" s="165"/>
      <c r="Y499" s="165"/>
      <c r="Z499" s="165"/>
    </row>
    <row r="500">
      <c r="A500" s="165"/>
      <c r="B500" s="165"/>
      <c r="C500" s="165"/>
      <c r="D500" s="165"/>
      <c r="E500" s="165"/>
      <c r="F500" s="165"/>
      <c r="G500" s="165"/>
      <c r="H500" s="165"/>
      <c r="I500" s="165"/>
      <c r="J500" s="165"/>
      <c r="K500" s="165"/>
      <c r="L500" s="165"/>
      <c r="M500" s="165"/>
      <c r="N500" s="165"/>
      <c r="O500" s="165"/>
      <c r="P500" s="165"/>
      <c r="Q500" s="165"/>
      <c r="R500" s="165"/>
      <c r="S500" s="165"/>
      <c r="T500" s="165"/>
      <c r="U500" s="165"/>
      <c r="V500" s="165"/>
      <c r="W500" s="165"/>
      <c r="X500" s="165"/>
      <c r="Y500" s="165"/>
      <c r="Z500" s="165"/>
    </row>
    <row r="501">
      <c r="A501" s="165"/>
      <c r="B501" s="165"/>
      <c r="C501" s="165"/>
      <c r="D501" s="165"/>
      <c r="E501" s="165"/>
      <c r="F501" s="165"/>
      <c r="G501" s="165"/>
      <c r="H501" s="165"/>
      <c r="I501" s="165"/>
      <c r="J501" s="165"/>
      <c r="K501" s="165"/>
      <c r="L501" s="165"/>
      <c r="M501" s="165"/>
      <c r="N501" s="165"/>
      <c r="O501" s="165"/>
      <c r="P501" s="165"/>
      <c r="Q501" s="165"/>
      <c r="R501" s="165"/>
      <c r="S501" s="165"/>
      <c r="T501" s="165"/>
      <c r="U501" s="165"/>
      <c r="V501" s="165"/>
      <c r="W501" s="165"/>
      <c r="X501" s="165"/>
      <c r="Y501" s="165"/>
      <c r="Z501" s="165"/>
    </row>
    <row r="502">
      <c r="A502" s="165"/>
      <c r="B502" s="165"/>
      <c r="C502" s="165"/>
      <c r="D502" s="165"/>
      <c r="E502" s="165"/>
      <c r="F502" s="165"/>
      <c r="G502" s="165"/>
      <c r="H502" s="165"/>
      <c r="I502" s="165"/>
      <c r="J502" s="165"/>
      <c r="K502" s="165"/>
      <c r="L502" s="165"/>
      <c r="M502" s="165"/>
      <c r="N502" s="165"/>
      <c r="O502" s="165"/>
      <c r="P502" s="165"/>
      <c r="Q502" s="165"/>
      <c r="R502" s="165"/>
      <c r="S502" s="165"/>
      <c r="T502" s="165"/>
      <c r="U502" s="165"/>
      <c r="V502" s="165"/>
      <c r="W502" s="165"/>
      <c r="X502" s="165"/>
      <c r="Y502" s="165"/>
      <c r="Z502" s="165"/>
    </row>
    <row r="503">
      <c r="A503" s="165"/>
      <c r="B503" s="165"/>
      <c r="C503" s="165"/>
      <c r="D503" s="165"/>
      <c r="E503" s="165"/>
      <c r="F503" s="165"/>
      <c r="G503" s="165"/>
      <c r="H503" s="165"/>
      <c r="I503" s="165"/>
      <c r="J503" s="165"/>
      <c r="K503" s="165"/>
      <c r="L503" s="165"/>
      <c r="M503" s="165"/>
      <c r="N503" s="165"/>
      <c r="O503" s="165"/>
      <c r="P503" s="165"/>
      <c r="Q503" s="165"/>
      <c r="R503" s="165"/>
      <c r="S503" s="165"/>
      <c r="T503" s="165"/>
      <c r="U503" s="165"/>
      <c r="V503" s="165"/>
      <c r="W503" s="165"/>
      <c r="X503" s="165"/>
      <c r="Y503" s="165"/>
      <c r="Z503" s="165"/>
    </row>
    <row r="504">
      <c r="A504" s="165"/>
      <c r="B504" s="165"/>
      <c r="C504" s="165"/>
      <c r="D504" s="165"/>
      <c r="E504" s="165"/>
      <c r="F504" s="165"/>
      <c r="G504" s="165"/>
      <c r="H504" s="165"/>
      <c r="I504" s="165"/>
      <c r="J504" s="165"/>
      <c r="K504" s="165"/>
      <c r="L504" s="165"/>
      <c r="M504" s="165"/>
      <c r="N504" s="165"/>
      <c r="O504" s="165"/>
      <c r="P504" s="165"/>
      <c r="Q504" s="165"/>
      <c r="R504" s="165"/>
      <c r="S504" s="165"/>
      <c r="T504" s="165"/>
      <c r="U504" s="165"/>
      <c r="V504" s="165"/>
      <c r="W504" s="165"/>
      <c r="X504" s="165"/>
      <c r="Y504" s="165"/>
      <c r="Z504" s="165"/>
    </row>
    <row r="505">
      <c r="A505" s="165"/>
      <c r="B505" s="165"/>
      <c r="C505" s="165"/>
      <c r="D505" s="165"/>
      <c r="E505" s="165"/>
      <c r="F505" s="165"/>
      <c r="G505" s="165"/>
      <c r="H505" s="165"/>
      <c r="I505" s="165"/>
      <c r="J505" s="165"/>
      <c r="K505" s="165"/>
      <c r="L505" s="165"/>
      <c r="M505" s="165"/>
      <c r="N505" s="165"/>
      <c r="O505" s="165"/>
      <c r="P505" s="165"/>
      <c r="Q505" s="165"/>
      <c r="R505" s="165"/>
      <c r="S505" s="165"/>
      <c r="T505" s="165"/>
      <c r="U505" s="165"/>
      <c r="V505" s="165"/>
      <c r="W505" s="165"/>
      <c r="X505" s="165"/>
      <c r="Y505" s="165"/>
      <c r="Z505" s="165"/>
    </row>
    <row r="506">
      <c r="A506" s="165"/>
      <c r="B506" s="165"/>
      <c r="C506" s="165"/>
      <c r="D506" s="165"/>
      <c r="E506" s="165"/>
      <c r="F506" s="165"/>
      <c r="G506" s="165"/>
      <c r="H506" s="165"/>
      <c r="I506" s="165"/>
      <c r="J506" s="165"/>
      <c r="K506" s="165"/>
      <c r="L506" s="165"/>
      <c r="M506" s="165"/>
      <c r="N506" s="165"/>
      <c r="O506" s="165"/>
      <c r="P506" s="165"/>
      <c r="Q506" s="165"/>
      <c r="R506" s="165"/>
      <c r="S506" s="165"/>
      <c r="T506" s="165"/>
      <c r="U506" s="165"/>
      <c r="V506" s="165"/>
      <c r="W506" s="165"/>
      <c r="X506" s="165"/>
      <c r="Y506" s="165"/>
      <c r="Z506" s="165"/>
    </row>
    <row r="507">
      <c r="A507" s="165"/>
      <c r="B507" s="165"/>
      <c r="C507" s="165"/>
      <c r="D507" s="165"/>
      <c r="E507" s="165"/>
      <c r="F507" s="165"/>
      <c r="G507" s="165"/>
      <c r="H507" s="165"/>
      <c r="I507" s="165"/>
      <c r="J507" s="165"/>
      <c r="K507" s="165"/>
      <c r="L507" s="165"/>
      <c r="M507" s="165"/>
      <c r="N507" s="165"/>
      <c r="O507" s="165"/>
      <c r="P507" s="165"/>
      <c r="Q507" s="165"/>
      <c r="R507" s="165"/>
      <c r="S507" s="165"/>
      <c r="T507" s="165"/>
      <c r="U507" s="165"/>
      <c r="V507" s="165"/>
      <c r="W507" s="165"/>
      <c r="X507" s="165"/>
      <c r="Y507" s="165"/>
      <c r="Z507" s="165"/>
    </row>
    <row r="508">
      <c r="A508" s="165"/>
      <c r="B508" s="165"/>
      <c r="C508" s="165"/>
      <c r="D508" s="165"/>
      <c r="E508" s="165"/>
      <c r="F508" s="165"/>
      <c r="G508" s="165"/>
      <c r="H508" s="165"/>
      <c r="I508" s="165"/>
      <c r="J508" s="165"/>
      <c r="K508" s="165"/>
      <c r="L508" s="165"/>
      <c r="M508" s="165"/>
      <c r="N508" s="165"/>
      <c r="O508" s="165"/>
      <c r="P508" s="165"/>
      <c r="Q508" s="165"/>
      <c r="R508" s="165"/>
      <c r="S508" s="165"/>
      <c r="T508" s="165"/>
      <c r="U508" s="165"/>
      <c r="V508" s="165"/>
      <c r="W508" s="165"/>
      <c r="X508" s="165"/>
      <c r="Y508" s="165"/>
      <c r="Z508" s="165"/>
    </row>
    <row r="509">
      <c r="A509" s="165"/>
      <c r="B509" s="165"/>
      <c r="C509" s="165"/>
      <c r="D509" s="165"/>
      <c r="E509" s="165"/>
      <c r="F509" s="165"/>
      <c r="G509" s="165"/>
      <c r="H509" s="165"/>
      <c r="I509" s="165"/>
      <c r="J509" s="165"/>
      <c r="K509" s="165"/>
      <c r="L509" s="165"/>
      <c r="M509" s="165"/>
      <c r="N509" s="165"/>
      <c r="O509" s="165"/>
      <c r="P509" s="165"/>
      <c r="Q509" s="165"/>
      <c r="R509" s="165"/>
      <c r="S509" s="165"/>
      <c r="T509" s="165"/>
      <c r="U509" s="165"/>
      <c r="V509" s="165"/>
      <c r="W509" s="165"/>
      <c r="X509" s="165"/>
      <c r="Y509" s="165"/>
      <c r="Z509" s="165"/>
    </row>
    <row r="510">
      <c r="A510" s="165"/>
      <c r="B510" s="165"/>
      <c r="C510" s="165"/>
      <c r="D510" s="165"/>
      <c r="E510" s="165"/>
      <c r="F510" s="165"/>
      <c r="G510" s="165"/>
      <c r="H510" s="165"/>
      <c r="I510" s="165"/>
      <c r="J510" s="165"/>
      <c r="K510" s="165"/>
      <c r="L510" s="165"/>
      <c r="M510" s="165"/>
      <c r="N510" s="165"/>
      <c r="O510" s="165"/>
      <c r="P510" s="165"/>
      <c r="Q510" s="165"/>
      <c r="R510" s="165"/>
      <c r="S510" s="165"/>
      <c r="T510" s="165"/>
      <c r="U510" s="165"/>
      <c r="V510" s="165"/>
      <c r="W510" s="165"/>
      <c r="X510" s="165"/>
      <c r="Y510" s="165"/>
      <c r="Z510" s="165"/>
    </row>
    <row r="511">
      <c r="A511" s="165"/>
      <c r="B511" s="165"/>
      <c r="C511" s="165"/>
      <c r="D511" s="165"/>
      <c r="E511" s="165"/>
      <c r="F511" s="165"/>
      <c r="G511" s="165"/>
      <c r="H511" s="165"/>
      <c r="I511" s="165"/>
      <c r="J511" s="165"/>
      <c r="K511" s="165"/>
      <c r="L511" s="165"/>
      <c r="M511" s="165"/>
      <c r="N511" s="165"/>
      <c r="O511" s="165"/>
      <c r="P511" s="165"/>
      <c r="Q511" s="165"/>
      <c r="R511" s="165"/>
      <c r="S511" s="165"/>
      <c r="T511" s="165"/>
      <c r="U511" s="165"/>
      <c r="V511" s="165"/>
      <c r="W511" s="165"/>
      <c r="X511" s="165"/>
      <c r="Y511" s="165"/>
      <c r="Z511" s="165"/>
    </row>
    <row r="512">
      <c r="A512" s="165"/>
      <c r="B512" s="165"/>
      <c r="C512" s="165"/>
      <c r="D512" s="165"/>
      <c r="E512" s="165"/>
      <c r="F512" s="165"/>
      <c r="G512" s="165"/>
      <c r="H512" s="165"/>
      <c r="I512" s="165"/>
      <c r="J512" s="165"/>
      <c r="K512" s="165"/>
      <c r="L512" s="165"/>
      <c r="M512" s="165"/>
      <c r="N512" s="165"/>
      <c r="O512" s="165"/>
      <c r="P512" s="165"/>
      <c r="Q512" s="165"/>
      <c r="R512" s="165"/>
      <c r="S512" s="165"/>
      <c r="T512" s="165"/>
      <c r="U512" s="165"/>
      <c r="V512" s="165"/>
      <c r="W512" s="165"/>
      <c r="X512" s="165"/>
      <c r="Y512" s="165"/>
      <c r="Z512" s="165"/>
    </row>
    <row r="513">
      <c r="A513" s="165"/>
      <c r="B513" s="165"/>
      <c r="C513" s="165"/>
      <c r="D513" s="165"/>
      <c r="E513" s="165"/>
      <c r="F513" s="165"/>
      <c r="G513" s="165"/>
      <c r="H513" s="165"/>
      <c r="I513" s="165"/>
      <c r="J513" s="165"/>
      <c r="K513" s="165"/>
      <c r="L513" s="165"/>
      <c r="M513" s="165"/>
      <c r="N513" s="165"/>
      <c r="O513" s="165"/>
      <c r="P513" s="165"/>
      <c r="Q513" s="165"/>
      <c r="R513" s="165"/>
      <c r="S513" s="165"/>
      <c r="T513" s="165"/>
      <c r="U513" s="165"/>
      <c r="V513" s="165"/>
      <c r="W513" s="165"/>
      <c r="X513" s="165"/>
      <c r="Y513" s="165"/>
      <c r="Z513" s="165"/>
    </row>
    <row r="514">
      <c r="A514" s="165"/>
      <c r="B514" s="165"/>
      <c r="C514" s="165"/>
      <c r="D514" s="165"/>
      <c r="E514" s="165"/>
      <c r="F514" s="165"/>
      <c r="G514" s="165"/>
      <c r="H514" s="165"/>
      <c r="I514" s="165"/>
      <c r="J514" s="165"/>
      <c r="K514" s="165"/>
      <c r="L514" s="165"/>
      <c r="M514" s="165"/>
      <c r="N514" s="165"/>
      <c r="O514" s="165"/>
      <c r="P514" s="165"/>
      <c r="Q514" s="165"/>
      <c r="R514" s="165"/>
      <c r="S514" s="165"/>
      <c r="T514" s="165"/>
      <c r="U514" s="165"/>
      <c r="V514" s="165"/>
      <c r="W514" s="165"/>
      <c r="X514" s="165"/>
      <c r="Y514" s="165"/>
      <c r="Z514" s="165"/>
    </row>
    <row r="515">
      <c r="A515" s="165"/>
      <c r="B515" s="165"/>
      <c r="C515" s="165"/>
      <c r="D515" s="165"/>
      <c r="E515" s="165"/>
      <c r="F515" s="165"/>
      <c r="G515" s="165"/>
      <c r="H515" s="165"/>
      <c r="I515" s="165"/>
      <c r="J515" s="165"/>
      <c r="K515" s="165"/>
      <c r="L515" s="165"/>
      <c r="M515" s="165"/>
      <c r="N515" s="165"/>
      <c r="O515" s="165"/>
      <c r="P515" s="165"/>
      <c r="Q515" s="165"/>
      <c r="R515" s="165"/>
      <c r="S515" s="165"/>
      <c r="T515" s="165"/>
      <c r="U515" s="165"/>
      <c r="V515" s="165"/>
      <c r="W515" s="165"/>
      <c r="X515" s="165"/>
      <c r="Y515" s="165"/>
      <c r="Z515" s="165"/>
    </row>
    <row r="516">
      <c r="A516" s="165"/>
      <c r="B516" s="165"/>
      <c r="C516" s="165"/>
      <c r="D516" s="165"/>
      <c r="E516" s="165"/>
      <c r="F516" s="165"/>
      <c r="G516" s="165"/>
      <c r="H516" s="165"/>
      <c r="I516" s="165"/>
      <c r="J516" s="165"/>
      <c r="K516" s="165"/>
      <c r="L516" s="165"/>
      <c r="M516" s="165"/>
      <c r="N516" s="165"/>
      <c r="O516" s="165"/>
      <c r="P516" s="165"/>
      <c r="Q516" s="165"/>
      <c r="R516" s="165"/>
      <c r="S516" s="165"/>
      <c r="T516" s="165"/>
      <c r="U516" s="165"/>
      <c r="V516" s="165"/>
      <c r="W516" s="165"/>
      <c r="X516" s="165"/>
      <c r="Y516" s="165"/>
      <c r="Z516" s="165"/>
    </row>
    <row r="517">
      <c r="A517" s="165"/>
      <c r="B517" s="165"/>
      <c r="C517" s="165"/>
      <c r="D517" s="165"/>
      <c r="E517" s="165"/>
      <c r="F517" s="165"/>
      <c r="G517" s="165"/>
      <c r="H517" s="165"/>
      <c r="I517" s="165"/>
      <c r="J517" s="165"/>
      <c r="K517" s="165"/>
      <c r="L517" s="165"/>
      <c r="M517" s="165"/>
      <c r="N517" s="165"/>
      <c r="O517" s="165"/>
      <c r="P517" s="165"/>
      <c r="Q517" s="165"/>
      <c r="R517" s="165"/>
      <c r="S517" s="165"/>
      <c r="T517" s="165"/>
      <c r="U517" s="165"/>
      <c r="V517" s="165"/>
      <c r="W517" s="165"/>
      <c r="X517" s="165"/>
      <c r="Y517" s="165"/>
      <c r="Z517" s="165"/>
    </row>
    <row r="518">
      <c r="A518" s="165"/>
      <c r="B518" s="165"/>
      <c r="C518" s="165"/>
      <c r="D518" s="165"/>
      <c r="E518" s="165"/>
      <c r="F518" s="165"/>
      <c r="G518" s="165"/>
      <c r="H518" s="165"/>
      <c r="I518" s="165"/>
      <c r="J518" s="165"/>
      <c r="K518" s="165"/>
      <c r="L518" s="165"/>
      <c r="M518" s="165"/>
      <c r="N518" s="165"/>
      <c r="O518" s="165"/>
      <c r="P518" s="165"/>
      <c r="Q518" s="165"/>
      <c r="R518" s="165"/>
      <c r="S518" s="165"/>
      <c r="T518" s="165"/>
      <c r="U518" s="165"/>
      <c r="V518" s="165"/>
      <c r="W518" s="165"/>
      <c r="X518" s="165"/>
      <c r="Y518" s="165"/>
      <c r="Z518" s="165"/>
    </row>
    <row r="519">
      <c r="A519" s="165"/>
      <c r="B519" s="165"/>
      <c r="C519" s="165"/>
      <c r="D519" s="165"/>
      <c r="E519" s="165"/>
      <c r="F519" s="165"/>
      <c r="G519" s="165"/>
      <c r="H519" s="165"/>
      <c r="I519" s="165"/>
      <c r="J519" s="165"/>
      <c r="K519" s="165"/>
      <c r="L519" s="165"/>
      <c r="M519" s="165"/>
      <c r="N519" s="165"/>
      <c r="O519" s="165"/>
      <c r="P519" s="165"/>
      <c r="Q519" s="165"/>
      <c r="R519" s="165"/>
      <c r="S519" s="165"/>
      <c r="T519" s="165"/>
      <c r="U519" s="165"/>
      <c r="V519" s="165"/>
      <c r="W519" s="165"/>
      <c r="X519" s="165"/>
      <c r="Y519" s="165"/>
      <c r="Z519" s="165"/>
    </row>
    <row r="520">
      <c r="A520" s="165"/>
      <c r="B520" s="165"/>
      <c r="C520" s="165"/>
      <c r="D520" s="165"/>
      <c r="E520" s="165"/>
      <c r="F520" s="165"/>
      <c r="G520" s="165"/>
      <c r="H520" s="165"/>
      <c r="I520" s="165"/>
      <c r="J520" s="165"/>
      <c r="K520" s="165"/>
      <c r="L520" s="165"/>
      <c r="M520" s="165"/>
      <c r="N520" s="165"/>
      <c r="O520" s="165"/>
      <c r="P520" s="165"/>
      <c r="Q520" s="165"/>
      <c r="R520" s="165"/>
      <c r="S520" s="165"/>
      <c r="T520" s="165"/>
      <c r="U520" s="165"/>
      <c r="V520" s="165"/>
      <c r="W520" s="165"/>
      <c r="X520" s="165"/>
      <c r="Y520" s="165"/>
      <c r="Z520" s="165"/>
    </row>
    <row r="521">
      <c r="A521" s="165"/>
      <c r="B521" s="165"/>
      <c r="C521" s="165"/>
      <c r="D521" s="165"/>
      <c r="E521" s="165"/>
      <c r="F521" s="165"/>
      <c r="G521" s="165"/>
      <c r="H521" s="165"/>
      <c r="I521" s="165"/>
      <c r="J521" s="165"/>
      <c r="K521" s="165"/>
      <c r="L521" s="165"/>
      <c r="M521" s="165"/>
      <c r="N521" s="165"/>
      <c r="O521" s="165"/>
      <c r="P521" s="165"/>
      <c r="Q521" s="165"/>
      <c r="R521" s="165"/>
      <c r="S521" s="165"/>
      <c r="T521" s="165"/>
      <c r="U521" s="165"/>
      <c r="V521" s="165"/>
      <c r="W521" s="165"/>
      <c r="X521" s="165"/>
      <c r="Y521" s="165"/>
      <c r="Z521" s="165"/>
    </row>
    <row r="522">
      <c r="A522" s="165"/>
      <c r="B522" s="165"/>
      <c r="C522" s="165"/>
      <c r="D522" s="165"/>
      <c r="E522" s="165"/>
      <c r="F522" s="165"/>
      <c r="G522" s="165"/>
      <c r="H522" s="165"/>
      <c r="I522" s="165"/>
      <c r="J522" s="165"/>
      <c r="K522" s="165"/>
      <c r="L522" s="165"/>
      <c r="M522" s="165"/>
      <c r="N522" s="165"/>
      <c r="O522" s="165"/>
      <c r="P522" s="165"/>
      <c r="Q522" s="165"/>
      <c r="R522" s="165"/>
      <c r="S522" s="165"/>
      <c r="T522" s="165"/>
      <c r="U522" s="165"/>
      <c r="V522" s="165"/>
      <c r="W522" s="165"/>
      <c r="X522" s="165"/>
      <c r="Y522" s="165"/>
      <c r="Z522" s="165"/>
    </row>
    <row r="523">
      <c r="A523" s="165"/>
      <c r="B523" s="165"/>
      <c r="C523" s="165"/>
      <c r="D523" s="165"/>
      <c r="E523" s="165"/>
      <c r="F523" s="165"/>
      <c r="G523" s="165"/>
      <c r="H523" s="165"/>
      <c r="I523" s="165"/>
      <c r="J523" s="165"/>
      <c r="K523" s="165"/>
      <c r="L523" s="165"/>
      <c r="M523" s="165"/>
      <c r="N523" s="165"/>
      <c r="O523" s="165"/>
      <c r="P523" s="165"/>
      <c r="Q523" s="165"/>
      <c r="R523" s="165"/>
      <c r="S523" s="165"/>
      <c r="T523" s="165"/>
      <c r="U523" s="165"/>
      <c r="V523" s="165"/>
      <c r="W523" s="165"/>
      <c r="X523" s="165"/>
      <c r="Y523" s="165"/>
      <c r="Z523" s="165"/>
    </row>
    <row r="524">
      <c r="A524" s="165"/>
      <c r="B524" s="165"/>
      <c r="C524" s="165"/>
      <c r="D524" s="165"/>
      <c r="E524" s="165"/>
      <c r="F524" s="165"/>
      <c r="G524" s="165"/>
      <c r="H524" s="165"/>
      <c r="I524" s="165"/>
      <c r="J524" s="165"/>
      <c r="K524" s="165"/>
      <c r="L524" s="165"/>
      <c r="M524" s="165"/>
      <c r="N524" s="165"/>
      <c r="O524" s="165"/>
      <c r="P524" s="165"/>
      <c r="Q524" s="165"/>
      <c r="R524" s="165"/>
      <c r="S524" s="165"/>
      <c r="T524" s="165"/>
      <c r="U524" s="165"/>
      <c r="V524" s="165"/>
      <c r="W524" s="165"/>
      <c r="X524" s="165"/>
      <c r="Y524" s="165"/>
      <c r="Z524" s="165"/>
    </row>
    <row r="525">
      <c r="A525" s="165"/>
      <c r="B525" s="165"/>
      <c r="C525" s="165"/>
      <c r="D525" s="165"/>
      <c r="E525" s="165"/>
      <c r="F525" s="165"/>
      <c r="G525" s="165"/>
      <c r="H525" s="165"/>
      <c r="I525" s="165"/>
      <c r="J525" s="165"/>
      <c r="K525" s="165"/>
      <c r="L525" s="165"/>
      <c r="M525" s="165"/>
      <c r="N525" s="165"/>
      <c r="O525" s="165"/>
      <c r="P525" s="165"/>
      <c r="Q525" s="165"/>
      <c r="R525" s="165"/>
      <c r="S525" s="165"/>
      <c r="T525" s="165"/>
      <c r="U525" s="165"/>
      <c r="V525" s="165"/>
      <c r="W525" s="165"/>
      <c r="X525" s="165"/>
      <c r="Y525" s="165"/>
      <c r="Z525" s="165"/>
    </row>
    <row r="526">
      <c r="A526" s="165"/>
      <c r="B526" s="165"/>
      <c r="C526" s="165"/>
      <c r="D526" s="165"/>
      <c r="E526" s="165"/>
      <c r="F526" s="165"/>
      <c r="G526" s="165"/>
      <c r="H526" s="165"/>
      <c r="I526" s="165"/>
      <c r="J526" s="165"/>
      <c r="K526" s="165"/>
      <c r="L526" s="165"/>
      <c r="M526" s="165"/>
      <c r="N526" s="165"/>
      <c r="O526" s="165"/>
      <c r="P526" s="165"/>
      <c r="Q526" s="165"/>
      <c r="R526" s="165"/>
      <c r="S526" s="165"/>
      <c r="T526" s="165"/>
      <c r="U526" s="165"/>
      <c r="V526" s="165"/>
      <c r="W526" s="165"/>
      <c r="X526" s="165"/>
      <c r="Y526" s="165"/>
      <c r="Z526" s="165"/>
    </row>
    <row r="527">
      <c r="A527" s="165"/>
      <c r="B527" s="165"/>
      <c r="C527" s="165"/>
      <c r="D527" s="165"/>
      <c r="E527" s="165"/>
      <c r="F527" s="165"/>
      <c r="G527" s="165"/>
      <c r="H527" s="165"/>
      <c r="I527" s="165"/>
      <c r="J527" s="165"/>
      <c r="K527" s="165"/>
      <c r="L527" s="165"/>
      <c r="M527" s="165"/>
      <c r="N527" s="165"/>
      <c r="O527" s="165"/>
      <c r="P527" s="165"/>
      <c r="Q527" s="165"/>
      <c r="R527" s="165"/>
      <c r="S527" s="165"/>
      <c r="T527" s="165"/>
      <c r="U527" s="165"/>
      <c r="V527" s="165"/>
      <c r="W527" s="165"/>
      <c r="X527" s="165"/>
      <c r="Y527" s="165"/>
      <c r="Z527" s="165"/>
    </row>
    <row r="528">
      <c r="A528" s="165"/>
      <c r="B528" s="165"/>
      <c r="C528" s="165"/>
      <c r="D528" s="165"/>
      <c r="E528" s="165"/>
      <c r="F528" s="165"/>
      <c r="G528" s="165"/>
      <c r="H528" s="165"/>
      <c r="I528" s="165"/>
      <c r="J528" s="165"/>
      <c r="K528" s="165"/>
      <c r="L528" s="165"/>
      <c r="M528" s="165"/>
      <c r="N528" s="165"/>
      <c r="O528" s="165"/>
      <c r="P528" s="165"/>
      <c r="Q528" s="165"/>
      <c r="R528" s="165"/>
      <c r="S528" s="165"/>
      <c r="T528" s="165"/>
      <c r="U528" s="165"/>
      <c r="V528" s="165"/>
      <c r="W528" s="165"/>
      <c r="X528" s="165"/>
      <c r="Y528" s="165"/>
      <c r="Z528" s="165"/>
    </row>
    <row r="529">
      <c r="A529" s="165"/>
      <c r="B529" s="165"/>
      <c r="C529" s="165"/>
      <c r="D529" s="165"/>
      <c r="E529" s="165"/>
      <c r="F529" s="165"/>
      <c r="G529" s="165"/>
      <c r="H529" s="165"/>
      <c r="I529" s="165"/>
      <c r="J529" s="165"/>
      <c r="K529" s="165"/>
      <c r="L529" s="165"/>
      <c r="M529" s="165"/>
      <c r="N529" s="165"/>
      <c r="O529" s="165"/>
      <c r="P529" s="165"/>
      <c r="Q529" s="165"/>
      <c r="R529" s="165"/>
      <c r="S529" s="165"/>
      <c r="T529" s="165"/>
      <c r="U529" s="165"/>
      <c r="V529" s="165"/>
      <c r="W529" s="165"/>
      <c r="X529" s="165"/>
      <c r="Y529" s="165"/>
      <c r="Z529" s="165"/>
    </row>
    <row r="530">
      <c r="A530" s="165"/>
      <c r="B530" s="165"/>
      <c r="C530" s="165"/>
      <c r="D530" s="165"/>
      <c r="E530" s="165"/>
      <c r="F530" s="165"/>
      <c r="G530" s="165"/>
      <c r="H530" s="165"/>
      <c r="I530" s="165"/>
      <c r="J530" s="165"/>
      <c r="K530" s="165"/>
      <c r="L530" s="165"/>
      <c r="M530" s="165"/>
      <c r="N530" s="165"/>
      <c r="O530" s="165"/>
      <c r="P530" s="165"/>
      <c r="Q530" s="165"/>
      <c r="R530" s="165"/>
      <c r="S530" s="165"/>
      <c r="T530" s="165"/>
      <c r="U530" s="165"/>
      <c r="V530" s="165"/>
      <c r="W530" s="165"/>
      <c r="X530" s="165"/>
      <c r="Y530" s="165"/>
      <c r="Z530" s="165"/>
    </row>
    <row r="531">
      <c r="A531" s="165"/>
      <c r="B531" s="165"/>
      <c r="C531" s="165"/>
      <c r="D531" s="165"/>
      <c r="E531" s="165"/>
      <c r="F531" s="165"/>
      <c r="G531" s="165"/>
      <c r="H531" s="165"/>
      <c r="I531" s="165"/>
      <c r="J531" s="165"/>
      <c r="K531" s="165"/>
      <c r="L531" s="165"/>
      <c r="M531" s="165"/>
      <c r="N531" s="165"/>
      <c r="O531" s="165"/>
      <c r="P531" s="165"/>
      <c r="Q531" s="165"/>
      <c r="R531" s="165"/>
      <c r="S531" s="165"/>
      <c r="T531" s="165"/>
      <c r="U531" s="165"/>
      <c r="V531" s="165"/>
      <c r="W531" s="165"/>
      <c r="X531" s="165"/>
      <c r="Y531" s="165"/>
      <c r="Z531" s="165"/>
    </row>
    <row r="532">
      <c r="A532" s="165"/>
      <c r="B532" s="165"/>
      <c r="C532" s="165"/>
      <c r="D532" s="165"/>
      <c r="E532" s="165"/>
      <c r="F532" s="165"/>
      <c r="G532" s="165"/>
      <c r="H532" s="165"/>
      <c r="I532" s="165"/>
      <c r="J532" s="165"/>
      <c r="K532" s="165"/>
      <c r="L532" s="165"/>
      <c r="M532" s="165"/>
      <c r="N532" s="165"/>
      <c r="O532" s="165"/>
      <c r="P532" s="165"/>
      <c r="Q532" s="165"/>
      <c r="R532" s="165"/>
      <c r="S532" s="165"/>
      <c r="T532" s="165"/>
      <c r="U532" s="165"/>
      <c r="V532" s="165"/>
      <c r="W532" s="165"/>
      <c r="X532" s="165"/>
      <c r="Y532" s="165"/>
      <c r="Z532" s="165"/>
    </row>
    <row r="533">
      <c r="A533" s="165"/>
      <c r="B533" s="165"/>
      <c r="C533" s="165"/>
      <c r="D533" s="165"/>
      <c r="E533" s="165"/>
      <c r="F533" s="165"/>
      <c r="G533" s="165"/>
      <c r="H533" s="165"/>
      <c r="I533" s="165"/>
      <c r="J533" s="165"/>
      <c r="K533" s="165"/>
      <c r="L533" s="165"/>
      <c r="M533" s="165"/>
      <c r="N533" s="165"/>
      <c r="O533" s="165"/>
      <c r="P533" s="165"/>
      <c r="Q533" s="165"/>
      <c r="R533" s="165"/>
      <c r="S533" s="165"/>
      <c r="T533" s="165"/>
      <c r="U533" s="165"/>
      <c r="V533" s="165"/>
      <c r="W533" s="165"/>
      <c r="X533" s="165"/>
      <c r="Y533" s="165"/>
      <c r="Z533" s="165"/>
    </row>
    <row r="534">
      <c r="A534" s="165"/>
      <c r="B534" s="165"/>
      <c r="C534" s="165"/>
      <c r="D534" s="165"/>
      <c r="E534" s="165"/>
      <c r="F534" s="165"/>
      <c r="G534" s="165"/>
      <c r="H534" s="165"/>
      <c r="I534" s="165"/>
      <c r="J534" s="165"/>
      <c r="K534" s="165"/>
      <c r="L534" s="165"/>
      <c r="M534" s="165"/>
      <c r="N534" s="165"/>
      <c r="O534" s="165"/>
      <c r="P534" s="165"/>
      <c r="Q534" s="165"/>
      <c r="R534" s="165"/>
      <c r="S534" s="165"/>
      <c r="T534" s="165"/>
      <c r="U534" s="165"/>
      <c r="V534" s="165"/>
      <c r="W534" s="165"/>
      <c r="X534" s="165"/>
      <c r="Y534" s="165"/>
      <c r="Z534" s="165"/>
    </row>
    <row r="535">
      <c r="A535" s="165"/>
      <c r="B535" s="165"/>
      <c r="C535" s="165"/>
      <c r="D535" s="165"/>
      <c r="E535" s="165"/>
      <c r="F535" s="165"/>
      <c r="G535" s="165"/>
      <c r="H535" s="165"/>
      <c r="I535" s="165"/>
      <c r="J535" s="165"/>
      <c r="K535" s="165"/>
      <c r="L535" s="165"/>
      <c r="M535" s="165"/>
      <c r="N535" s="165"/>
      <c r="O535" s="165"/>
      <c r="P535" s="165"/>
      <c r="Q535" s="165"/>
      <c r="R535" s="165"/>
      <c r="S535" s="165"/>
      <c r="T535" s="165"/>
      <c r="U535" s="165"/>
      <c r="V535" s="165"/>
      <c r="W535" s="165"/>
      <c r="X535" s="165"/>
      <c r="Y535" s="165"/>
      <c r="Z535" s="165"/>
    </row>
    <row r="536">
      <c r="A536" s="165"/>
      <c r="B536" s="165"/>
      <c r="C536" s="165"/>
      <c r="D536" s="165"/>
      <c r="E536" s="165"/>
      <c r="F536" s="165"/>
      <c r="G536" s="165"/>
      <c r="H536" s="165"/>
      <c r="I536" s="165"/>
      <c r="J536" s="165"/>
      <c r="K536" s="165"/>
      <c r="L536" s="165"/>
      <c r="M536" s="165"/>
      <c r="N536" s="165"/>
      <c r="O536" s="165"/>
      <c r="P536" s="165"/>
      <c r="Q536" s="165"/>
      <c r="R536" s="165"/>
      <c r="S536" s="165"/>
      <c r="T536" s="165"/>
      <c r="U536" s="165"/>
      <c r="V536" s="165"/>
      <c r="W536" s="165"/>
      <c r="X536" s="165"/>
      <c r="Y536" s="165"/>
      <c r="Z536" s="165"/>
    </row>
    <row r="537">
      <c r="A537" s="165"/>
      <c r="B537" s="165"/>
      <c r="C537" s="165"/>
      <c r="D537" s="165"/>
      <c r="E537" s="165"/>
      <c r="F537" s="165"/>
      <c r="G537" s="165"/>
      <c r="H537" s="165"/>
      <c r="I537" s="165"/>
      <c r="J537" s="165"/>
      <c r="K537" s="165"/>
      <c r="L537" s="165"/>
      <c r="M537" s="165"/>
      <c r="N537" s="165"/>
      <c r="O537" s="165"/>
      <c r="P537" s="165"/>
      <c r="Q537" s="165"/>
      <c r="R537" s="165"/>
      <c r="S537" s="165"/>
      <c r="T537" s="165"/>
      <c r="U537" s="165"/>
      <c r="V537" s="165"/>
      <c r="W537" s="165"/>
      <c r="X537" s="165"/>
      <c r="Y537" s="165"/>
      <c r="Z537" s="165"/>
    </row>
    <row r="538">
      <c r="A538" s="165"/>
      <c r="B538" s="165"/>
      <c r="C538" s="165"/>
      <c r="D538" s="165"/>
      <c r="E538" s="165"/>
      <c r="F538" s="165"/>
      <c r="G538" s="165"/>
      <c r="H538" s="165"/>
      <c r="I538" s="165"/>
      <c r="J538" s="165"/>
      <c r="K538" s="165"/>
      <c r="L538" s="165"/>
      <c r="M538" s="165"/>
      <c r="N538" s="165"/>
      <c r="O538" s="165"/>
      <c r="P538" s="165"/>
      <c r="Q538" s="165"/>
      <c r="R538" s="165"/>
      <c r="S538" s="165"/>
      <c r="T538" s="165"/>
      <c r="U538" s="165"/>
      <c r="V538" s="165"/>
      <c r="W538" s="165"/>
      <c r="X538" s="165"/>
      <c r="Y538" s="165"/>
      <c r="Z538" s="165"/>
    </row>
    <row r="539">
      <c r="A539" s="165"/>
      <c r="B539" s="165"/>
      <c r="C539" s="165"/>
      <c r="D539" s="165"/>
      <c r="E539" s="165"/>
      <c r="F539" s="165"/>
      <c r="G539" s="165"/>
      <c r="H539" s="165"/>
      <c r="I539" s="165"/>
      <c r="J539" s="165"/>
      <c r="K539" s="165"/>
      <c r="L539" s="165"/>
      <c r="M539" s="165"/>
      <c r="N539" s="165"/>
      <c r="O539" s="165"/>
      <c r="P539" s="165"/>
      <c r="Q539" s="165"/>
      <c r="R539" s="165"/>
      <c r="S539" s="165"/>
      <c r="T539" s="165"/>
      <c r="U539" s="165"/>
      <c r="V539" s="165"/>
      <c r="W539" s="165"/>
      <c r="X539" s="165"/>
      <c r="Y539" s="165"/>
      <c r="Z539" s="165"/>
    </row>
    <row r="540">
      <c r="A540" s="165"/>
      <c r="B540" s="165"/>
      <c r="C540" s="165"/>
      <c r="D540" s="165"/>
      <c r="E540" s="165"/>
      <c r="F540" s="165"/>
      <c r="G540" s="165"/>
      <c r="H540" s="165"/>
      <c r="I540" s="165"/>
      <c r="J540" s="165"/>
      <c r="K540" s="165"/>
      <c r="L540" s="165"/>
      <c r="M540" s="165"/>
      <c r="N540" s="165"/>
      <c r="O540" s="165"/>
      <c r="P540" s="165"/>
      <c r="Q540" s="165"/>
      <c r="R540" s="165"/>
      <c r="S540" s="165"/>
      <c r="T540" s="165"/>
      <c r="U540" s="165"/>
      <c r="V540" s="165"/>
      <c r="W540" s="165"/>
      <c r="X540" s="165"/>
      <c r="Y540" s="165"/>
      <c r="Z540" s="165"/>
    </row>
    <row r="541">
      <c r="A541" s="165"/>
      <c r="B541" s="165"/>
      <c r="C541" s="165"/>
      <c r="D541" s="165"/>
      <c r="E541" s="165"/>
      <c r="F541" s="165"/>
      <c r="G541" s="165"/>
      <c r="H541" s="165"/>
      <c r="I541" s="165"/>
      <c r="J541" s="165"/>
      <c r="K541" s="165"/>
      <c r="L541" s="165"/>
      <c r="M541" s="165"/>
      <c r="N541" s="165"/>
      <c r="O541" s="165"/>
      <c r="P541" s="165"/>
      <c r="Q541" s="165"/>
      <c r="R541" s="165"/>
      <c r="S541" s="165"/>
      <c r="T541" s="165"/>
      <c r="U541" s="165"/>
      <c r="V541" s="165"/>
      <c r="W541" s="165"/>
      <c r="X541" s="165"/>
      <c r="Y541" s="165"/>
      <c r="Z541" s="165"/>
    </row>
    <row r="542">
      <c r="A542" s="165"/>
      <c r="B542" s="165"/>
      <c r="C542" s="165"/>
      <c r="D542" s="165"/>
      <c r="E542" s="165"/>
      <c r="F542" s="165"/>
      <c r="G542" s="165"/>
      <c r="H542" s="165"/>
      <c r="I542" s="165"/>
      <c r="J542" s="165"/>
      <c r="K542" s="165"/>
      <c r="L542" s="165"/>
      <c r="M542" s="165"/>
      <c r="N542" s="165"/>
      <c r="O542" s="165"/>
      <c r="P542" s="165"/>
      <c r="Q542" s="165"/>
      <c r="R542" s="165"/>
      <c r="S542" s="165"/>
      <c r="T542" s="165"/>
      <c r="U542" s="165"/>
      <c r="V542" s="165"/>
      <c r="W542" s="165"/>
      <c r="X542" s="165"/>
      <c r="Y542" s="165"/>
      <c r="Z542" s="165"/>
    </row>
    <row r="543">
      <c r="A543" s="165"/>
      <c r="B543" s="165"/>
      <c r="C543" s="165"/>
      <c r="D543" s="165"/>
      <c r="E543" s="165"/>
      <c r="F543" s="165"/>
      <c r="G543" s="165"/>
      <c r="H543" s="165"/>
      <c r="I543" s="165"/>
      <c r="J543" s="165"/>
      <c r="K543" s="165"/>
      <c r="L543" s="165"/>
      <c r="M543" s="165"/>
      <c r="N543" s="165"/>
      <c r="O543" s="165"/>
      <c r="P543" s="165"/>
      <c r="Q543" s="165"/>
      <c r="R543" s="165"/>
      <c r="S543" s="165"/>
      <c r="T543" s="165"/>
      <c r="U543" s="165"/>
      <c r="V543" s="165"/>
      <c r="W543" s="165"/>
      <c r="X543" s="165"/>
      <c r="Y543" s="165"/>
      <c r="Z543" s="165"/>
    </row>
    <row r="544">
      <c r="A544" s="165"/>
      <c r="B544" s="165"/>
      <c r="C544" s="165"/>
      <c r="D544" s="165"/>
      <c r="E544" s="165"/>
      <c r="F544" s="165"/>
      <c r="G544" s="165"/>
      <c r="H544" s="165"/>
      <c r="I544" s="165"/>
      <c r="J544" s="165"/>
      <c r="K544" s="165"/>
      <c r="L544" s="165"/>
      <c r="M544" s="165"/>
      <c r="N544" s="165"/>
      <c r="O544" s="165"/>
      <c r="P544" s="165"/>
      <c r="Q544" s="165"/>
      <c r="R544" s="165"/>
      <c r="S544" s="165"/>
      <c r="T544" s="165"/>
      <c r="U544" s="165"/>
      <c r="V544" s="165"/>
      <c r="W544" s="165"/>
      <c r="X544" s="165"/>
      <c r="Y544" s="165"/>
      <c r="Z544" s="165"/>
    </row>
    <row r="545">
      <c r="A545" s="165"/>
      <c r="B545" s="165"/>
      <c r="C545" s="165"/>
      <c r="D545" s="165"/>
      <c r="E545" s="165"/>
      <c r="F545" s="165"/>
      <c r="G545" s="165"/>
      <c r="H545" s="165"/>
      <c r="I545" s="165"/>
      <c r="J545" s="165"/>
      <c r="K545" s="165"/>
      <c r="L545" s="165"/>
      <c r="M545" s="165"/>
      <c r="N545" s="165"/>
      <c r="O545" s="165"/>
      <c r="P545" s="165"/>
      <c r="Q545" s="165"/>
      <c r="R545" s="165"/>
      <c r="S545" s="165"/>
      <c r="T545" s="165"/>
      <c r="U545" s="165"/>
      <c r="V545" s="165"/>
      <c r="W545" s="165"/>
      <c r="X545" s="165"/>
      <c r="Y545" s="165"/>
      <c r="Z545" s="165"/>
    </row>
    <row r="546">
      <c r="A546" s="165"/>
      <c r="B546" s="165"/>
      <c r="C546" s="165"/>
      <c r="D546" s="165"/>
      <c r="E546" s="165"/>
      <c r="F546" s="165"/>
      <c r="G546" s="165"/>
      <c r="H546" s="165"/>
      <c r="I546" s="165"/>
      <c r="J546" s="165"/>
      <c r="K546" s="165"/>
      <c r="L546" s="165"/>
      <c r="M546" s="165"/>
      <c r="N546" s="165"/>
      <c r="O546" s="165"/>
      <c r="P546" s="165"/>
      <c r="Q546" s="165"/>
      <c r="R546" s="165"/>
      <c r="S546" s="165"/>
      <c r="T546" s="165"/>
      <c r="U546" s="165"/>
      <c r="V546" s="165"/>
      <c r="W546" s="165"/>
      <c r="X546" s="165"/>
      <c r="Y546" s="165"/>
      <c r="Z546" s="165"/>
    </row>
    <row r="547">
      <c r="A547" s="165"/>
      <c r="B547" s="165"/>
      <c r="C547" s="165"/>
      <c r="D547" s="165"/>
      <c r="E547" s="165"/>
      <c r="F547" s="165"/>
      <c r="G547" s="165"/>
      <c r="H547" s="165"/>
      <c r="I547" s="165"/>
      <c r="J547" s="165"/>
      <c r="K547" s="165"/>
      <c r="L547" s="165"/>
      <c r="M547" s="165"/>
      <c r="N547" s="165"/>
      <c r="O547" s="165"/>
      <c r="P547" s="165"/>
      <c r="Q547" s="165"/>
      <c r="R547" s="165"/>
      <c r="S547" s="165"/>
      <c r="T547" s="165"/>
      <c r="U547" s="165"/>
      <c r="V547" s="165"/>
      <c r="W547" s="165"/>
      <c r="X547" s="165"/>
      <c r="Y547" s="165"/>
      <c r="Z547" s="165"/>
    </row>
    <row r="548">
      <c r="A548" s="165"/>
      <c r="B548" s="165"/>
      <c r="C548" s="165"/>
      <c r="D548" s="165"/>
      <c r="E548" s="165"/>
      <c r="F548" s="165"/>
      <c r="G548" s="165"/>
      <c r="H548" s="165"/>
      <c r="I548" s="165"/>
      <c r="J548" s="165"/>
      <c r="K548" s="165"/>
      <c r="L548" s="165"/>
      <c r="M548" s="165"/>
      <c r="N548" s="165"/>
      <c r="O548" s="165"/>
      <c r="P548" s="165"/>
      <c r="Q548" s="165"/>
      <c r="R548" s="165"/>
      <c r="S548" s="165"/>
      <c r="T548" s="165"/>
      <c r="U548" s="165"/>
      <c r="V548" s="165"/>
      <c r="W548" s="165"/>
      <c r="X548" s="165"/>
      <c r="Y548" s="165"/>
      <c r="Z548" s="165"/>
    </row>
    <row r="549">
      <c r="A549" s="165"/>
      <c r="B549" s="165"/>
      <c r="C549" s="165"/>
      <c r="D549" s="165"/>
      <c r="E549" s="165"/>
      <c r="F549" s="165"/>
      <c r="G549" s="165"/>
      <c r="H549" s="165"/>
      <c r="I549" s="165"/>
      <c r="J549" s="165"/>
      <c r="K549" s="165"/>
      <c r="L549" s="165"/>
      <c r="M549" s="165"/>
      <c r="N549" s="165"/>
      <c r="O549" s="165"/>
      <c r="P549" s="165"/>
      <c r="Q549" s="165"/>
      <c r="R549" s="165"/>
      <c r="S549" s="165"/>
      <c r="T549" s="165"/>
      <c r="U549" s="165"/>
      <c r="V549" s="165"/>
      <c r="W549" s="165"/>
      <c r="X549" s="165"/>
      <c r="Y549" s="165"/>
      <c r="Z549" s="165"/>
    </row>
    <row r="550">
      <c r="A550" s="165"/>
      <c r="B550" s="165"/>
      <c r="C550" s="165"/>
      <c r="D550" s="165"/>
      <c r="E550" s="165"/>
      <c r="F550" s="165"/>
      <c r="G550" s="165"/>
      <c r="H550" s="165"/>
      <c r="I550" s="165"/>
      <c r="J550" s="165"/>
      <c r="K550" s="165"/>
      <c r="L550" s="165"/>
      <c r="M550" s="165"/>
      <c r="N550" s="165"/>
      <c r="O550" s="165"/>
      <c r="P550" s="165"/>
      <c r="Q550" s="165"/>
      <c r="R550" s="165"/>
      <c r="S550" s="165"/>
      <c r="T550" s="165"/>
      <c r="U550" s="165"/>
      <c r="V550" s="165"/>
      <c r="W550" s="165"/>
      <c r="X550" s="165"/>
      <c r="Y550" s="165"/>
      <c r="Z550" s="165"/>
    </row>
    <row r="551">
      <c r="A551" s="165"/>
      <c r="B551" s="165"/>
      <c r="C551" s="165"/>
      <c r="D551" s="165"/>
      <c r="E551" s="165"/>
      <c r="F551" s="165"/>
      <c r="G551" s="165"/>
      <c r="H551" s="165"/>
      <c r="I551" s="165"/>
      <c r="J551" s="165"/>
      <c r="K551" s="165"/>
      <c r="L551" s="165"/>
      <c r="M551" s="165"/>
      <c r="N551" s="165"/>
      <c r="O551" s="165"/>
      <c r="P551" s="165"/>
      <c r="Q551" s="165"/>
      <c r="R551" s="165"/>
      <c r="S551" s="165"/>
      <c r="T551" s="165"/>
      <c r="U551" s="165"/>
      <c r="V551" s="165"/>
      <c r="W551" s="165"/>
      <c r="X551" s="165"/>
      <c r="Y551" s="165"/>
      <c r="Z551" s="165"/>
    </row>
    <row r="552">
      <c r="A552" s="165"/>
      <c r="B552" s="165"/>
      <c r="C552" s="165"/>
      <c r="D552" s="165"/>
      <c r="E552" s="165"/>
      <c r="F552" s="165"/>
      <c r="G552" s="165"/>
      <c r="H552" s="165"/>
      <c r="I552" s="165"/>
      <c r="J552" s="165"/>
      <c r="K552" s="165"/>
      <c r="L552" s="165"/>
      <c r="M552" s="165"/>
      <c r="N552" s="165"/>
      <c r="O552" s="165"/>
      <c r="P552" s="165"/>
      <c r="Q552" s="165"/>
      <c r="R552" s="165"/>
      <c r="S552" s="165"/>
      <c r="T552" s="165"/>
      <c r="U552" s="165"/>
      <c r="V552" s="165"/>
      <c r="W552" s="165"/>
      <c r="X552" s="165"/>
      <c r="Y552" s="165"/>
      <c r="Z552" s="165"/>
    </row>
    <row r="553">
      <c r="A553" s="165"/>
      <c r="B553" s="165"/>
      <c r="C553" s="165"/>
      <c r="D553" s="165"/>
      <c r="E553" s="165"/>
      <c r="F553" s="165"/>
      <c r="G553" s="165"/>
      <c r="H553" s="165"/>
      <c r="I553" s="165"/>
      <c r="J553" s="165"/>
      <c r="K553" s="165"/>
      <c r="L553" s="165"/>
      <c r="M553" s="165"/>
      <c r="N553" s="165"/>
      <c r="O553" s="165"/>
      <c r="P553" s="165"/>
      <c r="Q553" s="165"/>
      <c r="R553" s="165"/>
      <c r="S553" s="165"/>
      <c r="T553" s="165"/>
      <c r="U553" s="165"/>
      <c r="V553" s="165"/>
      <c r="W553" s="165"/>
      <c r="X553" s="165"/>
      <c r="Y553" s="165"/>
      <c r="Z553" s="165"/>
    </row>
    <row r="554">
      <c r="A554" s="165"/>
      <c r="B554" s="165"/>
      <c r="C554" s="165"/>
      <c r="D554" s="165"/>
      <c r="E554" s="165"/>
      <c r="F554" s="165"/>
      <c r="G554" s="165"/>
      <c r="H554" s="165"/>
      <c r="I554" s="165"/>
      <c r="J554" s="165"/>
      <c r="K554" s="165"/>
      <c r="L554" s="165"/>
      <c r="M554" s="165"/>
      <c r="N554" s="165"/>
      <c r="O554" s="165"/>
      <c r="P554" s="165"/>
      <c r="Q554" s="165"/>
      <c r="R554" s="165"/>
      <c r="S554" s="165"/>
      <c r="T554" s="165"/>
      <c r="U554" s="165"/>
      <c r="V554" s="165"/>
      <c r="W554" s="165"/>
      <c r="X554" s="165"/>
      <c r="Y554" s="165"/>
      <c r="Z554" s="165"/>
    </row>
    <row r="555">
      <c r="A555" s="165"/>
      <c r="B555" s="165"/>
      <c r="C555" s="165"/>
      <c r="D555" s="165"/>
      <c r="E555" s="165"/>
      <c r="F555" s="165"/>
      <c r="G555" s="165"/>
      <c r="H555" s="165"/>
      <c r="I555" s="165"/>
      <c r="J555" s="165"/>
      <c r="K555" s="165"/>
      <c r="L555" s="165"/>
      <c r="M555" s="165"/>
      <c r="N555" s="165"/>
      <c r="O555" s="165"/>
      <c r="P555" s="165"/>
      <c r="Q555" s="165"/>
      <c r="R555" s="165"/>
      <c r="S555" s="165"/>
      <c r="T555" s="165"/>
      <c r="U555" s="165"/>
      <c r="V555" s="165"/>
      <c r="W555" s="165"/>
      <c r="X555" s="165"/>
      <c r="Y555" s="165"/>
      <c r="Z555" s="165"/>
    </row>
    <row r="556">
      <c r="A556" s="165"/>
      <c r="B556" s="165"/>
      <c r="C556" s="165"/>
      <c r="D556" s="165"/>
      <c r="E556" s="165"/>
      <c r="F556" s="165"/>
      <c r="G556" s="165"/>
      <c r="H556" s="165"/>
      <c r="I556" s="165"/>
      <c r="J556" s="165"/>
      <c r="K556" s="165"/>
      <c r="L556" s="165"/>
      <c r="M556" s="165"/>
      <c r="N556" s="165"/>
      <c r="O556" s="165"/>
      <c r="P556" s="165"/>
      <c r="Q556" s="165"/>
      <c r="R556" s="165"/>
      <c r="S556" s="165"/>
      <c r="T556" s="165"/>
      <c r="U556" s="165"/>
      <c r="V556" s="165"/>
      <c r="W556" s="165"/>
      <c r="X556" s="165"/>
      <c r="Y556" s="165"/>
      <c r="Z556" s="165"/>
    </row>
    <row r="557">
      <c r="A557" s="165"/>
      <c r="B557" s="165"/>
      <c r="C557" s="165"/>
      <c r="D557" s="165"/>
      <c r="E557" s="165"/>
      <c r="F557" s="165"/>
      <c r="G557" s="165"/>
      <c r="H557" s="165"/>
      <c r="I557" s="165"/>
      <c r="J557" s="165"/>
      <c r="K557" s="165"/>
      <c r="L557" s="165"/>
      <c r="M557" s="165"/>
      <c r="N557" s="165"/>
      <c r="O557" s="165"/>
      <c r="P557" s="165"/>
      <c r="Q557" s="165"/>
      <c r="R557" s="165"/>
      <c r="S557" s="165"/>
      <c r="T557" s="165"/>
      <c r="U557" s="165"/>
      <c r="V557" s="165"/>
      <c r="W557" s="165"/>
      <c r="X557" s="165"/>
      <c r="Y557" s="165"/>
      <c r="Z557" s="165"/>
    </row>
    <row r="558">
      <c r="A558" s="165"/>
      <c r="B558" s="165"/>
      <c r="C558" s="165"/>
      <c r="D558" s="165"/>
      <c r="E558" s="165"/>
      <c r="F558" s="165"/>
      <c r="G558" s="165"/>
      <c r="H558" s="165"/>
      <c r="I558" s="165"/>
      <c r="J558" s="165"/>
      <c r="K558" s="165"/>
      <c r="L558" s="165"/>
      <c r="M558" s="165"/>
      <c r="N558" s="165"/>
      <c r="O558" s="165"/>
      <c r="P558" s="165"/>
      <c r="Q558" s="165"/>
      <c r="R558" s="165"/>
      <c r="S558" s="165"/>
      <c r="T558" s="165"/>
      <c r="U558" s="165"/>
      <c r="V558" s="165"/>
      <c r="W558" s="165"/>
      <c r="X558" s="165"/>
      <c r="Y558" s="165"/>
      <c r="Z558" s="165"/>
    </row>
    <row r="559">
      <c r="A559" s="165"/>
      <c r="B559" s="165"/>
      <c r="C559" s="165"/>
      <c r="D559" s="165"/>
      <c r="E559" s="165"/>
      <c r="F559" s="165"/>
      <c r="G559" s="165"/>
      <c r="H559" s="165"/>
      <c r="I559" s="165"/>
      <c r="J559" s="165"/>
      <c r="K559" s="165"/>
      <c r="L559" s="165"/>
      <c r="M559" s="165"/>
      <c r="N559" s="165"/>
      <c r="O559" s="165"/>
      <c r="P559" s="165"/>
      <c r="Q559" s="165"/>
      <c r="R559" s="165"/>
      <c r="S559" s="165"/>
      <c r="T559" s="165"/>
      <c r="U559" s="165"/>
      <c r="V559" s="165"/>
      <c r="W559" s="165"/>
      <c r="X559" s="165"/>
      <c r="Y559" s="165"/>
      <c r="Z559" s="165"/>
    </row>
    <row r="560">
      <c r="A560" s="165"/>
      <c r="B560" s="165"/>
      <c r="C560" s="165"/>
      <c r="D560" s="165"/>
      <c r="E560" s="165"/>
      <c r="F560" s="165"/>
      <c r="G560" s="165"/>
      <c r="H560" s="165"/>
      <c r="I560" s="165"/>
      <c r="J560" s="165"/>
      <c r="K560" s="165"/>
      <c r="L560" s="165"/>
      <c r="M560" s="165"/>
      <c r="N560" s="165"/>
      <c r="O560" s="165"/>
      <c r="P560" s="165"/>
      <c r="Q560" s="165"/>
      <c r="R560" s="165"/>
      <c r="S560" s="165"/>
      <c r="T560" s="165"/>
      <c r="U560" s="165"/>
      <c r="V560" s="165"/>
      <c r="W560" s="165"/>
      <c r="X560" s="165"/>
      <c r="Y560" s="165"/>
      <c r="Z560" s="165"/>
    </row>
    <row r="561">
      <c r="A561" s="165"/>
      <c r="B561" s="165"/>
      <c r="C561" s="165"/>
      <c r="D561" s="165"/>
      <c r="E561" s="165"/>
      <c r="F561" s="165"/>
      <c r="G561" s="165"/>
      <c r="H561" s="165"/>
      <c r="I561" s="165"/>
      <c r="J561" s="165"/>
      <c r="K561" s="165"/>
      <c r="L561" s="165"/>
      <c r="M561" s="165"/>
      <c r="N561" s="165"/>
      <c r="O561" s="165"/>
      <c r="P561" s="165"/>
      <c r="Q561" s="165"/>
      <c r="R561" s="165"/>
      <c r="S561" s="165"/>
      <c r="T561" s="165"/>
      <c r="U561" s="165"/>
      <c r="V561" s="165"/>
      <c r="W561" s="165"/>
      <c r="X561" s="165"/>
      <c r="Y561" s="165"/>
      <c r="Z561" s="165"/>
    </row>
    <row r="562">
      <c r="A562" s="165"/>
      <c r="B562" s="165"/>
      <c r="C562" s="165"/>
      <c r="D562" s="165"/>
      <c r="E562" s="165"/>
      <c r="F562" s="165"/>
      <c r="G562" s="165"/>
      <c r="H562" s="165"/>
      <c r="I562" s="165"/>
      <c r="J562" s="165"/>
      <c r="K562" s="165"/>
      <c r="L562" s="165"/>
      <c r="M562" s="165"/>
      <c r="N562" s="165"/>
      <c r="O562" s="165"/>
      <c r="P562" s="165"/>
      <c r="Q562" s="165"/>
      <c r="R562" s="165"/>
      <c r="S562" s="165"/>
      <c r="T562" s="165"/>
      <c r="U562" s="165"/>
      <c r="V562" s="165"/>
      <c r="W562" s="165"/>
      <c r="X562" s="165"/>
      <c r="Y562" s="165"/>
      <c r="Z562" s="165"/>
    </row>
    <row r="563">
      <c r="A563" s="165"/>
      <c r="B563" s="165"/>
      <c r="C563" s="165"/>
      <c r="D563" s="165"/>
      <c r="E563" s="165"/>
      <c r="F563" s="165"/>
      <c r="G563" s="165"/>
      <c r="H563" s="165"/>
      <c r="I563" s="165"/>
      <c r="J563" s="165"/>
      <c r="K563" s="165"/>
      <c r="L563" s="165"/>
      <c r="M563" s="165"/>
      <c r="N563" s="165"/>
      <c r="O563" s="165"/>
      <c r="P563" s="165"/>
      <c r="Q563" s="165"/>
      <c r="R563" s="165"/>
      <c r="S563" s="165"/>
      <c r="T563" s="165"/>
      <c r="U563" s="165"/>
      <c r="V563" s="165"/>
      <c r="W563" s="165"/>
      <c r="X563" s="165"/>
      <c r="Y563" s="165"/>
      <c r="Z563" s="165"/>
    </row>
    <row r="564">
      <c r="A564" s="165"/>
      <c r="B564" s="165"/>
      <c r="C564" s="165"/>
      <c r="D564" s="165"/>
      <c r="E564" s="165"/>
      <c r="F564" s="165"/>
      <c r="G564" s="165"/>
      <c r="H564" s="165"/>
      <c r="I564" s="165"/>
      <c r="J564" s="165"/>
      <c r="K564" s="165"/>
      <c r="L564" s="165"/>
      <c r="M564" s="165"/>
      <c r="N564" s="165"/>
      <c r="O564" s="165"/>
      <c r="P564" s="165"/>
      <c r="Q564" s="165"/>
      <c r="R564" s="165"/>
      <c r="S564" s="165"/>
      <c r="T564" s="165"/>
      <c r="U564" s="165"/>
      <c r="V564" s="165"/>
      <c r="W564" s="165"/>
      <c r="X564" s="165"/>
      <c r="Y564" s="165"/>
      <c r="Z564" s="165"/>
    </row>
    <row r="565">
      <c r="A565" s="165"/>
      <c r="B565" s="165"/>
      <c r="C565" s="165"/>
      <c r="D565" s="165"/>
      <c r="E565" s="165"/>
      <c r="F565" s="165"/>
      <c r="G565" s="165"/>
      <c r="H565" s="165"/>
      <c r="I565" s="165"/>
      <c r="J565" s="165"/>
      <c r="K565" s="165"/>
      <c r="L565" s="165"/>
      <c r="M565" s="165"/>
      <c r="N565" s="165"/>
      <c r="O565" s="165"/>
      <c r="P565" s="165"/>
      <c r="Q565" s="165"/>
      <c r="R565" s="165"/>
      <c r="S565" s="165"/>
      <c r="T565" s="165"/>
      <c r="U565" s="165"/>
      <c r="V565" s="165"/>
      <c r="W565" s="165"/>
      <c r="X565" s="165"/>
      <c r="Y565" s="165"/>
      <c r="Z565" s="165"/>
    </row>
    <row r="566">
      <c r="A566" s="165"/>
      <c r="B566" s="165"/>
      <c r="C566" s="165"/>
      <c r="D566" s="165"/>
      <c r="E566" s="165"/>
      <c r="F566" s="165"/>
      <c r="G566" s="165"/>
      <c r="H566" s="165"/>
      <c r="I566" s="165"/>
      <c r="J566" s="165"/>
      <c r="K566" s="165"/>
      <c r="L566" s="165"/>
      <c r="M566" s="165"/>
      <c r="N566" s="165"/>
      <c r="O566" s="165"/>
      <c r="P566" s="165"/>
      <c r="Q566" s="165"/>
      <c r="R566" s="165"/>
      <c r="S566" s="165"/>
      <c r="T566" s="165"/>
      <c r="U566" s="165"/>
      <c r="V566" s="165"/>
      <c r="W566" s="165"/>
      <c r="X566" s="165"/>
      <c r="Y566" s="165"/>
      <c r="Z566" s="165"/>
    </row>
    <row r="567">
      <c r="A567" s="165"/>
      <c r="B567" s="165"/>
      <c r="C567" s="165"/>
      <c r="D567" s="165"/>
      <c r="E567" s="165"/>
      <c r="F567" s="165"/>
      <c r="G567" s="165"/>
      <c r="H567" s="165"/>
      <c r="I567" s="165"/>
      <c r="J567" s="165"/>
      <c r="K567" s="165"/>
      <c r="L567" s="165"/>
      <c r="M567" s="165"/>
      <c r="N567" s="165"/>
      <c r="O567" s="165"/>
      <c r="P567" s="165"/>
      <c r="Q567" s="165"/>
      <c r="R567" s="165"/>
      <c r="S567" s="165"/>
      <c r="T567" s="165"/>
      <c r="U567" s="165"/>
      <c r="V567" s="165"/>
      <c r="W567" s="165"/>
      <c r="X567" s="165"/>
      <c r="Y567" s="165"/>
      <c r="Z567" s="165"/>
    </row>
    <row r="568">
      <c r="A568" s="165"/>
      <c r="B568" s="165"/>
      <c r="C568" s="165"/>
      <c r="D568" s="165"/>
      <c r="E568" s="165"/>
      <c r="F568" s="165"/>
      <c r="G568" s="165"/>
      <c r="H568" s="165"/>
      <c r="I568" s="165"/>
      <c r="J568" s="165"/>
      <c r="K568" s="165"/>
      <c r="L568" s="165"/>
      <c r="M568" s="165"/>
      <c r="N568" s="165"/>
      <c r="O568" s="165"/>
      <c r="P568" s="165"/>
      <c r="Q568" s="165"/>
      <c r="R568" s="165"/>
      <c r="S568" s="165"/>
      <c r="T568" s="165"/>
      <c r="U568" s="165"/>
      <c r="V568" s="165"/>
      <c r="W568" s="165"/>
      <c r="X568" s="165"/>
      <c r="Y568" s="165"/>
      <c r="Z568" s="165"/>
    </row>
    <row r="569">
      <c r="A569" s="165"/>
      <c r="B569" s="165"/>
      <c r="C569" s="165"/>
      <c r="D569" s="165"/>
      <c r="E569" s="165"/>
      <c r="F569" s="165"/>
      <c r="G569" s="165"/>
      <c r="H569" s="165"/>
      <c r="I569" s="165"/>
      <c r="J569" s="165"/>
      <c r="K569" s="165"/>
      <c r="L569" s="165"/>
      <c r="M569" s="165"/>
      <c r="N569" s="165"/>
      <c r="O569" s="165"/>
      <c r="P569" s="165"/>
      <c r="Q569" s="165"/>
      <c r="R569" s="165"/>
      <c r="S569" s="165"/>
      <c r="T569" s="165"/>
      <c r="U569" s="165"/>
      <c r="V569" s="165"/>
      <c r="W569" s="165"/>
      <c r="X569" s="165"/>
      <c r="Y569" s="165"/>
      <c r="Z569" s="165"/>
    </row>
    <row r="570">
      <c r="A570" s="165"/>
      <c r="B570" s="165"/>
      <c r="C570" s="165"/>
      <c r="D570" s="165"/>
      <c r="E570" s="165"/>
      <c r="F570" s="165"/>
      <c r="G570" s="165"/>
      <c r="H570" s="165"/>
      <c r="I570" s="165"/>
      <c r="J570" s="165"/>
      <c r="K570" s="165"/>
      <c r="L570" s="165"/>
      <c r="M570" s="165"/>
      <c r="N570" s="165"/>
      <c r="O570" s="165"/>
      <c r="P570" s="165"/>
      <c r="Q570" s="165"/>
      <c r="R570" s="165"/>
      <c r="S570" s="165"/>
      <c r="T570" s="165"/>
      <c r="U570" s="165"/>
      <c r="V570" s="165"/>
      <c r="W570" s="165"/>
      <c r="X570" s="165"/>
      <c r="Y570" s="165"/>
      <c r="Z570" s="165"/>
    </row>
    <row r="571">
      <c r="A571" s="165"/>
      <c r="B571" s="165"/>
      <c r="C571" s="165"/>
      <c r="D571" s="165"/>
      <c r="E571" s="165"/>
      <c r="F571" s="165"/>
      <c r="G571" s="165"/>
      <c r="H571" s="165"/>
      <c r="I571" s="165"/>
      <c r="J571" s="165"/>
      <c r="K571" s="165"/>
      <c r="L571" s="165"/>
      <c r="M571" s="165"/>
      <c r="N571" s="165"/>
      <c r="O571" s="165"/>
      <c r="P571" s="165"/>
      <c r="Q571" s="165"/>
      <c r="R571" s="165"/>
      <c r="S571" s="165"/>
      <c r="T571" s="165"/>
      <c r="U571" s="165"/>
      <c r="V571" s="165"/>
      <c r="W571" s="165"/>
      <c r="X571" s="165"/>
      <c r="Y571" s="165"/>
      <c r="Z571" s="165"/>
    </row>
    <row r="572">
      <c r="A572" s="165"/>
      <c r="B572" s="165"/>
      <c r="C572" s="165"/>
      <c r="D572" s="165"/>
      <c r="E572" s="165"/>
      <c r="F572" s="165"/>
      <c r="G572" s="165"/>
      <c r="H572" s="165"/>
      <c r="I572" s="165"/>
      <c r="J572" s="165"/>
      <c r="K572" s="165"/>
      <c r="L572" s="165"/>
      <c r="M572" s="165"/>
      <c r="N572" s="165"/>
      <c r="O572" s="165"/>
      <c r="P572" s="165"/>
      <c r="Q572" s="165"/>
      <c r="R572" s="165"/>
      <c r="S572" s="165"/>
      <c r="T572" s="165"/>
      <c r="U572" s="165"/>
      <c r="V572" s="165"/>
      <c r="W572" s="165"/>
      <c r="X572" s="165"/>
      <c r="Y572" s="165"/>
      <c r="Z572" s="165"/>
    </row>
    <row r="573">
      <c r="A573" s="165"/>
      <c r="B573" s="165"/>
      <c r="C573" s="165"/>
      <c r="D573" s="165"/>
      <c r="E573" s="165"/>
      <c r="F573" s="165"/>
      <c r="G573" s="165"/>
      <c r="H573" s="165"/>
      <c r="I573" s="165"/>
      <c r="J573" s="165"/>
      <c r="K573" s="165"/>
      <c r="L573" s="165"/>
      <c r="M573" s="165"/>
      <c r="N573" s="165"/>
      <c r="O573" s="165"/>
      <c r="P573" s="165"/>
      <c r="Q573" s="165"/>
      <c r="R573" s="165"/>
      <c r="S573" s="165"/>
      <c r="T573" s="165"/>
      <c r="U573" s="165"/>
      <c r="V573" s="165"/>
      <c r="W573" s="165"/>
      <c r="X573" s="165"/>
      <c r="Y573" s="165"/>
      <c r="Z573" s="165"/>
    </row>
    <row r="574">
      <c r="A574" s="165"/>
      <c r="B574" s="165"/>
      <c r="C574" s="165"/>
      <c r="D574" s="165"/>
      <c r="E574" s="165"/>
      <c r="F574" s="165"/>
      <c r="G574" s="165"/>
      <c r="H574" s="165"/>
      <c r="I574" s="165"/>
      <c r="J574" s="165"/>
      <c r="K574" s="165"/>
      <c r="L574" s="165"/>
      <c r="M574" s="165"/>
      <c r="N574" s="165"/>
      <c r="O574" s="165"/>
      <c r="P574" s="165"/>
      <c r="Q574" s="165"/>
      <c r="R574" s="165"/>
      <c r="S574" s="165"/>
      <c r="T574" s="165"/>
      <c r="U574" s="165"/>
      <c r="V574" s="165"/>
      <c r="W574" s="165"/>
      <c r="X574" s="165"/>
      <c r="Y574" s="165"/>
      <c r="Z574" s="165"/>
    </row>
    <row r="575">
      <c r="A575" s="165"/>
      <c r="B575" s="165"/>
      <c r="C575" s="165"/>
      <c r="D575" s="165"/>
      <c r="E575" s="165"/>
      <c r="F575" s="165"/>
      <c r="G575" s="165"/>
      <c r="H575" s="165"/>
      <c r="I575" s="165"/>
      <c r="J575" s="165"/>
      <c r="K575" s="165"/>
      <c r="L575" s="165"/>
      <c r="M575" s="165"/>
      <c r="N575" s="165"/>
      <c r="O575" s="165"/>
      <c r="P575" s="165"/>
      <c r="Q575" s="165"/>
      <c r="R575" s="165"/>
      <c r="S575" s="165"/>
      <c r="T575" s="165"/>
      <c r="U575" s="165"/>
      <c r="V575" s="165"/>
      <c r="W575" s="165"/>
      <c r="X575" s="165"/>
      <c r="Y575" s="165"/>
      <c r="Z575" s="165"/>
    </row>
    <row r="576">
      <c r="A576" s="165"/>
      <c r="B576" s="165"/>
      <c r="C576" s="165"/>
      <c r="D576" s="165"/>
      <c r="E576" s="165"/>
      <c r="F576" s="165"/>
      <c r="G576" s="165"/>
      <c r="H576" s="165"/>
      <c r="I576" s="165"/>
      <c r="J576" s="165"/>
      <c r="K576" s="165"/>
      <c r="L576" s="165"/>
      <c r="M576" s="165"/>
      <c r="N576" s="165"/>
      <c r="O576" s="165"/>
      <c r="P576" s="165"/>
      <c r="Q576" s="165"/>
      <c r="R576" s="165"/>
      <c r="S576" s="165"/>
      <c r="T576" s="165"/>
      <c r="U576" s="165"/>
      <c r="V576" s="165"/>
      <c r="W576" s="165"/>
      <c r="X576" s="165"/>
      <c r="Y576" s="165"/>
      <c r="Z576" s="165"/>
    </row>
    <row r="577">
      <c r="A577" s="165"/>
      <c r="B577" s="165"/>
      <c r="C577" s="165"/>
      <c r="D577" s="165"/>
      <c r="E577" s="165"/>
      <c r="F577" s="165"/>
      <c r="G577" s="165"/>
      <c r="H577" s="165"/>
      <c r="I577" s="165"/>
      <c r="J577" s="165"/>
      <c r="K577" s="165"/>
      <c r="L577" s="165"/>
      <c r="M577" s="165"/>
      <c r="N577" s="165"/>
      <c r="O577" s="165"/>
      <c r="P577" s="165"/>
      <c r="Q577" s="165"/>
      <c r="R577" s="165"/>
      <c r="S577" s="165"/>
      <c r="T577" s="165"/>
      <c r="U577" s="165"/>
      <c r="V577" s="165"/>
      <c r="W577" s="165"/>
      <c r="X577" s="165"/>
      <c r="Y577" s="165"/>
      <c r="Z577" s="165"/>
    </row>
    <row r="578">
      <c r="A578" s="165"/>
      <c r="B578" s="165"/>
      <c r="C578" s="165"/>
      <c r="D578" s="165"/>
      <c r="E578" s="165"/>
      <c r="F578" s="165"/>
      <c r="G578" s="165"/>
      <c r="H578" s="165"/>
      <c r="I578" s="165"/>
      <c r="J578" s="165"/>
      <c r="K578" s="165"/>
      <c r="L578" s="165"/>
      <c r="M578" s="165"/>
      <c r="N578" s="165"/>
      <c r="O578" s="165"/>
      <c r="P578" s="165"/>
      <c r="Q578" s="165"/>
      <c r="R578" s="165"/>
      <c r="S578" s="165"/>
      <c r="T578" s="165"/>
      <c r="U578" s="165"/>
      <c r="V578" s="165"/>
      <c r="W578" s="165"/>
      <c r="X578" s="165"/>
      <c r="Y578" s="165"/>
      <c r="Z578" s="165"/>
    </row>
    <row r="579">
      <c r="A579" s="165"/>
      <c r="B579" s="165"/>
      <c r="C579" s="165"/>
      <c r="D579" s="165"/>
      <c r="E579" s="165"/>
      <c r="F579" s="165"/>
      <c r="G579" s="165"/>
      <c r="H579" s="165"/>
      <c r="I579" s="165"/>
      <c r="J579" s="165"/>
      <c r="K579" s="165"/>
      <c r="L579" s="165"/>
      <c r="M579" s="165"/>
      <c r="N579" s="165"/>
      <c r="O579" s="165"/>
      <c r="P579" s="165"/>
      <c r="Q579" s="165"/>
      <c r="R579" s="165"/>
      <c r="S579" s="165"/>
      <c r="T579" s="165"/>
      <c r="U579" s="165"/>
      <c r="V579" s="165"/>
      <c r="W579" s="165"/>
      <c r="X579" s="165"/>
      <c r="Y579" s="165"/>
      <c r="Z579" s="165"/>
    </row>
    <row r="580">
      <c r="A580" s="165"/>
      <c r="B580" s="165"/>
      <c r="C580" s="165"/>
      <c r="D580" s="165"/>
      <c r="E580" s="165"/>
      <c r="F580" s="165"/>
      <c r="G580" s="165"/>
      <c r="H580" s="165"/>
      <c r="I580" s="165"/>
      <c r="J580" s="165"/>
      <c r="K580" s="165"/>
      <c r="L580" s="165"/>
      <c r="M580" s="165"/>
      <c r="N580" s="165"/>
      <c r="O580" s="165"/>
      <c r="P580" s="165"/>
      <c r="Q580" s="165"/>
      <c r="R580" s="165"/>
      <c r="S580" s="165"/>
      <c r="T580" s="165"/>
      <c r="U580" s="165"/>
      <c r="V580" s="165"/>
      <c r="W580" s="165"/>
      <c r="X580" s="165"/>
      <c r="Y580" s="165"/>
      <c r="Z580" s="165"/>
    </row>
    <row r="581">
      <c r="A581" s="165"/>
      <c r="B581" s="165"/>
      <c r="C581" s="165"/>
      <c r="D581" s="165"/>
      <c r="E581" s="165"/>
      <c r="F581" s="165"/>
      <c r="G581" s="165"/>
      <c r="H581" s="165"/>
      <c r="I581" s="165"/>
      <c r="J581" s="165"/>
      <c r="K581" s="165"/>
      <c r="L581" s="165"/>
      <c r="M581" s="165"/>
      <c r="N581" s="165"/>
      <c r="O581" s="165"/>
      <c r="P581" s="165"/>
      <c r="Q581" s="165"/>
      <c r="R581" s="165"/>
      <c r="S581" s="165"/>
      <c r="T581" s="165"/>
      <c r="U581" s="165"/>
      <c r="V581" s="165"/>
      <c r="W581" s="165"/>
      <c r="X581" s="165"/>
      <c r="Y581" s="165"/>
      <c r="Z581" s="165"/>
    </row>
    <row r="582">
      <c r="A582" s="165"/>
      <c r="B582" s="165"/>
      <c r="C582" s="165"/>
      <c r="D582" s="165"/>
      <c r="E582" s="165"/>
      <c r="F582" s="165"/>
      <c r="G582" s="165"/>
      <c r="H582" s="165"/>
      <c r="I582" s="165"/>
      <c r="J582" s="165"/>
      <c r="K582" s="165"/>
      <c r="L582" s="165"/>
      <c r="M582" s="165"/>
      <c r="N582" s="165"/>
      <c r="O582" s="165"/>
      <c r="P582" s="165"/>
      <c r="Q582" s="165"/>
      <c r="R582" s="165"/>
      <c r="S582" s="165"/>
      <c r="T582" s="165"/>
      <c r="U582" s="165"/>
      <c r="V582" s="165"/>
      <c r="W582" s="165"/>
      <c r="X582" s="165"/>
      <c r="Y582" s="165"/>
      <c r="Z582" s="165"/>
    </row>
    <row r="583">
      <c r="A583" s="165"/>
      <c r="B583" s="165"/>
      <c r="C583" s="165"/>
      <c r="D583" s="165"/>
      <c r="E583" s="165"/>
      <c r="F583" s="165"/>
      <c r="G583" s="165"/>
      <c r="H583" s="165"/>
      <c r="I583" s="165"/>
      <c r="J583" s="165"/>
      <c r="K583" s="165"/>
      <c r="L583" s="165"/>
      <c r="M583" s="165"/>
      <c r="N583" s="165"/>
      <c r="O583" s="165"/>
      <c r="P583" s="165"/>
      <c r="Q583" s="165"/>
      <c r="R583" s="165"/>
      <c r="S583" s="165"/>
      <c r="T583" s="165"/>
      <c r="U583" s="165"/>
      <c r="V583" s="165"/>
      <c r="W583" s="165"/>
      <c r="X583" s="165"/>
      <c r="Y583" s="165"/>
      <c r="Z583" s="165"/>
    </row>
    <row r="584">
      <c r="A584" s="165"/>
      <c r="B584" s="165"/>
      <c r="C584" s="165"/>
      <c r="D584" s="165"/>
      <c r="E584" s="165"/>
      <c r="F584" s="165"/>
      <c r="G584" s="165"/>
      <c r="H584" s="165"/>
      <c r="I584" s="165"/>
      <c r="J584" s="165"/>
      <c r="K584" s="165"/>
      <c r="L584" s="165"/>
      <c r="M584" s="165"/>
      <c r="N584" s="165"/>
      <c r="O584" s="165"/>
      <c r="P584" s="165"/>
      <c r="Q584" s="165"/>
      <c r="R584" s="165"/>
      <c r="S584" s="165"/>
      <c r="T584" s="165"/>
      <c r="U584" s="165"/>
      <c r="V584" s="165"/>
      <c r="W584" s="165"/>
      <c r="X584" s="165"/>
      <c r="Y584" s="165"/>
      <c r="Z584" s="165"/>
    </row>
    <row r="585">
      <c r="A585" s="165"/>
      <c r="B585" s="165"/>
      <c r="C585" s="165"/>
      <c r="D585" s="165"/>
      <c r="E585" s="165"/>
      <c r="F585" s="165"/>
      <c r="G585" s="165"/>
      <c r="H585" s="165"/>
      <c r="I585" s="165"/>
      <c r="J585" s="165"/>
      <c r="K585" s="165"/>
      <c r="L585" s="165"/>
      <c r="M585" s="165"/>
      <c r="N585" s="165"/>
      <c r="O585" s="165"/>
      <c r="P585" s="165"/>
      <c r="Q585" s="165"/>
      <c r="R585" s="165"/>
      <c r="S585" s="165"/>
      <c r="T585" s="165"/>
      <c r="U585" s="165"/>
      <c r="V585" s="165"/>
      <c r="W585" s="165"/>
      <c r="X585" s="165"/>
      <c r="Y585" s="165"/>
      <c r="Z585" s="165"/>
    </row>
    <row r="586">
      <c r="A586" s="165"/>
      <c r="B586" s="165"/>
      <c r="C586" s="165"/>
      <c r="D586" s="165"/>
      <c r="E586" s="165"/>
      <c r="F586" s="165"/>
      <c r="G586" s="165"/>
      <c r="H586" s="165"/>
      <c r="I586" s="165"/>
      <c r="J586" s="165"/>
      <c r="K586" s="165"/>
      <c r="L586" s="165"/>
      <c r="M586" s="165"/>
      <c r="N586" s="165"/>
      <c r="O586" s="165"/>
      <c r="P586" s="165"/>
      <c r="Q586" s="165"/>
      <c r="R586" s="165"/>
      <c r="S586" s="165"/>
      <c r="T586" s="165"/>
      <c r="U586" s="165"/>
      <c r="V586" s="165"/>
      <c r="W586" s="165"/>
      <c r="X586" s="165"/>
      <c r="Y586" s="165"/>
      <c r="Z586" s="165"/>
    </row>
    <row r="587">
      <c r="A587" s="165"/>
      <c r="B587" s="165"/>
      <c r="C587" s="165"/>
      <c r="D587" s="165"/>
      <c r="E587" s="165"/>
      <c r="F587" s="165"/>
      <c r="G587" s="165"/>
      <c r="H587" s="165"/>
      <c r="I587" s="165"/>
      <c r="J587" s="165"/>
      <c r="K587" s="165"/>
      <c r="L587" s="165"/>
      <c r="M587" s="165"/>
      <c r="N587" s="165"/>
      <c r="O587" s="165"/>
      <c r="P587" s="165"/>
      <c r="Q587" s="165"/>
      <c r="R587" s="165"/>
      <c r="S587" s="165"/>
      <c r="T587" s="165"/>
      <c r="U587" s="165"/>
      <c r="V587" s="165"/>
      <c r="W587" s="165"/>
      <c r="X587" s="165"/>
      <c r="Y587" s="165"/>
      <c r="Z587" s="165"/>
    </row>
    <row r="588">
      <c r="A588" s="165"/>
      <c r="B588" s="165"/>
      <c r="C588" s="165"/>
      <c r="D588" s="165"/>
      <c r="E588" s="165"/>
      <c r="F588" s="165"/>
      <c r="G588" s="165"/>
      <c r="H588" s="165"/>
      <c r="I588" s="165"/>
      <c r="J588" s="165"/>
      <c r="K588" s="165"/>
      <c r="L588" s="165"/>
      <c r="M588" s="165"/>
      <c r="N588" s="165"/>
      <c r="O588" s="165"/>
      <c r="P588" s="165"/>
      <c r="Q588" s="165"/>
      <c r="R588" s="165"/>
      <c r="S588" s="165"/>
      <c r="T588" s="165"/>
      <c r="U588" s="165"/>
      <c r="V588" s="165"/>
      <c r="W588" s="165"/>
      <c r="X588" s="165"/>
      <c r="Y588" s="165"/>
      <c r="Z588" s="165"/>
    </row>
    <row r="589">
      <c r="A589" s="165"/>
      <c r="B589" s="165"/>
      <c r="C589" s="165"/>
      <c r="D589" s="165"/>
      <c r="E589" s="165"/>
      <c r="F589" s="165"/>
      <c r="G589" s="165"/>
      <c r="H589" s="165"/>
      <c r="I589" s="165"/>
      <c r="J589" s="165"/>
      <c r="K589" s="165"/>
      <c r="L589" s="165"/>
      <c r="M589" s="165"/>
      <c r="N589" s="165"/>
      <c r="O589" s="165"/>
      <c r="P589" s="165"/>
      <c r="Q589" s="165"/>
      <c r="R589" s="165"/>
      <c r="S589" s="165"/>
      <c r="T589" s="165"/>
      <c r="U589" s="165"/>
      <c r="V589" s="165"/>
      <c r="W589" s="165"/>
      <c r="X589" s="165"/>
      <c r="Y589" s="165"/>
      <c r="Z589" s="165"/>
    </row>
    <row r="590">
      <c r="A590" s="165"/>
      <c r="B590" s="165"/>
      <c r="C590" s="165"/>
      <c r="D590" s="165"/>
      <c r="E590" s="165"/>
      <c r="F590" s="165"/>
      <c r="G590" s="165"/>
      <c r="H590" s="165"/>
      <c r="I590" s="165"/>
      <c r="J590" s="165"/>
      <c r="K590" s="165"/>
      <c r="L590" s="165"/>
      <c r="M590" s="165"/>
      <c r="N590" s="165"/>
      <c r="O590" s="165"/>
      <c r="P590" s="165"/>
      <c r="Q590" s="165"/>
      <c r="R590" s="165"/>
      <c r="S590" s="165"/>
      <c r="T590" s="165"/>
      <c r="U590" s="165"/>
      <c r="V590" s="165"/>
      <c r="W590" s="165"/>
      <c r="X590" s="165"/>
      <c r="Y590" s="165"/>
      <c r="Z590" s="165"/>
    </row>
    <row r="591">
      <c r="A591" s="165"/>
      <c r="B591" s="165"/>
      <c r="C591" s="165"/>
      <c r="D591" s="165"/>
      <c r="E591" s="165"/>
      <c r="F591" s="165"/>
      <c r="G591" s="165"/>
      <c r="H591" s="165"/>
      <c r="I591" s="165"/>
      <c r="J591" s="165"/>
      <c r="K591" s="165"/>
      <c r="L591" s="165"/>
      <c r="M591" s="165"/>
      <c r="N591" s="165"/>
      <c r="O591" s="165"/>
      <c r="P591" s="165"/>
      <c r="Q591" s="165"/>
      <c r="R591" s="165"/>
      <c r="S591" s="165"/>
      <c r="T591" s="165"/>
      <c r="U591" s="165"/>
      <c r="V591" s="165"/>
      <c r="W591" s="165"/>
      <c r="X591" s="165"/>
      <c r="Y591" s="165"/>
      <c r="Z591" s="165"/>
    </row>
    <row r="592">
      <c r="A592" s="165"/>
      <c r="B592" s="165"/>
      <c r="C592" s="165"/>
      <c r="D592" s="165"/>
      <c r="E592" s="165"/>
      <c r="F592" s="165"/>
      <c r="G592" s="165"/>
      <c r="H592" s="165"/>
      <c r="I592" s="165"/>
      <c r="J592" s="165"/>
      <c r="K592" s="165"/>
      <c r="L592" s="165"/>
      <c r="M592" s="165"/>
      <c r="N592" s="165"/>
      <c r="O592" s="165"/>
      <c r="P592" s="165"/>
      <c r="Q592" s="165"/>
      <c r="R592" s="165"/>
      <c r="S592" s="165"/>
      <c r="T592" s="165"/>
      <c r="U592" s="165"/>
      <c r="V592" s="165"/>
      <c r="W592" s="165"/>
      <c r="X592" s="165"/>
      <c r="Y592" s="165"/>
      <c r="Z592" s="165"/>
    </row>
    <row r="593">
      <c r="A593" s="165"/>
      <c r="B593" s="165"/>
      <c r="C593" s="165"/>
      <c r="D593" s="165"/>
      <c r="E593" s="165"/>
      <c r="F593" s="165"/>
      <c r="G593" s="165"/>
      <c r="H593" s="165"/>
      <c r="I593" s="165"/>
      <c r="J593" s="165"/>
      <c r="K593" s="165"/>
      <c r="L593" s="165"/>
      <c r="M593" s="165"/>
      <c r="N593" s="165"/>
      <c r="O593" s="165"/>
      <c r="P593" s="165"/>
      <c r="Q593" s="165"/>
      <c r="R593" s="165"/>
      <c r="S593" s="165"/>
      <c r="T593" s="165"/>
      <c r="U593" s="165"/>
      <c r="V593" s="165"/>
      <c r="W593" s="165"/>
      <c r="X593" s="165"/>
      <c r="Y593" s="165"/>
      <c r="Z593" s="165"/>
    </row>
    <row r="594">
      <c r="A594" s="165"/>
      <c r="B594" s="165"/>
      <c r="C594" s="165"/>
      <c r="D594" s="165"/>
      <c r="E594" s="165"/>
      <c r="F594" s="165"/>
      <c r="G594" s="165"/>
      <c r="H594" s="165"/>
      <c r="I594" s="165"/>
      <c r="J594" s="165"/>
      <c r="K594" s="165"/>
      <c r="L594" s="165"/>
      <c r="M594" s="165"/>
      <c r="N594" s="165"/>
      <c r="O594" s="165"/>
      <c r="P594" s="165"/>
      <c r="Q594" s="165"/>
      <c r="R594" s="165"/>
      <c r="S594" s="165"/>
      <c r="T594" s="165"/>
      <c r="U594" s="165"/>
      <c r="V594" s="165"/>
      <c r="W594" s="165"/>
      <c r="X594" s="165"/>
      <c r="Y594" s="165"/>
      <c r="Z594" s="165"/>
    </row>
    <row r="595">
      <c r="A595" s="165"/>
      <c r="B595" s="165"/>
      <c r="C595" s="165"/>
      <c r="D595" s="165"/>
      <c r="E595" s="165"/>
      <c r="F595" s="165"/>
      <c r="G595" s="165"/>
      <c r="H595" s="165"/>
      <c r="I595" s="165"/>
      <c r="J595" s="165"/>
      <c r="K595" s="165"/>
      <c r="L595" s="165"/>
      <c r="M595" s="165"/>
      <c r="N595" s="165"/>
      <c r="O595" s="165"/>
      <c r="P595" s="165"/>
      <c r="Q595" s="165"/>
      <c r="R595" s="165"/>
      <c r="S595" s="165"/>
      <c r="T595" s="165"/>
      <c r="U595" s="165"/>
      <c r="V595" s="165"/>
      <c r="W595" s="165"/>
      <c r="X595" s="165"/>
      <c r="Y595" s="165"/>
      <c r="Z595" s="165"/>
    </row>
    <row r="596">
      <c r="A596" s="165"/>
      <c r="B596" s="165"/>
      <c r="C596" s="165"/>
      <c r="D596" s="165"/>
      <c r="E596" s="165"/>
      <c r="F596" s="165"/>
      <c r="G596" s="165"/>
      <c r="H596" s="165"/>
      <c r="I596" s="165"/>
      <c r="J596" s="165"/>
      <c r="K596" s="165"/>
      <c r="L596" s="165"/>
      <c r="M596" s="165"/>
      <c r="N596" s="165"/>
      <c r="O596" s="165"/>
      <c r="P596" s="165"/>
      <c r="Q596" s="165"/>
      <c r="R596" s="165"/>
      <c r="S596" s="165"/>
      <c r="T596" s="165"/>
      <c r="U596" s="165"/>
      <c r="V596" s="165"/>
      <c r="W596" s="165"/>
      <c r="X596" s="165"/>
      <c r="Y596" s="165"/>
      <c r="Z596" s="165"/>
    </row>
    <row r="597">
      <c r="A597" s="165"/>
      <c r="B597" s="165"/>
      <c r="C597" s="165"/>
      <c r="D597" s="165"/>
      <c r="E597" s="165"/>
      <c r="F597" s="165"/>
      <c r="G597" s="165"/>
      <c r="H597" s="165"/>
      <c r="I597" s="165"/>
      <c r="J597" s="165"/>
      <c r="K597" s="165"/>
      <c r="L597" s="165"/>
      <c r="M597" s="165"/>
      <c r="N597" s="165"/>
      <c r="O597" s="165"/>
      <c r="P597" s="165"/>
      <c r="Q597" s="165"/>
      <c r="R597" s="165"/>
      <c r="S597" s="165"/>
      <c r="T597" s="165"/>
      <c r="U597" s="165"/>
      <c r="V597" s="165"/>
      <c r="W597" s="165"/>
      <c r="X597" s="165"/>
      <c r="Y597" s="165"/>
      <c r="Z597" s="165"/>
    </row>
    <row r="598">
      <c r="A598" s="165"/>
      <c r="B598" s="165"/>
      <c r="C598" s="165"/>
      <c r="D598" s="165"/>
      <c r="E598" s="165"/>
      <c r="F598" s="165"/>
      <c r="G598" s="165"/>
      <c r="H598" s="165"/>
      <c r="I598" s="165"/>
      <c r="J598" s="165"/>
      <c r="K598" s="165"/>
      <c r="L598" s="165"/>
      <c r="M598" s="165"/>
      <c r="N598" s="165"/>
      <c r="O598" s="165"/>
      <c r="P598" s="165"/>
      <c r="Q598" s="165"/>
      <c r="R598" s="165"/>
      <c r="S598" s="165"/>
      <c r="T598" s="165"/>
      <c r="U598" s="165"/>
      <c r="V598" s="165"/>
      <c r="W598" s="165"/>
      <c r="X598" s="165"/>
      <c r="Y598" s="165"/>
      <c r="Z598" s="165"/>
    </row>
    <row r="599">
      <c r="A599" s="165"/>
      <c r="B599" s="165"/>
      <c r="C599" s="165"/>
      <c r="D599" s="165"/>
      <c r="E599" s="165"/>
      <c r="F599" s="165"/>
      <c r="G599" s="165"/>
      <c r="H599" s="165"/>
      <c r="I599" s="165"/>
      <c r="J599" s="165"/>
      <c r="K599" s="165"/>
      <c r="L599" s="165"/>
      <c r="M599" s="165"/>
      <c r="N599" s="165"/>
      <c r="O599" s="165"/>
      <c r="P599" s="165"/>
      <c r="Q599" s="165"/>
      <c r="R599" s="165"/>
      <c r="S599" s="165"/>
      <c r="T599" s="165"/>
      <c r="U599" s="165"/>
      <c r="V599" s="165"/>
      <c r="W599" s="165"/>
      <c r="X599" s="165"/>
      <c r="Y599" s="165"/>
      <c r="Z599" s="165"/>
    </row>
    <row r="600">
      <c r="A600" s="165"/>
      <c r="B600" s="165"/>
      <c r="C600" s="165"/>
      <c r="D600" s="165"/>
      <c r="E600" s="165"/>
      <c r="F600" s="165"/>
      <c r="G600" s="165"/>
      <c r="H600" s="165"/>
      <c r="I600" s="165"/>
      <c r="J600" s="165"/>
      <c r="K600" s="165"/>
      <c r="L600" s="165"/>
      <c r="M600" s="165"/>
      <c r="N600" s="165"/>
      <c r="O600" s="165"/>
      <c r="P600" s="165"/>
      <c r="Q600" s="165"/>
      <c r="R600" s="165"/>
      <c r="S600" s="165"/>
      <c r="T600" s="165"/>
      <c r="U600" s="165"/>
      <c r="V600" s="165"/>
      <c r="W600" s="165"/>
      <c r="X600" s="165"/>
      <c r="Y600" s="165"/>
      <c r="Z600" s="165"/>
    </row>
    <row r="601">
      <c r="A601" s="165"/>
      <c r="B601" s="165"/>
      <c r="C601" s="165"/>
      <c r="D601" s="165"/>
      <c r="E601" s="165"/>
      <c r="F601" s="165"/>
      <c r="G601" s="165"/>
      <c r="H601" s="165"/>
      <c r="I601" s="165"/>
      <c r="J601" s="165"/>
      <c r="K601" s="165"/>
      <c r="L601" s="165"/>
      <c r="M601" s="165"/>
      <c r="N601" s="165"/>
      <c r="O601" s="165"/>
      <c r="P601" s="165"/>
      <c r="Q601" s="165"/>
      <c r="R601" s="165"/>
      <c r="S601" s="165"/>
      <c r="T601" s="165"/>
      <c r="U601" s="165"/>
      <c r="V601" s="165"/>
      <c r="W601" s="165"/>
      <c r="X601" s="165"/>
      <c r="Y601" s="165"/>
      <c r="Z601" s="165"/>
    </row>
    <row r="602">
      <c r="A602" s="165"/>
      <c r="B602" s="165"/>
      <c r="C602" s="165"/>
      <c r="D602" s="165"/>
      <c r="E602" s="165"/>
      <c r="F602" s="165"/>
      <c r="G602" s="165"/>
      <c r="H602" s="165"/>
      <c r="I602" s="165"/>
      <c r="J602" s="165"/>
      <c r="K602" s="165"/>
      <c r="L602" s="165"/>
      <c r="M602" s="165"/>
      <c r="N602" s="165"/>
      <c r="O602" s="165"/>
      <c r="P602" s="165"/>
      <c r="Q602" s="165"/>
      <c r="R602" s="165"/>
      <c r="S602" s="165"/>
      <c r="T602" s="165"/>
      <c r="U602" s="165"/>
      <c r="V602" s="165"/>
      <c r="W602" s="165"/>
      <c r="X602" s="165"/>
      <c r="Y602" s="165"/>
      <c r="Z602" s="165"/>
    </row>
    <row r="603">
      <c r="A603" s="165"/>
      <c r="B603" s="165"/>
      <c r="C603" s="165"/>
      <c r="D603" s="165"/>
      <c r="E603" s="165"/>
      <c r="F603" s="165"/>
      <c r="G603" s="165"/>
      <c r="H603" s="165"/>
      <c r="I603" s="165"/>
      <c r="J603" s="165"/>
      <c r="K603" s="165"/>
      <c r="L603" s="165"/>
      <c r="M603" s="165"/>
      <c r="N603" s="165"/>
      <c r="O603" s="165"/>
      <c r="P603" s="165"/>
      <c r="Q603" s="165"/>
      <c r="R603" s="165"/>
      <c r="S603" s="165"/>
      <c r="T603" s="165"/>
      <c r="U603" s="165"/>
      <c r="V603" s="165"/>
      <c r="W603" s="165"/>
      <c r="X603" s="165"/>
      <c r="Y603" s="165"/>
      <c r="Z603" s="165"/>
    </row>
    <row r="604">
      <c r="A604" s="165"/>
      <c r="B604" s="165"/>
      <c r="C604" s="165"/>
      <c r="D604" s="165"/>
      <c r="E604" s="165"/>
      <c r="F604" s="165"/>
      <c r="G604" s="165"/>
      <c r="H604" s="165"/>
      <c r="I604" s="165"/>
      <c r="J604" s="165"/>
      <c r="K604" s="165"/>
      <c r="L604" s="165"/>
      <c r="M604" s="165"/>
      <c r="N604" s="165"/>
      <c r="O604" s="165"/>
      <c r="P604" s="165"/>
      <c r="Q604" s="165"/>
      <c r="R604" s="165"/>
      <c r="S604" s="165"/>
      <c r="T604" s="165"/>
      <c r="U604" s="165"/>
      <c r="V604" s="165"/>
      <c r="W604" s="165"/>
      <c r="X604" s="165"/>
      <c r="Y604" s="165"/>
      <c r="Z604" s="165"/>
    </row>
    <row r="605">
      <c r="A605" s="165"/>
      <c r="B605" s="165"/>
      <c r="C605" s="165"/>
      <c r="D605" s="165"/>
      <c r="E605" s="165"/>
      <c r="F605" s="165"/>
      <c r="G605" s="165"/>
      <c r="H605" s="165"/>
      <c r="I605" s="165"/>
      <c r="J605" s="165"/>
      <c r="K605" s="165"/>
      <c r="L605" s="165"/>
      <c r="M605" s="165"/>
      <c r="N605" s="165"/>
      <c r="O605" s="165"/>
      <c r="P605" s="165"/>
      <c r="Q605" s="165"/>
      <c r="R605" s="165"/>
      <c r="S605" s="165"/>
      <c r="T605" s="165"/>
      <c r="U605" s="165"/>
      <c r="V605" s="165"/>
      <c r="W605" s="165"/>
      <c r="X605" s="165"/>
      <c r="Y605" s="165"/>
      <c r="Z605" s="165"/>
    </row>
    <row r="606">
      <c r="A606" s="165"/>
      <c r="B606" s="165"/>
      <c r="C606" s="165"/>
      <c r="D606" s="165"/>
      <c r="E606" s="165"/>
      <c r="F606" s="165"/>
      <c r="G606" s="165"/>
      <c r="H606" s="165"/>
      <c r="I606" s="165"/>
      <c r="J606" s="165"/>
      <c r="K606" s="165"/>
      <c r="L606" s="165"/>
      <c r="M606" s="165"/>
      <c r="N606" s="165"/>
      <c r="O606" s="165"/>
      <c r="P606" s="165"/>
      <c r="Q606" s="165"/>
      <c r="R606" s="165"/>
      <c r="S606" s="165"/>
      <c r="T606" s="165"/>
      <c r="U606" s="165"/>
      <c r="V606" s="165"/>
      <c r="W606" s="165"/>
      <c r="X606" s="165"/>
      <c r="Y606" s="165"/>
      <c r="Z606" s="165"/>
    </row>
    <row r="607">
      <c r="A607" s="165"/>
      <c r="B607" s="165"/>
      <c r="C607" s="165"/>
      <c r="D607" s="165"/>
      <c r="E607" s="165"/>
      <c r="F607" s="165"/>
      <c r="G607" s="165"/>
      <c r="H607" s="165"/>
      <c r="I607" s="165"/>
      <c r="J607" s="165"/>
      <c r="K607" s="165"/>
      <c r="L607" s="165"/>
      <c r="M607" s="165"/>
      <c r="N607" s="165"/>
      <c r="O607" s="165"/>
      <c r="P607" s="165"/>
      <c r="Q607" s="165"/>
      <c r="R607" s="165"/>
      <c r="S607" s="165"/>
      <c r="T607" s="165"/>
      <c r="U607" s="165"/>
      <c r="V607" s="165"/>
      <c r="W607" s="165"/>
      <c r="X607" s="165"/>
      <c r="Y607" s="165"/>
      <c r="Z607" s="165"/>
    </row>
    <row r="608">
      <c r="A608" s="165"/>
      <c r="B608" s="165"/>
      <c r="C608" s="165"/>
      <c r="D608" s="165"/>
      <c r="E608" s="165"/>
      <c r="F608" s="165"/>
      <c r="G608" s="165"/>
      <c r="H608" s="165"/>
      <c r="I608" s="165"/>
      <c r="J608" s="165"/>
      <c r="K608" s="165"/>
      <c r="L608" s="165"/>
      <c r="M608" s="165"/>
      <c r="N608" s="165"/>
      <c r="O608" s="165"/>
      <c r="P608" s="165"/>
      <c r="Q608" s="165"/>
      <c r="R608" s="165"/>
      <c r="S608" s="165"/>
      <c r="T608" s="165"/>
      <c r="U608" s="165"/>
      <c r="V608" s="165"/>
      <c r="W608" s="165"/>
      <c r="X608" s="165"/>
      <c r="Y608" s="165"/>
      <c r="Z608" s="165"/>
    </row>
    <row r="609">
      <c r="A609" s="165"/>
      <c r="B609" s="165"/>
      <c r="C609" s="165"/>
      <c r="D609" s="165"/>
      <c r="E609" s="165"/>
      <c r="F609" s="165"/>
      <c r="G609" s="165"/>
      <c r="H609" s="165"/>
      <c r="I609" s="165"/>
      <c r="J609" s="165"/>
      <c r="K609" s="165"/>
      <c r="L609" s="165"/>
      <c r="M609" s="165"/>
      <c r="N609" s="165"/>
      <c r="O609" s="165"/>
      <c r="P609" s="165"/>
      <c r="Q609" s="165"/>
      <c r="R609" s="165"/>
      <c r="S609" s="165"/>
      <c r="T609" s="165"/>
      <c r="U609" s="165"/>
      <c r="V609" s="165"/>
      <c r="W609" s="165"/>
      <c r="X609" s="165"/>
      <c r="Y609" s="165"/>
      <c r="Z609" s="165"/>
    </row>
    <row r="610">
      <c r="A610" s="165"/>
      <c r="B610" s="165"/>
      <c r="C610" s="165"/>
      <c r="D610" s="165"/>
      <c r="E610" s="165"/>
      <c r="F610" s="165"/>
      <c r="G610" s="165"/>
      <c r="H610" s="165"/>
      <c r="I610" s="165"/>
      <c r="J610" s="165"/>
      <c r="K610" s="165"/>
      <c r="L610" s="165"/>
      <c r="M610" s="165"/>
      <c r="N610" s="165"/>
      <c r="O610" s="165"/>
      <c r="P610" s="165"/>
      <c r="Q610" s="165"/>
      <c r="R610" s="165"/>
      <c r="S610" s="165"/>
      <c r="T610" s="165"/>
      <c r="U610" s="165"/>
      <c r="V610" s="165"/>
      <c r="W610" s="165"/>
      <c r="X610" s="165"/>
      <c r="Y610" s="165"/>
      <c r="Z610" s="165"/>
    </row>
    <row r="611">
      <c r="A611" s="165"/>
      <c r="B611" s="165"/>
      <c r="C611" s="165"/>
      <c r="D611" s="165"/>
      <c r="E611" s="165"/>
      <c r="F611" s="165"/>
      <c r="G611" s="165"/>
      <c r="H611" s="165"/>
      <c r="I611" s="165"/>
      <c r="J611" s="165"/>
      <c r="K611" s="165"/>
      <c r="L611" s="165"/>
      <c r="M611" s="165"/>
      <c r="N611" s="165"/>
      <c r="O611" s="165"/>
      <c r="P611" s="165"/>
      <c r="Q611" s="165"/>
      <c r="R611" s="165"/>
      <c r="S611" s="165"/>
      <c r="T611" s="165"/>
      <c r="U611" s="165"/>
      <c r="V611" s="165"/>
      <c r="W611" s="165"/>
      <c r="X611" s="165"/>
      <c r="Y611" s="165"/>
      <c r="Z611" s="165"/>
    </row>
    <row r="612">
      <c r="A612" s="165"/>
      <c r="B612" s="165"/>
      <c r="C612" s="165"/>
      <c r="D612" s="165"/>
      <c r="E612" s="165"/>
      <c r="F612" s="165"/>
      <c r="G612" s="165"/>
      <c r="H612" s="165"/>
      <c r="I612" s="165"/>
      <c r="J612" s="165"/>
      <c r="K612" s="165"/>
      <c r="L612" s="165"/>
      <c r="M612" s="165"/>
      <c r="N612" s="165"/>
      <c r="O612" s="165"/>
      <c r="P612" s="165"/>
      <c r="Q612" s="165"/>
      <c r="R612" s="165"/>
      <c r="S612" s="165"/>
      <c r="T612" s="165"/>
      <c r="U612" s="165"/>
      <c r="V612" s="165"/>
      <c r="W612" s="165"/>
      <c r="X612" s="165"/>
      <c r="Y612" s="165"/>
      <c r="Z612" s="165"/>
    </row>
    <row r="613">
      <c r="A613" s="165"/>
      <c r="B613" s="165"/>
      <c r="C613" s="165"/>
      <c r="D613" s="165"/>
      <c r="E613" s="165"/>
      <c r="F613" s="165"/>
      <c r="G613" s="165"/>
      <c r="H613" s="165"/>
      <c r="I613" s="165"/>
      <c r="J613" s="165"/>
      <c r="K613" s="165"/>
      <c r="L613" s="165"/>
      <c r="M613" s="165"/>
      <c r="N613" s="165"/>
      <c r="O613" s="165"/>
      <c r="P613" s="165"/>
      <c r="Q613" s="165"/>
      <c r="R613" s="165"/>
      <c r="S613" s="165"/>
      <c r="T613" s="165"/>
      <c r="U613" s="165"/>
      <c r="V613" s="165"/>
      <c r="W613" s="165"/>
      <c r="X613" s="165"/>
      <c r="Y613" s="165"/>
      <c r="Z613" s="165"/>
    </row>
    <row r="614">
      <c r="A614" s="165"/>
      <c r="B614" s="165"/>
      <c r="C614" s="165"/>
      <c r="D614" s="165"/>
      <c r="E614" s="165"/>
      <c r="F614" s="165"/>
      <c r="G614" s="165"/>
      <c r="H614" s="165"/>
      <c r="I614" s="165"/>
      <c r="J614" s="165"/>
      <c r="K614" s="165"/>
      <c r="L614" s="165"/>
      <c r="M614" s="165"/>
      <c r="N614" s="165"/>
      <c r="O614" s="165"/>
      <c r="P614" s="165"/>
      <c r="Q614" s="165"/>
      <c r="R614" s="165"/>
      <c r="S614" s="165"/>
      <c r="T614" s="165"/>
      <c r="U614" s="165"/>
      <c r="V614" s="165"/>
      <c r="W614" s="165"/>
      <c r="X614" s="165"/>
      <c r="Y614" s="165"/>
      <c r="Z614" s="165"/>
    </row>
    <row r="615">
      <c r="A615" s="165"/>
      <c r="B615" s="165"/>
      <c r="C615" s="165"/>
      <c r="D615" s="165"/>
      <c r="E615" s="165"/>
      <c r="F615" s="165"/>
      <c r="G615" s="165"/>
      <c r="H615" s="165"/>
      <c r="I615" s="165"/>
      <c r="J615" s="165"/>
      <c r="K615" s="165"/>
      <c r="L615" s="165"/>
      <c r="M615" s="165"/>
      <c r="N615" s="165"/>
      <c r="O615" s="165"/>
      <c r="P615" s="165"/>
      <c r="Q615" s="165"/>
      <c r="R615" s="165"/>
      <c r="S615" s="165"/>
      <c r="T615" s="165"/>
      <c r="U615" s="165"/>
      <c r="V615" s="165"/>
      <c r="W615" s="165"/>
      <c r="X615" s="165"/>
      <c r="Y615" s="165"/>
      <c r="Z615" s="165"/>
    </row>
    <row r="616">
      <c r="A616" s="165"/>
      <c r="B616" s="165"/>
      <c r="C616" s="165"/>
      <c r="D616" s="165"/>
      <c r="E616" s="165"/>
      <c r="F616" s="165"/>
      <c r="G616" s="165"/>
      <c r="H616" s="165"/>
      <c r="I616" s="165"/>
      <c r="J616" s="165"/>
      <c r="K616" s="165"/>
      <c r="L616" s="165"/>
      <c r="M616" s="165"/>
      <c r="N616" s="165"/>
      <c r="O616" s="165"/>
      <c r="P616" s="165"/>
      <c r="Q616" s="165"/>
      <c r="R616" s="165"/>
      <c r="S616" s="165"/>
      <c r="T616" s="165"/>
      <c r="U616" s="165"/>
      <c r="V616" s="165"/>
      <c r="W616" s="165"/>
      <c r="X616" s="165"/>
      <c r="Y616" s="165"/>
      <c r="Z616" s="165"/>
    </row>
    <row r="617">
      <c r="A617" s="165"/>
      <c r="B617" s="165"/>
      <c r="C617" s="165"/>
      <c r="D617" s="165"/>
      <c r="E617" s="165"/>
      <c r="F617" s="165"/>
      <c r="G617" s="165"/>
      <c r="H617" s="165"/>
      <c r="I617" s="165"/>
      <c r="J617" s="165"/>
      <c r="K617" s="165"/>
      <c r="L617" s="165"/>
      <c r="M617" s="165"/>
      <c r="N617" s="165"/>
      <c r="O617" s="165"/>
      <c r="P617" s="165"/>
      <c r="Q617" s="165"/>
      <c r="R617" s="165"/>
      <c r="S617" s="165"/>
      <c r="T617" s="165"/>
      <c r="U617" s="165"/>
      <c r="V617" s="165"/>
      <c r="W617" s="165"/>
      <c r="X617" s="165"/>
      <c r="Y617" s="165"/>
      <c r="Z617" s="165"/>
    </row>
    <row r="618">
      <c r="A618" s="165"/>
      <c r="B618" s="165"/>
      <c r="C618" s="165"/>
      <c r="D618" s="165"/>
      <c r="E618" s="165"/>
      <c r="F618" s="165"/>
      <c r="G618" s="165"/>
      <c r="H618" s="165"/>
      <c r="I618" s="165"/>
      <c r="J618" s="165"/>
      <c r="K618" s="165"/>
      <c r="L618" s="165"/>
      <c r="M618" s="165"/>
      <c r="N618" s="165"/>
      <c r="O618" s="165"/>
      <c r="P618" s="165"/>
      <c r="Q618" s="165"/>
      <c r="R618" s="165"/>
      <c r="S618" s="165"/>
      <c r="T618" s="165"/>
      <c r="U618" s="165"/>
      <c r="V618" s="165"/>
      <c r="W618" s="165"/>
      <c r="X618" s="165"/>
      <c r="Y618" s="165"/>
      <c r="Z618" s="165"/>
    </row>
    <row r="619">
      <c r="A619" s="165"/>
      <c r="B619" s="165"/>
      <c r="C619" s="165"/>
      <c r="D619" s="165"/>
      <c r="E619" s="165"/>
      <c r="F619" s="165"/>
      <c r="G619" s="165"/>
      <c r="H619" s="165"/>
      <c r="I619" s="165"/>
      <c r="J619" s="165"/>
      <c r="K619" s="165"/>
      <c r="L619" s="165"/>
      <c r="M619" s="165"/>
      <c r="N619" s="165"/>
      <c r="O619" s="165"/>
      <c r="P619" s="165"/>
      <c r="Q619" s="165"/>
      <c r="R619" s="165"/>
      <c r="S619" s="165"/>
      <c r="T619" s="165"/>
      <c r="U619" s="165"/>
      <c r="V619" s="165"/>
      <c r="W619" s="165"/>
      <c r="X619" s="165"/>
      <c r="Y619" s="165"/>
      <c r="Z619" s="165"/>
    </row>
    <row r="620">
      <c r="A620" s="165"/>
      <c r="B620" s="165"/>
      <c r="C620" s="165"/>
      <c r="D620" s="165"/>
      <c r="E620" s="165"/>
      <c r="F620" s="165"/>
      <c r="G620" s="165"/>
      <c r="H620" s="165"/>
      <c r="I620" s="165"/>
      <c r="J620" s="165"/>
      <c r="K620" s="165"/>
      <c r="L620" s="165"/>
      <c r="M620" s="165"/>
      <c r="N620" s="165"/>
      <c r="O620" s="165"/>
      <c r="P620" s="165"/>
      <c r="Q620" s="165"/>
      <c r="R620" s="165"/>
      <c r="S620" s="165"/>
      <c r="T620" s="165"/>
      <c r="U620" s="165"/>
      <c r="V620" s="165"/>
      <c r="W620" s="165"/>
      <c r="X620" s="165"/>
      <c r="Y620" s="165"/>
      <c r="Z620" s="165"/>
    </row>
    <row r="621">
      <c r="A621" s="165"/>
      <c r="B621" s="165"/>
      <c r="C621" s="165"/>
      <c r="D621" s="165"/>
      <c r="E621" s="165"/>
      <c r="F621" s="165"/>
      <c r="G621" s="165"/>
      <c r="H621" s="165"/>
      <c r="I621" s="165"/>
      <c r="J621" s="165"/>
      <c r="K621" s="165"/>
      <c r="L621" s="165"/>
      <c r="M621" s="165"/>
      <c r="N621" s="165"/>
      <c r="O621" s="165"/>
      <c r="P621" s="165"/>
      <c r="Q621" s="165"/>
      <c r="R621" s="165"/>
      <c r="S621" s="165"/>
      <c r="T621" s="165"/>
      <c r="U621" s="165"/>
      <c r="V621" s="165"/>
      <c r="W621" s="165"/>
      <c r="X621" s="165"/>
      <c r="Y621" s="165"/>
      <c r="Z621" s="165"/>
    </row>
    <row r="622">
      <c r="A622" s="165"/>
      <c r="B622" s="165"/>
      <c r="C622" s="165"/>
      <c r="D622" s="165"/>
      <c r="E622" s="165"/>
      <c r="F622" s="165"/>
      <c r="G622" s="165"/>
      <c r="H622" s="165"/>
      <c r="I622" s="165"/>
      <c r="J622" s="165"/>
      <c r="K622" s="165"/>
      <c r="L622" s="165"/>
      <c r="M622" s="165"/>
      <c r="N622" s="165"/>
      <c r="O622" s="165"/>
      <c r="P622" s="165"/>
      <c r="Q622" s="165"/>
      <c r="R622" s="165"/>
      <c r="S622" s="165"/>
      <c r="T622" s="165"/>
      <c r="U622" s="165"/>
      <c r="V622" s="165"/>
      <c r="W622" s="165"/>
      <c r="X622" s="165"/>
      <c r="Y622" s="165"/>
      <c r="Z622" s="165"/>
    </row>
    <row r="623">
      <c r="A623" s="165"/>
      <c r="B623" s="165"/>
      <c r="C623" s="165"/>
      <c r="D623" s="165"/>
      <c r="E623" s="165"/>
      <c r="F623" s="165"/>
      <c r="G623" s="165"/>
      <c r="H623" s="165"/>
      <c r="I623" s="165"/>
      <c r="J623" s="165"/>
      <c r="K623" s="165"/>
      <c r="L623" s="165"/>
      <c r="M623" s="165"/>
      <c r="N623" s="165"/>
      <c r="O623" s="165"/>
      <c r="P623" s="165"/>
      <c r="Q623" s="165"/>
      <c r="R623" s="165"/>
      <c r="S623" s="165"/>
      <c r="T623" s="165"/>
      <c r="U623" s="165"/>
      <c r="V623" s="165"/>
      <c r="W623" s="165"/>
      <c r="X623" s="165"/>
      <c r="Y623" s="165"/>
      <c r="Z623" s="165"/>
    </row>
    <row r="624">
      <c r="A624" s="165"/>
      <c r="B624" s="165"/>
      <c r="C624" s="165"/>
      <c r="D624" s="165"/>
      <c r="E624" s="165"/>
      <c r="F624" s="165"/>
      <c r="G624" s="165"/>
      <c r="H624" s="165"/>
      <c r="I624" s="165"/>
      <c r="J624" s="165"/>
      <c r="K624" s="165"/>
      <c r="L624" s="165"/>
      <c r="M624" s="165"/>
      <c r="N624" s="165"/>
      <c r="O624" s="165"/>
      <c r="P624" s="165"/>
      <c r="Q624" s="165"/>
      <c r="R624" s="165"/>
      <c r="S624" s="165"/>
      <c r="T624" s="165"/>
      <c r="U624" s="165"/>
      <c r="V624" s="165"/>
      <c r="W624" s="165"/>
      <c r="X624" s="165"/>
      <c r="Y624" s="165"/>
      <c r="Z624" s="165"/>
    </row>
    <row r="625">
      <c r="A625" s="165"/>
      <c r="B625" s="165"/>
      <c r="C625" s="165"/>
      <c r="D625" s="165"/>
      <c r="E625" s="165"/>
      <c r="F625" s="165"/>
      <c r="G625" s="165"/>
      <c r="H625" s="165"/>
      <c r="I625" s="165"/>
      <c r="J625" s="165"/>
      <c r="K625" s="165"/>
      <c r="L625" s="165"/>
      <c r="M625" s="165"/>
      <c r="N625" s="165"/>
      <c r="O625" s="165"/>
      <c r="P625" s="165"/>
      <c r="Q625" s="165"/>
      <c r="R625" s="165"/>
      <c r="S625" s="165"/>
      <c r="T625" s="165"/>
      <c r="U625" s="165"/>
      <c r="V625" s="165"/>
      <c r="W625" s="165"/>
      <c r="X625" s="165"/>
      <c r="Y625" s="165"/>
      <c r="Z625" s="165"/>
    </row>
    <row r="626">
      <c r="A626" s="165"/>
      <c r="B626" s="165"/>
      <c r="C626" s="165"/>
      <c r="D626" s="165"/>
      <c r="E626" s="165"/>
      <c r="F626" s="165"/>
      <c r="G626" s="165"/>
      <c r="H626" s="165"/>
      <c r="I626" s="165"/>
      <c r="J626" s="165"/>
      <c r="K626" s="165"/>
      <c r="L626" s="165"/>
      <c r="M626" s="165"/>
      <c r="N626" s="165"/>
      <c r="O626" s="165"/>
      <c r="P626" s="165"/>
      <c r="Q626" s="165"/>
      <c r="R626" s="165"/>
      <c r="S626" s="165"/>
      <c r="T626" s="165"/>
      <c r="U626" s="165"/>
      <c r="V626" s="165"/>
      <c r="W626" s="165"/>
      <c r="X626" s="165"/>
      <c r="Y626" s="165"/>
      <c r="Z626" s="165"/>
    </row>
    <row r="627">
      <c r="A627" s="165"/>
      <c r="B627" s="165"/>
      <c r="C627" s="165"/>
      <c r="D627" s="165"/>
      <c r="E627" s="165"/>
      <c r="F627" s="165"/>
      <c r="G627" s="165"/>
      <c r="H627" s="165"/>
      <c r="I627" s="165"/>
      <c r="J627" s="165"/>
      <c r="K627" s="165"/>
      <c r="L627" s="165"/>
      <c r="M627" s="165"/>
      <c r="N627" s="165"/>
      <c r="O627" s="165"/>
      <c r="P627" s="165"/>
      <c r="Q627" s="165"/>
      <c r="R627" s="165"/>
      <c r="S627" s="165"/>
      <c r="T627" s="165"/>
      <c r="U627" s="165"/>
      <c r="V627" s="165"/>
      <c r="W627" s="165"/>
      <c r="X627" s="165"/>
      <c r="Y627" s="165"/>
      <c r="Z627" s="165"/>
    </row>
    <row r="628">
      <c r="A628" s="165"/>
      <c r="B628" s="165"/>
      <c r="C628" s="165"/>
      <c r="D628" s="165"/>
      <c r="E628" s="165"/>
      <c r="F628" s="165"/>
      <c r="G628" s="165"/>
      <c r="H628" s="165"/>
      <c r="I628" s="165"/>
      <c r="J628" s="165"/>
      <c r="K628" s="165"/>
      <c r="L628" s="165"/>
      <c r="M628" s="165"/>
      <c r="N628" s="165"/>
      <c r="O628" s="165"/>
      <c r="P628" s="165"/>
      <c r="Q628" s="165"/>
      <c r="R628" s="165"/>
      <c r="S628" s="165"/>
      <c r="T628" s="165"/>
      <c r="U628" s="165"/>
      <c r="V628" s="165"/>
      <c r="W628" s="165"/>
      <c r="X628" s="165"/>
      <c r="Y628" s="165"/>
      <c r="Z628" s="165"/>
    </row>
    <row r="629">
      <c r="A629" s="165"/>
      <c r="B629" s="165"/>
      <c r="C629" s="165"/>
      <c r="D629" s="165"/>
      <c r="E629" s="165"/>
      <c r="F629" s="165"/>
      <c r="G629" s="165"/>
      <c r="H629" s="165"/>
      <c r="I629" s="165"/>
      <c r="J629" s="165"/>
      <c r="K629" s="165"/>
      <c r="L629" s="165"/>
      <c r="M629" s="165"/>
      <c r="N629" s="165"/>
      <c r="O629" s="165"/>
      <c r="P629" s="165"/>
      <c r="Q629" s="165"/>
      <c r="R629" s="165"/>
      <c r="S629" s="165"/>
      <c r="T629" s="165"/>
      <c r="U629" s="165"/>
      <c r="V629" s="165"/>
      <c r="W629" s="165"/>
      <c r="X629" s="165"/>
      <c r="Y629" s="165"/>
      <c r="Z629" s="165"/>
    </row>
    <row r="630">
      <c r="A630" s="165"/>
      <c r="B630" s="165"/>
      <c r="C630" s="165"/>
      <c r="D630" s="165"/>
      <c r="E630" s="165"/>
      <c r="F630" s="165"/>
      <c r="G630" s="165"/>
      <c r="H630" s="165"/>
      <c r="I630" s="165"/>
      <c r="J630" s="165"/>
      <c r="K630" s="165"/>
      <c r="L630" s="165"/>
      <c r="M630" s="165"/>
      <c r="N630" s="165"/>
      <c r="O630" s="165"/>
      <c r="P630" s="165"/>
      <c r="Q630" s="165"/>
      <c r="R630" s="165"/>
      <c r="S630" s="165"/>
      <c r="T630" s="165"/>
      <c r="U630" s="165"/>
      <c r="V630" s="165"/>
      <c r="W630" s="165"/>
      <c r="X630" s="165"/>
      <c r="Y630" s="165"/>
      <c r="Z630" s="165"/>
    </row>
    <row r="631">
      <c r="A631" s="165"/>
      <c r="B631" s="165"/>
      <c r="C631" s="165"/>
      <c r="D631" s="165"/>
      <c r="E631" s="165"/>
      <c r="F631" s="165"/>
      <c r="G631" s="165"/>
      <c r="H631" s="165"/>
      <c r="I631" s="165"/>
      <c r="J631" s="165"/>
      <c r="K631" s="165"/>
      <c r="L631" s="165"/>
      <c r="M631" s="165"/>
      <c r="N631" s="165"/>
      <c r="O631" s="165"/>
      <c r="P631" s="165"/>
      <c r="Q631" s="165"/>
      <c r="R631" s="165"/>
      <c r="S631" s="165"/>
      <c r="T631" s="165"/>
      <c r="U631" s="165"/>
      <c r="V631" s="165"/>
      <c r="W631" s="165"/>
      <c r="X631" s="165"/>
      <c r="Y631" s="165"/>
      <c r="Z631" s="165"/>
    </row>
    <row r="632">
      <c r="A632" s="165"/>
      <c r="B632" s="165"/>
      <c r="C632" s="165"/>
      <c r="D632" s="165"/>
      <c r="E632" s="165"/>
      <c r="F632" s="165"/>
      <c r="G632" s="165"/>
      <c r="H632" s="165"/>
      <c r="I632" s="165"/>
      <c r="J632" s="165"/>
      <c r="K632" s="165"/>
      <c r="L632" s="165"/>
      <c r="M632" s="165"/>
      <c r="N632" s="165"/>
      <c r="O632" s="165"/>
      <c r="P632" s="165"/>
      <c r="Q632" s="165"/>
      <c r="R632" s="165"/>
      <c r="S632" s="165"/>
      <c r="T632" s="165"/>
      <c r="U632" s="165"/>
      <c r="V632" s="165"/>
      <c r="W632" s="165"/>
      <c r="X632" s="165"/>
      <c r="Y632" s="165"/>
      <c r="Z632" s="165"/>
    </row>
    <row r="633">
      <c r="A633" s="165"/>
      <c r="B633" s="165"/>
      <c r="C633" s="165"/>
      <c r="D633" s="165"/>
      <c r="E633" s="165"/>
      <c r="F633" s="165"/>
      <c r="G633" s="165"/>
      <c r="H633" s="165"/>
      <c r="I633" s="165"/>
      <c r="J633" s="165"/>
      <c r="K633" s="165"/>
      <c r="L633" s="165"/>
      <c r="M633" s="165"/>
      <c r="N633" s="165"/>
      <c r="O633" s="165"/>
      <c r="P633" s="165"/>
      <c r="Q633" s="165"/>
      <c r="R633" s="165"/>
      <c r="S633" s="165"/>
      <c r="T633" s="165"/>
      <c r="U633" s="165"/>
      <c r="V633" s="165"/>
      <c r="W633" s="165"/>
      <c r="X633" s="165"/>
      <c r="Y633" s="165"/>
      <c r="Z633" s="165"/>
    </row>
    <row r="634">
      <c r="A634" s="165"/>
      <c r="B634" s="165"/>
      <c r="C634" s="165"/>
      <c r="D634" s="165"/>
      <c r="E634" s="165"/>
      <c r="F634" s="165"/>
      <c r="G634" s="165"/>
      <c r="H634" s="165"/>
      <c r="I634" s="165"/>
      <c r="J634" s="165"/>
      <c r="K634" s="165"/>
      <c r="L634" s="165"/>
      <c r="M634" s="165"/>
      <c r="N634" s="165"/>
      <c r="O634" s="165"/>
      <c r="P634" s="165"/>
      <c r="Q634" s="165"/>
      <c r="R634" s="165"/>
      <c r="S634" s="165"/>
      <c r="T634" s="165"/>
      <c r="U634" s="165"/>
      <c r="V634" s="165"/>
      <c r="W634" s="165"/>
      <c r="X634" s="165"/>
      <c r="Y634" s="165"/>
      <c r="Z634" s="165"/>
    </row>
    <row r="635">
      <c r="A635" s="165"/>
      <c r="B635" s="165"/>
      <c r="C635" s="165"/>
      <c r="D635" s="165"/>
      <c r="E635" s="165"/>
      <c r="F635" s="165"/>
      <c r="G635" s="165"/>
      <c r="H635" s="165"/>
      <c r="I635" s="165"/>
      <c r="J635" s="165"/>
      <c r="K635" s="165"/>
      <c r="L635" s="165"/>
      <c r="M635" s="165"/>
      <c r="N635" s="165"/>
      <c r="O635" s="165"/>
      <c r="P635" s="165"/>
      <c r="Q635" s="165"/>
      <c r="R635" s="165"/>
      <c r="S635" s="165"/>
      <c r="T635" s="165"/>
      <c r="U635" s="165"/>
      <c r="V635" s="165"/>
      <c r="W635" s="165"/>
      <c r="X635" s="165"/>
      <c r="Y635" s="165"/>
      <c r="Z635" s="165"/>
    </row>
    <row r="636">
      <c r="A636" s="165"/>
      <c r="B636" s="165"/>
      <c r="C636" s="165"/>
      <c r="D636" s="165"/>
      <c r="E636" s="165"/>
      <c r="F636" s="165"/>
      <c r="G636" s="165"/>
      <c r="H636" s="165"/>
      <c r="I636" s="165"/>
      <c r="J636" s="165"/>
      <c r="K636" s="165"/>
      <c r="L636" s="165"/>
      <c r="M636" s="165"/>
      <c r="N636" s="165"/>
      <c r="O636" s="165"/>
      <c r="P636" s="165"/>
      <c r="Q636" s="165"/>
      <c r="R636" s="165"/>
      <c r="S636" s="165"/>
      <c r="T636" s="165"/>
      <c r="U636" s="165"/>
      <c r="V636" s="165"/>
      <c r="W636" s="165"/>
      <c r="X636" s="165"/>
      <c r="Y636" s="165"/>
      <c r="Z636" s="165"/>
    </row>
    <row r="637">
      <c r="A637" s="165"/>
      <c r="B637" s="165"/>
      <c r="C637" s="165"/>
      <c r="D637" s="165"/>
      <c r="E637" s="165"/>
      <c r="F637" s="165"/>
      <c r="G637" s="165"/>
      <c r="H637" s="165"/>
      <c r="I637" s="165"/>
      <c r="J637" s="165"/>
      <c r="K637" s="165"/>
      <c r="L637" s="165"/>
      <c r="M637" s="165"/>
      <c r="N637" s="165"/>
      <c r="O637" s="165"/>
      <c r="P637" s="165"/>
      <c r="Q637" s="165"/>
      <c r="R637" s="165"/>
      <c r="S637" s="165"/>
      <c r="T637" s="165"/>
      <c r="U637" s="165"/>
      <c r="V637" s="165"/>
      <c r="W637" s="165"/>
      <c r="X637" s="165"/>
      <c r="Y637" s="165"/>
      <c r="Z637" s="165"/>
    </row>
    <row r="638">
      <c r="A638" s="165"/>
      <c r="B638" s="165"/>
      <c r="C638" s="165"/>
      <c r="D638" s="165"/>
      <c r="E638" s="165"/>
      <c r="F638" s="165"/>
      <c r="G638" s="165"/>
      <c r="H638" s="165"/>
      <c r="I638" s="165"/>
      <c r="J638" s="165"/>
      <c r="K638" s="165"/>
      <c r="L638" s="165"/>
      <c r="M638" s="165"/>
      <c r="N638" s="165"/>
      <c r="O638" s="165"/>
      <c r="P638" s="165"/>
      <c r="Q638" s="165"/>
      <c r="R638" s="165"/>
      <c r="S638" s="165"/>
      <c r="T638" s="165"/>
      <c r="U638" s="165"/>
      <c r="V638" s="165"/>
      <c r="W638" s="165"/>
      <c r="X638" s="165"/>
      <c r="Y638" s="165"/>
      <c r="Z638" s="165"/>
    </row>
    <row r="639">
      <c r="A639" s="165"/>
      <c r="B639" s="165"/>
      <c r="C639" s="165"/>
      <c r="D639" s="165"/>
      <c r="E639" s="165"/>
      <c r="F639" s="165"/>
      <c r="G639" s="165"/>
      <c r="H639" s="165"/>
      <c r="I639" s="165"/>
      <c r="J639" s="165"/>
      <c r="K639" s="165"/>
      <c r="L639" s="165"/>
      <c r="M639" s="165"/>
      <c r="N639" s="165"/>
      <c r="O639" s="165"/>
      <c r="P639" s="165"/>
      <c r="Q639" s="165"/>
      <c r="R639" s="165"/>
      <c r="S639" s="165"/>
      <c r="T639" s="165"/>
      <c r="U639" s="165"/>
      <c r="V639" s="165"/>
      <c r="W639" s="165"/>
      <c r="X639" s="165"/>
      <c r="Y639" s="165"/>
      <c r="Z639" s="165"/>
    </row>
    <row r="640">
      <c r="A640" s="165"/>
      <c r="B640" s="165"/>
      <c r="C640" s="165"/>
      <c r="D640" s="165"/>
      <c r="E640" s="165"/>
      <c r="F640" s="165"/>
      <c r="G640" s="165"/>
      <c r="H640" s="165"/>
      <c r="I640" s="165"/>
      <c r="J640" s="165"/>
      <c r="K640" s="165"/>
      <c r="L640" s="165"/>
      <c r="M640" s="165"/>
      <c r="N640" s="165"/>
      <c r="O640" s="165"/>
      <c r="P640" s="165"/>
      <c r="Q640" s="165"/>
      <c r="R640" s="165"/>
      <c r="S640" s="165"/>
      <c r="T640" s="165"/>
      <c r="U640" s="165"/>
      <c r="V640" s="165"/>
      <c r="W640" s="165"/>
      <c r="X640" s="165"/>
      <c r="Y640" s="165"/>
      <c r="Z640" s="165"/>
    </row>
    <row r="641">
      <c r="A641" s="165"/>
      <c r="B641" s="165"/>
      <c r="C641" s="165"/>
      <c r="D641" s="165"/>
      <c r="E641" s="165"/>
      <c r="F641" s="165"/>
      <c r="G641" s="165"/>
      <c r="H641" s="165"/>
      <c r="I641" s="165"/>
      <c r="J641" s="165"/>
      <c r="K641" s="165"/>
      <c r="L641" s="165"/>
      <c r="M641" s="165"/>
      <c r="N641" s="165"/>
      <c r="O641" s="165"/>
      <c r="P641" s="165"/>
      <c r="Q641" s="165"/>
      <c r="R641" s="165"/>
      <c r="S641" s="165"/>
      <c r="T641" s="165"/>
      <c r="U641" s="165"/>
      <c r="V641" s="165"/>
      <c r="W641" s="165"/>
      <c r="X641" s="165"/>
      <c r="Y641" s="165"/>
      <c r="Z641" s="165"/>
    </row>
    <row r="642">
      <c r="A642" s="165"/>
      <c r="B642" s="165"/>
      <c r="C642" s="165"/>
      <c r="D642" s="165"/>
      <c r="E642" s="165"/>
      <c r="F642" s="165"/>
      <c r="G642" s="165"/>
      <c r="H642" s="165"/>
      <c r="I642" s="165"/>
      <c r="J642" s="165"/>
      <c r="K642" s="165"/>
      <c r="L642" s="165"/>
      <c r="M642" s="165"/>
      <c r="N642" s="165"/>
      <c r="O642" s="165"/>
      <c r="P642" s="165"/>
      <c r="Q642" s="165"/>
      <c r="R642" s="165"/>
      <c r="S642" s="165"/>
      <c r="T642" s="165"/>
      <c r="U642" s="165"/>
      <c r="V642" s="165"/>
      <c r="W642" s="165"/>
      <c r="X642" s="165"/>
      <c r="Y642" s="165"/>
      <c r="Z642" s="165"/>
    </row>
    <row r="643">
      <c r="A643" s="165"/>
      <c r="B643" s="165"/>
      <c r="C643" s="165"/>
      <c r="D643" s="165"/>
      <c r="E643" s="165"/>
      <c r="F643" s="165"/>
      <c r="G643" s="165"/>
      <c r="H643" s="165"/>
      <c r="I643" s="165"/>
      <c r="J643" s="165"/>
      <c r="K643" s="165"/>
      <c r="L643" s="165"/>
      <c r="M643" s="165"/>
      <c r="N643" s="165"/>
      <c r="O643" s="165"/>
      <c r="P643" s="165"/>
      <c r="Q643" s="165"/>
      <c r="R643" s="165"/>
      <c r="S643" s="165"/>
      <c r="T643" s="165"/>
      <c r="U643" s="165"/>
      <c r="V643" s="165"/>
      <c r="W643" s="165"/>
      <c r="X643" s="165"/>
      <c r="Y643" s="165"/>
      <c r="Z643" s="165"/>
    </row>
    <row r="644">
      <c r="A644" s="165"/>
      <c r="B644" s="165"/>
      <c r="C644" s="165"/>
      <c r="D644" s="165"/>
      <c r="E644" s="165"/>
      <c r="F644" s="165"/>
      <c r="G644" s="165"/>
      <c r="H644" s="165"/>
      <c r="I644" s="165"/>
      <c r="J644" s="165"/>
      <c r="K644" s="165"/>
      <c r="L644" s="165"/>
      <c r="M644" s="165"/>
      <c r="N644" s="165"/>
      <c r="O644" s="165"/>
      <c r="P644" s="165"/>
      <c r="Q644" s="165"/>
      <c r="R644" s="165"/>
      <c r="S644" s="165"/>
      <c r="T644" s="165"/>
      <c r="U644" s="165"/>
      <c r="V644" s="165"/>
      <c r="W644" s="165"/>
      <c r="X644" s="165"/>
      <c r="Y644" s="165"/>
      <c r="Z644" s="165"/>
    </row>
    <row r="645">
      <c r="A645" s="165"/>
      <c r="B645" s="165"/>
      <c r="C645" s="165"/>
      <c r="D645" s="165"/>
      <c r="E645" s="165"/>
      <c r="F645" s="165"/>
      <c r="G645" s="165"/>
      <c r="H645" s="165"/>
      <c r="I645" s="165"/>
      <c r="J645" s="165"/>
      <c r="K645" s="165"/>
      <c r="L645" s="165"/>
      <c r="M645" s="165"/>
      <c r="N645" s="165"/>
      <c r="O645" s="165"/>
      <c r="P645" s="165"/>
      <c r="Q645" s="165"/>
      <c r="R645" s="165"/>
      <c r="S645" s="165"/>
      <c r="T645" s="165"/>
      <c r="U645" s="165"/>
      <c r="V645" s="165"/>
      <c r="W645" s="165"/>
      <c r="X645" s="165"/>
      <c r="Y645" s="165"/>
      <c r="Z645" s="165"/>
    </row>
    <row r="646">
      <c r="A646" s="165"/>
      <c r="B646" s="165"/>
      <c r="C646" s="165"/>
      <c r="D646" s="165"/>
      <c r="E646" s="165"/>
      <c r="F646" s="165"/>
      <c r="G646" s="165"/>
      <c r="H646" s="165"/>
      <c r="I646" s="165"/>
      <c r="J646" s="165"/>
      <c r="K646" s="165"/>
      <c r="L646" s="165"/>
      <c r="M646" s="165"/>
      <c r="N646" s="165"/>
      <c r="O646" s="165"/>
      <c r="P646" s="165"/>
      <c r="Q646" s="165"/>
      <c r="R646" s="165"/>
      <c r="S646" s="165"/>
      <c r="T646" s="165"/>
      <c r="U646" s="165"/>
      <c r="V646" s="165"/>
      <c r="W646" s="165"/>
      <c r="X646" s="165"/>
      <c r="Y646" s="165"/>
      <c r="Z646" s="165"/>
    </row>
    <row r="647">
      <c r="A647" s="165"/>
      <c r="B647" s="165"/>
      <c r="C647" s="165"/>
      <c r="D647" s="165"/>
      <c r="E647" s="165"/>
      <c r="F647" s="165"/>
      <c r="G647" s="165"/>
      <c r="H647" s="165"/>
      <c r="I647" s="165"/>
      <c r="J647" s="165"/>
      <c r="K647" s="165"/>
      <c r="L647" s="165"/>
      <c r="M647" s="165"/>
      <c r="N647" s="165"/>
      <c r="O647" s="165"/>
      <c r="P647" s="165"/>
      <c r="Q647" s="165"/>
      <c r="R647" s="165"/>
      <c r="S647" s="165"/>
      <c r="T647" s="165"/>
      <c r="U647" s="165"/>
      <c r="V647" s="165"/>
      <c r="W647" s="165"/>
      <c r="X647" s="165"/>
      <c r="Y647" s="165"/>
      <c r="Z647" s="165"/>
    </row>
    <row r="648">
      <c r="A648" s="165"/>
      <c r="B648" s="165"/>
      <c r="C648" s="165"/>
      <c r="D648" s="165"/>
      <c r="E648" s="165"/>
      <c r="F648" s="165"/>
      <c r="G648" s="165"/>
      <c r="H648" s="165"/>
      <c r="I648" s="165"/>
      <c r="J648" s="165"/>
      <c r="K648" s="165"/>
      <c r="L648" s="165"/>
      <c r="M648" s="165"/>
      <c r="N648" s="165"/>
      <c r="O648" s="165"/>
      <c r="P648" s="165"/>
      <c r="Q648" s="165"/>
      <c r="R648" s="165"/>
      <c r="S648" s="165"/>
      <c r="T648" s="165"/>
      <c r="U648" s="165"/>
      <c r="V648" s="165"/>
      <c r="W648" s="165"/>
      <c r="X648" s="165"/>
      <c r="Y648" s="165"/>
      <c r="Z648" s="165"/>
    </row>
    <row r="649">
      <c r="A649" s="165"/>
      <c r="B649" s="165"/>
      <c r="C649" s="165"/>
      <c r="D649" s="165"/>
      <c r="E649" s="165"/>
      <c r="F649" s="165"/>
      <c r="G649" s="165"/>
      <c r="H649" s="165"/>
      <c r="I649" s="165"/>
      <c r="J649" s="165"/>
      <c r="K649" s="165"/>
      <c r="L649" s="165"/>
      <c r="M649" s="165"/>
      <c r="N649" s="165"/>
      <c r="O649" s="165"/>
      <c r="P649" s="165"/>
      <c r="Q649" s="165"/>
      <c r="R649" s="165"/>
      <c r="S649" s="165"/>
      <c r="T649" s="165"/>
      <c r="U649" s="165"/>
      <c r="V649" s="165"/>
      <c r="W649" s="165"/>
      <c r="X649" s="165"/>
      <c r="Y649" s="165"/>
      <c r="Z649" s="165"/>
    </row>
    <row r="650">
      <c r="A650" s="165"/>
      <c r="B650" s="165"/>
      <c r="C650" s="165"/>
      <c r="D650" s="165"/>
      <c r="E650" s="165"/>
      <c r="F650" s="165"/>
      <c r="G650" s="165"/>
      <c r="H650" s="165"/>
      <c r="I650" s="165"/>
      <c r="J650" s="165"/>
      <c r="K650" s="165"/>
      <c r="L650" s="165"/>
      <c r="M650" s="165"/>
      <c r="N650" s="165"/>
      <c r="O650" s="165"/>
      <c r="P650" s="165"/>
      <c r="Q650" s="165"/>
      <c r="R650" s="165"/>
      <c r="S650" s="165"/>
      <c r="T650" s="165"/>
      <c r="U650" s="165"/>
      <c r="V650" s="165"/>
      <c r="W650" s="165"/>
      <c r="X650" s="165"/>
      <c r="Y650" s="165"/>
      <c r="Z650" s="165"/>
    </row>
    <row r="651">
      <c r="A651" s="165"/>
      <c r="B651" s="165"/>
      <c r="C651" s="165"/>
      <c r="D651" s="165"/>
      <c r="E651" s="165"/>
      <c r="F651" s="165"/>
      <c r="G651" s="165"/>
      <c r="H651" s="165"/>
      <c r="I651" s="165"/>
      <c r="J651" s="165"/>
      <c r="K651" s="165"/>
      <c r="L651" s="165"/>
      <c r="M651" s="165"/>
      <c r="N651" s="165"/>
      <c r="O651" s="165"/>
      <c r="P651" s="165"/>
      <c r="Q651" s="165"/>
      <c r="R651" s="165"/>
      <c r="S651" s="165"/>
      <c r="T651" s="165"/>
      <c r="U651" s="165"/>
      <c r="V651" s="165"/>
      <c r="W651" s="165"/>
      <c r="X651" s="165"/>
      <c r="Y651" s="165"/>
      <c r="Z651" s="165"/>
    </row>
    <row r="652">
      <c r="A652" s="165"/>
      <c r="B652" s="165"/>
      <c r="C652" s="165"/>
      <c r="D652" s="165"/>
      <c r="E652" s="165"/>
      <c r="F652" s="165"/>
      <c r="G652" s="165"/>
      <c r="H652" s="165"/>
      <c r="I652" s="165"/>
      <c r="J652" s="165"/>
      <c r="K652" s="165"/>
      <c r="L652" s="165"/>
      <c r="M652" s="165"/>
      <c r="N652" s="165"/>
      <c r="O652" s="165"/>
      <c r="P652" s="165"/>
      <c r="Q652" s="165"/>
      <c r="R652" s="165"/>
      <c r="S652" s="165"/>
      <c r="T652" s="165"/>
      <c r="U652" s="165"/>
      <c r="V652" s="165"/>
      <c r="W652" s="165"/>
      <c r="X652" s="165"/>
      <c r="Y652" s="165"/>
      <c r="Z652" s="165"/>
    </row>
    <row r="653">
      <c r="A653" s="165"/>
      <c r="B653" s="165"/>
      <c r="C653" s="165"/>
      <c r="D653" s="165"/>
      <c r="E653" s="165"/>
      <c r="F653" s="165"/>
      <c r="G653" s="165"/>
      <c r="H653" s="165"/>
      <c r="I653" s="165"/>
      <c r="J653" s="165"/>
      <c r="K653" s="165"/>
      <c r="L653" s="165"/>
      <c r="M653" s="165"/>
      <c r="N653" s="165"/>
      <c r="O653" s="165"/>
      <c r="P653" s="165"/>
      <c r="Q653" s="165"/>
      <c r="R653" s="165"/>
      <c r="S653" s="165"/>
      <c r="T653" s="165"/>
      <c r="U653" s="165"/>
      <c r="V653" s="165"/>
      <c r="W653" s="165"/>
      <c r="X653" s="165"/>
      <c r="Y653" s="165"/>
      <c r="Z653" s="165"/>
    </row>
    <row r="654">
      <c r="A654" s="165"/>
      <c r="B654" s="165"/>
      <c r="C654" s="165"/>
      <c r="D654" s="165"/>
      <c r="E654" s="165"/>
      <c r="F654" s="165"/>
      <c r="G654" s="165"/>
      <c r="H654" s="165"/>
      <c r="I654" s="165"/>
      <c r="J654" s="165"/>
      <c r="K654" s="165"/>
      <c r="L654" s="165"/>
      <c r="M654" s="165"/>
      <c r="N654" s="165"/>
      <c r="O654" s="165"/>
      <c r="P654" s="165"/>
      <c r="Q654" s="165"/>
      <c r="R654" s="165"/>
      <c r="S654" s="165"/>
      <c r="T654" s="165"/>
      <c r="U654" s="165"/>
      <c r="V654" s="165"/>
      <c r="W654" s="165"/>
      <c r="X654" s="165"/>
      <c r="Y654" s="165"/>
      <c r="Z654" s="165"/>
    </row>
    <row r="655">
      <c r="A655" s="165"/>
      <c r="B655" s="165"/>
      <c r="C655" s="165"/>
      <c r="D655" s="165"/>
      <c r="E655" s="165"/>
      <c r="F655" s="165"/>
      <c r="G655" s="165"/>
      <c r="H655" s="165"/>
      <c r="I655" s="165"/>
      <c r="J655" s="165"/>
      <c r="K655" s="165"/>
      <c r="L655" s="165"/>
      <c r="M655" s="165"/>
      <c r="N655" s="165"/>
      <c r="O655" s="165"/>
      <c r="P655" s="165"/>
      <c r="Q655" s="165"/>
      <c r="R655" s="165"/>
      <c r="S655" s="165"/>
      <c r="T655" s="165"/>
      <c r="U655" s="165"/>
      <c r="V655" s="165"/>
      <c r="W655" s="165"/>
      <c r="X655" s="165"/>
      <c r="Y655" s="165"/>
      <c r="Z655" s="165"/>
    </row>
    <row r="656">
      <c r="A656" s="165"/>
      <c r="B656" s="165"/>
      <c r="C656" s="165"/>
      <c r="D656" s="165"/>
      <c r="E656" s="165"/>
      <c r="F656" s="165"/>
      <c r="G656" s="165"/>
      <c r="H656" s="165"/>
      <c r="I656" s="165"/>
      <c r="J656" s="165"/>
      <c r="K656" s="165"/>
      <c r="L656" s="165"/>
      <c r="M656" s="165"/>
      <c r="N656" s="165"/>
      <c r="O656" s="165"/>
      <c r="P656" s="165"/>
      <c r="Q656" s="165"/>
      <c r="R656" s="165"/>
      <c r="S656" s="165"/>
      <c r="T656" s="165"/>
      <c r="U656" s="165"/>
      <c r="V656" s="165"/>
      <c r="W656" s="165"/>
      <c r="X656" s="165"/>
      <c r="Y656" s="165"/>
      <c r="Z656" s="165"/>
    </row>
    <row r="657">
      <c r="A657" s="165"/>
      <c r="B657" s="165"/>
      <c r="C657" s="165"/>
      <c r="D657" s="165"/>
      <c r="E657" s="165"/>
      <c r="F657" s="165"/>
      <c r="G657" s="165"/>
      <c r="H657" s="165"/>
      <c r="I657" s="165"/>
      <c r="J657" s="165"/>
      <c r="K657" s="165"/>
      <c r="L657" s="165"/>
      <c r="M657" s="165"/>
      <c r="N657" s="165"/>
      <c r="O657" s="165"/>
      <c r="P657" s="165"/>
      <c r="Q657" s="165"/>
      <c r="R657" s="165"/>
      <c r="S657" s="165"/>
      <c r="T657" s="165"/>
      <c r="U657" s="165"/>
      <c r="V657" s="165"/>
      <c r="W657" s="165"/>
      <c r="X657" s="165"/>
      <c r="Y657" s="165"/>
      <c r="Z657" s="165"/>
    </row>
    <row r="658">
      <c r="A658" s="165"/>
      <c r="B658" s="165"/>
      <c r="C658" s="165"/>
      <c r="D658" s="165"/>
      <c r="E658" s="165"/>
      <c r="F658" s="165"/>
      <c r="G658" s="165"/>
      <c r="H658" s="165"/>
      <c r="I658" s="165"/>
      <c r="J658" s="165"/>
      <c r="K658" s="165"/>
      <c r="L658" s="165"/>
      <c r="M658" s="165"/>
      <c r="N658" s="165"/>
      <c r="O658" s="165"/>
      <c r="P658" s="165"/>
      <c r="Q658" s="165"/>
      <c r="R658" s="165"/>
      <c r="S658" s="165"/>
      <c r="T658" s="165"/>
      <c r="U658" s="165"/>
      <c r="V658" s="165"/>
      <c r="W658" s="165"/>
      <c r="X658" s="165"/>
      <c r="Y658" s="165"/>
      <c r="Z658" s="165"/>
    </row>
    <row r="659">
      <c r="A659" s="165"/>
      <c r="B659" s="165"/>
      <c r="C659" s="165"/>
      <c r="D659" s="165"/>
      <c r="E659" s="165"/>
      <c r="F659" s="165"/>
      <c r="G659" s="165"/>
      <c r="H659" s="165"/>
      <c r="I659" s="165"/>
      <c r="J659" s="165"/>
      <c r="K659" s="165"/>
      <c r="L659" s="165"/>
      <c r="M659" s="165"/>
      <c r="N659" s="165"/>
      <c r="O659" s="165"/>
      <c r="P659" s="165"/>
      <c r="Q659" s="165"/>
      <c r="R659" s="165"/>
      <c r="S659" s="165"/>
      <c r="T659" s="165"/>
      <c r="U659" s="165"/>
      <c r="V659" s="165"/>
      <c r="W659" s="165"/>
      <c r="X659" s="165"/>
      <c r="Y659" s="165"/>
      <c r="Z659" s="165"/>
    </row>
    <row r="660">
      <c r="A660" s="165"/>
      <c r="B660" s="165"/>
      <c r="C660" s="165"/>
      <c r="D660" s="165"/>
      <c r="E660" s="165"/>
      <c r="F660" s="165"/>
      <c r="G660" s="165"/>
      <c r="H660" s="165"/>
      <c r="I660" s="165"/>
      <c r="J660" s="165"/>
      <c r="K660" s="165"/>
      <c r="L660" s="165"/>
      <c r="M660" s="165"/>
      <c r="N660" s="165"/>
      <c r="O660" s="165"/>
      <c r="P660" s="165"/>
      <c r="Q660" s="165"/>
      <c r="R660" s="165"/>
      <c r="S660" s="165"/>
      <c r="T660" s="165"/>
      <c r="U660" s="165"/>
      <c r="V660" s="165"/>
      <c r="W660" s="165"/>
      <c r="X660" s="165"/>
      <c r="Y660" s="165"/>
      <c r="Z660" s="165"/>
    </row>
    <row r="661">
      <c r="A661" s="165"/>
      <c r="B661" s="165"/>
      <c r="C661" s="165"/>
      <c r="D661" s="165"/>
      <c r="E661" s="165"/>
      <c r="F661" s="165"/>
      <c r="G661" s="165"/>
      <c r="H661" s="165"/>
      <c r="I661" s="165"/>
      <c r="J661" s="165"/>
      <c r="K661" s="165"/>
      <c r="L661" s="165"/>
      <c r="M661" s="165"/>
      <c r="N661" s="165"/>
      <c r="O661" s="165"/>
      <c r="P661" s="165"/>
      <c r="Q661" s="165"/>
      <c r="R661" s="165"/>
      <c r="S661" s="165"/>
      <c r="T661" s="165"/>
      <c r="U661" s="165"/>
      <c r="V661" s="165"/>
      <c r="W661" s="165"/>
      <c r="X661" s="165"/>
      <c r="Y661" s="165"/>
      <c r="Z661" s="165"/>
    </row>
    <row r="662">
      <c r="A662" s="165"/>
      <c r="B662" s="165"/>
      <c r="C662" s="165"/>
      <c r="D662" s="165"/>
      <c r="E662" s="165"/>
      <c r="F662" s="165"/>
      <c r="G662" s="165"/>
      <c r="H662" s="165"/>
      <c r="I662" s="165"/>
      <c r="J662" s="165"/>
      <c r="K662" s="165"/>
      <c r="L662" s="165"/>
      <c r="M662" s="165"/>
      <c r="N662" s="165"/>
      <c r="O662" s="165"/>
      <c r="P662" s="165"/>
      <c r="Q662" s="165"/>
      <c r="R662" s="165"/>
      <c r="S662" s="165"/>
      <c r="T662" s="165"/>
      <c r="U662" s="165"/>
      <c r="V662" s="165"/>
      <c r="W662" s="165"/>
      <c r="X662" s="165"/>
      <c r="Y662" s="165"/>
      <c r="Z662" s="165"/>
    </row>
    <row r="663">
      <c r="A663" s="165"/>
      <c r="B663" s="165"/>
      <c r="C663" s="165"/>
      <c r="D663" s="165"/>
      <c r="E663" s="165"/>
      <c r="F663" s="165"/>
      <c r="G663" s="165"/>
      <c r="H663" s="165"/>
      <c r="I663" s="165"/>
      <c r="J663" s="165"/>
      <c r="K663" s="165"/>
      <c r="L663" s="165"/>
      <c r="M663" s="165"/>
      <c r="N663" s="165"/>
      <c r="O663" s="165"/>
      <c r="P663" s="165"/>
      <c r="Q663" s="165"/>
      <c r="R663" s="165"/>
      <c r="S663" s="165"/>
      <c r="T663" s="165"/>
      <c r="U663" s="165"/>
      <c r="V663" s="165"/>
      <c r="W663" s="165"/>
      <c r="X663" s="165"/>
      <c r="Y663" s="165"/>
      <c r="Z663" s="165"/>
    </row>
    <row r="664">
      <c r="A664" s="165"/>
      <c r="B664" s="165"/>
      <c r="C664" s="165"/>
      <c r="D664" s="165"/>
      <c r="E664" s="165"/>
      <c r="F664" s="165"/>
      <c r="G664" s="165"/>
      <c r="H664" s="165"/>
      <c r="I664" s="165"/>
      <c r="J664" s="165"/>
      <c r="K664" s="165"/>
      <c r="L664" s="165"/>
      <c r="M664" s="165"/>
      <c r="N664" s="165"/>
      <c r="O664" s="165"/>
      <c r="P664" s="165"/>
      <c r="Q664" s="165"/>
      <c r="R664" s="165"/>
      <c r="S664" s="165"/>
      <c r="T664" s="165"/>
      <c r="U664" s="165"/>
      <c r="V664" s="165"/>
      <c r="W664" s="165"/>
      <c r="X664" s="165"/>
      <c r="Y664" s="165"/>
      <c r="Z664" s="165"/>
    </row>
    <row r="665">
      <c r="A665" s="165"/>
      <c r="B665" s="165"/>
      <c r="C665" s="165"/>
      <c r="D665" s="165"/>
      <c r="E665" s="165"/>
      <c r="F665" s="165"/>
      <c r="G665" s="165"/>
      <c r="H665" s="165"/>
      <c r="I665" s="165"/>
      <c r="J665" s="165"/>
      <c r="K665" s="165"/>
      <c r="L665" s="165"/>
      <c r="M665" s="165"/>
      <c r="N665" s="165"/>
      <c r="O665" s="165"/>
      <c r="P665" s="165"/>
      <c r="Q665" s="165"/>
      <c r="R665" s="165"/>
      <c r="S665" s="165"/>
      <c r="T665" s="165"/>
      <c r="U665" s="165"/>
      <c r="V665" s="165"/>
      <c r="W665" s="165"/>
      <c r="X665" s="165"/>
      <c r="Y665" s="165"/>
      <c r="Z665" s="165"/>
    </row>
    <row r="666">
      <c r="A666" s="165"/>
      <c r="B666" s="165"/>
      <c r="C666" s="165"/>
      <c r="D666" s="165"/>
      <c r="E666" s="165"/>
      <c r="F666" s="165"/>
      <c r="G666" s="165"/>
      <c r="H666" s="165"/>
      <c r="I666" s="165"/>
      <c r="J666" s="165"/>
      <c r="K666" s="165"/>
      <c r="L666" s="165"/>
      <c r="M666" s="165"/>
      <c r="N666" s="165"/>
      <c r="O666" s="165"/>
      <c r="P666" s="165"/>
      <c r="Q666" s="165"/>
      <c r="R666" s="165"/>
      <c r="S666" s="165"/>
      <c r="T666" s="165"/>
      <c r="U666" s="165"/>
      <c r="V666" s="165"/>
      <c r="W666" s="165"/>
      <c r="X666" s="165"/>
      <c r="Y666" s="165"/>
      <c r="Z666" s="165"/>
    </row>
    <row r="667">
      <c r="A667" s="165"/>
      <c r="B667" s="165"/>
      <c r="C667" s="165"/>
      <c r="D667" s="165"/>
      <c r="E667" s="165"/>
      <c r="F667" s="165"/>
      <c r="G667" s="165"/>
      <c r="H667" s="165"/>
      <c r="I667" s="165"/>
      <c r="J667" s="165"/>
      <c r="K667" s="165"/>
      <c r="L667" s="165"/>
      <c r="M667" s="165"/>
      <c r="N667" s="165"/>
      <c r="O667" s="165"/>
      <c r="P667" s="165"/>
      <c r="Q667" s="165"/>
      <c r="R667" s="165"/>
      <c r="S667" s="165"/>
      <c r="T667" s="165"/>
      <c r="U667" s="165"/>
      <c r="V667" s="165"/>
      <c r="W667" s="165"/>
      <c r="X667" s="165"/>
      <c r="Y667" s="165"/>
      <c r="Z667" s="165"/>
    </row>
    <row r="668">
      <c r="A668" s="165"/>
      <c r="B668" s="165"/>
      <c r="C668" s="165"/>
      <c r="D668" s="165"/>
      <c r="E668" s="165"/>
      <c r="F668" s="165"/>
      <c r="G668" s="165"/>
      <c r="H668" s="165"/>
      <c r="I668" s="165"/>
      <c r="J668" s="165"/>
      <c r="K668" s="165"/>
      <c r="L668" s="165"/>
      <c r="M668" s="165"/>
      <c r="N668" s="165"/>
      <c r="O668" s="165"/>
      <c r="P668" s="165"/>
      <c r="Q668" s="165"/>
      <c r="R668" s="165"/>
      <c r="S668" s="165"/>
      <c r="T668" s="165"/>
      <c r="U668" s="165"/>
      <c r="V668" s="165"/>
      <c r="W668" s="165"/>
      <c r="X668" s="165"/>
      <c r="Y668" s="165"/>
      <c r="Z668" s="165"/>
    </row>
    <row r="669">
      <c r="A669" s="165"/>
      <c r="B669" s="165"/>
      <c r="C669" s="165"/>
      <c r="D669" s="165"/>
      <c r="E669" s="165"/>
      <c r="F669" s="165"/>
      <c r="G669" s="165"/>
      <c r="H669" s="165"/>
      <c r="I669" s="165"/>
      <c r="J669" s="165"/>
      <c r="K669" s="165"/>
      <c r="L669" s="165"/>
      <c r="M669" s="165"/>
      <c r="N669" s="165"/>
      <c r="O669" s="165"/>
      <c r="P669" s="165"/>
      <c r="Q669" s="165"/>
      <c r="R669" s="165"/>
      <c r="S669" s="165"/>
      <c r="T669" s="165"/>
      <c r="U669" s="165"/>
      <c r="V669" s="165"/>
      <c r="W669" s="165"/>
      <c r="X669" s="165"/>
      <c r="Y669" s="165"/>
      <c r="Z669" s="165"/>
    </row>
    <row r="670">
      <c r="A670" s="165"/>
      <c r="B670" s="165"/>
      <c r="C670" s="165"/>
      <c r="D670" s="165"/>
      <c r="E670" s="165"/>
      <c r="F670" s="165"/>
      <c r="G670" s="165"/>
      <c r="H670" s="165"/>
      <c r="I670" s="165"/>
      <c r="J670" s="165"/>
      <c r="K670" s="165"/>
      <c r="L670" s="165"/>
      <c r="M670" s="165"/>
      <c r="N670" s="165"/>
      <c r="O670" s="165"/>
      <c r="P670" s="165"/>
      <c r="Q670" s="165"/>
      <c r="R670" s="165"/>
      <c r="S670" s="165"/>
      <c r="T670" s="165"/>
      <c r="U670" s="165"/>
      <c r="V670" s="165"/>
      <c r="W670" s="165"/>
      <c r="X670" s="165"/>
      <c r="Y670" s="165"/>
      <c r="Z670" s="165"/>
    </row>
    <row r="671">
      <c r="A671" s="165"/>
      <c r="B671" s="165"/>
      <c r="C671" s="165"/>
      <c r="D671" s="165"/>
      <c r="E671" s="165"/>
      <c r="F671" s="165"/>
      <c r="G671" s="165"/>
      <c r="H671" s="165"/>
      <c r="I671" s="165"/>
      <c r="J671" s="165"/>
      <c r="K671" s="165"/>
      <c r="L671" s="165"/>
      <c r="M671" s="165"/>
      <c r="N671" s="165"/>
      <c r="O671" s="165"/>
      <c r="P671" s="165"/>
      <c r="Q671" s="165"/>
      <c r="R671" s="165"/>
      <c r="S671" s="165"/>
      <c r="T671" s="165"/>
      <c r="U671" s="165"/>
      <c r="V671" s="165"/>
      <c r="W671" s="165"/>
      <c r="X671" s="165"/>
      <c r="Y671" s="165"/>
      <c r="Z671" s="165"/>
    </row>
    <row r="672">
      <c r="A672" s="165"/>
      <c r="B672" s="165"/>
      <c r="C672" s="165"/>
      <c r="D672" s="165"/>
      <c r="E672" s="165"/>
      <c r="F672" s="165"/>
      <c r="G672" s="165"/>
      <c r="H672" s="165"/>
      <c r="I672" s="165"/>
      <c r="J672" s="165"/>
      <c r="K672" s="165"/>
      <c r="L672" s="165"/>
      <c r="M672" s="165"/>
      <c r="N672" s="165"/>
      <c r="O672" s="165"/>
      <c r="P672" s="165"/>
      <c r="Q672" s="165"/>
      <c r="R672" s="165"/>
      <c r="S672" s="165"/>
      <c r="T672" s="165"/>
      <c r="U672" s="165"/>
      <c r="V672" s="165"/>
      <c r="W672" s="165"/>
      <c r="X672" s="165"/>
      <c r="Y672" s="165"/>
      <c r="Z672" s="165"/>
    </row>
    <row r="673">
      <c r="A673" s="165"/>
      <c r="B673" s="165"/>
      <c r="C673" s="165"/>
      <c r="D673" s="165"/>
      <c r="E673" s="165"/>
      <c r="F673" s="165"/>
      <c r="G673" s="165"/>
      <c r="H673" s="165"/>
      <c r="I673" s="165"/>
      <c r="J673" s="165"/>
      <c r="K673" s="165"/>
      <c r="L673" s="165"/>
      <c r="M673" s="165"/>
      <c r="N673" s="165"/>
      <c r="O673" s="165"/>
      <c r="P673" s="165"/>
      <c r="Q673" s="165"/>
      <c r="R673" s="165"/>
      <c r="S673" s="165"/>
      <c r="T673" s="165"/>
      <c r="U673" s="165"/>
      <c r="V673" s="165"/>
      <c r="W673" s="165"/>
      <c r="X673" s="165"/>
      <c r="Y673" s="165"/>
      <c r="Z673" s="165"/>
    </row>
    <row r="674">
      <c r="A674" s="165"/>
      <c r="B674" s="165"/>
      <c r="C674" s="165"/>
      <c r="D674" s="165"/>
      <c r="E674" s="165"/>
      <c r="F674" s="165"/>
      <c r="G674" s="165"/>
      <c r="H674" s="165"/>
      <c r="I674" s="165"/>
      <c r="J674" s="165"/>
      <c r="K674" s="165"/>
      <c r="L674" s="165"/>
      <c r="M674" s="165"/>
      <c r="N674" s="165"/>
      <c r="O674" s="165"/>
      <c r="P674" s="165"/>
      <c r="Q674" s="165"/>
      <c r="R674" s="165"/>
      <c r="S674" s="165"/>
      <c r="T674" s="165"/>
      <c r="U674" s="165"/>
      <c r="V674" s="165"/>
      <c r="W674" s="165"/>
      <c r="X674" s="165"/>
      <c r="Y674" s="165"/>
      <c r="Z674" s="165"/>
    </row>
    <row r="675">
      <c r="A675" s="165"/>
      <c r="B675" s="165"/>
      <c r="C675" s="165"/>
      <c r="D675" s="165"/>
      <c r="E675" s="165"/>
      <c r="F675" s="165"/>
      <c r="G675" s="165"/>
      <c r="H675" s="165"/>
      <c r="I675" s="165"/>
      <c r="J675" s="165"/>
      <c r="K675" s="165"/>
      <c r="L675" s="165"/>
      <c r="M675" s="165"/>
      <c r="N675" s="165"/>
      <c r="O675" s="165"/>
      <c r="P675" s="165"/>
      <c r="Q675" s="165"/>
      <c r="R675" s="165"/>
      <c r="S675" s="165"/>
      <c r="T675" s="165"/>
      <c r="U675" s="165"/>
      <c r="V675" s="165"/>
      <c r="W675" s="165"/>
      <c r="X675" s="165"/>
      <c r="Y675" s="165"/>
      <c r="Z675" s="165"/>
    </row>
    <row r="676">
      <c r="A676" s="165"/>
      <c r="B676" s="165"/>
      <c r="C676" s="165"/>
      <c r="D676" s="165"/>
      <c r="E676" s="165"/>
      <c r="F676" s="165"/>
      <c r="G676" s="165"/>
      <c r="H676" s="165"/>
      <c r="I676" s="165"/>
      <c r="J676" s="165"/>
      <c r="K676" s="165"/>
      <c r="L676" s="165"/>
      <c r="M676" s="165"/>
      <c r="N676" s="165"/>
      <c r="O676" s="165"/>
      <c r="P676" s="165"/>
      <c r="Q676" s="165"/>
      <c r="R676" s="165"/>
      <c r="S676" s="165"/>
      <c r="T676" s="165"/>
      <c r="U676" s="165"/>
      <c r="V676" s="165"/>
      <c r="W676" s="165"/>
      <c r="X676" s="165"/>
      <c r="Y676" s="165"/>
      <c r="Z676" s="165"/>
    </row>
    <row r="677">
      <c r="A677" s="165"/>
      <c r="B677" s="165"/>
      <c r="C677" s="165"/>
      <c r="D677" s="165"/>
      <c r="E677" s="165"/>
      <c r="F677" s="165"/>
      <c r="G677" s="165"/>
      <c r="H677" s="165"/>
      <c r="I677" s="165"/>
      <c r="J677" s="165"/>
      <c r="K677" s="165"/>
      <c r="L677" s="165"/>
      <c r="M677" s="165"/>
      <c r="N677" s="165"/>
      <c r="O677" s="165"/>
      <c r="P677" s="165"/>
      <c r="Q677" s="165"/>
      <c r="R677" s="165"/>
      <c r="S677" s="165"/>
      <c r="T677" s="165"/>
      <c r="U677" s="165"/>
      <c r="V677" s="165"/>
      <c r="W677" s="165"/>
      <c r="X677" s="165"/>
      <c r="Y677" s="165"/>
      <c r="Z677" s="165"/>
    </row>
    <row r="678">
      <c r="A678" s="165"/>
      <c r="B678" s="165"/>
      <c r="C678" s="165"/>
      <c r="D678" s="165"/>
      <c r="E678" s="165"/>
      <c r="F678" s="165"/>
      <c r="G678" s="165"/>
      <c r="H678" s="165"/>
      <c r="I678" s="165"/>
      <c r="J678" s="165"/>
      <c r="K678" s="165"/>
      <c r="L678" s="165"/>
      <c r="M678" s="165"/>
      <c r="N678" s="165"/>
      <c r="O678" s="165"/>
      <c r="P678" s="165"/>
      <c r="Q678" s="165"/>
      <c r="R678" s="165"/>
      <c r="S678" s="165"/>
      <c r="T678" s="165"/>
      <c r="U678" s="165"/>
      <c r="V678" s="165"/>
      <c r="W678" s="165"/>
      <c r="X678" s="165"/>
      <c r="Y678" s="165"/>
      <c r="Z678" s="165"/>
    </row>
    <row r="679">
      <c r="A679" s="165"/>
      <c r="B679" s="165"/>
      <c r="C679" s="165"/>
      <c r="D679" s="165"/>
      <c r="E679" s="165"/>
      <c r="F679" s="165"/>
      <c r="G679" s="165"/>
      <c r="H679" s="165"/>
      <c r="I679" s="165"/>
      <c r="J679" s="165"/>
      <c r="K679" s="165"/>
      <c r="L679" s="165"/>
      <c r="M679" s="165"/>
      <c r="N679" s="165"/>
      <c r="O679" s="165"/>
      <c r="P679" s="165"/>
      <c r="Q679" s="165"/>
      <c r="R679" s="165"/>
      <c r="S679" s="165"/>
      <c r="T679" s="165"/>
      <c r="U679" s="165"/>
      <c r="V679" s="165"/>
      <c r="W679" s="165"/>
      <c r="X679" s="165"/>
      <c r="Y679" s="165"/>
      <c r="Z679" s="165"/>
    </row>
    <row r="680">
      <c r="A680" s="165"/>
      <c r="B680" s="165"/>
      <c r="C680" s="165"/>
      <c r="D680" s="165"/>
      <c r="E680" s="165"/>
      <c r="F680" s="165"/>
      <c r="G680" s="165"/>
      <c r="H680" s="165"/>
      <c r="I680" s="165"/>
      <c r="J680" s="165"/>
      <c r="K680" s="165"/>
      <c r="L680" s="165"/>
      <c r="M680" s="165"/>
      <c r="N680" s="165"/>
      <c r="O680" s="165"/>
      <c r="P680" s="165"/>
      <c r="Q680" s="165"/>
      <c r="R680" s="165"/>
      <c r="S680" s="165"/>
      <c r="T680" s="165"/>
      <c r="U680" s="165"/>
      <c r="V680" s="165"/>
      <c r="W680" s="165"/>
      <c r="X680" s="165"/>
      <c r="Y680" s="165"/>
      <c r="Z680" s="165"/>
    </row>
    <row r="681">
      <c r="A681" s="165"/>
      <c r="B681" s="165"/>
      <c r="C681" s="165"/>
      <c r="D681" s="165"/>
      <c r="E681" s="165"/>
      <c r="F681" s="165"/>
      <c r="G681" s="165"/>
      <c r="H681" s="165"/>
      <c r="I681" s="165"/>
      <c r="J681" s="165"/>
      <c r="K681" s="165"/>
      <c r="L681" s="165"/>
      <c r="M681" s="165"/>
      <c r="N681" s="165"/>
      <c r="O681" s="165"/>
      <c r="P681" s="165"/>
      <c r="Q681" s="165"/>
      <c r="R681" s="165"/>
      <c r="S681" s="165"/>
      <c r="T681" s="165"/>
      <c r="U681" s="165"/>
      <c r="V681" s="165"/>
      <c r="W681" s="165"/>
      <c r="X681" s="165"/>
      <c r="Y681" s="165"/>
      <c r="Z681" s="165"/>
    </row>
    <row r="682">
      <c r="A682" s="165"/>
      <c r="B682" s="165"/>
      <c r="C682" s="165"/>
      <c r="D682" s="165"/>
      <c r="E682" s="165"/>
      <c r="F682" s="165"/>
      <c r="G682" s="165"/>
      <c r="H682" s="165"/>
      <c r="I682" s="165"/>
      <c r="J682" s="165"/>
      <c r="K682" s="165"/>
      <c r="L682" s="165"/>
      <c r="M682" s="165"/>
      <c r="N682" s="165"/>
      <c r="O682" s="165"/>
      <c r="P682" s="165"/>
      <c r="Q682" s="165"/>
      <c r="R682" s="165"/>
      <c r="S682" s="165"/>
      <c r="T682" s="165"/>
      <c r="U682" s="165"/>
      <c r="V682" s="165"/>
      <c r="W682" s="165"/>
      <c r="X682" s="165"/>
      <c r="Y682" s="165"/>
      <c r="Z682" s="165"/>
    </row>
    <row r="683">
      <c r="A683" s="165"/>
      <c r="B683" s="165"/>
      <c r="C683" s="165"/>
      <c r="D683" s="165"/>
      <c r="E683" s="165"/>
      <c r="F683" s="165"/>
      <c r="G683" s="165"/>
      <c r="H683" s="165"/>
      <c r="I683" s="165"/>
      <c r="J683" s="165"/>
      <c r="K683" s="165"/>
      <c r="L683" s="165"/>
      <c r="M683" s="165"/>
      <c r="N683" s="165"/>
      <c r="O683" s="165"/>
      <c r="P683" s="165"/>
      <c r="Q683" s="165"/>
      <c r="R683" s="165"/>
      <c r="S683" s="165"/>
      <c r="T683" s="165"/>
      <c r="U683" s="165"/>
      <c r="V683" s="165"/>
      <c r="W683" s="165"/>
      <c r="X683" s="165"/>
      <c r="Y683" s="165"/>
      <c r="Z683" s="165"/>
    </row>
    <row r="684">
      <c r="A684" s="165"/>
      <c r="B684" s="165"/>
      <c r="C684" s="165"/>
      <c r="D684" s="165"/>
      <c r="E684" s="165"/>
      <c r="F684" s="165"/>
      <c r="G684" s="165"/>
      <c r="H684" s="165"/>
      <c r="I684" s="165"/>
      <c r="J684" s="165"/>
      <c r="K684" s="165"/>
      <c r="L684" s="165"/>
      <c r="M684" s="165"/>
      <c r="N684" s="165"/>
      <c r="O684" s="165"/>
      <c r="P684" s="165"/>
      <c r="Q684" s="165"/>
      <c r="R684" s="165"/>
      <c r="S684" s="165"/>
      <c r="T684" s="165"/>
      <c r="U684" s="165"/>
      <c r="V684" s="165"/>
      <c r="W684" s="165"/>
      <c r="X684" s="165"/>
      <c r="Y684" s="165"/>
      <c r="Z684" s="165"/>
    </row>
    <row r="685">
      <c r="A685" s="165"/>
      <c r="B685" s="165"/>
      <c r="C685" s="165"/>
      <c r="D685" s="165"/>
      <c r="E685" s="165"/>
      <c r="F685" s="165"/>
      <c r="G685" s="165"/>
      <c r="H685" s="165"/>
      <c r="I685" s="165"/>
      <c r="J685" s="165"/>
      <c r="K685" s="165"/>
      <c r="L685" s="165"/>
      <c r="M685" s="165"/>
      <c r="N685" s="165"/>
      <c r="O685" s="165"/>
      <c r="P685" s="165"/>
      <c r="Q685" s="165"/>
      <c r="R685" s="165"/>
      <c r="S685" s="165"/>
      <c r="T685" s="165"/>
      <c r="U685" s="165"/>
      <c r="V685" s="165"/>
      <c r="W685" s="165"/>
      <c r="X685" s="165"/>
      <c r="Y685" s="165"/>
      <c r="Z685" s="165"/>
    </row>
    <row r="686">
      <c r="A686" s="165"/>
      <c r="B686" s="165"/>
      <c r="C686" s="165"/>
      <c r="D686" s="165"/>
      <c r="E686" s="165"/>
      <c r="F686" s="165"/>
      <c r="G686" s="165"/>
      <c r="H686" s="165"/>
      <c r="I686" s="165"/>
      <c r="J686" s="165"/>
      <c r="K686" s="165"/>
      <c r="L686" s="165"/>
      <c r="M686" s="165"/>
      <c r="N686" s="165"/>
      <c r="O686" s="165"/>
      <c r="P686" s="165"/>
      <c r="Q686" s="165"/>
      <c r="R686" s="165"/>
      <c r="S686" s="165"/>
      <c r="T686" s="165"/>
      <c r="U686" s="165"/>
      <c r="V686" s="165"/>
      <c r="W686" s="165"/>
      <c r="X686" s="165"/>
      <c r="Y686" s="165"/>
      <c r="Z686" s="165"/>
    </row>
    <row r="687">
      <c r="A687" s="165"/>
      <c r="B687" s="165"/>
      <c r="C687" s="165"/>
      <c r="D687" s="165"/>
      <c r="E687" s="165"/>
      <c r="F687" s="165"/>
      <c r="G687" s="165"/>
      <c r="H687" s="165"/>
      <c r="I687" s="165"/>
      <c r="J687" s="165"/>
      <c r="K687" s="165"/>
      <c r="L687" s="165"/>
      <c r="M687" s="165"/>
      <c r="N687" s="165"/>
      <c r="O687" s="165"/>
      <c r="P687" s="165"/>
      <c r="Q687" s="165"/>
      <c r="R687" s="165"/>
      <c r="S687" s="165"/>
      <c r="T687" s="165"/>
      <c r="U687" s="165"/>
      <c r="V687" s="165"/>
      <c r="W687" s="165"/>
      <c r="X687" s="165"/>
      <c r="Y687" s="165"/>
      <c r="Z687" s="165"/>
    </row>
    <row r="688">
      <c r="A688" s="165"/>
      <c r="B688" s="165"/>
      <c r="C688" s="165"/>
      <c r="D688" s="165"/>
      <c r="E688" s="165"/>
      <c r="F688" s="165"/>
      <c r="G688" s="165"/>
      <c r="H688" s="165"/>
      <c r="I688" s="165"/>
      <c r="J688" s="165"/>
      <c r="K688" s="165"/>
      <c r="L688" s="165"/>
      <c r="M688" s="165"/>
      <c r="N688" s="165"/>
      <c r="O688" s="165"/>
      <c r="P688" s="165"/>
      <c r="Q688" s="165"/>
      <c r="R688" s="165"/>
      <c r="S688" s="165"/>
      <c r="T688" s="165"/>
      <c r="U688" s="165"/>
      <c r="V688" s="165"/>
      <c r="W688" s="165"/>
      <c r="X688" s="165"/>
      <c r="Y688" s="165"/>
      <c r="Z688" s="165"/>
    </row>
    <row r="689">
      <c r="A689" s="165"/>
      <c r="B689" s="165"/>
      <c r="C689" s="165"/>
      <c r="D689" s="165"/>
      <c r="E689" s="165"/>
      <c r="F689" s="165"/>
      <c r="G689" s="165"/>
      <c r="H689" s="165"/>
      <c r="I689" s="165"/>
      <c r="J689" s="165"/>
      <c r="K689" s="165"/>
      <c r="L689" s="165"/>
      <c r="M689" s="165"/>
      <c r="N689" s="165"/>
      <c r="O689" s="165"/>
      <c r="P689" s="165"/>
      <c r="Q689" s="165"/>
      <c r="R689" s="165"/>
      <c r="S689" s="165"/>
      <c r="T689" s="165"/>
      <c r="U689" s="165"/>
      <c r="V689" s="165"/>
      <c r="W689" s="165"/>
      <c r="X689" s="165"/>
      <c r="Y689" s="165"/>
      <c r="Z689" s="165"/>
    </row>
    <row r="690">
      <c r="A690" s="165"/>
      <c r="B690" s="165"/>
      <c r="C690" s="165"/>
      <c r="D690" s="165"/>
      <c r="E690" s="165"/>
      <c r="F690" s="165"/>
      <c r="G690" s="165"/>
      <c r="H690" s="165"/>
      <c r="I690" s="165"/>
      <c r="J690" s="165"/>
      <c r="K690" s="165"/>
      <c r="L690" s="165"/>
      <c r="M690" s="165"/>
      <c r="N690" s="165"/>
      <c r="O690" s="165"/>
      <c r="P690" s="165"/>
      <c r="Q690" s="165"/>
      <c r="R690" s="165"/>
      <c r="S690" s="165"/>
      <c r="T690" s="165"/>
      <c r="U690" s="165"/>
      <c r="V690" s="165"/>
      <c r="W690" s="165"/>
      <c r="X690" s="165"/>
      <c r="Y690" s="165"/>
      <c r="Z690" s="165"/>
    </row>
    <row r="691">
      <c r="A691" s="165"/>
      <c r="B691" s="165"/>
      <c r="C691" s="165"/>
      <c r="D691" s="165"/>
      <c r="E691" s="165"/>
      <c r="F691" s="165"/>
      <c r="G691" s="165"/>
      <c r="H691" s="165"/>
      <c r="I691" s="165"/>
      <c r="J691" s="165"/>
      <c r="K691" s="165"/>
      <c r="L691" s="165"/>
      <c r="M691" s="165"/>
      <c r="N691" s="165"/>
      <c r="O691" s="165"/>
      <c r="P691" s="165"/>
      <c r="Q691" s="165"/>
      <c r="R691" s="165"/>
      <c r="S691" s="165"/>
      <c r="T691" s="165"/>
      <c r="U691" s="165"/>
      <c r="V691" s="165"/>
      <c r="W691" s="165"/>
      <c r="X691" s="165"/>
      <c r="Y691" s="165"/>
      <c r="Z691" s="165"/>
    </row>
    <row r="692">
      <c r="A692" s="165"/>
      <c r="B692" s="165"/>
      <c r="C692" s="165"/>
      <c r="D692" s="165"/>
      <c r="E692" s="165"/>
      <c r="F692" s="165"/>
      <c r="G692" s="165"/>
      <c r="H692" s="165"/>
      <c r="I692" s="165"/>
      <c r="J692" s="165"/>
      <c r="K692" s="165"/>
      <c r="L692" s="165"/>
      <c r="M692" s="165"/>
      <c r="N692" s="165"/>
      <c r="O692" s="165"/>
      <c r="P692" s="165"/>
      <c r="Q692" s="165"/>
      <c r="R692" s="165"/>
      <c r="S692" s="165"/>
      <c r="T692" s="165"/>
      <c r="U692" s="165"/>
      <c r="V692" s="165"/>
      <c r="W692" s="165"/>
      <c r="X692" s="165"/>
      <c r="Y692" s="165"/>
      <c r="Z692" s="165"/>
    </row>
    <row r="693">
      <c r="A693" s="165"/>
      <c r="B693" s="165"/>
      <c r="C693" s="165"/>
      <c r="D693" s="165"/>
      <c r="E693" s="165"/>
      <c r="F693" s="165"/>
      <c r="G693" s="165"/>
      <c r="H693" s="165"/>
      <c r="I693" s="165"/>
      <c r="J693" s="165"/>
      <c r="K693" s="165"/>
      <c r="L693" s="165"/>
      <c r="M693" s="165"/>
      <c r="N693" s="165"/>
      <c r="O693" s="165"/>
      <c r="P693" s="165"/>
      <c r="Q693" s="165"/>
      <c r="R693" s="165"/>
      <c r="S693" s="165"/>
      <c r="T693" s="165"/>
      <c r="U693" s="165"/>
      <c r="V693" s="165"/>
      <c r="W693" s="165"/>
      <c r="X693" s="165"/>
      <c r="Y693" s="165"/>
      <c r="Z693" s="165"/>
    </row>
    <row r="694">
      <c r="A694" s="165"/>
      <c r="B694" s="165"/>
      <c r="C694" s="165"/>
      <c r="D694" s="165"/>
      <c r="E694" s="165"/>
      <c r="F694" s="165"/>
      <c r="G694" s="165"/>
      <c r="H694" s="165"/>
      <c r="I694" s="165"/>
      <c r="J694" s="165"/>
      <c r="K694" s="165"/>
      <c r="L694" s="165"/>
      <c r="M694" s="165"/>
      <c r="N694" s="165"/>
      <c r="O694" s="165"/>
      <c r="P694" s="165"/>
      <c r="Q694" s="165"/>
      <c r="R694" s="165"/>
      <c r="S694" s="165"/>
      <c r="T694" s="165"/>
      <c r="U694" s="165"/>
      <c r="V694" s="165"/>
      <c r="W694" s="165"/>
      <c r="X694" s="165"/>
      <c r="Y694" s="165"/>
      <c r="Z694" s="165"/>
    </row>
    <row r="695">
      <c r="A695" s="165"/>
      <c r="B695" s="165"/>
      <c r="C695" s="165"/>
      <c r="D695" s="165"/>
      <c r="E695" s="165"/>
      <c r="F695" s="165"/>
      <c r="G695" s="165"/>
      <c r="H695" s="165"/>
      <c r="I695" s="165"/>
      <c r="J695" s="165"/>
      <c r="K695" s="165"/>
      <c r="L695" s="165"/>
      <c r="M695" s="165"/>
      <c r="N695" s="165"/>
      <c r="O695" s="165"/>
      <c r="P695" s="165"/>
      <c r="Q695" s="165"/>
      <c r="R695" s="165"/>
      <c r="S695" s="165"/>
      <c r="T695" s="165"/>
      <c r="U695" s="165"/>
      <c r="V695" s="165"/>
      <c r="W695" s="165"/>
      <c r="X695" s="165"/>
      <c r="Y695" s="165"/>
      <c r="Z695" s="165"/>
    </row>
    <row r="696">
      <c r="A696" s="165"/>
      <c r="B696" s="165"/>
      <c r="C696" s="165"/>
      <c r="D696" s="165"/>
      <c r="E696" s="165"/>
      <c r="F696" s="165"/>
      <c r="G696" s="165"/>
      <c r="H696" s="165"/>
      <c r="I696" s="165"/>
      <c r="J696" s="165"/>
      <c r="K696" s="165"/>
      <c r="L696" s="165"/>
      <c r="M696" s="165"/>
      <c r="N696" s="165"/>
      <c r="O696" s="165"/>
      <c r="P696" s="165"/>
      <c r="Q696" s="165"/>
      <c r="R696" s="165"/>
      <c r="S696" s="165"/>
      <c r="T696" s="165"/>
      <c r="U696" s="165"/>
      <c r="V696" s="165"/>
      <c r="W696" s="165"/>
      <c r="X696" s="165"/>
      <c r="Y696" s="165"/>
      <c r="Z696" s="165"/>
    </row>
    <row r="697">
      <c r="A697" s="165"/>
      <c r="B697" s="165"/>
      <c r="C697" s="165"/>
      <c r="D697" s="165"/>
      <c r="E697" s="165"/>
      <c r="F697" s="165"/>
      <c r="G697" s="165"/>
      <c r="H697" s="165"/>
      <c r="I697" s="165"/>
      <c r="J697" s="165"/>
      <c r="K697" s="165"/>
      <c r="L697" s="165"/>
      <c r="M697" s="165"/>
      <c r="N697" s="165"/>
      <c r="O697" s="165"/>
      <c r="P697" s="165"/>
      <c r="Q697" s="165"/>
      <c r="R697" s="165"/>
      <c r="S697" s="165"/>
      <c r="T697" s="165"/>
      <c r="U697" s="165"/>
      <c r="V697" s="165"/>
      <c r="W697" s="165"/>
      <c r="X697" s="165"/>
      <c r="Y697" s="165"/>
      <c r="Z697" s="165"/>
    </row>
    <row r="698">
      <c r="A698" s="165"/>
      <c r="B698" s="165"/>
      <c r="C698" s="165"/>
      <c r="D698" s="165"/>
      <c r="E698" s="165"/>
      <c r="F698" s="165"/>
      <c r="G698" s="165"/>
      <c r="H698" s="165"/>
      <c r="I698" s="165"/>
      <c r="J698" s="165"/>
      <c r="K698" s="165"/>
      <c r="L698" s="165"/>
      <c r="M698" s="165"/>
      <c r="N698" s="165"/>
      <c r="O698" s="165"/>
      <c r="P698" s="165"/>
      <c r="Q698" s="165"/>
      <c r="R698" s="165"/>
      <c r="S698" s="165"/>
      <c r="T698" s="165"/>
      <c r="U698" s="165"/>
      <c r="V698" s="165"/>
      <c r="W698" s="165"/>
      <c r="X698" s="165"/>
      <c r="Y698" s="165"/>
      <c r="Z698" s="165"/>
    </row>
    <row r="699">
      <c r="A699" s="165"/>
      <c r="B699" s="165"/>
      <c r="C699" s="165"/>
      <c r="D699" s="165"/>
      <c r="E699" s="165"/>
      <c r="F699" s="165"/>
      <c r="G699" s="165"/>
      <c r="H699" s="165"/>
      <c r="I699" s="165"/>
      <c r="J699" s="165"/>
      <c r="K699" s="165"/>
      <c r="L699" s="165"/>
      <c r="M699" s="165"/>
      <c r="N699" s="165"/>
      <c r="O699" s="165"/>
      <c r="P699" s="165"/>
      <c r="Q699" s="165"/>
      <c r="R699" s="165"/>
      <c r="S699" s="165"/>
      <c r="T699" s="165"/>
      <c r="U699" s="165"/>
      <c r="V699" s="165"/>
      <c r="W699" s="165"/>
      <c r="X699" s="165"/>
      <c r="Y699" s="165"/>
      <c r="Z699" s="165"/>
    </row>
    <row r="700">
      <c r="A700" s="165"/>
      <c r="B700" s="165"/>
      <c r="C700" s="165"/>
      <c r="D700" s="165"/>
      <c r="E700" s="165"/>
      <c r="F700" s="165"/>
      <c r="G700" s="165"/>
      <c r="H700" s="165"/>
      <c r="I700" s="165"/>
      <c r="J700" s="165"/>
      <c r="K700" s="165"/>
      <c r="L700" s="165"/>
      <c r="M700" s="165"/>
      <c r="N700" s="165"/>
      <c r="O700" s="165"/>
      <c r="P700" s="165"/>
      <c r="Q700" s="165"/>
      <c r="R700" s="165"/>
      <c r="S700" s="165"/>
      <c r="T700" s="165"/>
      <c r="U700" s="165"/>
      <c r="V700" s="165"/>
      <c r="W700" s="165"/>
      <c r="X700" s="165"/>
      <c r="Y700" s="165"/>
      <c r="Z700" s="165"/>
    </row>
    <row r="701">
      <c r="A701" s="165"/>
      <c r="B701" s="165"/>
      <c r="C701" s="165"/>
      <c r="D701" s="165"/>
      <c r="E701" s="165"/>
      <c r="F701" s="165"/>
      <c r="G701" s="165"/>
      <c r="H701" s="165"/>
      <c r="I701" s="165"/>
      <c r="J701" s="165"/>
      <c r="K701" s="165"/>
      <c r="L701" s="165"/>
      <c r="M701" s="165"/>
      <c r="N701" s="165"/>
      <c r="O701" s="165"/>
      <c r="P701" s="165"/>
      <c r="Q701" s="165"/>
      <c r="R701" s="165"/>
      <c r="S701" s="165"/>
      <c r="T701" s="165"/>
      <c r="U701" s="165"/>
      <c r="V701" s="165"/>
      <c r="W701" s="165"/>
      <c r="X701" s="165"/>
      <c r="Y701" s="165"/>
      <c r="Z701" s="165"/>
    </row>
    <row r="702">
      <c r="A702" s="165"/>
      <c r="B702" s="165"/>
      <c r="C702" s="165"/>
      <c r="D702" s="165"/>
      <c r="E702" s="165"/>
      <c r="F702" s="165"/>
      <c r="G702" s="165"/>
      <c r="H702" s="165"/>
      <c r="I702" s="165"/>
      <c r="J702" s="165"/>
      <c r="K702" s="165"/>
      <c r="L702" s="165"/>
      <c r="M702" s="165"/>
      <c r="N702" s="165"/>
      <c r="O702" s="165"/>
      <c r="P702" s="165"/>
      <c r="Q702" s="165"/>
      <c r="R702" s="165"/>
      <c r="S702" s="165"/>
      <c r="T702" s="165"/>
      <c r="U702" s="165"/>
      <c r="V702" s="165"/>
      <c r="W702" s="165"/>
      <c r="X702" s="165"/>
      <c r="Y702" s="165"/>
      <c r="Z702" s="165"/>
    </row>
    <row r="703">
      <c r="A703" s="165"/>
      <c r="B703" s="165"/>
      <c r="C703" s="165"/>
      <c r="D703" s="165"/>
      <c r="E703" s="165"/>
      <c r="F703" s="165"/>
      <c r="G703" s="165"/>
      <c r="H703" s="165"/>
      <c r="I703" s="165"/>
      <c r="J703" s="165"/>
      <c r="K703" s="165"/>
      <c r="L703" s="165"/>
      <c r="M703" s="165"/>
      <c r="N703" s="165"/>
      <c r="O703" s="165"/>
      <c r="P703" s="165"/>
      <c r="Q703" s="165"/>
      <c r="R703" s="165"/>
      <c r="S703" s="165"/>
      <c r="T703" s="165"/>
      <c r="U703" s="165"/>
      <c r="V703" s="165"/>
      <c r="W703" s="165"/>
      <c r="X703" s="165"/>
      <c r="Y703" s="165"/>
      <c r="Z703" s="165"/>
    </row>
    <row r="704">
      <c r="A704" s="165"/>
      <c r="B704" s="165"/>
      <c r="C704" s="165"/>
      <c r="D704" s="165"/>
      <c r="E704" s="165"/>
      <c r="F704" s="165"/>
      <c r="G704" s="165"/>
      <c r="H704" s="165"/>
      <c r="I704" s="165"/>
      <c r="J704" s="165"/>
      <c r="K704" s="165"/>
      <c r="L704" s="165"/>
      <c r="M704" s="165"/>
      <c r="N704" s="165"/>
      <c r="O704" s="165"/>
      <c r="P704" s="165"/>
      <c r="Q704" s="165"/>
      <c r="R704" s="165"/>
      <c r="S704" s="165"/>
      <c r="T704" s="165"/>
      <c r="U704" s="165"/>
      <c r="V704" s="165"/>
      <c r="W704" s="165"/>
      <c r="X704" s="165"/>
      <c r="Y704" s="165"/>
      <c r="Z704" s="165"/>
    </row>
    <row r="705">
      <c r="A705" s="165"/>
      <c r="B705" s="165"/>
      <c r="C705" s="165"/>
      <c r="D705" s="165"/>
      <c r="E705" s="165"/>
      <c r="F705" s="165"/>
      <c r="G705" s="165"/>
      <c r="H705" s="165"/>
      <c r="I705" s="165"/>
      <c r="J705" s="165"/>
      <c r="K705" s="165"/>
      <c r="L705" s="165"/>
      <c r="M705" s="165"/>
      <c r="N705" s="165"/>
      <c r="O705" s="165"/>
      <c r="P705" s="165"/>
      <c r="Q705" s="165"/>
      <c r="R705" s="165"/>
      <c r="S705" s="165"/>
      <c r="T705" s="165"/>
      <c r="U705" s="165"/>
      <c r="V705" s="165"/>
      <c r="W705" s="165"/>
      <c r="X705" s="165"/>
      <c r="Y705" s="165"/>
      <c r="Z705" s="165"/>
    </row>
    <row r="706">
      <c r="A706" s="165"/>
      <c r="B706" s="165"/>
      <c r="C706" s="165"/>
      <c r="D706" s="165"/>
      <c r="E706" s="165"/>
      <c r="F706" s="165"/>
      <c r="G706" s="165"/>
      <c r="H706" s="165"/>
      <c r="I706" s="165"/>
      <c r="J706" s="165"/>
      <c r="K706" s="165"/>
      <c r="L706" s="165"/>
      <c r="M706" s="165"/>
      <c r="N706" s="165"/>
      <c r="O706" s="165"/>
      <c r="P706" s="165"/>
      <c r="Q706" s="165"/>
      <c r="R706" s="165"/>
      <c r="S706" s="165"/>
      <c r="T706" s="165"/>
      <c r="U706" s="165"/>
      <c r="V706" s="165"/>
      <c r="W706" s="165"/>
      <c r="X706" s="165"/>
      <c r="Y706" s="165"/>
      <c r="Z706" s="165"/>
    </row>
    <row r="707">
      <c r="A707" s="165"/>
      <c r="B707" s="165"/>
      <c r="C707" s="165"/>
      <c r="D707" s="165"/>
      <c r="E707" s="165"/>
      <c r="F707" s="165"/>
      <c r="G707" s="165"/>
      <c r="H707" s="165"/>
      <c r="I707" s="165"/>
      <c r="J707" s="165"/>
      <c r="K707" s="165"/>
      <c r="L707" s="165"/>
      <c r="M707" s="165"/>
      <c r="N707" s="165"/>
      <c r="O707" s="165"/>
      <c r="P707" s="165"/>
      <c r="Q707" s="165"/>
      <c r="R707" s="165"/>
      <c r="S707" s="165"/>
      <c r="T707" s="165"/>
      <c r="U707" s="165"/>
      <c r="V707" s="165"/>
      <c r="W707" s="165"/>
      <c r="X707" s="165"/>
      <c r="Y707" s="165"/>
      <c r="Z707" s="165"/>
    </row>
    <row r="708">
      <c r="A708" s="165"/>
      <c r="B708" s="165"/>
      <c r="C708" s="165"/>
      <c r="D708" s="165"/>
      <c r="E708" s="165"/>
      <c r="F708" s="165"/>
      <c r="G708" s="165"/>
      <c r="H708" s="165"/>
      <c r="I708" s="165"/>
      <c r="J708" s="165"/>
      <c r="K708" s="165"/>
      <c r="L708" s="165"/>
      <c r="M708" s="165"/>
      <c r="N708" s="165"/>
      <c r="O708" s="165"/>
      <c r="P708" s="165"/>
      <c r="Q708" s="165"/>
      <c r="R708" s="165"/>
      <c r="S708" s="165"/>
      <c r="T708" s="165"/>
      <c r="U708" s="165"/>
      <c r="V708" s="165"/>
      <c r="W708" s="165"/>
      <c r="X708" s="165"/>
      <c r="Y708" s="165"/>
      <c r="Z708" s="165"/>
    </row>
    <row r="709">
      <c r="A709" s="165"/>
      <c r="B709" s="165"/>
      <c r="C709" s="165"/>
      <c r="D709" s="165"/>
      <c r="E709" s="165"/>
      <c r="F709" s="165"/>
      <c r="G709" s="165"/>
      <c r="H709" s="165"/>
      <c r="I709" s="165"/>
      <c r="J709" s="165"/>
      <c r="K709" s="165"/>
      <c r="L709" s="165"/>
      <c r="M709" s="165"/>
      <c r="N709" s="165"/>
      <c r="O709" s="165"/>
      <c r="P709" s="165"/>
      <c r="Q709" s="165"/>
      <c r="R709" s="165"/>
      <c r="S709" s="165"/>
      <c r="T709" s="165"/>
      <c r="U709" s="165"/>
      <c r="V709" s="165"/>
      <c r="W709" s="165"/>
      <c r="X709" s="165"/>
      <c r="Y709" s="165"/>
      <c r="Z709" s="165"/>
    </row>
    <row r="710">
      <c r="A710" s="165"/>
      <c r="B710" s="165"/>
      <c r="C710" s="165"/>
      <c r="D710" s="165"/>
      <c r="E710" s="165"/>
      <c r="F710" s="165"/>
      <c r="G710" s="165"/>
      <c r="H710" s="165"/>
      <c r="I710" s="165"/>
      <c r="J710" s="165"/>
      <c r="K710" s="165"/>
      <c r="L710" s="165"/>
      <c r="M710" s="165"/>
      <c r="N710" s="165"/>
      <c r="O710" s="165"/>
      <c r="P710" s="165"/>
      <c r="Q710" s="165"/>
      <c r="R710" s="165"/>
      <c r="S710" s="165"/>
      <c r="T710" s="165"/>
      <c r="U710" s="165"/>
      <c r="V710" s="165"/>
      <c r="W710" s="165"/>
      <c r="X710" s="165"/>
      <c r="Y710" s="165"/>
      <c r="Z710" s="165"/>
    </row>
    <row r="711">
      <c r="A711" s="165"/>
      <c r="B711" s="165"/>
      <c r="C711" s="165"/>
      <c r="D711" s="165"/>
      <c r="E711" s="165"/>
      <c r="F711" s="165"/>
      <c r="G711" s="165"/>
      <c r="H711" s="165"/>
      <c r="I711" s="165"/>
      <c r="J711" s="165"/>
      <c r="K711" s="165"/>
      <c r="L711" s="165"/>
      <c r="M711" s="165"/>
      <c r="N711" s="165"/>
      <c r="O711" s="165"/>
      <c r="P711" s="165"/>
      <c r="Q711" s="165"/>
      <c r="R711" s="165"/>
      <c r="S711" s="165"/>
      <c r="T711" s="165"/>
      <c r="U711" s="165"/>
      <c r="V711" s="165"/>
      <c r="W711" s="165"/>
      <c r="X711" s="165"/>
      <c r="Y711" s="165"/>
      <c r="Z711" s="165"/>
    </row>
    <row r="712">
      <c r="A712" s="165"/>
      <c r="B712" s="165"/>
      <c r="C712" s="165"/>
      <c r="D712" s="165"/>
      <c r="E712" s="165"/>
      <c r="F712" s="165"/>
      <c r="G712" s="165"/>
      <c r="H712" s="165"/>
      <c r="I712" s="165"/>
      <c r="J712" s="165"/>
      <c r="K712" s="165"/>
      <c r="L712" s="165"/>
      <c r="M712" s="165"/>
      <c r="N712" s="165"/>
      <c r="O712" s="165"/>
      <c r="P712" s="165"/>
      <c r="Q712" s="165"/>
      <c r="R712" s="165"/>
      <c r="S712" s="165"/>
      <c r="T712" s="165"/>
      <c r="U712" s="165"/>
      <c r="V712" s="165"/>
      <c r="W712" s="165"/>
      <c r="X712" s="165"/>
      <c r="Y712" s="165"/>
      <c r="Z712" s="165"/>
    </row>
    <row r="713">
      <c r="A713" s="165"/>
      <c r="B713" s="165"/>
      <c r="C713" s="165"/>
      <c r="D713" s="165"/>
      <c r="E713" s="165"/>
      <c r="F713" s="165"/>
      <c r="G713" s="165"/>
      <c r="H713" s="165"/>
      <c r="I713" s="165"/>
      <c r="J713" s="165"/>
      <c r="K713" s="165"/>
      <c r="L713" s="165"/>
      <c r="M713" s="165"/>
      <c r="N713" s="165"/>
      <c r="O713" s="165"/>
      <c r="P713" s="165"/>
      <c r="Q713" s="165"/>
      <c r="R713" s="165"/>
      <c r="S713" s="165"/>
      <c r="T713" s="165"/>
      <c r="U713" s="165"/>
      <c r="V713" s="165"/>
      <c r="W713" s="165"/>
      <c r="X713" s="165"/>
      <c r="Y713" s="165"/>
      <c r="Z713" s="165"/>
    </row>
    <row r="714">
      <c r="A714" s="165"/>
      <c r="B714" s="165"/>
      <c r="C714" s="165"/>
      <c r="D714" s="165"/>
      <c r="E714" s="165"/>
      <c r="F714" s="165"/>
      <c r="G714" s="165"/>
      <c r="H714" s="165"/>
      <c r="I714" s="165"/>
      <c r="J714" s="165"/>
      <c r="K714" s="165"/>
      <c r="L714" s="165"/>
      <c r="M714" s="165"/>
      <c r="N714" s="165"/>
      <c r="O714" s="165"/>
      <c r="P714" s="165"/>
      <c r="Q714" s="165"/>
      <c r="R714" s="165"/>
      <c r="S714" s="165"/>
      <c r="T714" s="165"/>
      <c r="U714" s="165"/>
      <c r="V714" s="165"/>
      <c r="W714" s="165"/>
      <c r="X714" s="165"/>
      <c r="Y714" s="165"/>
      <c r="Z714" s="165"/>
    </row>
    <row r="715">
      <c r="A715" s="165"/>
      <c r="B715" s="165"/>
      <c r="C715" s="165"/>
      <c r="D715" s="165"/>
      <c r="E715" s="165"/>
      <c r="F715" s="165"/>
      <c r="G715" s="165"/>
      <c r="H715" s="165"/>
      <c r="I715" s="165"/>
      <c r="J715" s="165"/>
      <c r="K715" s="165"/>
      <c r="L715" s="165"/>
      <c r="M715" s="165"/>
      <c r="N715" s="165"/>
      <c r="O715" s="165"/>
      <c r="P715" s="165"/>
      <c r="Q715" s="165"/>
      <c r="R715" s="165"/>
      <c r="S715" s="165"/>
      <c r="T715" s="165"/>
      <c r="U715" s="165"/>
      <c r="V715" s="165"/>
      <c r="W715" s="165"/>
      <c r="X715" s="165"/>
      <c r="Y715" s="165"/>
      <c r="Z715" s="165"/>
    </row>
    <row r="716">
      <c r="A716" s="165"/>
      <c r="B716" s="165"/>
      <c r="C716" s="165"/>
      <c r="D716" s="165"/>
      <c r="E716" s="165"/>
      <c r="F716" s="165"/>
      <c r="G716" s="165"/>
      <c r="H716" s="165"/>
      <c r="I716" s="165"/>
      <c r="J716" s="165"/>
      <c r="K716" s="165"/>
      <c r="L716" s="165"/>
      <c r="M716" s="165"/>
      <c r="N716" s="165"/>
      <c r="O716" s="165"/>
      <c r="P716" s="165"/>
      <c r="Q716" s="165"/>
      <c r="R716" s="165"/>
      <c r="S716" s="165"/>
      <c r="T716" s="165"/>
      <c r="U716" s="165"/>
      <c r="V716" s="165"/>
      <c r="W716" s="165"/>
      <c r="X716" s="165"/>
      <c r="Y716" s="165"/>
      <c r="Z716" s="165"/>
    </row>
    <row r="717">
      <c r="A717" s="165"/>
      <c r="B717" s="165"/>
      <c r="C717" s="165"/>
      <c r="D717" s="165"/>
      <c r="E717" s="165"/>
      <c r="F717" s="165"/>
      <c r="G717" s="165"/>
      <c r="H717" s="165"/>
      <c r="I717" s="165"/>
      <c r="J717" s="165"/>
      <c r="K717" s="165"/>
      <c r="L717" s="165"/>
      <c r="M717" s="165"/>
      <c r="N717" s="165"/>
      <c r="O717" s="165"/>
      <c r="P717" s="165"/>
      <c r="Q717" s="165"/>
      <c r="R717" s="165"/>
      <c r="S717" s="165"/>
      <c r="T717" s="165"/>
      <c r="U717" s="165"/>
      <c r="V717" s="165"/>
      <c r="W717" s="165"/>
      <c r="X717" s="165"/>
      <c r="Y717" s="165"/>
      <c r="Z717" s="165"/>
    </row>
    <row r="718">
      <c r="A718" s="165"/>
      <c r="B718" s="165"/>
      <c r="C718" s="165"/>
      <c r="D718" s="165"/>
      <c r="E718" s="165"/>
      <c r="F718" s="165"/>
      <c r="G718" s="165"/>
      <c r="H718" s="165"/>
      <c r="I718" s="165"/>
      <c r="J718" s="165"/>
      <c r="K718" s="165"/>
      <c r="L718" s="165"/>
      <c r="M718" s="165"/>
      <c r="N718" s="165"/>
      <c r="O718" s="165"/>
      <c r="P718" s="165"/>
      <c r="Q718" s="165"/>
      <c r="R718" s="165"/>
      <c r="S718" s="165"/>
      <c r="T718" s="165"/>
      <c r="U718" s="165"/>
      <c r="V718" s="165"/>
      <c r="W718" s="165"/>
      <c r="X718" s="165"/>
      <c r="Y718" s="165"/>
      <c r="Z718" s="165"/>
    </row>
    <row r="719">
      <c r="A719" s="165"/>
      <c r="B719" s="165"/>
      <c r="C719" s="165"/>
      <c r="D719" s="165"/>
      <c r="E719" s="165"/>
      <c r="F719" s="165"/>
      <c r="G719" s="165"/>
      <c r="H719" s="165"/>
      <c r="I719" s="165"/>
      <c r="J719" s="165"/>
      <c r="K719" s="165"/>
      <c r="L719" s="165"/>
      <c r="M719" s="165"/>
      <c r="N719" s="165"/>
      <c r="O719" s="165"/>
      <c r="P719" s="165"/>
      <c r="Q719" s="165"/>
      <c r="R719" s="165"/>
      <c r="S719" s="165"/>
      <c r="T719" s="165"/>
      <c r="U719" s="165"/>
      <c r="V719" s="165"/>
      <c r="W719" s="165"/>
      <c r="X719" s="165"/>
      <c r="Y719" s="165"/>
      <c r="Z719" s="165"/>
    </row>
    <row r="720">
      <c r="A720" s="165"/>
      <c r="B720" s="165"/>
      <c r="C720" s="165"/>
      <c r="D720" s="165"/>
      <c r="E720" s="165"/>
      <c r="F720" s="165"/>
      <c r="G720" s="165"/>
      <c r="H720" s="165"/>
      <c r="I720" s="165"/>
      <c r="J720" s="165"/>
      <c r="K720" s="165"/>
      <c r="L720" s="165"/>
      <c r="M720" s="165"/>
      <c r="N720" s="165"/>
      <c r="O720" s="165"/>
      <c r="P720" s="165"/>
      <c r="Q720" s="165"/>
      <c r="R720" s="165"/>
      <c r="S720" s="165"/>
      <c r="T720" s="165"/>
      <c r="U720" s="165"/>
      <c r="V720" s="165"/>
      <c r="W720" s="165"/>
      <c r="X720" s="165"/>
      <c r="Y720" s="165"/>
      <c r="Z720" s="165"/>
    </row>
    <row r="721">
      <c r="A721" s="165"/>
      <c r="B721" s="165"/>
      <c r="C721" s="165"/>
      <c r="D721" s="165"/>
      <c r="E721" s="165"/>
      <c r="F721" s="165"/>
      <c r="G721" s="165"/>
      <c r="H721" s="165"/>
      <c r="I721" s="165"/>
      <c r="J721" s="165"/>
      <c r="K721" s="165"/>
      <c r="L721" s="165"/>
      <c r="M721" s="165"/>
      <c r="N721" s="165"/>
      <c r="O721" s="165"/>
      <c r="P721" s="165"/>
      <c r="Q721" s="165"/>
      <c r="R721" s="165"/>
      <c r="S721" s="165"/>
      <c r="T721" s="165"/>
      <c r="U721" s="165"/>
      <c r="V721" s="165"/>
      <c r="W721" s="165"/>
      <c r="X721" s="165"/>
      <c r="Y721" s="165"/>
      <c r="Z721" s="165"/>
    </row>
    <row r="722">
      <c r="A722" s="165"/>
      <c r="B722" s="165"/>
      <c r="C722" s="165"/>
      <c r="D722" s="165"/>
      <c r="E722" s="165"/>
      <c r="F722" s="165"/>
      <c r="G722" s="165"/>
      <c r="H722" s="165"/>
      <c r="I722" s="165"/>
      <c r="J722" s="165"/>
      <c r="K722" s="165"/>
      <c r="L722" s="165"/>
      <c r="M722" s="165"/>
      <c r="N722" s="165"/>
      <c r="O722" s="165"/>
      <c r="P722" s="165"/>
      <c r="Q722" s="165"/>
      <c r="R722" s="165"/>
      <c r="S722" s="165"/>
      <c r="T722" s="165"/>
      <c r="U722" s="165"/>
      <c r="V722" s="165"/>
      <c r="W722" s="165"/>
      <c r="X722" s="165"/>
      <c r="Y722" s="165"/>
      <c r="Z722" s="165"/>
    </row>
    <row r="723">
      <c r="A723" s="165"/>
      <c r="B723" s="165"/>
      <c r="C723" s="165"/>
      <c r="D723" s="165"/>
      <c r="E723" s="165"/>
      <c r="F723" s="165"/>
      <c r="G723" s="165"/>
      <c r="H723" s="165"/>
      <c r="I723" s="165"/>
      <c r="J723" s="165"/>
      <c r="K723" s="165"/>
      <c r="L723" s="165"/>
      <c r="M723" s="165"/>
      <c r="N723" s="165"/>
      <c r="O723" s="165"/>
      <c r="P723" s="165"/>
      <c r="Q723" s="165"/>
      <c r="R723" s="165"/>
      <c r="S723" s="165"/>
      <c r="T723" s="165"/>
      <c r="U723" s="165"/>
      <c r="V723" s="165"/>
      <c r="W723" s="165"/>
      <c r="X723" s="165"/>
      <c r="Y723" s="165"/>
      <c r="Z723" s="165"/>
    </row>
    <row r="724">
      <c r="A724" s="165"/>
      <c r="B724" s="165"/>
      <c r="C724" s="165"/>
      <c r="D724" s="165"/>
      <c r="E724" s="165"/>
      <c r="F724" s="165"/>
      <c r="G724" s="165"/>
      <c r="H724" s="165"/>
      <c r="I724" s="165"/>
      <c r="J724" s="165"/>
      <c r="K724" s="165"/>
      <c r="L724" s="165"/>
      <c r="M724" s="165"/>
      <c r="N724" s="165"/>
      <c r="O724" s="165"/>
      <c r="P724" s="165"/>
      <c r="Q724" s="165"/>
      <c r="R724" s="165"/>
      <c r="S724" s="165"/>
      <c r="T724" s="165"/>
      <c r="U724" s="165"/>
      <c r="V724" s="165"/>
      <c r="W724" s="165"/>
      <c r="X724" s="165"/>
      <c r="Y724" s="165"/>
      <c r="Z724" s="165"/>
    </row>
    <row r="725">
      <c r="A725" s="165"/>
      <c r="B725" s="165"/>
      <c r="C725" s="165"/>
      <c r="D725" s="165"/>
      <c r="E725" s="165"/>
      <c r="F725" s="165"/>
      <c r="G725" s="165"/>
      <c r="H725" s="165"/>
      <c r="I725" s="165"/>
      <c r="J725" s="165"/>
      <c r="K725" s="165"/>
      <c r="L725" s="165"/>
      <c r="M725" s="165"/>
      <c r="N725" s="165"/>
      <c r="O725" s="165"/>
      <c r="P725" s="165"/>
      <c r="Q725" s="165"/>
      <c r="R725" s="165"/>
      <c r="S725" s="165"/>
      <c r="T725" s="165"/>
      <c r="U725" s="165"/>
      <c r="V725" s="165"/>
      <c r="W725" s="165"/>
      <c r="X725" s="165"/>
      <c r="Y725" s="165"/>
      <c r="Z725" s="165"/>
    </row>
    <row r="726">
      <c r="A726" s="165"/>
      <c r="B726" s="165"/>
      <c r="C726" s="165"/>
      <c r="D726" s="165"/>
      <c r="E726" s="165"/>
      <c r="F726" s="165"/>
      <c r="G726" s="165"/>
      <c r="H726" s="165"/>
      <c r="I726" s="165"/>
      <c r="J726" s="165"/>
      <c r="K726" s="165"/>
      <c r="L726" s="165"/>
      <c r="M726" s="165"/>
      <c r="N726" s="165"/>
      <c r="O726" s="165"/>
      <c r="P726" s="165"/>
      <c r="Q726" s="165"/>
      <c r="R726" s="165"/>
      <c r="S726" s="165"/>
      <c r="T726" s="165"/>
      <c r="U726" s="165"/>
      <c r="V726" s="165"/>
      <c r="W726" s="165"/>
      <c r="X726" s="165"/>
      <c r="Y726" s="165"/>
      <c r="Z726" s="165"/>
    </row>
    <row r="727">
      <c r="A727" s="165"/>
      <c r="B727" s="165"/>
      <c r="C727" s="165"/>
      <c r="D727" s="165"/>
      <c r="E727" s="165"/>
      <c r="F727" s="165"/>
      <c r="G727" s="165"/>
      <c r="H727" s="165"/>
      <c r="I727" s="165"/>
      <c r="J727" s="165"/>
      <c r="K727" s="165"/>
      <c r="L727" s="165"/>
      <c r="M727" s="165"/>
      <c r="N727" s="165"/>
      <c r="O727" s="165"/>
      <c r="P727" s="165"/>
      <c r="Q727" s="165"/>
      <c r="R727" s="165"/>
      <c r="S727" s="165"/>
      <c r="T727" s="165"/>
      <c r="U727" s="165"/>
      <c r="V727" s="165"/>
      <c r="W727" s="165"/>
      <c r="X727" s="165"/>
      <c r="Y727" s="165"/>
      <c r="Z727" s="165"/>
    </row>
    <row r="728">
      <c r="A728" s="165"/>
      <c r="B728" s="165"/>
      <c r="C728" s="165"/>
      <c r="D728" s="165"/>
      <c r="E728" s="165"/>
      <c r="F728" s="165"/>
      <c r="G728" s="165"/>
      <c r="H728" s="165"/>
      <c r="I728" s="165"/>
      <c r="J728" s="165"/>
      <c r="K728" s="165"/>
      <c r="L728" s="165"/>
      <c r="M728" s="165"/>
      <c r="N728" s="165"/>
      <c r="O728" s="165"/>
      <c r="P728" s="165"/>
      <c r="Q728" s="165"/>
      <c r="R728" s="165"/>
      <c r="S728" s="165"/>
      <c r="T728" s="165"/>
      <c r="U728" s="165"/>
      <c r="V728" s="165"/>
      <c r="W728" s="165"/>
      <c r="X728" s="165"/>
      <c r="Y728" s="165"/>
      <c r="Z728" s="165"/>
    </row>
    <row r="729">
      <c r="A729" s="165"/>
      <c r="B729" s="165"/>
      <c r="C729" s="165"/>
      <c r="D729" s="165"/>
      <c r="E729" s="165"/>
      <c r="F729" s="165"/>
      <c r="G729" s="165"/>
      <c r="H729" s="165"/>
      <c r="I729" s="165"/>
      <c r="J729" s="165"/>
      <c r="K729" s="165"/>
      <c r="L729" s="165"/>
      <c r="M729" s="165"/>
      <c r="N729" s="165"/>
      <c r="O729" s="165"/>
      <c r="P729" s="165"/>
      <c r="Q729" s="165"/>
      <c r="R729" s="165"/>
      <c r="S729" s="165"/>
      <c r="T729" s="165"/>
      <c r="U729" s="165"/>
      <c r="V729" s="165"/>
      <c r="W729" s="165"/>
      <c r="X729" s="165"/>
      <c r="Y729" s="165"/>
      <c r="Z729" s="165"/>
    </row>
    <row r="730">
      <c r="A730" s="165"/>
      <c r="B730" s="165"/>
      <c r="C730" s="165"/>
      <c r="D730" s="165"/>
      <c r="E730" s="165"/>
      <c r="F730" s="165"/>
      <c r="G730" s="165"/>
      <c r="H730" s="165"/>
      <c r="I730" s="165"/>
      <c r="J730" s="165"/>
      <c r="K730" s="165"/>
      <c r="L730" s="165"/>
      <c r="M730" s="165"/>
      <c r="N730" s="165"/>
      <c r="O730" s="165"/>
      <c r="P730" s="165"/>
      <c r="Q730" s="165"/>
      <c r="R730" s="165"/>
      <c r="S730" s="165"/>
      <c r="T730" s="165"/>
      <c r="U730" s="165"/>
      <c r="V730" s="165"/>
      <c r="W730" s="165"/>
      <c r="X730" s="165"/>
      <c r="Y730" s="165"/>
      <c r="Z730" s="165"/>
    </row>
    <row r="731">
      <c r="A731" s="165"/>
      <c r="B731" s="165"/>
      <c r="C731" s="165"/>
      <c r="D731" s="165"/>
      <c r="E731" s="165"/>
      <c r="F731" s="165"/>
      <c r="G731" s="165"/>
      <c r="H731" s="165"/>
      <c r="I731" s="165"/>
      <c r="J731" s="165"/>
      <c r="K731" s="165"/>
      <c r="L731" s="165"/>
      <c r="M731" s="165"/>
      <c r="N731" s="165"/>
      <c r="O731" s="165"/>
      <c r="P731" s="165"/>
      <c r="Q731" s="165"/>
      <c r="R731" s="165"/>
      <c r="S731" s="165"/>
      <c r="T731" s="165"/>
      <c r="U731" s="165"/>
      <c r="V731" s="165"/>
      <c r="W731" s="165"/>
      <c r="X731" s="165"/>
      <c r="Y731" s="165"/>
      <c r="Z731" s="165"/>
    </row>
    <row r="732">
      <c r="A732" s="165"/>
      <c r="B732" s="165"/>
      <c r="C732" s="165"/>
      <c r="D732" s="165"/>
      <c r="E732" s="165"/>
      <c r="F732" s="165"/>
      <c r="G732" s="165"/>
      <c r="H732" s="165"/>
      <c r="I732" s="165"/>
      <c r="J732" s="165"/>
      <c r="K732" s="165"/>
      <c r="L732" s="165"/>
      <c r="M732" s="165"/>
      <c r="N732" s="165"/>
      <c r="O732" s="165"/>
      <c r="P732" s="165"/>
      <c r="Q732" s="165"/>
      <c r="R732" s="165"/>
      <c r="S732" s="165"/>
      <c r="T732" s="165"/>
      <c r="U732" s="165"/>
      <c r="V732" s="165"/>
      <c r="W732" s="165"/>
      <c r="X732" s="165"/>
      <c r="Y732" s="165"/>
      <c r="Z732" s="165"/>
    </row>
    <row r="733">
      <c r="A733" s="165"/>
      <c r="B733" s="165"/>
      <c r="C733" s="165"/>
      <c r="D733" s="165"/>
      <c r="E733" s="165"/>
      <c r="F733" s="165"/>
      <c r="G733" s="165"/>
      <c r="H733" s="165"/>
      <c r="I733" s="165"/>
      <c r="J733" s="165"/>
      <c r="K733" s="165"/>
      <c r="L733" s="165"/>
      <c r="M733" s="165"/>
      <c r="N733" s="165"/>
      <c r="O733" s="165"/>
      <c r="P733" s="165"/>
      <c r="Q733" s="165"/>
      <c r="R733" s="165"/>
      <c r="S733" s="165"/>
      <c r="T733" s="165"/>
      <c r="U733" s="165"/>
      <c r="V733" s="165"/>
      <c r="W733" s="165"/>
      <c r="X733" s="165"/>
      <c r="Y733" s="165"/>
      <c r="Z733" s="165"/>
    </row>
    <row r="734">
      <c r="A734" s="165"/>
      <c r="B734" s="165"/>
      <c r="C734" s="165"/>
      <c r="D734" s="165"/>
      <c r="E734" s="165"/>
      <c r="F734" s="165"/>
      <c r="G734" s="165"/>
      <c r="H734" s="165"/>
      <c r="I734" s="165"/>
      <c r="J734" s="165"/>
      <c r="K734" s="165"/>
      <c r="L734" s="165"/>
      <c r="M734" s="165"/>
      <c r="N734" s="165"/>
      <c r="O734" s="165"/>
      <c r="P734" s="165"/>
      <c r="Q734" s="165"/>
      <c r="R734" s="165"/>
      <c r="S734" s="165"/>
      <c r="T734" s="165"/>
      <c r="U734" s="165"/>
      <c r="V734" s="165"/>
      <c r="W734" s="165"/>
      <c r="X734" s="165"/>
      <c r="Y734" s="165"/>
      <c r="Z734" s="165"/>
    </row>
    <row r="735">
      <c r="A735" s="165"/>
      <c r="B735" s="165"/>
      <c r="C735" s="165"/>
      <c r="D735" s="165"/>
      <c r="E735" s="165"/>
      <c r="F735" s="165"/>
      <c r="G735" s="165"/>
      <c r="H735" s="165"/>
      <c r="I735" s="165"/>
      <c r="J735" s="165"/>
      <c r="K735" s="165"/>
      <c r="L735" s="165"/>
      <c r="M735" s="165"/>
      <c r="N735" s="165"/>
      <c r="O735" s="165"/>
      <c r="P735" s="165"/>
      <c r="Q735" s="165"/>
      <c r="R735" s="165"/>
      <c r="S735" s="165"/>
      <c r="T735" s="165"/>
      <c r="U735" s="165"/>
      <c r="V735" s="165"/>
      <c r="W735" s="165"/>
      <c r="X735" s="165"/>
      <c r="Y735" s="165"/>
      <c r="Z735" s="165"/>
    </row>
    <row r="736">
      <c r="A736" s="165"/>
      <c r="B736" s="165"/>
      <c r="C736" s="165"/>
      <c r="D736" s="165"/>
      <c r="E736" s="165"/>
      <c r="F736" s="165"/>
      <c r="G736" s="165"/>
      <c r="H736" s="165"/>
      <c r="I736" s="165"/>
      <c r="J736" s="165"/>
      <c r="K736" s="165"/>
      <c r="L736" s="165"/>
      <c r="M736" s="165"/>
      <c r="N736" s="165"/>
      <c r="O736" s="165"/>
      <c r="P736" s="165"/>
      <c r="Q736" s="165"/>
      <c r="R736" s="165"/>
      <c r="S736" s="165"/>
      <c r="T736" s="165"/>
      <c r="U736" s="165"/>
      <c r="V736" s="165"/>
      <c r="W736" s="165"/>
      <c r="X736" s="165"/>
      <c r="Y736" s="165"/>
      <c r="Z736" s="165"/>
    </row>
    <row r="737">
      <c r="A737" s="165"/>
      <c r="B737" s="165"/>
      <c r="C737" s="165"/>
      <c r="D737" s="165"/>
      <c r="E737" s="165"/>
      <c r="F737" s="165"/>
      <c r="G737" s="165"/>
      <c r="H737" s="165"/>
      <c r="I737" s="165"/>
      <c r="J737" s="165"/>
      <c r="K737" s="165"/>
      <c r="L737" s="165"/>
      <c r="M737" s="165"/>
      <c r="N737" s="165"/>
      <c r="O737" s="165"/>
      <c r="P737" s="165"/>
      <c r="Q737" s="165"/>
      <c r="R737" s="165"/>
      <c r="S737" s="165"/>
      <c r="T737" s="165"/>
      <c r="U737" s="165"/>
      <c r="V737" s="165"/>
      <c r="W737" s="165"/>
      <c r="X737" s="165"/>
      <c r="Y737" s="165"/>
      <c r="Z737" s="165"/>
    </row>
    <row r="738">
      <c r="A738" s="165"/>
      <c r="B738" s="165"/>
      <c r="C738" s="165"/>
      <c r="D738" s="165"/>
      <c r="E738" s="165"/>
      <c r="F738" s="165"/>
      <c r="G738" s="165"/>
      <c r="H738" s="165"/>
      <c r="I738" s="165"/>
      <c r="J738" s="165"/>
      <c r="K738" s="165"/>
      <c r="L738" s="165"/>
      <c r="M738" s="165"/>
      <c r="N738" s="165"/>
      <c r="O738" s="165"/>
      <c r="P738" s="165"/>
      <c r="Q738" s="165"/>
      <c r="R738" s="165"/>
      <c r="S738" s="165"/>
      <c r="T738" s="165"/>
      <c r="U738" s="165"/>
      <c r="V738" s="165"/>
      <c r="W738" s="165"/>
      <c r="X738" s="165"/>
      <c r="Y738" s="165"/>
      <c r="Z738" s="165"/>
    </row>
    <row r="739">
      <c r="A739" s="165"/>
      <c r="B739" s="165"/>
      <c r="C739" s="165"/>
      <c r="D739" s="165"/>
      <c r="E739" s="165"/>
      <c r="F739" s="165"/>
      <c r="G739" s="165"/>
      <c r="H739" s="165"/>
      <c r="I739" s="165"/>
      <c r="J739" s="165"/>
      <c r="K739" s="165"/>
      <c r="L739" s="165"/>
      <c r="M739" s="165"/>
      <c r="N739" s="165"/>
      <c r="O739" s="165"/>
      <c r="P739" s="165"/>
      <c r="Q739" s="165"/>
      <c r="R739" s="165"/>
      <c r="S739" s="165"/>
      <c r="T739" s="165"/>
      <c r="U739" s="165"/>
      <c r="V739" s="165"/>
      <c r="W739" s="165"/>
      <c r="X739" s="165"/>
      <c r="Y739" s="165"/>
      <c r="Z739" s="165"/>
    </row>
    <row r="740">
      <c r="A740" s="165"/>
      <c r="B740" s="165"/>
      <c r="C740" s="165"/>
      <c r="D740" s="165"/>
      <c r="E740" s="165"/>
      <c r="F740" s="165"/>
      <c r="G740" s="165"/>
      <c r="H740" s="165"/>
      <c r="I740" s="165"/>
      <c r="J740" s="165"/>
      <c r="K740" s="165"/>
      <c r="L740" s="165"/>
      <c r="M740" s="165"/>
      <c r="N740" s="165"/>
      <c r="O740" s="165"/>
      <c r="P740" s="165"/>
      <c r="Q740" s="165"/>
      <c r="R740" s="165"/>
      <c r="S740" s="165"/>
      <c r="T740" s="165"/>
      <c r="U740" s="165"/>
      <c r="V740" s="165"/>
      <c r="W740" s="165"/>
      <c r="X740" s="165"/>
      <c r="Y740" s="165"/>
      <c r="Z740" s="165"/>
    </row>
    <row r="741">
      <c r="A741" s="165"/>
      <c r="B741" s="165"/>
      <c r="C741" s="165"/>
      <c r="D741" s="165"/>
      <c r="E741" s="165"/>
      <c r="F741" s="165"/>
      <c r="G741" s="165"/>
      <c r="H741" s="165"/>
      <c r="I741" s="165"/>
      <c r="J741" s="165"/>
      <c r="K741" s="165"/>
      <c r="L741" s="165"/>
      <c r="M741" s="165"/>
      <c r="N741" s="165"/>
      <c r="O741" s="165"/>
      <c r="P741" s="165"/>
      <c r="Q741" s="165"/>
      <c r="R741" s="165"/>
      <c r="S741" s="165"/>
      <c r="T741" s="165"/>
      <c r="U741" s="165"/>
      <c r="V741" s="165"/>
      <c r="W741" s="165"/>
      <c r="X741" s="165"/>
      <c r="Y741" s="165"/>
      <c r="Z741" s="165"/>
    </row>
    <row r="742">
      <c r="A742" s="165"/>
      <c r="B742" s="165"/>
      <c r="C742" s="165"/>
      <c r="D742" s="165"/>
      <c r="E742" s="165"/>
      <c r="F742" s="165"/>
      <c r="G742" s="165"/>
      <c r="H742" s="165"/>
      <c r="I742" s="165"/>
      <c r="J742" s="165"/>
      <c r="K742" s="165"/>
      <c r="L742" s="165"/>
      <c r="M742" s="165"/>
      <c r="N742" s="165"/>
      <c r="O742" s="165"/>
      <c r="P742" s="165"/>
      <c r="Q742" s="165"/>
      <c r="R742" s="165"/>
      <c r="S742" s="165"/>
      <c r="T742" s="165"/>
      <c r="U742" s="165"/>
      <c r="V742" s="165"/>
      <c r="W742" s="165"/>
      <c r="X742" s="165"/>
      <c r="Y742" s="165"/>
      <c r="Z742" s="165"/>
    </row>
    <row r="743">
      <c r="A743" s="165"/>
      <c r="B743" s="165"/>
      <c r="C743" s="165"/>
      <c r="D743" s="165"/>
      <c r="E743" s="165"/>
      <c r="F743" s="165"/>
      <c r="G743" s="165"/>
      <c r="H743" s="165"/>
      <c r="I743" s="165"/>
      <c r="J743" s="165"/>
      <c r="K743" s="165"/>
      <c r="L743" s="165"/>
      <c r="M743" s="165"/>
      <c r="N743" s="165"/>
      <c r="O743" s="165"/>
      <c r="P743" s="165"/>
      <c r="Q743" s="165"/>
      <c r="R743" s="165"/>
      <c r="S743" s="165"/>
      <c r="T743" s="165"/>
      <c r="U743" s="165"/>
      <c r="V743" s="165"/>
      <c r="W743" s="165"/>
      <c r="X743" s="165"/>
      <c r="Y743" s="165"/>
      <c r="Z743" s="165"/>
    </row>
    <row r="744">
      <c r="A744" s="165"/>
      <c r="B744" s="165"/>
      <c r="C744" s="165"/>
      <c r="D744" s="165"/>
      <c r="E744" s="165"/>
      <c r="F744" s="165"/>
      <c r="G744" s="165"/>
      <c r="H744" s="165"/>
      <c r="I744" s="165"/>
      <c r="J744" s="165"/>
      <c r="K744" s="165"/>
      <c r="L744" s="165"/>
      <c r="M744" s="165"/>
      <c r="N744" s="165"/>
      <c r="O744" s="165"/>
      <c r="P744" s="165"/>
      <c r="Q744" s="165"/>
      <c r="R744" s="165"/>
      <c r="S744" s="165"/>
      <c r="T744" s="165"/>
      <c r="U744" s="165"/>
      <c r="V744" s="165"/>
      <c r="W744" s="165"/>
      <c r="X744" s="165"/>
      <c r="Y744" s="165"/>
      <c r="Z744" s="165"/>
    </row>
    <row r="745">
      <c r="A745" s="165"/>
      <c r="B745" s="165"/>
      <c r="C745" s="165"/>
      <c r="D745" s="165"/>
      <c r="E745" s="165"/>
      <c r="F745" s="165"/>
      <c r="G745" s="165"/>
      <c r="H745" s="165"/>
      <c r="I745" s="165"/>
      <c r="J745" s="165"/>
      <c r="K745" s="165"/>
      <c r="L745" s="165"/>
      <c r="M745" s="165"/>
      <c r="N745" s="165"/>
      <c r="O745" s="165"/>
      <c r="P745" s="165"/>
      <c r="Q745" s="165"/>
      <c r="R745" s="165"/>
      <c r="S745" s="165"/>
      <c r="T745" s="165"/>
      <c r="U745" s="165"/>
      <c r="V745" s="165"/>
      <c r="W745" s="165"/>
      <c r="X745" s="165"/>
      <c r="Y745" s="165"/>
      <c r="Z745" s="165"/>
    </row>
    <row r="746">
      <c r="A746" s="165"/>
      <c r="B746" s="165"/>
      <c r="C746" s="165"/>
      <c r="D746" s="165"/>
      <c r="E746" s="165"/>
      <c r="F746" s="165"/>
      <c r="G746" s="165"/>
      <c r="H746" s="165"/>
      <c r="I746" s="165"/>
      <c r="J746" s="165"/>
      <c r="K746" s="165"/>
      <c r="L746" s="165"/>
      <c r="M746" s="165"/>
      <c r="N746" s="165"/>
      <c r="O746" s="165"/>
      <c r="P746" s="165"/>
      <c r="Q746" s="165"/>
      <c r="R746" s="165"/>
      <c r="S746" s="165"/>
      <c r="T746" s="165"/>
      <c r="U746" s="165"/>
      <c r="V746" s="165"/>
      <c r="W746" s="165"/>
      <c r="X746" s="165"/>
      <c r="Y746" s="165"/>
      <c r="Z746" s="165"/>
    </row>
    <row r="747">
      <c r="A747" s="165"/>
      <c r="B747" s="165"/>
      <c r="C747" s="165"/>
      <c r="D747" s="165"/>
      <c r="E747" s="165"/>
      <c r="F747" s="165"/>
      <c r="G747" s="165"/>
      <c r="H747" s="165"/>
      <c r="I747" s="165"/>
      <c r="J747" s="165"/>
      <c r="K747" s="165"/>
      <c r="L747" s="165"/>
      <c r="M747" s="165"/>
      <c r="N747" s="165"/>
      <c r="O747" s="165"/>
      <c r="P747" s="165"/>
      <c r="Q747" s="165"/>
      <c r="R747" s="165"/>
      <c r="S747" s="165"/>
      <c r="T747" s="165"/>
      <c r="U747" s="165"/>
      <c r="V747" s="165"/>
      <c r="W747" s="165"/>
      <c r="X747" s="165"/>
      <c r="Y747" s="165"/>
      <c r="Z747" s="165"/>
    </row>
    <row r="748">
      <c r="A748" s="165"/>
      <c r="B748" s="165"/>
      <c r="C748" s="165"/>
      <c r="D748" s="165"/>
      <c r="E748" s="165"/>
      <c r="F748" s="165"/>
      <c r="G748" s="165"/>
      <c r="H748" s="165"/>
      <c r="I748" s="165"/>
      <c r="J748" s="165"/>
      <c r="K748" s="165"/>
      <c r="L748" s="165"/>
      <c r="M748" s="165"/>
      <c r="N748" s="165"/>
      <c r="O748" s="165"/>
      <c r="P748" s="165"/>
      <c r="Q748" s="165"/>
      <c r="R748" s="165"/>
      <c r="S748" s="165"/>
      <c r="T748" s="165"/>
      <c r="U748" s="165"/>
      <c r="V748" s="165"/>
      <c r="W748" s="165"/>
      <c r="X748" s="165"/>
      <c r="Y748" s="165"/>
      <c r="Z748" s="165"/>
    </row>
    <row r="749">
      <c r="A749" s="165"/>
      <c r="B749" s="165"/>
      <c r="C749" s="165"/>
      <c r="D749" s="165"/>
      <c r="E749" s="165"/>
      <c r="F749" s="165"/>
      <c r="G749" s="165"/>
      <c r="H749" s="165"/>
      <c r="I749" s="165"/>
      <c r="J749" s="165"/>
      <c r="K749" s="165"/>
      <c r="L749" s="165"/>
      <c r="M749" s="165"/>
      <c r="N749" s="165"/>
      <c r="O749" s="165"/>
      <c r="P749" s="165"/>
      <c r="Q749" s="165"/>
      <c r="R749" s="165"/>
      <c r="S749" s="165"/>
      <c r="T749" s="165"/>
      <c r="U749" s="165"/>
      <c r="V749" s="165"/>
      <c r="W749" s="165"/>
      <c r="X749" s="165"/>
      <c r="Y749" s="165"/>
      <c r="Z749" s="165"/>
    </row>
    <row r="750">
      <c r="A750" s="165"/>
      <c r="B750" s="165"/>
      <c r="C750" s="165"/>
      <c r="D750" s="165"/>
      <c r="E750" s="165"/>
      <c r="F750" s="165"/>
      <c r="G750" s="165"/>
      <c r="H750" s="165"/>
      <c r="I750" s="165"/>
      <c r="J750" s="165"/>
      <c r="K750" s="165"/>
      <c r="L750" s="165"/>
      <c r="M750" s="165"/>
      <c r="N750" s="165"/>
      <c r="O750" s="165"/>
      <c r="P750" s="165"/>
      <c r="Q750" s="165"/>
      <c r="R750" s="165"/>
      <c r="S750" s="165"/>
      <c r="T750" s="165"/>
      <c r="U750" s="165"/>
      <c r="V750" s="165"/>
      <c r="W750" s="165"/>
      <c r="X750" s="165"/>
      <c r="Y750" s="165"/>
      <c r="Z750" s="165"/>
    </row>
    <row r="751">
      <c r="A751" s="165"/>
      <c r="B751" s="165"/>
      <c r="C751" s="165"/>
      <c r="D751" s="165"/>
      <c r="E751" s="165"/>
      <c r="F751" s="165"/>
      <c r="G751" s="165"/>
      <c r="H751" s="165"/>
      <c r="I751" s="165"/>
      <c r="J751" s="165"/>
      <c r="K751" s="165"/>
      <c r="L751" s="165"/>
      <c r="M751" s="165"/>
      <c r="N751" s="165"/>
      <c r="O751" s="165"/>
      <c r="P751" s="165"/>
      <c r="Q751" s="165"/>
      <c r="R751" s="165"/>
      <c r="S751" s="165"/>
      <c r="T751" s="165"/>
      <c r="U751" s="165"/>
      <c r="V751" s="165"/>
      <c r="W751" s="165"/>
      <c r="X751" s="165"/>
      <c r="Y751" s="165"/>
      <c r="Z751" s="165"/>
    </row>
    <row r="752">
      <c r="A752" s="165"/>
      <c r="B752" s="165"/>
      <c r="C752" s="165"/>
      <c r="D752" s="165"/>
      <c r="E752" s="165"/>
      <c r="F752" s="165"/>
      <c r="G752" s="165"/>
      <c r="H752" s="165"/>
      <c r="I752" s="165"/>
      <c r="J752" s="165"/>
      <c r="K752" s="165"/>
      <c r="L752" s="165"/>
      <c r="M752" s="165"/>
      <c r="N752" s="165"/>
      <c r="O752" s="165"/>
      <c r="P752" s="165"/>
      <c r="Q752" s="165"/>
      <c r="R752" s="165"/>
      <c r="S752" s="165"/>
      <c r="T752" s="165"/>
      <c r="U752" s="165"/>
      <c r="V752" s="165"/>
      <c r="W752" s="165"/>
      <c r="X752" s="165"/>
      <c r="Y752" s="165"/>
      <c r="Z752" s="165"/>
    </row>
    <row r="753">
      <c r="A753" s="165"/>
      <c r="B753" s="165"/>
      <c r="C753" s="165"/>
      <c r="D753" s="165"/>
      <c r="E753" s="165"/>
      <c r="F753" s="165"/>
      <c r="G753" s="165"/>
      <c r="H753" s="165"/>
      <c r="I753" s="165"/>
      <c r="J753" s="165"/>
      <c r="K753" s="165"/>
      <c r="L753" s="165"/>
      <c r="M753" s="165"/>
      <c r="N753" s="165"/>
      <c r="O753" s="165"/>
      <c r="P753" s="165"/>
      <c r="Q753" s="165"/>
      <c r="R753" s="165"/>
      <c r="S753" s="165"/>
      <c r="T753" s="165"/>
      <c r="U753" s="165"/>
      <c r="V753" s="165"/>
      <c r="W753" s="165"/>
      <c r="X753" s="165"/>
      <c r="Y753" s="165"/>
      <c r="Z753" s="165"/>
    </row>
    <row r="754">
      <c r="A754" s="165"/>
      <c r="B754" s="165"/>
      <c r="C754" s="165"/>
      <c r="D754" s="165"/>
      <c r="E754" s="165"/>
      <c r="F754" s="165"/>
      <c r="G754" s="165"/>
      <c r="H754" s="165"/>
      <c r="I754" s="165"/>
      <c r="J754" s="165"/>
      <c r="K754" s="165"/>
      <c r="L754" s="165"/>
      <c r="M754" s="165"/>
      <c r="N754" s="165"/>
      <c r="O754" s="165"/>
      <c r="P754" s="165"/>
      <c r="Q754" s="165"/>
      <c r="R754" s="165"/>
      <c r="S754" s="165"/>
      <c r="T754" s="165"/>
      <c r="U754" s="165"/>
      <c r="V754" s="165"/>
      <c r="W754" s="165"/>
      <c r="X754" s="165"/>
      <c r="Y754" s="165"/>
      <c r="Z754" s="165"/>
    </row>
    <row r="755">
      <c r="A755" s="165"/>
      <c r="B755" s="165"/>
      <c r="C755" s="165"/>
      <c r="D755" s="165"/>
      <c r="E755" s="165"/>
      <c r="F755" s="165"/>
      <c r="G755" s="165"/>
      <c r="H755" s="165"/>
      <c r="I755" s="165"/>
      <c r="J755" s="165"/>
      <c r="K755" s="165"/>
      <c r="L755" s="165"/>
      <c r="M755" s="165"/>
      <c r="N755" s="165"/>
      <c r="O755" s="165"/>
      <c r="P755" s="165"/>
      <c r="Q755" s="165"/>
      <c r="R755" s="165"/>
      <c r="S755" s="165"/>
      <c r="T755" s="165"/>
      <c r="U755" s="165"/>
      <c r="V755" s="165"/>
      <c r="W755" s="165"/>
      <c r="X755" s="165"/>
      <c r="Y755" s="165"/>
      <c r="Z755" s="165"/>
    </row>
    <row r="756">
      <c r="A756" s="165"/>
      <c r="B756" s="165"/>
      <c r="C756" s="165"/>
      <c r="D756" s="165"/>
      <c r="E756" s="165"/>
      <c r="F756" s="165"/>
      <c r="G756" s="165"/>
      <c r="H756" s="165"/>
      <c r="I756" s="165"/>
      <c r="J756" s="165"/>
      <c r="K756" s="165"/>
      <c r="L756" s="165"/>
      <c r="M756" s="165"/>
      <c r="N756" s="165"/>
      <c r="O756" s="165"/>
      <c r="P756" s="165"/>
      <c r="Q756" s="165"/>
      <c r="R756" s="165"/>
      <c r="S756" s="165"/>
      <c r="T756" s="165"/>
      <c r="U756" s="165"/>
      <c r="V756" s="165"/>
      <c r="W756" s="165"/>
      <c r="X756" s="165"/>
      <c r="Y756" s="165"/>
      <c r="Z756" s="165"/>
    </row>
    <row r="757">
      <c r="A757" s="165"/>
      <c r="B757" s="165"/>
      <c r="C757" s="165"/>
      <c r="D757" s="165"/>
      <c r="E757" s="165"/>
      <c r="F757" s="165"/>
      <c r="G757" s="165"/>
      <c r="H757" s="165"/>
      <c r="I757" s="165"/>
      <c r="J757" s="165"/>
      <c r="K757" s="165"/>
      <c r="L757" s="165"/>
      <c r="M757" s="165"/>
      <c r="N757" s="165"/>
      <c r="O757" s="165"/>
      <c r="P757" s="165"/>
      <c r="Q757" s="165"/>
      <c r="R757" s="165"/>
      <c r="S757" s="165"/>
      <c r="T757" s="165"/>
      <c r="U757" s="165"/>
      <c r="V757" s="165"/>
      <c r="W757" s="165"/>
      <c r="X757" s="165"/>
      <c r="Y757" s="165"/>
      <c r="Z757" s="165"/>
    </row>
    <row r="758">
      <c r="A758" s="165"/>
      <c r="B758" s="165"/>
      <c r="C758" s="165"/>
      <c r="D758" s="165"/>
      <c r="E758" s="165"/>
      <c r="F758" s="165"/>
      <c r="G758" s="165"/>
      <c r="H758" s="165"/>
      <c r="I758" s="165"/>
      <c r="J758" s="165"/>
      <c r="K758" s="165"/>
      <c r="L758" s="165"/>
      <c r="M758" s="165"/>
      <c r="N758" s="165"/>
      <c r="O758" s="165"/>
      <c r="P758" s="165"/>
      <c r="Q758" s="165"/>
      <c r="R758" s="165"/>
      <c r="S758" s="165"/>
      <c r="T758" s="165"/>
      <c r="U758" s="165"/>
      <c r="V758" s="165"/>
      <c r="W758" s="165"/>
      <c r="X758" s="165"/>
      <c r="Y758" s="165"/>
      <c r="Z758" s="165"/>
    </row>
    <row r="759">
      <c r="A759" s="165"/>
      <c r="B759" s="165"/>
      <c r="C759" s="165"/>
      <c r="D759" s="165"/>
      <c r="E759" s="165"/>
      <c r="F759" s="165"/>
      <c r="G759" s="165"/>
      <c r="H759" s="165"/>
      <c r="I759" s="165"/>
      <c r="J759" s="165"/>
      <c r="K759" s="165"/>
      <c r="L759" s="165"/>
      <c r="M759" s="165"/>
      <c r="N759" s="165"/>
      <c r="O759" s="165"/>
      <c r="P759" s="165"/>
      <c r="Q759" s="165"/>
      <c r="R759" s="165"/>
      <c r="S759" s="165"/>
      <c r="T759" s="165"/>
      <c r="U759" s="165"/>
      <c r="V759" s="165"/>
      <c r="W759" s="165"/>
      <c r="X759" s="165"/>
      <c r="Y759" s="165"/>
      <c r="Z759" s="165"/>
    </row>
    <row r="760">
      <c r="A760" s="165"/>
      <c r="B760" s="165"/>
      <c r="C760" s="165"/>
      <c r="D760" s="165"/>
      <c r="E760" s="165"/>
      <c r="F760" s="165"/>
      <c r="G760" s="165"/>
      <c r="H760" s="165"/>
      <c r="I760" s="165"/>
      <c r="J760" s="165"/>
      <c r="K760" s="165"/>
      <c r="L760" s="165"/>
      <c r="M760" s="165"/>
      <c r="N760" s="165"/>
      <c r="O760" s="165"/>
      <c r="P760" s="165"/>
      <c r="Q760" s="165"/>
      <c r="R760" s="165"/>
      <c r="S760" s="165"/>
      <c r="T760" s="165"/>
      <c r="U760" s="165"/>
      <c r="V760" s="165"/>
      <c r="W760" s="165"/>
      <c r="X760" s="165"/>
      <c r="Y760" s="165"/>
      <c r="Z760" s="165"/>
    </row>
    <row r="761">
      <c r="A761" s="165"/>
      <c r="B761" s="165"/>
      <c r="C761" s="165"/>
      <c r="D761" s="165"/>
      <c r="E761" s="165"/>
      <c r="F761" s="165"/>
      <c r="G761" s="165"/>
      <c r="H761" s="165"/>
      <c r="I761" s="165"/>
      <c r="J761" s="165"/>
      <c r="K761" s="165"/>
      <c r="L761" s="165"/>
      <c r="M761" s="165"/>
      <c r="N761" s="165"/>
      <c r="O761" s="165"/>
      <c r="P761" s="165"/>
      <c r="Q761" s="165"/>
      <c r="R761" s="165"/>
      <c r="S761" s="165"/>
      <c r="T761" s="165"/>
      <c r="U761" s="165"/>
      <c r="V761" s="165"/>
      <c r="W761" s="165"/>
      <c r="X761" s="165"/>
      <c r="Y761" s="165"/>
      <c r="Z761" s="165"/>
    </row>
    <row r="762">
      <c r="A762" s="165"/>
      <c r="B762" s="165"/>
      <c r="C762" s="165"/>
      <c r="D762" s="165"/>
      <c r="E762" s="165"/>
      <c r="F762" s="165"/>
      <c r="G762" s="165"/>
      <c r="H762" s="165"/>
      <c r="I762" s="165"/>
      <c r="J762" s="165"/>
      <c r="K762" s="165"/>
      <c r="L762" s="165"/>
      <c r="M762" s="165"/>
      <c r="N762" s="165"/>
      <c r="O762" s="165"/>
      <c r="P762" s="165"/>
      <c r="Q762" s="165"/>
      <c r="R762" s="165"/>
      <c r="S762" s="165"/>
      <c r="T762" s="165"/>
      <c r="U762" s="165"/>
      <c r="V762" s="165"/>
      <c r="W762" s="165"/>
      <c r="X762" s="165"/>
      <c r="Y762" s="165"/>
      <c r="Z762" s="165"/>
    </row>
    <row r="763">
      <c r="A763" s="165"/>
      <c r="B763" s="165"/>
      <c r="C763" s="165"/>
      <c r="D763" s="165"/>
      <c r="E763" s="165"/>
      <c r="F763" s="165"/>
      <c r="G763" s="165"/>
      <c r="H763" s="165"/>
      <c r="I763" s="165"/>
      <c r="J763" s="165"/>
      <c r="K763" s="165"/>
      <c r="L763" s="165"/>
      <c r="M763" s="165"/>
      <c r="N763" s="165"/>
      <c r="O763" s="165"/>
      <c r="P763" s="165"/>
      <c r="Q763" s="165"/>
      <c r="R763" s="165"/>
      <c r="S763" s="165"/>
      <c r="T763" s="165"/>
      <c r="U763" s="165"/>
      <c r="V763" s="165"/>
      <c r="W763" s="165"/>
      <c r="X763" s="165"/>
      <c r="Y763" s="165"/>
      <c r="Z763" s="165"/>
    </row>
    <row r="764">
      <c r="A764" s="165"/>
      <c r="B764" s="165"/>
      <c r="C764" s="165"/>
      <c r="D764" s="165"/>
      <c r="E764" s="165"/>
      <c r="F764" s="165"/>
      <c r="G764" s="165"/>
      <c r="H764" s="165"/>
      <c r="I764" s="165"/>
      <c r="J764" s="165"/>
      <c r="K764" s="165"/>
      <c r="L764" s="165"/>
      <c r="M764" s="165"/>
      <c r="N764" s="165"/>
      <c r="O764" s="165"/>
      <c r="P764" s="165"/>
      <c r="Q764" s="165"/>
      <c r="R764" s="165"/>
      <c r="S764" s="165"/>
      <c r="T764" s="165"/>
      <c r="U764" s="165"/>
      <c r="V764" s="165"/>
      <c r="W764" s="165"/>
      <c r="X764" s="165"/>
      <c r="Y764" s="165"/>
      <c r="Z764" s="165"/>
    </row>
    <row r="765">
      <c r="A765" s="165"/>
      <c r="B765" s="165"/>
      <c r="C765" s="165"/>
      <c r="D765" s="165"/>
      <c r="E765" s="165"/>
      <c r="F765" s="165"/>
      <c r="G765" s="165"/>
      <c r="H765" s="165"/>
      <c r="I765" s="165"/>
      <c r="J765" s="165"/>
      <c r="K765" s="165"/>
      <c r="L765" s="165"/>
      <c r="M765" s="165"/>
      <c r="N765" s="165"/>
      <c r="O765" s="165"/>
      <c r="P765" s="165"/>
      <c r="Q765" s="165"/>
      <c r="R765" s="165"/>
      <c r="S765" s="165"/>
      <c r="T765" s="165"/>
      <c r="U765" s="165"/>
      <c r="V765" s="165"/>
      <c r="W765" s="165"/>
      <c r="X765" s="165"/>
      <c r="Y765" s="165"/>
      <c r="Z765" s="165"/>
    </row>
    <row r="766">
      <c r="A766" s="165"/>
      <c r="B766" s="165"/>
      <c r="C766" s="165"/>
      <c r="D766" s="165"/>
      <c r="E766" s="165"/>
      <c r="F766" s="165"/>
      <c r="G766" s="165"/>
      <c r="H766" s="165"/>
      <c r="I766" s="165"/>
      <c r="J766" s="165"/>
      <c r="K766" s="165"/>
      <c r="L766" s="165"/>
      <c r="M766" s="165"/>
      <c r="N766" s="165"/>
      <c r="O766" s="165"/>
      <c r="P766" s="165"/>
      <c r="Q766" s="165"/>
      <c r="R766" s="165"/>
      <c r="S766" s="165"/>
      <c r="T766" s="165"/>
      <c r="U766" s="165"/>
      <c r="V766" s="165"/>
      <c r="W766" s="165"/>
      <c r="X766" s="165"/>
      <c r="Y766" s="165"/>
      <c r="Z766" s="165"/>
    </row>
    <row r="767">
      <c r="A767" s="165"/>
      <c r="B767" s="165"/>
      <c r="C767" s="165"/>
      <c r="D767" s="165"/>
      <c r="E767" s="165"/>
      <c r="F767" s="165"/>
      <c r="G767" s="165"/>
      <c r="H767" s="165"/>
      <c r="I767" s="165"/>
      <c r="J767" s="165"/>
      <c r="K767" s="165"/>
      <c r="L767" s="165"/>
      <c r="M767" s="165"/>
      <c r="N767" s="165"/>
      <c r="O767" s="165"/>
      <c r="P767" s="165"/>
      <c r="Q767" s="165"/>
      <c r="R767" s="165"/>
      <c r="S767" s="165"/>
      <c r="T767" s="165"/>
      <c r="U767" s="165"/>
      <c r="V767" s="165"/>
      <c r="W767" s="165"/>
      <c r="X767" s="165"/>
      <c r="Y767" s="165"/>
      <c r="Z767" s="165"/>
    </row>
    <row r="768">
      <c r="A768" s="165"/>
      <c r="B768" s="165"/>
      <c r="C768" s="165"/>
      <c r="D768" s="165"/>
      <c r="E768" s="165"/>
      <c r="F768" s="165"/>
      <c r="G768" s="165"/>
      <c r="H768" s="165"/>
      <c r="I768" s="165"/>
      <c r="J768" s="165"/>
      <c r="K768" s="165"/>
      <c r="L768" s="165"/>
      <c r="M768" s="165"/>
      <c r="N768" s="165"/>
      <c r="O768" s="165"/>
      <c r="P768" s="165"/>
      <c r="Q768" s="165"/>
      <c r="R768" s="165"/>
      <c r="S768" s="165"/>
      <c r="T768" s="165"/>
      <c r="U768" s="165"/>
      <c r="V768" s="165"/>
      <c r="W768" s="165"/>
      <c r="X768" s="165"/>
      <c r="Y768" s="165"/>
      <c r="Z768" s="165"/>
    </row>
    <row r="769">
      <c r="A769" s="165"/>
      <c r="B769" s="165"/>
      <c r="C769" s="165"/>
      <c r="D769" s="165"/>
      <c r="E769" s="165"/>
      <c r="F769" s="165"/>
      <c r="G769" s="165"/>
      <c r="H769" s="165"/>
      <c r="I769" s="165"/>
      <c r="J769" s="165"/>
      <c r="K769" s="165"/>
      <c r="L769" s="165"/>
      <c r="M769" s="165"/>
      <c r="N769" s="165"/>
      <c r="O769" s="165"/>
      <c r="P769" s="165"/>
      <c r="Q769" s="165"/>
      <c r="R769" s="165"/>
      <c r="S769" s="165"/>
      <c r="T769" s="165"/>
      <c r="U769" s="165"/>
      <c r="V769" s="165"/>
      <c r="W769" s="165"/>
      <c r="X769" s="165"/>
      <c r="Y769" s="165"/>
      <c r="Z769" s="165"/>
    </row>
    <row r="770">
      <c r="A770" s="165"/>
      <c r="B770" s="165"/>
      <c r="C770" s="165"/>
      <c r="D770" s="165"/>
      <c r="E770" s="165"/>
      <c r="F770" s="165"/>
      <c r="G770" s="165"/>
      <c r="H770" s="165"/>
      <c r="I770" s="165"/>
      <c r="J770" s="165"/>
      <c r="K770" s="165"/>
      <c r="L770" s="165"/>
      <c r="M770" s="165"/>
      <c r="N770" s="165"/>
      <c r="O770" s="165"/>
      <c r="P770" s="165"/>
      <c r="Q770" s="165"/>
      <c r="R770" s="165"/>
      <c r="S770" s="165"/>
      <c r="T770" s="165"/>
      <c r="U770" s="165"/>
      <c r="V770" s="165"/>
      <c r="W770" s="165"/>
      <c r="X770" s="165"/>
      <c r="Y770" s="165"/>
      <c r="Z770" s="165"/>
    </row>
    <row r="771">
      <c r="A771" s="165"/>
      <c r="B771" s="165"/>
      <c r="C771" s="165"/>
      <c r="D771" s="165"/>
      <c r="E771" s="165"/>
      <c r="F771" s="165"/>
      <c r="G771" s="165"/>
      <c r="H771" s="165"/>
      <c r="I771" s="165"/>
      <c r="J771" s="165"/>
      <c r="K771" s="165"/>
      <c r="L771" s="165"/>
      <c r="M771" s="165"/>
      <c r="N771" s="165"/>
      <c r="O771" s="165"/>
      <c r="P771" s="165"/>
      <c r="Q771" s="165"/>
      <c r="R771" s="165"/>
      <c r="S771" s="165"/>
      <c r="T771" s="165"/>
      <c r="U771" s="165"/>
      <c r="V771" s="165"/>
      <c r="W771" s="165"/>
      <c r="X771" s="165"/>
      <c r="Y771" s="165"/>
      <c r="Z771" s="165"/>
    </row>
    <row r="772">
      <c r="A772" s="165"/>
      <c r="B772" s="165"/>
      <c r="C772" s="165"/>
      <c r="D772" s="165"/>
      <c r="E772" s="165"/>
      <c r="F772" s="165"/>
      <c r="G772" s="165"/>
      <c r="H772" s="165"/>
      <c r="I772" s="165"/>
      <c r="J772" s="165"/>
      <c r="K772" s="165"/>
      <c r="L772" s="165"/>
      <c r="M772" s="165"/>
      <c r="N772" s="165"/>
      <c r="O772" s="165"/>
      <c r="P772" s="165"/>
      <c r="Q772" s="165"/>
      <c r="R772" s="165"/>
      <c r="S772" s="165"/>
      <c r="T772" s="165"/>
      <c r="U772" s="165"/>
      <c r="V772" s="165"/>
      <c r="W772" s="165"/>
      <c r="X772" s="165"/>
      <c r="Y772" s="165"/>
      <c r="Z772" s="165"/>
    </row>
    <row r="773">
      <c r="A773" s="165"/>
      <c r="B773" s="165"/>
      <c r="C773" s="165"/>
      <c r="D773" s="165"/>
      <c r="E773" s="165"/>
      <c r="F773" s="165"/>
      <c r="G773" s="165"/>
      <c r="H773" s="165"/>
      <c r="I773" s="165"/>
      <c r="J773" s="165"/>
      <c r="K773" s="165"/>
      <c r="L773" s="165"/>
      <c r="M773" s="165"/>
      <c r="N773" s="165"/>
      <c r="O773" s="165"/>
      <c r="P773" s="165"/>
      <c r="Q773" s="165"/>
      <c r="R773" s="165"/>
      <c r="S773" s="165"/>
      <c r="T773" s="165"/>
      <c r="U773" s="165"/>
      <c r="V773" s="165"/>
      <c r="W773" s="165"/>
      <c r="X773" s="165"/>
      <c r="Y773" s="165"/>
      <c r="Z773" s="165"/>
    </row>
    <row r="774">
      <c r="A774" s="165"/>
      <c r="B774" s="165"/>
      <c r="C774" s="165"/>
      <c r="D774" s="165"/>
      <c r="E774" s="165"/>
      <c r="F774" s="165"/>
      <c r="G774" s="165"/>
      <c r="H774" s="165"/>
      <c r="I774" s="165"/>
      <c r="J774" s="165"/>
      <c r="K774" s="165"/>
      <c r="L774" s="165"/>
      <c r="M774" s="165"/>
      <c r="N774" s="165"/>
      <c r="O774" s="165"/>
      <c r="P774" s="165"/>
      <c r="Q774" s="165"/>
      <c r="R774" s="165"/>
      <c r="S774" s="165"/>
      <c r="T774" s="165"/>
      <c r="U774" s="165"/>
      <c r="V774" s="165"/>
      <c r="W774" s="165"/>
      <c r="X774" s="165"/>
      <c r="Y774" s="165"/>
      <c r="Z774" s="165"/>
    </row>
    <row r="775">
      <c r="A775" s="165"/>
      <c r="B775" s="165"/>
      <c r="C775" s="165"/>
      <c r="D775" s="165"/>
      <c r="E775" s="165"/>
      <c r="F775" s="165"/>
      <c r="G775" s="165"/>
      <c r="H775" s="165"/>
      <c r="I775" s="165"/>
      <c r="J775" s="165"/>
      <c r="K775" s="165"/>
      <c r="L775" s="165"/>
      <c r="M775" s="165"/>
      <c r="N775" s="165"/>
      <c r="O775" s="165"/>
      <c r="P775" s="165"/>
      <c r="Q775" s="165"/>
      <c r="R775" s="165"/>
      <c r="S775" s="165"/>
      <c r="T775" s="165"/>
      <c r="U775" s="165"/>
      <c r="V775" s="165"/>
      <c r="W775" s="165"/>
      <c r="X775" s="165"/>
      <c r="Y775" s="165"/>
      <c r="Z775" s="165"/>
    </row>
    <row r="776">
      <c r="A776" s="165"/>
      <c r="B776" s="165"/>
      <c r="C776" s="165"/>
      <c r="D776" s="165"/>
      <c r="E776" s="165"/>
      <c r="F776" s="165"/>
      <c r="G776" s="165"/>
      <c r="H776" s="165"/>
      <c r="I776" s="165"/>
      <c r="J776" s="165"/>
      <c r="K776" s="165"/>
      <c r="L776" s="165"/>
      <c r="M776" s="165"/>
      <c r="N776" s="165"/>
      <c r="O776" s="165"/>
      <c r="P776" s="165"/>
      <c r="Q776" s="165"/>
      <c r="R776" s="165"/>
      <c r="S776" s="165"/>
      <c r="T776" s="165"/>
      <c r="U776" s="165"/>
      <c r="V776" s="165"/>
      <c r="W776" s="165"/>
      <c r="X776" s="165"/>
      <c r="Y776" s="165"/>
      <c r="Z776" s="165"/>
    </row>
    <row r="777">
      <c r="A777" s="165"/>
      <c r="B777" s="165"/>
      <c r="C777" s="165"/>
      <c r="D777" s="165"/>
      <c r="E777" s="165"/>
      <c r="F777" s="165"/>
      <c r="G777" s="165"/>
      <c r="H777" s="165"/>
      <c r="I777" s="165"/>
      <c r="J777" s="165"/>
      <c r="K777" s="165"/>
      <c r="L777" s="165"/>
      <c r="M777" s="165"/>
      <c r="N777" s="165"/>
      <c r="O777" s="165"/>
      <c r="P777" s="165"/>
      <c r="Q777" s="165"/>
      <c r="R777" s="165"/>
      <c r="S777" s="165"/>
      <c r="T777" s="165"/>
      <c r="U777" s="165"/>
      <c r="V777" s="165"/>
      <c r="W777" s="165"/>
      <c r="X777" s="165"/>
      <c r="Y777" s="165"/>
      <c r="Z777" s="165"/>
    </row>
    <row r="778">
      <c r="A778" s="165"/>
      <c r="B778" s="165"/>
      <c r="C778" s="165"/>
      <c r="D778" s="165"/>
      <c r="E778" s="165"/>
      <c r="F778" s="165"/>
      <c r="G778" s="165"/>
      <c r="H778" s="165"/>
      <c r="I778" s="165"/>
      <c r="J778" s="165"/>
      <c r="K778" s="165"/>
      <c r="L778" s="165"/>
      <c r="M778" s="165"/>
      <c r="N778" s="165"/>
      <c r="O778" s="165"/>
      <c r="P778" s="165"/>
      <c r="Q778" s="165"/>
      <c r="R778" s="165"/>
      <c r="S778" s="165"/>
      <c r="T778" s="165"/>
      <c r="U778" s="165"/>
      <c r="V778" s="165"/>
      <c r="W778" s="165"/>
      <c r="X778" s="165"/>
      <c r="Y778" s="165"/>
      <c r="Z778" s="165"/>
    </row>
    <row r="779">
      <c r="A779" s="165"/>
      <c r="B779" s="165"/>
      <c r="C779" s="165"/>
      <c r="D779" s="165"/>
      <c r="E779" s="165"/>
      <c r="F779" s="165"/>
      <c r="G779" s="165"/>
      <c r="H779" s="165"/>
      <c r="I779" s="165"/>
      <c r="J779" s="165"/>
      <c r="K779" s="165"/>
      <c r="L779" s="165"/>
      <c r="M779" s="165"/>
      <c r="N779" s="165"/>
      <c r="O779" s="165"/>
      <c r="P779" s="165"/>
      <c r="Q779" s="165"/>
      <c r="R779" s="165"/>
      <c r="S779" s="165"/>
      <c r="T779" s="165"/>
      <c r="U779" s="165"/>
      <c r="V779" s="165"/>
      <c r="W779" s="165"/>
      <c r="X779" s="165"/>
      <c r="Y779" s="165"/>
      <c r="Z779" s="165"/>
    </row>
    <row r="780">
      <c r="A780" s="165"/>
      <c r="B780" s="165"/>
      <c r="C780" s="165"/>
      <c r="D780" s="165"/>
      <c r="E780" s="165"/>
      <c r="F780" s="165"/>
      <c r="G780" s="165"/>
      <c r="H780" s="165"/>
      <c r="I780" s="165"/>
      <c r="J780" s="165"/>
      <c r="K780" s="165"/>
      <c r="L780" s="165"/>
      <c r="M780" s="165"/>
      <c r="N780" s="165"/>
      <c r="O780" s="165"/>
      <c r="P780" s="165"/>
      <c r="Q780" s="165"/>
      <c r="R780" s="165"/>
      <c r="S780" s="165"/>
      <c r="T780" s="165"/>
      <c r="U780" s="165"/>
      <c r="V780" s="165"/>
      <c r="W780" s="165"/>
      <c r="X780" s="165"/>
      <c r="Y780" s="165"/>
      <c r="Z780" s="165"/>
    </row>
    <row r="781">
      <c r="A781" s="165"/>
      <c r="B781" s="165"/>
      <c r="C781" s="165"/>
      <c r="D781" s="165"/>
      <c r="E781" s="165"/>
      <c r="F781" s="165"/>
      <c r="G781" s="165"/>
      <c r="H781" s="165"/>
      <c r="I781" s="165"/>
      <c r="J781" s="165"/>
      <c r="K781" s="165"/>
      <c r="L781" s="165"/>
      <c r="M781" s="165"/>
      <c r="N781" s="165"/>
      <c r="O781" s="165"/>
      <c r="P781" s="165"/>
      <c r="Q781" s="165"/>
      <c r="R781" s="165"/>
      <c r="S781" s="165"/>
      <c r="T781" s="165"/>
      <c r="U781" s="165"/>
      <c r="V781" s="165"/>
      <c r="W781" s="165"/>
      <c r="X781" s="165"/>
      <c r="Y781" s="165"/>
      <c r="Z781" s="165"/>
    </row>
    <row r="782">
      <c r="A782" s="165"/>
      <c r="B782" s="165"/>
      <c r="C782" s="165"/>
      <c r="D782" s="165"/>
      <c r="E782" s="165"/>
      <c r="F782" s="165"/>
      <c r="G782" s="165"/>
      <c r="H782" s="165"/>
      <c r="I782" s="165"/>
      <c r="J782" s="165"/>
      <c r="K782" s="165"/>
      <c r="L782" s="165"/>
      <c r="M782" s="165"/>
      <c r="N782" s="165"/>
      <c r="O782" s="165"/>
      <c r="P782" s="165"/>
      <c r="Q782" s="165"/>
      <c r="R782" s="165"/>
      <c r="S782" s="165"/>
      <c r="T782" s="165"/>
      <c r="U782" s="165"/>
      <c r="V782" s="165"/>
      <c r="W782" s="165"/>
      <c r="X782" s="165"/>
      <c r="Y782" s="165"/>
      <c r="Z782" s="165"/>
    </row>
    <row r="783">
      <c r="A783" s="165"/>
      <c r="B783" s="165"/>
      <c r="C783" s="165"/>
      <c r="D783" s="165"/>
      <c r="E783" s="165"/>
      <c r="F783" s="165"/>
      <c r="G783" s="165"/>
      <c r="H783" s="165"/>
      <c r="I783" s="165"/>
      <c r="J783" s="165"/>
      <c r="K783" s="165"/>
      <c r="L783" s="165"/>
      <c r="M783" s="165"/>
      <c r="N783" s="165"/>
      <c r="O783" s="165"/>
      <c r="P783" s="165"/>
      <c r="Q783" s="165"/>
      <c r="R783" s="165"/>
      <c r="S783" s="165"/>
      <c r="T783" s="165"/>
      <c r="U783" s="165"/>
      <c r="V783" s="165"/>
      <c r="W783" s="165"/>
      <c r="X783" s="165"/>
      <c r="Y783" s="165"/>
      <c r="Z783" s="165"/>
    </row>
    <row r="784">
      <c r="A784" s="165"/>
      <c r="B784" s="165"/>
      <c r="C784" s="165"/>
      <c r="D784" s="165"/>
      <c r="E784" s="165"/>
      <c r="F784" s="165"/>
      <c r="G784" s="165"/>
      <c r="H784" s="165"/>
      <c r="I784" s="165"/>
      <c r="J784" s="165"/>
      <c r="K784" s="165"/>
      <c r="L784" s="165"/>
      <c r="M784" s="165"/>
      <c r="N784" s="165"/>
      <c r="O784" s="165"/>
      <c r="P784" s="165"/>
      <c r="Q784" s="165"/>
      <c r="R784" s="165"/>
      <c r="S784" s="165"/>
      <c r="T784" s="165"/>
      <c r="U784" s="165"/>
      <c r="V784" s="165"/>
      <c r="W784" s="165"/>
      <c r="X784" s="165"/>
      <c r="Y784" s="165"/>
      <c r="Z784" s="165"/>
    </row>
    <row r="785">
      <c r="A785" s="165"/>
      <c r="B785" s="165"/>
      <c r="C785" s="165"/>
      <c r="D785" s="165"/>
      <c r="E785" s="165"/>
      <c r="F785" s="165"/>
      <c r="G785" s="165"/>
      <c r="H785" s="165"/>
      <c r="I785" s="165"/>
      <c r="J785" s="165"/>
      <c r="K785" s="165"/>
      <c r="L785" s="165"/>
      <c r="M785" s="165"/>
      <c r="N785" s="165"/>
      <c r="O785" s="165"/>
      <c r="P785" s="165"/>
      <c r="Q785" s="165"/>
      <c r="R785" s="165"/>
      <c r="S785" s="165"/>
      <c r="T785" s="165"/>
      <c r="U785" s="165"/>
      <c r="V785" s="165"/>
      <c r="W785" s="165"/>
      <c r="X785" s="165"/>
      <c r="Y785" s="165"/>
      <c r="Z785" s="165"/>
    </row>
    <row r="786">
      <c r="A786" s="165"/>
      <c r="B786" s="165"/>
      <c r="C786" s="165"/>
      <c r="D786" s="165"/>
      <c r="E786" s="165"/>
      <c r="F786" s="165"/>
      <c r="G786" s="165"/>
      <c r="H786" s="165"/>
      <c r="I786" s="165"/>
      <c r="J786" s="165"/>
      <c r="K786" s="165"/>
      <c r="L786" s="165"/>
      <c r="M786" s="165"/>
      <c r="N786" s="165"/>
      <c r="O786" s="165"/>
      <c r="P786" s="165"/>
      <c r="Q786" s="165"/>
      <c r="R786" s="165"/>
      <c r="S786" s="165"/>
      <c r="T786" s="165"/>
      <c r="U786" s="165"/>
      <c r="V786" s="165"/>
      <c r="W786" s="165"/>
      <c r="X786" s="165"/>
      <c r="Y786" s="165"/>
      <c r="Z786" s="165"/>
    </row>
    <row r="787">
      <c r="A787" s="165"/>
      <c r="B787" s="165"/>
      <c r="C787" s="165"/>
      <c r="D787" s="165"/>
      <c r="E787" s="165"/>
      <c r="F787" s="165"/>
      <c r="G787" s="165"/>
      <c r="H787" s="165"/>
      <c r="I787" s="165"/>
      <c r="J787" s="165"/>
      <c r="K787" s="165"/>
      <c r="L787" s="165"/>
      <c r="M787" s="165"/>
      <c r="N787" s="165"/>
      <c r="O787" s="165"/>
      <c r="P787" s="165"/>
      <c r="Q787" s="165"/>
      <c r="R787" s="165"/>
      <c r="S787" s="165"/>
      <c r="T787" s="165"/>
      <c r="U787" s="165"/>
      <c r="V787" s="165"/>
      <c r="W787" s="165"/>
      <c r="X787" s="165"/>
      <c r="Y787" s="165"/>
      <c r="Z787" s="165"/>
    </row>
    <row r="788">
      <c r="A788" s="165"/>
      <c r="B788" s="165"/>
      <c r="C788" s="165"/>
      <c r="D788" s="165"/>
      <c r="E788" s="165"/>
      <c r="F788" s="165"/>
      <c r="G788" s="165"/>
      <c r="H788" s="165"/>
      <c r="I788" s="165"/>
      <c r="J788" s="165"/>
      <c r="K788" s="165"/>
      <c r="L788" s="165"/>
      <c r="M788" s="165"/>
      <c r="N788" s="165"/>
      <c r="O788" s="165"/>
      <c r="P788" s="165"/>
      <c r="Q788" s="165"/>
      <c r="R788" s="165"/>
      <c r="S788" s="165"/>
      <c r="T788" s="165"/>
      <c r="U788" s="165"/>
      <c r="V788" s="165"/>
      <c r="W788" s="165"/>
      <c r="X788" s="165"/>
      <c r="Y788" s="165"/>
      <c r="Z788" s="165"/>
    </row>
    <row r="789">
      <c r="A789" s="165"/>
      <c r="B789" s="165"/>
      <c r="C789" s="165"/>
      <c r="D789" s="165"/>
      <c r="E789" s="165"/>
      <c r="F789" s="165"/>
      <c r="G789" s="165"/>
      <c r="H789" s="165"/>
      <c r="I789" s="165"/>
      <c r="J789" s="165"/>
      <c r="K789" s="165"/>
      <c r="L789" s="165"/>
      <c r="M789" s="165"/>
      <c r="N789" s="165"/>
      <c r="O789" s="165"/>
      <c r="P789" s="165"/>
      <c r="Q789" s="165"/>
      <c r="R789" s="165"/>
      <c r="S789" s="165"/>
      <c r="T789" s="165"/>
      <c r="U789" s="165"/>
      <c r="V789" s="165"/>
      <c r="W789" s="165"/>
      <c r="X789" s="165"/>
      <c r="Y789" s="165"/>
      <c r="Z789" s="165"/>
    </row>
    <row r="790">
      <c r="A790" s="165"/>
      <c r="B790" s="165"/>
      <c r="C790" s="165"/>
      <c r="D790" s="165"/>
      <c r="E790" s="165"/>
      <c r="F790" s="165"/>
      <c r="G790" s="165"/>
      <c r="H790" s="165"/>
      <c r="I790" s="165"/>
      <c r="J790" s="165"/>
      <c r="K790" s="165"/>
      <c r="L790" s="165"/>
      <c r="M790" s="165"/>
      <c r="N790" s="165"/>
      <c r="O790" s="165"/>
      <c r="P790" s="165"/>
      <c r="Q790" s="165"/>
      <c r="R790" s="165"/>
      <c r="S790" s="165"/>
      <c r="T790" s="165"/>
      <c r="U790" s="165"/>
      <c r="V790" s="165"/>
      <c r="W790" s="165"/>
      <c r="X790" s="165"/>
      <c r="Y790" s="165"/>
      <c r="Z790" s="165"/>
    </row>
    <row r="791">
      <c r="A791" s="165"/>
      <c r="B791" s="165"/>
      <c r="C791" s="165"/>
      <c r="D791" s="165"/>
      <c r="E791" s="165"/>
      <c r="F791" s="165"/>
      <c r="G791" s="165"/>
      <c r="H791" s="165"/>
      <c r="I791" s="165"/>
      <c r="J791" s="165"/>
      <c r="K791" s="165"/>
      <c r="L791" s="165"/>
      <c r="M791" s="165"/>
      <c r="N791" s="165"/>
      <c r="O791" s="165"/>
      <c r="P791" s="165"/>
      <c r="Q791" s="165"/>
      <c r="R791" s="165"/>
      <c r="S791" s="165"/>
      <c r="T791" s="165"/>
      <c r="U791" s="165"/>
      <c r="V791" s="165"/>
      <c r="W791" s="165"/>
      <c r="X791" s="165"/>
      <c r="Y791" s="165"/>
      <c r="Z791" s="165"/>
    </row>
    <row r="792">
      <c r="A792" s="165"/>
      <c r="B792" s="165"/>
      <c r="C792" s="165"/>
      <c r="D792" s="165"/>
      <c r="E792" s="165"/>
      <c r="F792" s="165"/>
      <c r="G792" s="165"/>
      <c r="H792" s="165"/>
      <c r="I792" s="165"/>
      <c r="J792" s="165"/>
      <c r="K792" s="165"/>
      <c r="L792" s="165"/>
      <c r="M792" s="165"/>
      <c r="N792" s="165"/>
      <c r="O792" s="165"/>
      <c r="P792" s="165"/>
      <c r="Q792" s="165"/>
      <c r="R792" s="165"/>
      <c r="S792" s="165"/>
      <c r="T792" s="165"/>
      <c r="U792" s="165"/>
      <c r="V792" s="165"/>
      <c r="W792" s="165"/>
      <c r="X792" s="165"/>
      <c r="Y792" s="165"/>
      <c r="Z792" s="165"/>
    </row>
    <row r="793">
      <c r="A793" s="165"/>
      <c r="B793" s="165"/>
      <c r="C793" s="165"/>
      <c r="D793" s="165"/>
      <c r="E793" s="165"/>
      <c r="F793" s="165"/>
      <c r="G793" s="165"/>
      <c r="H793" s="165"/>
      <c r="I793" s="165"/>
      <c r="J793" s="165"/>
      <c r="K793" s="165"/>
      <c r="L793" s="165"/>
      <c r="M793" s="165"/>
      <c r="N793" s="165"/>
      <c r="O793" s="165"/>
      <c r="P793" s="165"/>
      <c r="Q793" s="165"/>
      <c r="R793" s="165"/>
      <c r="S793" s="165"/>
      <c r="T793" s="165"/>
      <c r="U793" s="165"/>
      <c r="V793" s="165"/>
      <c r="W793" s="165"/>
      <c r="X793" s="165"/>
      <c r="Y793" s="165"/>
      <c r="Z793" s="165"/>
    </row>
    <row r="794">
      <c r="A794" s="165"/>
      <c r="B794" s="165"/>
      <c r="C794" s="165"/>
      <c r="D794" s="165"/>
      <c r="E794" s="165"/>
      <c r="F794" s="165"/>
      <c r="G794" s="165"/>
      <c r="H794" s="165"/>
      <c r="I794" s="165"/>
      <c r="J794" s="165"/>
      <c r="K794" s="165"/>
      <c r="L794" s="165"/>
      <c r="M794" s="165"/>
      <c r="N794" s="165"/>
      <c r="O794" s="165"/>
      <c r="P794" s="165"/>
      <c r="Q794" s="165"/>
      <c r="R794" s="165"/>
      <c r="S794" s="165"/>
      <c r="T794" s="165"/>
      <c r="U794" s="165"/>
      <c r="V794" s="165"/>
      <c r="W794" s="165"/>
      <c r="X794" s="165"/>
      <c r="Y794" s="165"/>
      <c r="Z794" s="165"/>
    </row>
    <row r="795">
      <c r="A795" s="165"/>
      <c r="B795" s="165"/>
      <c r="C795" s="165"/>
      <c r="D795" s="165"/>
      <c r="E795" s="165"/>
      <c r="F795" s="165"/>
      <c r="G795" s="165"/>
      <c r="H795" s="165"/>
      <c r="I795" s="165"/>
      <c r="J795" s="165"/>
      <c r="K795" s="165"/>
      <c r="L795" s="165"/>
      <c r="M795" s="165"/>
      <c r="N795" s="165"/>
      <c r="O795" s="165"/>
      <c r="P795" s="165"/>
      <c r="Q795" s="165"/>
      <c r="R795" s="165"/>
      <c r="S795" s="165"/>
      <c r="T795" s="165"/>
      <c r="U795" s="165"/>
      <c r="V795" s="165"/>
      <c r="W795" s="165"/>
      <c r="X795" s="165"/>
      <c r="Y795" s="165"/>
      <c r="Z795" s="165"/>
    </row>
    <row r="796">
      <c r="A796" s="165"/>
      <c r="B796" s="165"/>
      <c r="C796" s="165"/>
      <c r="D796" s="165"/>
      <c r="E796" s="165"/>
      <c r="F796" s="165"/>
      <c r="G796" s="165"/>
      <c r="H796" s="165"/>
      <c r="I796" s="165"/>
      <c r="J796" s="165"/>
      <c r="K796" s="165"/>
      <c r="L796" s="165"/>
      <c r="M796" s="165"/>
      <c r="N796" s="165"/>
      <c r="O796" s="165"/>
      <c r="P796" s="165"/>
      <c r="Q796" s="165"/>
      <c r="R796" s="165"/>
      <c r="S796" s="165"/>
      <c r="T796" s="165"/>
      <c r="U796" s="165"/>
      <c r="V796" s="165"/>
      <c r="W796" s="165"/>
      <c r="X796" s="165"/>
      <c r="Y796" s="165"/>
      <c r="Z796" s="165"/>
    </row>
    <row r="797">
      <c r="A797" s="165"/>
      <c r="B797" s="165"/>
      <c r="C797" s="165"/>
      <c r="D797" s="165"/>
      <c r="E797" s="165"/>
      <c r="F797" s="165"/>
      <c r="G797" s="165"/>
      <c r="H797" s="165"/>
      <c r="I797" s="165"/>
      <c r="J797" s="165"/>
      <c r="K797" s="165"/>
      <c r="L797" s="165"/>
      <c r="M797" s="165"/>
      <c r="N797" s="165"/>
      <c r="O797" s="165"/>
      <c r="P797" s="165"/>
      <c r="Q797" s="165"/>
      <c r="R797" s="165"/>
      <c r="S797" s="165"/>
      <c r="T797" s="165"/>
      <c r="U797" s="165"/>
      <c r="V797" s="165"/>
      <c r="W797" s="165"/>
      <c r="X797" s="165"/>
      <c r="Y797" s="165"/>
      <c r="Z797" s="165"/>
    </row>
    <row r="798">
      <c r="A798" s="165"/>
      <c r="B798" s="165"/>
      <c r="C798" s="165"/>
      <c r="D798" s="165"/>
      <c r="E798" s="165"/>
      <c r="F798" s="165"/>
      <c r="G798" s="165"/>
      <c r="H798" s="165"/>
      <c r="I798" s="165"/>
      <c r="J798" s="165"/>
      <c r="K798" s="165"/>
      <c r="L798" s="165"/>
      <c r="M798" s="165"/>
      <c r="N798" s="165"/>
      <c r="O798" s="165"/>
      <c r="P798" s="165"/>
      <c r="Q798" s="165"/>
      <c r="R798" s="165"/>
      <c r="S798" s="165"/>
      <c r="T798" s="165"/>
      <c r="U798" s="165"/>
      <c r="V798" s="165"/>
      <c r="W798" s="165"/>
      <c r="X798" s="165"/>
      <c r="Y798" s="165"/>
      <c r="Z798" s="165"/>
    </row>
    <row r="799">
      <c r="A799" s="165"/>
      <c r="B799" s="165"/>
      <c r="C799" s="165"/>
      <c r="D799" s="165"/>
      <c r="E799" s="165"/>
      <c r="F799" s="165"/>
      <c r="G799" s="165"/>
      <c r="H799" s="165"/>
      <c r="I799" s="165"/>
      <c r="J799" s="165"/>
      <c r="K799" s="165"/>
      <c r="L799" s="165"/>
      <c r="M799" s="165"/>
      <c r="N799" s="165"/>
      <c r="O799" s="165"/>
      <c r="P799" s="165"/>
      <c r="Q799" s="165"/>
      <c r="R799" s="165"/>
      <c r="S799" s="165"/>
      <c r="T799" s="165"/>
      <c r="U799" s="165"/>
      <c r="V799" s="165"/>
      <c r="W799" s="165"/>
      <c r="X799" s="165"/>
      <c r="Y799" s="165"/>
      <c r="Z799" s="165"/>
    </row>
    <row r="800">
      <c r="A800" s="165"/>
      <c r="B800" s="165"/>
      <c r="C800" s="165"/>
      <c r="D800" s="165"/>
      <c r="E800" s="165"/>
      <c r="F800" s="165"/>
      <c r="G800" s="165"/>
      <c r="H800" s="165"/>
      <c r="I800" s="165"/>
      <c r="J800" s="165"/>
      <c r="K800" s="165"/>
      <c r="L800" s="165"/>
      <c r="M800" s="165"/>
      <c r="N800" s="165"/>
      <c r="O800" s="165"/>
      <c r="P800" s="165"/>
      <c r="Q800" s="165"/>
      <c r="R800" s="165"/>
      <c r="S800" s="165"/>
      <c r="T800" s="165"/>
      <c r="U800" s="165"/>
      <c r="V800" s="165"/>
      <c r="W800" s="165"/>
      <c r="X800" s="165"/>
      <c r="Y800" s="165"/>
      <c r="Z800" s="165"/>
    </row>
    <row r="801">
      <c r="A801" s="165"/>
      <c r="B801" s="165"/>
      <c r="C801" s="165"/>
      <c r="D801" s="165"/>
      <c r="E801" s="165"/>
      <c r="F801" s="165"/>
      <c r="G801" s="165"/>
      <c r="H801" s="165"/>
      <c r="I801" s="165"/>
      <c r="J801" s="165"/>
      <c r="K801" s="165"/>
      <c r="L801" s="165"/>
      <c r="M801" s="165"/>
      <c r="N801" s="165"/>
      <c r="O801" s="165"/>
      <c r="P801" s="165"/>
      <c r="Q801" s="165"/>
      <c r="R801" s="165"/>
      <c r="S801" s="165"/>
      <c r="T801" s="165"/>
      <c r="U801" s="165"/>
      <c r="V801" s="165"/>
      <c r="W801" s="165"/>
      <c r="X801" s="165"/>
      <c r="Y801" s="165"/>
      <c r="Z801" s="165"/>
    </row>
    <row r="802">
      <c r="A802" s="165"/>
      <c r="B802" s="165"/>
      <c r="C802" s="165"/>
      <c r="D802" s="165"/>
      <c r="E802" s="165"/>
      <c r="F802" s="165"/>
      <c r="G802" s="165"/>
      <c r="H802" s="165"/>
      <c r="I802" s="165"/>
      <c r="J802" s="165"/>
      <c r="K802" s="165"/>
      <c r="L802" s="165"/>
      <c r="M802" s="165"/>
      <c r="N802" s="165"/>
      <c r="O802" s="165"/>
      <c r="P802" s="165"/>
      <c r="Q802" s="165"/>
      <c r="R802" s="165"/>
      <c r="S802" s="165"/>
      <c r="T802" s="165"/>
      <c r="U802" s="165"/>
      <c r="V802" s="165"/>
      <c r="W802" s="165"/>
      <c r="X802" s="165"/>
      <c r="Y802" s="165"/>
      <c r="Z802" s="165"/>
    </row>
    <row r="803">
      <c r="A803" s="165"/>
      <c r="B803" s="165"/>
      <c r="C803" s="165"/>
      <c r="D803" s="165"/>
      <c r="E803" s="165"/>
      <c r="F803" s="165"/>
      <c r="G803" s="165"/>
      <c r="H803" s="165"/>
      <c r="I803" s="165"/>
      <c r="J803" s="165"/>
      <c r="K803" s="165"/>
      <c r="L803" s="165"/>
      <c r="M803" s="165"/>
      <c r="N803" s="165"/>
      <c r="O803" s="165"/>
      <c r="P803" s="165"/>
      <c r="Q803" s="165"/>
      <c r="R803" s="165"/>
      <c r="S803" s="165"/>
      <c r="T803" s="165"/>
      <c r="U803" s="165"/>
      <c r="V803" s="165"/>
      <c r="W803" s="165"/>
      <c r="X803" s="165"/>
      <c r="Y803" s="165"/>
      <c r="Z803" s="165"/>
    </row>
    <row r="804">
      <c r="A804" s="165"/>
      <c r="B804" s="165"/>
      <c r="C804" s="165"/>
      <c r="D804" s="165"/>
      <c r="E804" s="165"/>
      <c r="F804" s="165"/>
      <c r="G804" s="165"/>
      <c r="H804" s="165"/>
      <c r="I804" s="165"/>
      <c r="J804" s="165"/>
      <c r="K804" s="165"/>
      <c r="L804" s="165"/>
      <c r="M804" s="165"/>
      <c r="N804" s="165"/>
      <c r="O804" s="165"/>
      <c r="P804" s="165"/>
      <c r="Q804" s="165"/>
      <c r="R804" s="165"/>
      <c r="S804" s="165"/>
      <c r="T804" s="165"/>
      <c r="U804" s="165"/>
      <c r="V804" s="165"/>
      <c r="W804" s="165"/>
      <c r="X804" s="165"/>
      <c r="Y804" s="165"/>
      <c r="Z804" s="165"/>
    </row>
    <row r="805">
      <c r="A805" s="165"/>
      <c r="B805" s="165"/>
      <c r="C805" s="165"/>
      <c r="D805" s="165"/>
      <c r="E805" s="165"/>
      <c r="F805" s="165"/>
      <c r="G805" s="165"/>
      <c r="H805" s="165"/>
      <c r="I805" s="165"/>
      <c r="J805" s="165"/>
      <c r="K805" s="165"/>
      <c r="L805" s="165"/>
      <c r="M805" s="165"/>
      <c r="N805" s="165"/>
      <c r="O805" s="165"/>
      <c r="P805" s="165"/>
      <c r="Q805" s="165"/>
      <c r="R805" s="165"/>
      <c r="S805" s="165"/>
      <c r="T805" s="165"/>
      <c r="U805" s="165"/>
      <c r="V805" s="165"/>
      <c r="W805" s="165"/>
      <c r="X805" s="165"/>
      <c r="Y805" s="165"/>
      <c r="Z805" s="165"/>
    </row>
    <row r="806">
      <c r="A806" s="165"/>
      <c r="B806" s="165"/>
      <c r="C806" s="165"/>
      <c r="D806" s="165"/>
      <c r="E806" s="165"/>
      <c r="F806" s="165"/>
      <c r="G806" s="165"/>
      <c r="H806" s="165"/>
      <c r="I806" s="165"/>
      <c r="J806" s="165"/>
      <c r="K806" s="165"/>
      <c r="L806" s="165"/>
      <c r="M806" s="165"/>
      <c r="N806" s="165"/>
      <c r="O806" s="165"/>
      <c r="P806" s="165"/>
      <c r="Q806" s="165"/>
      <c r="R806" s="165"/>
      <c r="S806" s="165"/>
      <c r="T806" s="165"/>
      <c r="U806" s="165"/>
      <c r="V806" s="165"/>
      <c r="W806" s="165"/>
      <c r="X806" s="165"/>
      <c r="Y806" s="165"/>
      <c r="Z806" s="165"/>
    </row>
    <row r="807">
      <c r="A807" s="165"/>
      <c r="B807" s="165"/>
      <c r="C807" s="165"/>
      <c r="D807" s="165"/>
      <c r="E807" s="165"/>
      <c r="F807" s="165"/>
      <c r="G807" s="165"/>
      <c r="H807" s="165"/>
      <c r="I807" s="165"/>
      <c r="J807" s="165"/>
      <c r="K807" s="165"/>
      <c r="L807" s="165"/>
      <c r="M807" s="165"/>
      <c r="N807" s="165"/>
      <c r="O807" s="165"/>
      <c r="P807" s="165"/>
      <c r="Q807" s="165"/>
      <c r="R807" s="165"/>
      <c r="S807" s="165"/>
      <c r="T807" s="165"/>
      <c r="U807" s="165"/>
      <c r="V807" s="165"/>
      <c r="W807" s="165"/>
      <c r="X807" s="165"/>
      <c r="Y807" s="165"/>
      <c r="Z807" s="165"/>
    </row>
    <row r="808">
      <c r="A808" s="165"/>
      <c r="B808" s="165"/>
      <c r="C808" s="165"/>
      <c r="D808" s="165"/>
      <c r="E808" s="165"/>
      <c r="F808" s="165"/>
      <c r="G808" s="165"/>
      <c r="H808" s="165"/>
      <c r="I808" s="165"/>
      <c r="J808" s="165"/>
      <c r="K808" s="165"/>
      <c r="L808" s="165"/>
      <c r="M808" s="165"/>
      <c r="N808" s="165"/>
      <c r="O808" s="165"/>
      <c r="P808" s="165"/>
      <c r="Q808" s="165"/>
      <c r="R808" s="165"/>
      <c r="S808" s="165"/>
      <c r="T808" s="165"/>
      <c r="U808" s="165"/>
      <c r="V808" s="165"/>
      <c r="W808" s="165"/>
      <c r="X808" s="165"/>
      <c r="Y808" s="165"/>
      <c r="Z808" s="165"/>
    </row>
    <row r="809">
      <c r="A809" s="165"/>
      <c r="B809" s="165"/>
      <c r="C809" s="165"/>
      <c r="D809" s="165"/>
      <c r="E809" s="165"/>
      <c r="F809" s="165"/>
      <c r="G809" s="165"/>
      <c r="H809" s="165"/>
      <c r="I809" s="165"/>
      <c r="J809" s="165"/>
      <c r="K809" s="165"/>
      <c r="L809" s="165"/>
      <c r="M809" s="165"/>
      <c r="N809" s="165"/>
      <c r="O809" s="165"/>
      <c r="P809" s="165"/>
      <c r="Q809" s="165"/>
      <c r="R809" s="165"/>
      <c r="S809" s="165"/>
      <c r="T809" s="165"/>
      <c r="U809" s="165"/>
      <c r="V809" s="165"/>
      <c r="W809" s="165"/>
      <c r="X809" s="165"/>
      <c r="Y809" s="165"/>
      <c r="Z809" s="165"/>
    </row>
    <row r="810">
      <c r="A810" s="165"/>
      <c r="B810" s="165"/>
      <c r="C810" s="165"/>
      <c r="D810" s="165"/>
      <c r="E810" s="165"/>
      <c r="F810" s="165"/>
      <c r="G810" s="165"/>
      <c r="H810" s="165"/>
      <c r="I810" s="165"/>
      <c r="J810" s="165"/>
      <c r="K810" s="165"/>
      <c r="L810" s="165"/>
      <c r="M810" s="165"/>
      <c r="N810" s="165"/>
      <c r="O810" s="165"/>
      <c r="P810" s="165"/>
      <c r="Q810" s="165"/>
      <c r="R810" s="165"/>
      <c r="S810" s="165"/>
      <c r="T810" s="165"/>
      <c r="U810" s="165"/>
      <c r="V810" s="165"/>
      <c r="W810" s="165"/>
      <c r="X810" s="165"/>
      <c r="Y810" s="165"/>
      <c r="Z810" s="165"/>
    </row>
    <row r="811">
      <c r="A811" s="165"/>
      <c r="B811" s="165"/>
      <c r="C811" s="165"/>
      <c r="D811" s="165"/>
      <c r="E811" s="165"/>
      <c r="F811" s="165"/>
      <c r="G811" s="165"/>
      <c r="H811" s="165"/>
      <c r="I811" s="165"/>
      <c r="J811" s="165"/>
      <c r="K811" s="165"/>
      <c r="L811" s="165"/>
      <c r="M811" s="165"/>
      <c r="N811" s="165"/>
      <c r="O811" s="165"/>
      <c r="P811" s="165"/>
      <c r="Q811" s="165"/>
      <c r="R811" s="165"/>
      <c r="S811" s="165"/>
      <c r="T811" s="165"/>
      <c r="U811" s="165"/>
      <c r="V811" s="165"/>
      <c r="W811" s="165"/>
      <c r="X811" s="165"/>
      <c r="Y811" s="165"/>
      <c r="Z811" s="165"/>
    </row>
    <row r="812">
      <c r="A812" s="165"/>
      <c r="B812" s="165"/>
      <c r="C812" s="165"/>
      <c r="D812" s="165"/>
      <c r="E812" s="165"/>
      <c r="F812" s="165"/>
      <c r="G812" s="165"/>
      <c r="H812" s="165"/>
      <c r="I812" s="165"/>
      <c r="J812" s="165"/>
      <c r="K812" s="165"/>
      <c r="L812" s="165"/>
      <c r="M812" s="165"/>
      <c r="N812" s="165"/>
      <c r="O812" s="165"/>
      <c r="P812" s="165"/>
      <c r="Q812" s="165"/>
      <c r="R812" s="165"/>
      <c r="S812" s="165"/>
      <c r="T812" s="165"/>
      <c r="U812" s="165"/>
      <c r="V812" s="165"/>
      <c r="W812" s="165"/>
      <c r="X812" s="165"/>
      <c r="Y812" s="165"/>
      <c r="Z812" s="165"/>
    </row>
    <row r="813">
      <c r="A813" s="165"/>
      <c r="B813" s="165"/>
      <c r="C813" s="165"/>
      <c r="D813" s="165"/>
      <c r="E813" s="165"/>
      <c r="F813" s="165"/>
      <c r="G813" s="165"/>
      <c r="H813" s="165"/>
      <c r="I813" s="165"/>
      <c r="J813" s="165"/>
      <c r="K813" s="165"/>
      <c r="L813" s="165"/>
      <c r="M813" s="165"/>
      <c r="N813" s="165"/>
      <c r="O813" s="165"/>
      <c r="P813" s="165"/>
      <c r="Q813" s="165"/>
      <c r="R813" s="165"/>
      <c r="S813" s="165"/>
      <c r="T813" s="165"/>
      <c r="U813" s="165"/>
      <c r="V813" s="165"/>
      <c r="W813" s="165"/>
      <c r="X813" s="165"/>
      <c r="Y813" s="165"/>
      <c r="Z813" s="165"/>
    </row>
    <row r="814">
      <c r="A814" s="165"/>
      <c r="B814" s="165"/>
      <c r="C814" s="165"/>
      <c r="D814" s="165"/>
      <c r="E814" s="165"/>
      <c r="F814" s="165"/>
      <c r="G814" s="165"/>
      <c r="H814" s="165"/>
      <c r="I814" s="165"/>
      <c r="J814" s="165"/>
      <c r="K814" s="165"/>
      <c r="L814" s="165"/>
      <c r="M814" s="165"/>
      <c r="N814" s="165"/>
      <c r="O814" s="165"/>
      <c r="P814" s="165"/>
      <c r="Q814" s="165"/>
      <c r="R814" s="165"/>
      <c r="S814" s="165"/>
      <c r="T814" s="165"/>
      <c r="U814" s="165"/>
      <c r="V814" s="165"/>
      <c r="W814" s="165"/>
      <c r="X814" s="165"/>
      <c r="Y814" s="165"/>
      <c r="Z814" s="165"/>
    </row>
    <row r="815">
      <c r="A815" s="165"/>
      <c r="B815" s="165"/>
      <c r="C815" s="165"/>
      <c r="D815" s="165"/>
      <c r="E815" s="165"/>
      <c r="F815" s="165"/>
      <c r="G815" s="165"/>
      <c r="H815" s="165"/>
      <c r="I815" s="165"/>
      <c r="J815" s="165"/>
      <c r="K815" s="165"/>
      <c r="L815" s="165"/>
      <c r="M815" s="165"/>
      <c r="N815" s="165"/>
      <c r="O815" s="165"/>
      <c r="P815" s="165"/>
      <c r="Q815" s="165"/>
      <c r="R815" s="165"/>
      <c r="S815" s="165"/>
      <c r="T815" s="165"/>
      <c r="U815" s="165"/>
      <c r="V815" s="165"/>
      <c r="W815" s="165"/>
      <c r="X815" s="165"/>
      <c r="Y815" s="165"/>
      <c r="Z815" s="165"/>
    </row>
    <row r="816">
      <c r="A816" s="165"/>
      <c r="B816" s="165"/>
      <c r="C816" s="165"/>
      <c r="D816" s="165"/>
      <c r="E816" s="165"/>
      <c r="F816" s="165"/>
      <c r="G816" s="165"/>
      <c r="H816" s="165"/>
      <c r="I816" s="165"/>
      <c r="J816" s="165"/>
      <c r="K816" s="165"/>
      <c r="L816" s="165"/>
      <c r="M816" s="165"/>
      <c r="N816" s="165"/>
      <c r="O816" s="165"/>
      <c r="P816" s="165"/>
      <c r="Q816" s="165"/>
      <c r="R816" s="165"/>
      <c r="S816" s="165"/>
      <c r="T816" s="165"/>
      <c r="U816" s="165"/>
      <c r="V816" s="165"/>
      <c r="W816" s="165"/>
      <c r="X816" s="165"/>
      <c r="Y816" s="165"/>
      <c r="Z816" s="165"/>
    </row>
    <row r="817">
      <c r="A817" s="165"/>
      <c r="B817" s="165"/>
      <c r="C817" s="165"/>
      <c r="D817" s="165"/>
      <c r="E817" s="165"/>
      <c r="F817" s="165"/>
      <c r="G817" s="165"/>
      <c r="H817" s="165"/>
      <c r="I817" s="165"/>
      <c r="J817" s="165"/>
      <c r="K817" s="165"/>
      <c r="L817" s="165"/>
      <c r="M817" s="165"/>
      <c r="N817" s="165"/>
      <c r="O817" s="165"/>
      <c r="P817" s="165"/>
      <c r="Q817" s="165"/>
      <c r="R817" s="165"/>
      <c r="S817" s="165"/>
      <c r="T817" s="165"/>
      <c r="U817" s="165"/>
      <c r="V817" s="165"/>
      <c r="W817" s="165"/>
      <c r="X817" s="165"/>
      <c r="Y817" s="165"/>
      <c r="Z817" s="165"/>
    </row>
    <row r="818">
      <c r="A818" s="165"/>
      <c r="B818" s="165"/>
      <c r="C818" s="165"/>
      <c r="D818" s="165"/>
      <c r="E818" s="165"/>
      <c r="F818" s="165"/>
      <c r="G818" s="165"/>
      <c r="H818" s="165"/>
      <c r="I818" s="165"/>
      <c r="J818" s="165"/>
      <c r="K818" s="165"/>
      <c r="L818" s="165"/>
      <c r="M818" s="165"/>
      <c r="N818" s="165"/>
      <c r="O818" s="165"/>
      <c r="P818" s="165"/>
      <c r="Q818" s="165"/>
      <c r="R818" s="165"/>
      <c r="S818" s="165"/>
      <c r="T818" s="165"/>
      <c r="U818" s="165"/>
      <c r="V818" s="165"/>
      <c r="W818" s="165"/>
      <c r="X818" s="165"/>
      <c r="Y818" s="165"/>
      <c r="Z818" s="165"/>
    </row>
    <row r="819">
      <c r="A819" s="165"/>
      <c r="B819" s="165"/>
      <c r="C819" s="165"/>
      <c r="D819" s="165"/>
      <c r="E819" s="165"/>
      <c r="F819" s="165"/>
      <c r="G819" s="165"/>
      <c r="H819" s="165"/>
      <c r="I819" s="165"/>
      <c r="J819" s="165"/>
      <c r="K819" s="165"/>
      <c r="L819" s="165"/>
      <c r="M819" s="165"/>
      <c r="N819" s="165"/>
      <c r="O819" s="165"/>
      <c r="P819" s="165"/>
      <c r="Q819" s="165"/>
      <c r="R819" s="165"/>
      <c r="S819" s="165"/>
      <c r="T819" s="165"/>
      <c r="U819" s="165"/>
      <c r="V819" s="165"/>
      <c r="W819" s="165"/>
      <c r="X819" s="165"/>
      <c r="Y819" s="165"/>
      <c r="Z819" s="165"/>
    </row>
    <row r="820">
      <c r="A820" s="165"/>
      <c r="B820" s="165"/>
      <c r="C820" s="165"/>
      <c r="D820" s="165"/>
      <c r="E820" s="165"/>
      <c r="F820" s="165"/>
      <c r="G820" s="165"/>
      <c r="H820" s="165"/>
      <c r="I820" s="165"/>
      <c r="J820" s="165"/>
      <c r="K820" s="165"/>
      <c r="L820" s="165"/>
      <c r="M820" s="165"/>
      <c r="N820" s="165"/>
      <c r="O820" s="165"/>
      <c r="P820" s="165"/>
      <c r="Q820" s="165"/>
      <c r="R820" s="165"/>
      <c r="S820" s="165"/>
      <c r="T820" s="165"/>
      <c r="U820" s="165"/>
      <c r="V820" s="165"/>
      <c r="W820" s="165"/>
      <c r="X820" s="165"/>
      <c r="Y820" s="165"/>
      <c r="Z820" s="165"/>
    </row>
    <row r="821">
      <c r="A821" s="165"/>
      <c r="B821" s="165"/>
      <c r="C821" s="165"/>
      <c r="D821" s="165"/>
      <c r="E821" s="165"/>
      <c r="F821" s="165"/>
      <c r="G821" s="165"/>
      <c r="H821" s="165"/>
      <c r="I821" s="165"/>
      <c r="J821" s="165"/>
      <c r="K821" s="165"/>
      <c r="L821" s="165"/>
      <c r="M821" s="165"/>
      <c r="N821" s="165"/>
      <c r="O821" s="165"/>
      <c r="P821" s="165"/>
      <c r="Q821" s="165"/>
      <c r="R821" s="165"/>
      <c r="S821" s="165"/>
      <c r="T821" s="165"/>
      <c r="U821" s="165"/>
      <c r="V821" s="165"/>
      <c r="W821" s="165"/>
      <c r="X821" s="165"/>
      <c r="Y821" s="165"/>
      <c r="Z821" s="165"/>
    </row>
    <row r="822">
      <c r="A822" s="165"/>
      <c r="B822" s="165"/>
      <c r="C822" s="165"/>
      <c r="D822" s="165"/>
      <c r="E822" s="165"/>
      <c r="F822" s="165"/>
      <c r="G822" s="165"/>
      <c r="H822" s="165"/>
      <c r="I822" s="165"/>
      <c r="J822" s="165"/>
      <c r="K822" s="165"/>
      <c r="L822" s="165"/>
      <c r="M822" s="165"/>
      <c r="N822" s="165"/>
      <c r="O822" s="165"/>
      <c r="P822" s="165"/>
      <c r="Q822" s="165"/>
      <c r="R822" s="165"/>
      <c r="S822" s="165"/>
      <c r="T822" s="165"/>
      <c r="U822" s="165"/>
      <c r="V822" s="165"/>
      <c r="W822" s="165"/>
      <c r="X822" s="165"/>
      <c r="Y822" s="165"/>
      <c r="Z822" s="165"/>
    </row>
    <row r="823">
      <c r="A823" s="165"/>
      <c r="B823" s="165"/>
      <c r="C823" s="165"/>
      <c r="D823" s="165"/>
      <c r="E823" s="165"/>
      <c r="F823" s="165"/>
      <c r="G823" s="165"/>
      <c r="H823" s="165"/>
      <c r="I823" s="165"/>
      <c r="J823" s="165"/>
      <c r="K823" s="165"/>
      <c r="L823" s="165"/>
      <c r="M823" s="165"/>
      <c r="N823" s="165"/>
      <c r="O823" s="165"/>
      <c r="P823" s="165"/>
      <c r="Q823" s="165"/>
      <c r="R823" s="165"/>
      <c r="S823" s="165"/>
      <c r="T823" s="165"/>
      <c r="U823" s="165"/>
      <c r="V823" s="165"/>
      <c r="W823" s="165"/>
      <c r="X823" s="165"/>
      <c r="Y823" s="165"/>
      <c r="Z823" s="165"/>
    </row>
    <row r="824">
      <c r="A824" s="165"/>
      <c r="B824" s="165"/>
      <c r="C824" s="165"/>
      <c r="D824" s="165"/>
      <c r="E824" s="165"/>
      <c r="F824" s="165"/>
      <c r="G824" s="165"/>
      <c r="H824" s="165"/>
      <c r="I824" s="165"/>
      <c r="J824" s="165"/>
      <c r="K824" s="165"/>
      <c r="L824" s="165"/>
      <c r="M824" s="165"/>
      <c r="N824" s="165"/>
      <c r="O824" s="165"/>
      <c r="P824" s="165"/>
      <c r="Q824" s="165"/>
      <c r="R824" s="165"/>
      <c r="S824" s="165"/>
      <c r="T824" s="165"/>
      <c r="U824" s="165"/>
      <c r="V824" s="165"/>
      <c r="W824" s="165"/>
      <c r="X824" s="165"/>
      <c r="Y824" s="165"/>
      <c r="Z824" s="165"/>
    </row>
    <row r="825">
      <c r="A825" s="165"/>
      <c r="B825" s="165"/>
      <c r="C825" s="165"/>
      <c r="D825" s="165"/>
      <c r="E825" s="165"/>
      <c r="F825" s="165"/>
      <c r="G825" s="165"/>
      <c r="H825" s="165"/>
      <c r="I825" s="165"/>
      <c r="J825" s="165"/>
      <c r="K825" s="165"/>
      <c r="L825" s="165"/>
      <c r="M825" s="165"/>
      <c r="N825" s="165"/>
      <c r="O825" s="165"/>
      <c r="P825" s="165"/>
      <c r="Q825" s="165"/>
      <c r="R825" s="165"/>
      <c r="S825" s="165"/>
      <c r="T825" s="165"/>
      <c r="U825" s="165"/>
      <c r="V825" s="165"/>
      <c r="W825" s="165"/>
      <c r="X825" s="165"/>
      <c r="Y825" s="165"/>
      <c r="Z825" s="165"/>
    </row>
    <row r="826">
      <c r="A826" s="165"/>
      <c r="B826" s="165"/>
      <c r="C826" s="165"/>
      <c r="D826" s="165"/>
      <c r="E826" s="165"/>
      <c r="F826" s="165"/>
      <c r="G826" s="165"/>
      <c r="H826" s="165"/>
      <c r="I826" s="165"/>
      <c r="J826" s="165"/>
      <c r="K826" s="165"/>
      <c r="L826" s="165"/>
      <c r="M826" s="165"/>
      <c r="N826" s="165"/>
      <c r="O826" s="165"/>
      <c r="P826" s="165"/>
      <c r="Q826" s="165"/>
      <c r="R826" s="165"/>
      <c r="S826" s="165"/>
      <c r="T826" s="165"/>
      <c r="U826" s="165"/>
      <c r="V826" s="165"/>
      <c r="W826" s="165"/>
      <c r="X826" s="165"/>
      <c r="Y826" s="165"/>
      <c r="Z826" s="165"/>
    </row>
    <row r="827">
      <c r="A827" s="165"/>
      <c r="B827" s="165"/>
      <c r="C827" s="165"/>
      <c r="D827" s="165"/>
      <c r="E827" s="165"/>
      <c r="F827" s="165"/>
      <c r="G827" s="165"/>
      <c r="H827" s="165"/>
      <c r="I827" s="165"/>
      <c r="J827" s="165"/>
      <c r="K827" s="165"/>
      <c r="L827" s="165"/>
      <c r="M827" s="165"/>
      <c r="N827" s="165"/>
      <c r="O827" s="165"/>
      <c r="P827" s="165"/>
      <c r="Q827" s="165"/>
      <c r="R827" s="165"/>
      <c r="S827" s="165"/>
      <c r="T827" s="165"/>
      <c r="U827" s="165"/>
      <c r="V827" s="165"/>
      <c r="W827" s="165"/>
      <c r="X827" s="165"/>
      <c r="Y827" s="165"/>
      <c r="Z827" s="165"/>
    </row>
    <row r="828">
      <c r="A828" s="165"/>
      <c r="B828" s="165"/>
      <c r="C828" s="165"/>
      <c r="D828" s="165"/>
      <c r="E828" s="165"/>
      <c r="F828" s="165"/>
      <c r="G828" s="165"/>
      <c r="H828" s="165"/>
      <c r="I828" s="165"/>
      <c r="J828" s="165"/>
      <c r="K828" s="165"/>
      <c r="L828" s="165"/>
      <c r="M828" s="165"/>
      <c r="N828" s="165"/>
      <c r="O828" s="165"/>
      <c r="P828" s="165"/>
      <c r="Q828" s="165"/>
      <c r="R828" s="165"/>
      <c r="S828" s="165"/>
      <c r="T828" s="165"/>
      <c r="U828" s="165"/>
      <c r="V828" s="165"/>
      <c r="W828" s="165"/>
      <c r="X828" s="165"/>
      <c r="Y828" s="165"/>
      <c r="Z828" s="165"/>
    </row>
    <row r="829">
      <c r="A829" s="165"/>
      <c r="B829" s="165"/>
      <c r="C829" s="165"/>
      <c r="D829" s="165"/>
      <c r="E829" s="165"/>
      <c r="F829" s="165"/>
      <c r="G829" s="165"/>
      <c r="H829" s="165"/>
      <c r="I829" s="165"/>
      <c r="J829" s="165"/>
      <c r="K829" s="165"/>
      <c r="L829" s="165"/>
      <c r="M829" s="165"/>
      <c r="N829" s="165"/>
      <c r="O829" s="165"/>
      <c r="P829" s="165"/>
      <c r="Q829" s="165"/>
      <c r="R829" s="165"/>
      <c r="S829" s="165"/>
      <c r="T829" s="165"/>
      <c r="U829" s="165"/>
      <c r="V829" s="165"/>
      <c r="W829" s="165"/>
      <c r="X829" s="165"/>
      <c r="Y829" s="165"/>
      <c r="Z829" s="165"/>
    </row>
    <row r="830">
      <c r="A830" s="165"/>
      <c r="B830" s="165"/>
      <c r="C830" s="165"/>
      <c r="D830" s="165"/>
      <c r="E830" s="165"/>
      <c r="F830" s="165"/>
      <c r="G830" s="165"/>
      <c r="H830" s="165"/>
      <c r="I830" s="165"/>
      <c r="J830" s="165"/>
      <c r="K830" s="165"/>
      <c r="L830" s="165"/>
      <c r="M830" s="165"/>
      <c r="N830" s="165"/>
      <c r="O830" s="165"/>
      <c r="P830" s="165"/>
      <c r="Q830" s="165"/>
      <c r="R830" s="165"/>
      <c r="S830" s="165"/>
      <c r="T830" s="165"/>
      <c r="U830" s="165"/>
      <c r="V830" s="165"/>
      <c r="W830" s="165"/>
      <c r="X830" s="165"/>
      <c r="Y830" s="165"/>
      <c r="Z830" s="165"/>
    </row>
    <row r="831">
      <c r="A831" s="165"/>
      <c r="B831" s="165"/>
      <c r="C831" s="165"/>
      <c r="D831" s="165"/>
      <c r="E831" s="165"/>
      <c r="F831" s="165"/>
      <c r="G831" s="165"/>
      <c r="H831" s="165"/>
      <c r="I831" s="165"/>
      <c r="J831" s="165"/>
      <c r="K831" s="165"/>
      <c r="L831" s="165"/>
      <c r="M831" s="165"/>
      <c r="N831" s="165"/>
      <c r="O831" s="165"/>
      <c r="P831" s="165"/>
      <c r="Q831" s="165"/>
      <c r="R831" s="165"/>
      <c r="S831" s="165"/>
      <c r="T831" s="165"/>
      <c r="U831" s="165"/>
      <c r="V831" s="165"/>
      <c r="W831" s="165"/>
      <c r="X831" s="165"/>
      <c r="Y831" s="165"/>
      <c r="Z831" s="165"/>
    </row>
    <row r="832">
      <c r="A832" s="165"/>
      <c r="B832" s="165"/>
      <c r="C832" s="165"/>
      <c r="D832" s="165"/>
      <c r="E832" s="165"/>
      <c r="F832" s="165"/>
      <c r="G832" s="165"/>
      <c r="H832" s="165"/>
      <c r="I832" s="165"/>
      <c r="J832" s="165"/>
      <c r="K832" s="165"/>
      <c r="L832" s="165"/>
      <c r="M832" s="165"/>
      <c r="N832" s="165"/>
      <c r="O832" s="165"/>
      <c r="P832" s="165"/>
      <c r="Q832" s="165"/>
      <c r="R832" s="165"/>
      <c r="S832" s="165"/>
      <c r="T832" s="165"/>
      <c r="U832" s="165"/>
      <c r="V832" s="165"/>
      <c r="W832" s="165"/>
      <c r="X832" s="165"/>
      <c r="Y832" s="165"/>
      <c r="Z832" s="165"/>
    </row>
    <row r="833">
      <c r="A833" s="165"/>
      <c r="B833" s="165"/>
      <c r="C833" s="165"/>
      <c r="D833" s="165"/>
      <c r="E833" s="165"/>
      <c r="F833" s="165"/>
      <c r="G833" s="165"/>
      <c r="H833" s="165"/>
      <c r="I833" s="165"/>
      <c r="J833" s="165"/>
      <c r="K833" s="165"/>
      <c r="L833" s="165"/>
      <c r="M833" s="165"/>
      <c r="N833" s="165"/>
      <c r="O833" s="165"/>
      <c r="P833" s="165"/>
      <c r="Q833" s="165"/>
      <c r="R833" s="165"/>
      <c r="S833" s="165"/>
      <c r="T833" s="165"/>
      <c r="U833" s="165"/>
      <c r="V833" s="165"/>
      <c r="W833" s="165"/>
      <c r="X833" s="165"/>
      <c r="Y833" s="165"/>
      <c r="Z833" s="165"/>
    </row>
    <row r="834">
      <c r="A834" s="165"/>
      <c r="B834" s="165"/>
      <c r="C834" s="165"/>
      <c r="D834" s="165"/>
      <c r="E834" s="165"/>
      <c r="F834" s="165"/>
      <c r="G834" s="165"/>
      <c r="H834" s="165"/>
      <c r="I834" s="165"/>
      <c r="J834" s="165"/>
      <c r="K834" s="165"/>
      <c r="L834" s="165"/>
      <c r="M834" s="165"/>
      <c r="N834" s="165"/>
      <c r="O834" s="165"/>
      <c r="P834" s="165"/>
      <c r="Q834" s="165"/>
      <c r="R834" s="165"/>
      <c r="S834" s="165"/>
      <c r="T834" s="165"/>
      <c r="U834" s="165"/>
      <c r="V834" s="165"/>
      <c r="W834" s="165"/>
      <c r="X834" s="165"/>
      <c r="Y834" s="165"/>
      <c r="Z834" s="165"/>
    </row>
    <row r="835">
      <c r="A835" s="165"/>
      <c r="B835" s="165"/>
      <c r="C835" s="165"/>
      <c r="D835" s="165"/>
      <c r="E835" s="165"/>
      <c r="F835" s="165"/>
      <c r="G835" s="165"/>
      <c r="H835" s="165"/>
      <c r="I835" s="165"/>
      <c r="J835" s="165"/>
      <c r="K835" s="165"/>
      <c r="L835" s="165"/>
      <c r="M835" s="165"/>
      <c r="N835" s="165"/>
      <c r="O835" s="165"/>
      <c r="P835" s="165"/>
      <c r="Q835" s="165"/>
      <c r="R835" s="165"/>
      <c r="S835" s="165"/>
      <c r="T835" s="165"/>
      <c r="U835" s="165"/>
      <c r="V835" s="165"/>
      <c r="W835" s="165"/>
      <c r="X835" s="165"/>
      <c r="Y835" s="165"/>
      <c r="Z835" s="165"/>
    </row>
    <row r="836">
      <c r="A836" s="165"/>
      <c r="B836" s="165"/>
      <c r="C836" s="165"/>
      <c r="D836" s="165"/>
      <c r="E836" s="165"/>
      <c r="F836" s="165"/>
      <c r="G836" s="165"/>
      <c r="H836" s="165"/>
      <c r="I836" s="165"/>
      <c r="J836" s="165"/>
      <c r="K836" s="165"/>
      <c r="L836" s="165"/>
      <c r="M836" s="165"/>
      <c r="N836" s="165"/>
      <c r="O836" s="165"/>
      <c r="P836" s="165"/>
      <c r="Q836" s="165"/>
      <c r="R836" s="165"/>
      <c r="S836" s="165"/>
      <c r="T836" s="165"/>
      <c r="U836" s="165"/>
      <c r="V836" s="165"/>
      <c r="W836" s="165"/>
      <c r="X836" s="165"/>
      <c r="Y836" s="165"/>
      <c r="Z836" s="165"/>
    </row>
    <row r="837">
      <c r="A837" s="165"/>
      <c r="B837" s="165"/>
      <c r="C837" s="165"/>
      <c r="D837" s="165"/>
      <c r="E837" s="165"/>
      <c r="F837" s="165"/>
      <c r="G837" s="165"/>
      <c r="H837" s="165"/>
      <c r="I837" s="165"/>
      <c r="J837" s="165"/>
      <c r="K837" s="165"/>
      <c r="L837" s="165"/>
      <c r="M837" s="165"/>
      <c r="N837" s="165"/>
      <c r="O837" s="165"/>
      <c r="P837" s="165"/>
      <c r="Q837" s="165"/>
      <c r="R837" s="165"/>
      <c r="S837" s="165"/>
      <c r="T837" s="165"/>
      <c r="U837" s="165"/>
      <c r="V837" s="165"/>
      <c r="W837" s="165"/>
      <c r="X837" s="165"/>
      <c r="Y837" s="165"/>
      <c r="Z837" s="165"/>
    </row>
    <row r="838">
      <c r="A838" s="165"/>
      <c r="B838" s="165"/>
      <c r="C838" s="165"/>
      <c r="D838" s="165"/>
      <c r="E838" s="165"/>
      <c r="F838" s="165"/>
      <c r="G838" s="165"/>
      <c r="H838" s="165"/>
      <c r="I838" s="165"/>
      <c r="J838" s="165"/>
      <c r="K838" s="165"/>
      <c r="L838" s="165"/>
      <c r="M838" s="165"/>
      <c r="N838" s="165"/>
      <c r="O838" s="165"/>
      <c r="P838" s="165"/>
      <c r="Q838" s="165"/>
      <c r="R838" s="165"/>
      <c r="S838" s="165"/>
      <c r="T838" s="165"/>
      <c r="U838" s="165"/>
      <c r="V838" s="165"/>
      <c r="W838" s="165"/>
      <c r="X838" s="165"/>
      <c r="Y838" s="165"/>
      <c r="Z838" s="165"/>
    </row>
    <row r="839">
      <c r="A839" s="165"/>
      <c r="B839" s="165"/>
      <c r="C839" s="165"/>
      <c r="D839" s="165"/>
      <c r="E839" s="165"/>
      <c r="F839" s="165"/>
      <c r="G839" s="165"/>
      <c r="H839" s="165"/>
      <c r="I839" s="165"/>
      <c r="J839" s="165"/>
      <c r="K839" s="165"/>
      <c r="L839" s="165"/>
      <c r="M839" s="165"/>
      <c r="N839" s="165"/>
      <c r="O839" s="165"/>
      <c r="P839" s="165"/>
      <c r="Q839" s="165"/>
      <c r="R839" s="165"/>
      <c r="S839" s="165"/>
      <c r="T839" s="165"/>
      <c r="U839" s="165"/>
      <c r="V839" s="165"/>
      <c r="W839" s="165"/>
      <c r="X839" s="165"/>
      <c r="Y839" s="165"/>
      <c r="Z839" s="165"/>
    </row>
    <row r="840">
      <c r="A840" s="165"/>
      <c r="B840" s="165"/>
      <c r="C840" s="165"/>
      <c r="D840" s="165"/>
      <c r="E840" s="165"/>
      <c r="F840" s="165"/>
      <c r="G840" s="165"/>
      <c r="H840" s="165"/>
      <c r="I840" s="165"/>
      <c r="J840" s="165"/>
      <c r="K840" s="165"/>
      <c r="L840" s="165"/>
      <c r="M840" s="165"/>
      <c r="N840" s="165"/>
      <c r="O840" s="165"/>
      <c r="P840" s="165"/>
      <c r="Q840" s="165"/>
      <c r="R840" s="165"/>
      <c r="S840" s="165"/>
      <c r="T840" s="165"/>
      <c r="U840" s="165"/>
      <c r="V840" s="165"/>
      <c r="W840" s="165"/>
      <c r="X840" s="165"/>
      <c r="Y840" s="165"/>
      <c r="Z840" s="165"/>
    </row>
    <row r="841">
      <c r="A841" s="165"/>
      <c r="B841" s="165"/>
      <c r="C841" s="165"/>
      <c r="D841" s="165"/>
      <c r="E841" s="165"/>
      <c r="F841" s="165"/>
      <c r="G841" s="165"/>
      <c r="H841" s="165"/>
      <c r="I841" s="165"/>
      <c r="J841" s="165"/>
      <c r="K841" s="165"/>
      <c r="L841" s="165"/>
      <c r="M841" s="165"/>
      <c r="N841" s="165"/>
      <c r="O841" s="165"/>
      <c r="P841" s="165"/>
      <c r="Q841" s="165"/>
      <c r="R841" s="165"/>
      <c r="S841" s="165"/>
      <c r="T841" s="165"/>
      <c r="U841" s="165"/>
      <c r="V841" s="165"/>
      <c r="W841" s="165"/>
      <c r="X841" s="165"/>
      <c r="Y841" s="165"/>
      <c r="Z841" s="165"/>
    </row>
    <row r="842">
      <c r="A842" s="165"/>
      <c r="B842" s="165"/>
      <c r="C842" s="165"/>
      <c r="D842" s="165"/>
      <c r="E842" s="165"/>
      <c r="F842" s="165"/>
      <c r="G842" s="165"/>
      <c r="H842" s="165"/>
      <c r="I842" s="165"/>
      <c r="J842" s="165"/>
      <c r="K842" s="165"/>
      <c r="L842" s="165"/>
      <c r="M842" s="165"/>
      <c r="N842" s="165"/>
      <c r="O842" s="165"/>
      <c r="P842" s="165"/>
      <c r="Q842" s="165"/>
      <c r="R842" s="165"/>
      <c r="S842" s="165"/>
      <c r="T842" s="165"/>
      <c r="U842" s="165"/>
      <c r="V842" s="165"/>
      <c r="W842" s="165"/>
      <c r="X842" s="165"/>
      <c r="Y842" s="165"/>
      <c r="Z842" s="165"/>
    </row>
    <row r="843">
      <c r="A843" s="165"/>
      <c r="B843" s="165"/>
      <c r="C843" s="165"/>
      <c r="D843" s="165"/>
      <c r="E843" s="165"/>
      <c r="F843" s="165"/>
      <c r="G843" s="165"/>
      <c r="H843" s="165"/>
      <c r="I843" s="165"/>
      <c r="J843" s="165"/>
      <c r="K843" s="165"/>
      <c r="L843" s="165"/>
      <c r="M843" s="165"/>
      <c r="N843" s="165"/>
      <c r="O843" s="165"/>
      <c r="P843" s="165"/>
      <c r="Q843" s="165"/>
      <c r="R843" s="165"/>
      <c r="S843" s="165"/>
      <c r="T843" s="165"/>
      <c r="U843" s="165"/>
      <c r="V843" s="165"/>
      <c r="W843" s="165"/>
      <c r="X843" s="165"/>
      <c r="Y843" s="165"/>
      <c r="Z843" s="165"/>
    </row>
    <row r="844">
      <c r="A844" s="165"/>
      <c r="B844" s="165"/>
      <c r="C844" s="165"/>
      <c r="D844" s="165"/>
      <c r="E844" s="165"/>
      <c r="F844" s="165"/>
      <c r="G844" s="165"/>
      <c r="H844" s="165"/>
      <c r="I844" s="165"/>
      <c r="J844" s="165"/>
      <c r="K844" s="165"/>
      <c r="L844" s="165"/>
      <c r="M844" s="165"/>
      <c r="N844" s="165"/>
      <c r="O844" s="165"/>
      <c r="P844" s="165"/>
      <c r="Q844" s="165"/>
      <c r="R844" s="165"/>
      <c r="S844" s="165"/>
      <c r="T844" s="165"/>
      <c r="U844" s="165"/>
      <c r="V844" s="165"/>
      <c r="W844" s="165"/>
      <c r="X844" s="165"/>
      <c r="Y844" s="165"/>
      <c r="Z844" s="165"/>
    </row>
    <row r="845">
      <c r="A845" s="165"/>
      <c r="B845" s="165"/>
      <c r="C845" s="165"/>
      <c r="D845" s="165"/>
      <c r="E845" s="165"/>
      <c r="F845" s="165"/>
      <c r="G845" s="165"/>
      <c r="H845" s="165"/>
      <c r="I845" s="165"/>
      <c r="J845" s="165"/>
      <c r="K845" s="165"/>
      <c r="L845" s="165"/>
      <c r="M845" s="165"/>
      <c r="N845" s="165"/>
      <c r="O845" s="165"/>
      <c r="P845" s="165"/>
      <c r="Q845" s="165"/>
      <c r="R845" s="165"/>
      <c r="S845" s="165"/>
      <c r="T845" s="165"/>
      <c r="U845" s="165"/>
      <c r="V845" s="165"/>
      <c r="W845" s="165"/>
      <c r="X845" s="165"/>
      <c r="Y845" s="165"/>
      <c r="Z845" s="165"/>
    </row>
    <row r="846">
      <c r="A846" s="165"/>
      <c r="B846" s="165"/>
      <c r="C846" s="165"/>
      <c r="D846" s="165"/>
      <c r="E846" s="165"/>
      <c r="F846" s="165"/>
      <c r="G846" s="165"/>
      <c r="H846" s="165"/>
      <c r="I846" s="165"/>
      <c r="J846" s="165"/>
      <c r="K846" s="165"/>
      <c r="L846" s="165"/>
      <c r="M846" s="165"/>
      <c r="N846" s="165"/>
      <c r="O846" s="165"/>
      <c r="P846" s="165"/>
      <c r="Q846" s="165"/>
      <c r="R846" s="165"/>
      <c r="S846" s="165"/>
      <c r="T846" s="165"/>
      <c r="U846" s="165"/>
      <c r="V846" s="165"/>
      <c r="W846" s="165"/>
      <c r="X846" s="165"/>
      <c r="Y846" s="165"/>
      <c r="Z846" s="165"/>
    </row>
    <row r="847">
      <c r="A847" s="165"/>
      <c r="B847" s="165"/>
      <c r="C847" s="165"/>
      <c r="D847" s="165"/>
      <c r="E847" s="165"/>
      <c r="F847" s="165"/>
      <c r="G847" s="165"/>
      <c r="H847" s="165"/>
      <c r="I847" s="165"/>
      <c r="J847" s="165"/>
      <c r="K847" s="165"/>
      <c r="L847" s="165"/>
      <c r="M847" s="165"/>
      <c r="N847" s="165"/>
      <c r="O847" s="165"/>
      <c r="P847" s="165"/>
      <c r="Q847" s="165"/>
      <c r="R847" s="165"/>
      <c r="S847" s="165"/>
      <c r="T847" s="165"/>
      <c r="U847" s="165"/>
      <c r="V847" s="165"/>
      <c r="W847" s="165"/>
      <c r="X847" s="165"/>
      <c r="Y847" s="165"/>
      <c r="Z847" s="165"/>
    </row>
    <row r="848">
      <c r="A848" s="165"/>
      <c r="B848" s="165"/>
      <c r="C848" s="165"/>
      <c r="D848" s="165"/>
      <c r="E848" s="165"/>
      <c r="F848" s="165"/>
      <c r="G848" s="165"/>
      <c r="H848" s="165"/>
      <c r="I848" s="165"/>
      <c r="J848" s="165"/>
      <c r="K848" s="165"/>
      <c r="L848" s="165"/>
      <c r="M848" s="165"/>
      <c r="N848" s="165"/>
      <c r="O848" s="165"/>
      <c r="P848" s="165"/>
      <c r="Q848" s="165"/>
      <c r="R848" s="165"/>
      <c r="S848" s="165"/>
      <c r="T848" s="165"/>
      <c r="U848" s="165"/>
      <c r="V848" s="165"/>
      <c r="W848" s="165"/>
      <c r="X848" s="165"/>
      <c r="Y848" s="165"/>
      <c r="Z848" s="165"/>
    </row>
    <row r="849">
      <c r="A849" s="165"/>
      <c r="B849" s="165"/>
      <c r="C849" s="165"/>
      <c r="D849" s="165"/>
      <c r="E849" s="165"/>
      <c r="F849" s="165"/>
      <c r="G849" s="165"/>
      <c r="H849" s="165"/>
      <c r="I849" s="165"/>
      <c r="J849" s="165"/>
      <c r="K849" s="165"/>
      <c r="L849" s="165"/>
      <c r="M849" s="165"/>
      <c r="N849" s="165"/>
      <c r="O849" s="165"/>
      <c r="P849" s="165"/>
      <c r="Q849" s="165"/>
      <c r="R849" s="165"/>
      <c r="S849" s="165"/>
      <c r="T849" s="165"/>
      <c r="U849" s="165"/>
      <c r="V849" s="165"/>
      <c r="W849" s="165"/>
      <c r="X849" s="165"/>
      <c r="Y849" s="165"/>
      <c r="Z849" s="165"/>
    </row>
    <row r="850">
      <c r="A850" s="165"/>
      <c r="B850" s="165"/>
      <c r="C850" s="165"/>
      <c r="D850" s="165"/>
      <c r="E850" s="165"/>
      <c r="F850" s="165"/>
      <c r="G850" s="165"/>
      <c r="H850" s="165"/>
      <c r="I850" s="165"/>
      <c r="J850" s="165"/>
      <c r="K850" s="165"/>
      <c r="L850" s="165"/>
      <c r="M850" s="165"/>
      <c r="N850" s="165"/>
      <c r="O850" s="165"/>
      <c r="P850" s="165"/>
      <c r="Q850" s="165"/>
      <c r="R850" s="165"/>
      <c r="S850" s="165"/>
      <c r="T850" s="165"/>
      <c r="U850" s="165"/>
      <c r="V850" s="165"/>
      <c r="W850" s="165"/>
      <c r="X850" s="165"/>
      <c r="Y850" s="165"/>
      <c r="Z850" s="165"/>
    </row>
    <row r="851">
      <c r="A851" s="165"/>
      <c r="B851" s="165"/>
      <c r="C851" s="165"/>
      <c r="D851" s="165"/>
      <c r="E851" s="165"/>
      <c r="F851" s="165"/>
      <c r="G851" s="165"/>
      <c r="H851" s="165"/>
      <c r="I851" s="165"/>
      <c r="J851" s="165"/>
      <c r="K851" s="165"/>
      <c r="L851" s="165"/>
      <c r="M851" s="165"/>
      <c r="N851" s="165"/>
      <c r="O851" s="165"/>
      <c r="P851" s="165"/>
      <c r="Q851" s="165"/>
      <c r="R851" s="165"/>
      <c r="S851" s="165"/>
      <c r="T851" s="165"/>
      <c r="U851" s="165"/>
      <c r="V851" s="165"/>
      <c r="W851" s="165"/>
      <c r="X851" s="165"/>
      <c r="Y851" s="165"/>
      <c r="Z851" s="165"/>
    </row>
    <row r="852">
      <c r="A852" s="165"/>
      <c r="B852" s="165"/>
      <c r="C852" s="165"/>
      <c r="D852" s="165"/>
      <c r="E852" s="165"/>
      <c r="F852" s="165"/>
      <c r="G852" s="165"/>
      <c r="H852" s="165"/>
      <c r="I852" s="165"/>
      <c r="J852" s="165"/>
      <c r="K852" s="165"/>
      <c r="L852" s="165"/>
      <c r="M852" s="165"/>
      <c r="N852" s="165"/>
      <c r="O852" s="165"/>
      <c r="P852" s="165"/>
      <c r="Q852" s="165"/>
      <c r="R852" s="165"/>
      <c r="S852" s="165"/>
      <c r="T852" s="165"/>
      <c r="U852" s="165"/>
      <c r="V852" s="165"/>
      <c r="W852" s="165"/>
      <c r="X852" s="165"/>
      <c r="Y852" s="165"/>
      <c r="Z852" s="165"/>
    </row>
    <row r="853">
      <c r="A853" s="165"/>
      <c r="B853" s="165"/>
      <c r="C853" s="165"/>
      <c r="D853" s="165"/>
      <c r="E853" s="165"/>
      <c r="F853" s="165"/>
      <c r="G853" s="165"/>
      <c r="H853" s="165"/>
      <c r="I853" s="165"/>
      <c r="J853" s="165"/>
      <c r="K853" s="165"/>
      <c r="L853" s="165"/>
      <c r="M853" s="165"/>
      <c r="N853" s="165"/>
      <c r="O853" s="165"/>
      <c r="P853" s="165"/>
      <c r="Q853" s="165"/>
      <c r="R853" s="165"/>
      <c r="S853" s="165"/>
      <c r="T853" s="165"/>
      <c r="U853" s="165"/>
      <c r="V853" s="165"/>
      <c r="W853" s="165"/>
      <c r="X853" s="165"/>
      <c r="Y853" s="165"/>
      <c r="Z853" s="165"/>
    </row>
    <row r="854">
      <c r="A854" s="165"/>
      <c r="B854" s="165"/>
      <c r="C854" s="165"/>
      <c r="D854" s="165"/>
      <c r="E854" s="165"/>
      <c r="F854" s="165"/>
      <c r="G854" s="165"/>
      <c r="H854" s="165"/>
      <c r="I854" s="165"/>
      <c r="J854" s="165"/>
      <c r="K854" s="165"/>
      <c r="L854" s="165"/>
      <c r="M854" s="165"/>
      <c r="N854" s="165"/>
      <c r="O854" s="165"/>
      <c r="P854" s="165"/>
      <c r="Q854" s="165"/>
      <c r="R854" s="165"/>
      <c r="S854" s="165"/>
      <c r="T854" s="165"/>
      <c r="U854" s="165"/>
      <c r="V854" s="165"/>
      <c r="W854" s="165"/>
      <c r="X854" s="165"/>
      <c r="Y854" s="165"/>
      <c r="Z854" s="165"/>
    </row>
    <row r="855">
      <c r="A855" s="165"/>
      <c r="B855" s="165"/>
      <c r="C855" s="165"/>
      <c r="D855" s="165"/>
      <c r="E855" s="165"/>
      <c r="F855" s="165"/>
      <c r="G855" s="165"/>
      <c r="H855" s="165"/>
      <c r="I855" s="165"/>
      <c r="J855" s="165"/>
      <c r="K855" s="165"/>
      <c r="L855" s="165"/>
      <c r="M855" s="165"/>
      <c r="N855" s="165"/>
      <c r="O855" s="165"/>
      <c r="P855" s="165"/>
      <c r="Q855" s="165"/>
      <c r="R855" s="165"/>
      <c r="S855" s="165"/>
      <c r="T855" s="165"/>
      <c r="U855" s="165"/>
      <c r="V855" s="165"/>
      <c r="W855" s="165"/>
      <c r="X855" s="165"/>
      <c r="Y855" s="165"/>
      <c r="Z855" s="165"/>
    </row>
    <row r="856">
      <c r="A856" s="165"/>
      <c r="B856" s="165"/>
      <c r="C856" s="165"/>
      <c r="D856" s="165"/>
      <c r="E856" s="165"/>
      <c r="F856" s="165"/>
      <c r="G856" s="165"/>
      <c r="H856" s="165"/>
      <c r="I856" s="165"/>
      <c r="J856" s="165"/>
      <c r="K856" s="165"/>
      <c r="L856" s="165"/>
      <c r="M856" s="165"/>
      <c r="N856" s="165"/>
      <c r="O856" s="165"/>
      <c r="P856" s="165"/>
      <c r="Q856" s="165"/>
      <c r="R856" s="165"/>
      <c r="S856" s="165"/>
      <c r="T856" s="165"/>
      <c r="U856" s="165"/>
      <c r="V856" s="165"/>
      <c r="W856" s="165"/>
      <c r="X856" s="165"/>
      <c r="Y856" s="165"/>
      <c r="Z856" s="165"/>
    </row>
    <row r="857">
      <c r="A857" s="165"/>
      <c r="B857" s="165"/>
      <c r="C857" s="165"/>
      <c r="D857" s="165"/>
      <c r="E857" s="165"/>
      <c r="F857" s="165"/>
      <c r="G857" s="165"/>
      <c r="H857" s="165"/>
      <c r="I857" s="165"/>
      <c r="J857" s="165"/>
      <c r="K857" s="165"/>
      <c r="L857" s="165"/>
      <c r="M857" s="165"/>
      <c r="N857" s="165"/>
      <c r="O857" s="165"/>
      <c r="P857" s="165"/>
      <c r="Q857" s="165"/>
      <c r="R857" s="165"/>
      <c r="S857" s="165"/>
      <c r="T857" s="165"/>
      <c r="U857" s="165"/>
      <c r="V857" s="165"/>
      <c r="W857" s="165"/>
      <c r="X857" s="165"/>
      <c r="Y857" s="165"/>
      <c r="Z857" s="165"/>
    </row>
    <row r="858">
      <c r="A858" s="165"/>
      <c r="B858" s="165"/>
      <c r="C858" s="165"/>
      <c r="D858" s="165"/>
      <c r="E858" s="165"/>
      <c r="F858" s="165"/>
      <c r="G858" s="165"/>
      <c r="H858" s="165"/>
      <c r="I858" s="165"/>
      <c r="J858" s="165"/>
      <c r="K858" s="165"/>
      <c r="L858" s="165"/>
      <c r="M858" s="165"/>
      <c r="N858" s="165"/>
      <c r="O858" s="165"/>
      <c r="P858" s="165"/>
      <c r="Q858" s="165"/>
      <c r="R858" s="165"/>
      <c r="S858" s="165"/>
      <c r="T858" s="165"/>
      <c r="U858" s="165"/>
      <c r="V858" s="165"/>
      <c r="W858" s="165"/>
      <c r="X858" s="165"/>
      <c r="Y858" s="165"/>
      <c r="Z858" s="165"/>
    </row>
    <row r="859">
      <c r="A859" s="165"/>
      <c r="B859" s="165"/>
      <c r="C859" s="165"/>
      <c r="D859" s="165"/>
      <c r="E859" s="165"/>
      <c r="F859" s="165"/>
      <c r="G859" s="165"/>
      <c r="H859" s="165"/>
      <c r="I859" s="165"/>
      <c r="J859" s="165"/>
      <c r="K859" s="165"/>
      <c r="L859" s="165"/>
      <c r="M859" s="165"/>
      <c r="N859" s="165"/>
      <c r="O859" s="165"/>
      <c r="P859" s="165"/>
      <c r="Q859" s="165"/>
      <c r="R859" s="165"/>
      <c r="S859" s="165"/>
      <c r="T859" s="165"/>
      <c r="U859" s="165"/>
      <c r="V859" s="165"/>
      <c r="W859" s="165"/>
      <c r="X859" s="165"/>
      <c r="Y859" s="165"/>
      <c r="Z859" s="165"/>
    </row>
    <row r="860">
      <c r="A860" s="165"/>
      <c r="B860" s="165"/>
      <c r="C860" s="165"/>
      <c r="D860" s="165"/>
      <c r="E860" s="165"/>
      <c r="F860" s="165"/>
      <c r="G860" s="165"/>
      <c r="H860" s="165"/>
      <c r="I860" s="165"/>
      <c r="J860" s="165"/>
      <c r="K860" s="165"/>
      <c r="L860" s="165"/>
      <c r="M860" s="165"/>
      <c r="N860" s="165"/>
      <c r="O860" s="165"/>
      <c r="P860" s="165"/>
      <c r="Q860" s="165"/>
      <c r="R860" s="165"/>
      <c r="S860" s="165"/>
      <c r="T860" s="165"/>
      <c r="U860" s="165"/>
      <c r="V860" s="165"/>
      <c r="W860" s="165"/>
      <c r="X860" s="165"/>
      <c r="Y860" s="165"/>
      <c r="Z860" s="165"/>
    </row>
    <row r="861">
      <c r="A861" s="165"/>
      <c r="B861" s="165"/>
      <c r="C861" s="165"/>
      <c r="D861" s="165"/>
      <c r="E861" s="165"/>
      <c r="F861" s="165"/>
      <c r="G861" s="165"/>
      <c r="H861" s="165"/>
      <c r="I861" s="165"/>
      <c r="J861" s="165"/>
      <c r="K861" s="165"/>
      <c r="L861" s="165"/>
      <c r="M861" s="165"/>
      <c r="N861" s="165"/>
      <c r="O861" s="165"/>
      <c r="P861" s="165"/>
      <c r="Q861" s="165"/>
      <c r="R861" s="165"/>
      <c r="S861" s="165"/>
      <c r="T861" s="165"/>
      <c r="U861" s="165"/>
      <c r="V861" s="165"/>
      <c r="W861" s="165"/>
      <c r="X861" s="165"/>
      <c r="Y861" s="165"/>
      <c r="Z861" s="165"/>
    </row>
    <row r="862">
      <c r="A862" s="165"/>
      <c r="B862" s="165"/>
      <c r="C862" s="165"/>
      <c r="D862" s="165"/>
      <c r="E862" s="165"/>
      <c r="F862" s="165"/>
      <c r="G862" s="165"/>
      <c r="H862" s="165"/>
      <c r="I862" s="165"/>
      <c r="J862" s="165"/>
      <c r="K862" s="165"/>
      <c r="L862" s="165"/>
      <c r="M862" s="165"/>
      <c r="N862" s="165"/>
      <c r="O862" s="165"/>
      <c r="P862" s="165"/>
      <c r="Q862" s="165"/>
      <c r="R862" s="165"/>
      <c r="S862" s="165"/>
      <c r="T862" s="165"/>
      <c r="U862" s="165"/>
      <c r="V862" s="165"/>
      <c r="W862" s="165"/>
      <c r="X862" s="165"/>
      <c r="Y862" s="165"/>
      <c r="Z862" s="165"/>
    </row>
    <row r="863">
      <c r="A863" s="165"/>
      <c r="B863" s="165"/>
      <c r="C863" s="165"/>
      <c r="D863" s="165"/>
      <c r="E863" s="165"/>
      <c r="F863" s="165"/>
      <c r="G863" s="165"/>
      <c r="H863" s="165"/>
      <c r="I863" s="165"/>
      <c r="J863" s="165"/>
      <c r="K863" s="165"/>
      <c r="L863" s="165"/>
      <c r="M863" s="165"/>
      <c r="N863" s="165"/>
      <c r="O863" s="165"/>
      <c r="P863" s="165"/>
      <c r="Q863" s="165"/>
      <c r="R863" s="165"/>
      <c r="S863" s="165"/>
      <c r="T863" s="165"/>
      <c r="U863" s="165"/>
      <c r="V863" s="165"/>
      <c r="W863" s="165"/>
      <c r="X863" s="165"/>
      <c r="Y863" s="165"/>
      <c r="Z863" s="165"/>
    </row>
    <row r="864">
      <c r="A864" s="165"/>
      <c r="B864" s="165"/>
      <c r="C864" s="165"/>
      <c r="D864" s="165"/>
      <c r="E864" s="165"/>
      <c r="F864" s="165"/>
      <c r="G864" s="165"/>
      <c r="H864" s="165"/>
      <c r="I864" s="165"/>
      <c r="J864" s="165"/>
      <c r="K864" s="165"/>
      <c r="L864" s="165"/>
      <c r="M864" s="165"/>
      <c r="N864" s="165"/>
      <c r="O864" s="165"/>
      <c r="P864" s="165"/>
      <c r="Q864" s="165"/>
      <c r="R864" s="165"/>
      <c r="S864" s="165"/>
      <c r="T864" s="165"/>
      <c r="U864" s="165"/>
      <c r="V864" s="165"/>
      <c r="W864" s="165"/>
      <c r="X864" s="165"/>
      <c r="Y864" s="165"/>
      <c r="Z864" s="165"/>
    </row>
    <row r="865">
      <c r="A865" s="165"/>
      <c r="B865" s="165"/>
      <c r="C865" s="165"/>
      <c r="D865" s="165"/>
      <c r="E865" s="165"/>
      <c r="F865" s="165"/>
      <c r="G865" s="165"/>
      <c r="H865" s="165"/>
      <c r="I865" s="165"/>
      <c r="J865" s="165"/>
      <c r="K865" s="165"/>
      <c r="L865" s="165"/>
      <c r="M865" s="165"/>
      <c r="N865" s="165"/>
      <c r="O865" s="165"/>
      <c r="P865" s="165"/>
      <c r="Q865" s="165"/>
      <c r="R865" s="165"/>
      <c r="S865" s="165"/>
      <c r="T865" s="165"/>
      <c r="U865" s="165"/>
      <c r="V865" s="165"/>
      <c r="W865" s="165"/>
      <c r="X865" s="165"/>
      <c r="Y865" s="165"/>
      <c r="Z865" s="165"/>
    </row>
    <row r="866">
      <c r="A866" s="165"/>
      <c r="B866" s="165"/>
      <c r="C866" s="165"/>
      <c r="D866" s="165"/>
      <c r="E866" s="165"/>
      <c r="F866" s="165"/>
      <c r="G866" s="165"/>
      <c r="H866" s="165"/>
      <c r="I866" s="165"/>
      <c r="J866" s="165"/>
      <c r="K866" s="165"/>
      <c r="L866" s="165"/>
      <c r="M866" s="165"/>
      <c r="N866" s="165"/>
      <c r="O866" s="165"/>
      <c r="P866" s="165"/>
      <c r="Q866" s="165"/>
      <c r="R866" s="165"/>
      <c r="S866" s="165"/>
      <c r="T866" s="165"/>
      <c r="U866" s="165"/>
      <c r="V866" s="165"/>
      <c r="W866" s="165"/>
      <c r="X866" s="165"/>
      <c r="Y866" s="165"/>
      <c r="Z866" s="165"/>
    </row>
    <row r="867">
      <c r="A867" s="165"/>
      <c r="B867" s="165"/>
      <c r="C867" s="165"/>
      <c r="D867" s="165"/>
      <c r="E867" s="165"/>
      <c r="F867" s="165"/>
      <c r="G867" s="165"/>
      <c r="H867" s="165"/>
      <c r="I867" s="165"/>
      <c r="J867" s="165"/>
      <c r="K867" s="165"/>
      <c r="L867" s="165"/>
      <c r="M867" s="165"/>
      <c r="N867" s="165"/>
      <c r="O867" s="165"/>
      <c r="P867" s="165"/>
      <c r="Q867" s="165"/>
      <c r="R867" s="165"/>
      <c r="S867" s="165"/>
      <c r="T867" s="165"/>
      <c r="U867" s="165"/>
      <c r="V867" s="165"/>
      <c r="W867" s="165"/>
      <c r="X867" s="165"/>
      <c r="Y867" s="165"/>
      <c r="Z867" s="165"/>
    </row>
    <row r="868">
      <c r="A868" s="165"/>
      <c r="B868" s="165"/>
      <c r="C868" s="165"/>
      <c r="D868" s="165"/>
      <c r="E868" s="165"/>
      <c r="F868" s="165"/>
      <c r="G868" s="165"/>
      <c r="H868" s="165"/>
      <c r="I868" s="165"/>
      <c r="J868" s="165"/>
      <c r="K868" s="165"/>
      <c r="L868" s="165"/>
      <c r="M868" s="165"/>
      <c r="N868" s="165"/>
      <c r="O868" s="165"/>
      <c r="P868" s="165"/>
      <c r="Q868" s="165"/>
      <c r="R868" s="165"/>
      <c r="S868" s="165"/>
      <c r="T868" s="165"/>
      <c r="U868" s="165"/>
      <c r="V868" s="165"/>
      <c r="W868" s="165"/>
      <c r="X868" s="165"/>
      <c r="Y868" s="165"/>
      <c r="Z868" s="165"/>
    </row>
    <row r="869">
      <c r="A869" s="165"/>
      <c r="B869" s="165"/>
      <c r="C869" s="165"/>
      <c r="D869" s="165"/>
      <c r="E869" s="165"/>
      <c r="F869" s="165"/>
      <c r="G869" s="165"/>
      <c r="H869" s="165"/>
      <c r="I869" s="165"/>
      <c r="J869" s="165"/>
      <c r="K869" s="165"/>
      <c r="L869" s="165"/>
      <c r="M869" s="165"/>
      <c r="N869" s="165"/>
      <c r="O869" s="165"/>
      <c r="P869" s="165"/>
      <c r="Q869" s="165"/>
      <c r="R869" s="165"/>
      <c r="S869" s="165"/>
      <c r="T869" s="165"/>
      <c r="U869" s="165"/>
      <c r="V869" s="165"/>
      <c r="W869" s="165"/>
      <c r="X869" s="165"/>
      <c r="Y869" s="165"/>
      <c r="Z869" s="165"/>
    </row>
    <row r="870">
      <c r="A870" s="165"/>
      <c r="B870" s="165"/>
      <c r="C870" s="165"/>
      <c r="D870" s="165"/>
      <c r="E870" s="165"/>
      <c r="F870" s="165"/>
      <c r="G870" s="165"/>
      <c r="H870" s="165"/>
      <c r="I870" s="165"/>
      <c r="J870" s="165"/>
      <c r="K870" s="165"/>
      <c r="L870" s="165"/>
      <c r="M870" s="165"/>
      <c r="N870" s="165"/>
      <c r="O870" s="165"/>
      <c r="P870" s="165"/>
      <c r="Q870" s="165"/>
      <c r="R870" s="165"/>
      <c r="S870" s="165"/>
      <c r="T870" s="165"/>
      <c r="U870" s="165"/>
      <c r="V870" s="165"/>
      <c r="W870" s="165"/>
      <c r="X870" s="165"/>
      <c r="Y870" s="165"/>
      <c r="Z870" s="165"/>
    </row>
    <row r="871">
      <c r="A871" s="165"/>
      <c r="B871" s="165"/>
      <c r="C871" s="165"/>
      <c r="D871" s="165"/>
      <c r="E871" s="165"/>
      <c r="F871" s="165"/>
      <c r="G871" s="165"/>
      <c r="H871" s="165"/>
      <c r="I871" s="165"/>
      <c r="J871" s="165"/>
      <c r="K871" s="165"/>
      <c r="L871" s="165"/>
      <c r="M871" s="165"/>
      <c r="N871" s="165"/>
      <c r="O871" s="165"/>
      <c r="P871" s="165"/>
      <c r="Q871" s="165"/>
      <c r="R871" s="165"/>
      <c r="S871" s="165"/>
      <c r="T871" s="165"/>
      <c r="U871" s="165"/>
      <c r="V871" s="165"/>
      <c r="W871" s="165"/>
      <c r="X871" s="165"/>
      <c r="Y871" s="165"/>
      <c r="Z871" s="165"/>
    </row>
    <row r="872">
      <c r="A872" s="165"/>
      <c r="B872" s="165"/>
      <c r="C872" s="165"/>
      <c r="D872" s="165"/>
      <c r="E872" s="165"/>
      <c r="F872" s="165"/>
      <c r="G872" s="165"/>
      <c r="H872" s="165"/>
      <c r="I872" s="165"/>
      <c r="J872" s="165"/>
      <c r="K872" s="165"/>
      <c r="L872" s="165"/>
      <c r="M872" s="165"/>
      <c r="N872" s="165"/>
      <c r="O872" s="165"/>
      <c r="P872" s="165"/>
      <c r="Q872" s="165"/>
      <c r="R872" s="165"/>
      <c r="S872" s="165"/>
      <c r="T872" s="165"/>
      <c r="U872" s="165"/>
      <c r="V872" s="165"/>
      <c r="W872" s="165"/>
      <c r="X872" s="165"/>
      <c r="Y872" s="165"/>
      <c r="Z872" s="165"/>
    </row>
    <row r="873">
      <c r="A873" s="165"/>
      <c r="B873" s="165"/>
      <c r="C873" s="165"/>
      <c r="D873" s="165"/>
      <c r="E873" s="165"/>
      <c r="F873" s="165"/>
      <c r="G873" s="165"/>
      <c r="H873" s="165"/>
      <c r="I873" s="165"/>
      <c r="J873" s="165"/>
      <c r="K873" s="165"/>
      <c r="L873" s="165"/>
      <c r="M873" s="165"/>
      <c r="N873" s="165"/>
      <c r="O873" s="165"/>
      <c r="P873" s="165"/>
      <c r="Q873" s="165"/>
      <c r="R873" s="165"/>
      <c r="S873" s="165"/>
      <c r="T873" s="165"/>
      <c r="U873" s="165"/>
      <c r="V873" s="165"/>
      <c r="W873" s="165"/>
      <c r="X873" s="165"/>
      <c r="Y873" s="165"/>
      <c r="Z873" s="165"/>
    </row>
    <row r="874">
      <c r="A874" s="165"/>
      <c r="B874" s="165"/>
      <c r="C874" s="165"/>
      <c r="D874" s="165"/>
      <c r="E874" s="165"/>
      <c r="F874" s="165"/>
      <c r="G874" s="165"/>
      <c r="H874" s="165"/>
      <c r="I874" s="165"/>
      <c r="J874" s="165"/>
      <c r="K874" s="165"/>
      <c r="L874" s="165"/>
      <c r="M874" s="165"/>
      <c r="N874" s="165"/>
      <c r="O874" s="165"/>
      <c r="P874" s="165"/>
      <c r="Q874" s="165"/>
      <c r="R874" s="165"/>
      <c r="S874" s="165"/>
      <c r="T874" s="165"/>
      <c r="U874" s="165"/>
      <c r="V874" s="165"/>
      <c r="W874" s="165"/>
      <c r="X874" s="165"/>
      <c r="Y874" s="165"/>
      <c r="Z874" s="165"/>
    </row>
    <row r="875">
      <c r="A875" s="165"/>
      <c r="B875" s="165"/>
      <c r="C875" s="165"/>
      <c r="D875" s="165"/>
      <c r="E875" s="165"/>
      <c r="F875" s="165"/>
      <c r="G875" s="165"/>
      <c r="H875" s="165"/>
      <c r="I875" s="165"/>
      <c r="J875" s="165"/>
      <c r="K875" s="165"/>
      <c r="L875" s="165"/>
      <c r="M875" s="165"/>
      <c r="N875" s="165"/>
      <c r="O875" s="165"/>
      <c r="P875" s="165"/>
      <c r="Q875" s="165"/>
      <c r="R875" s="165"/>
      <c r="S875" s="165"/>
      <c r="T875" s="165"/>
      <c r="U875" s="165"/>
      <c r="V875" s="165"/>
      <c r="W875" s="165"/>
      <c r="X875" s="165"/>
      <c r="Y875" s="165"/>
      <c r="Z875" s="165"/>
    </row>
    <row r="876">
      <c r="A876" s="165"/>
      <c r="B876" s="165"/>
      <c r="C876" s="165"/>
      <c r="D876" s="165"/>
      <c r="E876" s="165"/>
      <c r="F876" s="165"/>
      <c r="G876" s="165"/>
      <c r="H876" s="165"/>
      <c r="I876" s="165"/>
      <c r="J876" s="165"/>
      <c r="K876" s="165"/>
      <c r="L876" s="165"/>
      <c r="M876" s="165"/>
      <c r="N876" s="165"/>
      <c r="O876" s="165"/>
      <c r="P876" s="165"/>
      <c r="Q876" s="165"/>
      <c r="R876" s="165"/>
      <c r="S876" s="165"/>
      <c r="T876" s="165"/>
      <c r="U876" s="165"/>
      <c r="V876" s="165"/>
      <c r="W876" s="165"/>
      <c r="X876" s="165"/>
      <c r="Y876" s="165"/>
      <c r="Z876" s="165"/>
    </row>
    <row r="877">
      <c r="A877" s="165"/>
      <c r="B877" s="165"/>
      <c r="C877" s="165"/>
      <c r="D877" s="165"/>
      <c r="E877" s="165"/>
      <c r="F877" s="165"/>
      <c r="G877" s="165"/>
      <c r="H877" s="165"/>
      <c r="I877" s="165"/>
      <c r="J877" s="165"/>
      <c r="K877" s="165"/>
      <c r="L877" s="165"/>
      <c r="M877" s="165"/>
      <c r="N877" s="165"/>
      <c r="O877" s="165"/>
      <c r="P877" s="165"/>
      <c r="Q877" s="165"/>
      <c r="R877" s="165"/>
      <c r="S877" s="165"/>
      <c r="T877" s="165"/>
      <c r="U877" s="165"/>
      <c r="V877" s="165"/>
      <c r="W877" s="165"/>
      <c r="X877" s="165"/>
      <c r="Y877" s="165"/>
      <c r="Z877" s="165"/>
    </row>
    <row r="878">
      <c r="A878" s="165"/>
      <c r="B878" s="165"/>
      <c r="C878" s="165"/>
      <c r="D878" s="165"/>
      <c r="E878" s="165"/>
      <c r="F878" s="165"/>
      <c r="G878" s="165"/>
      <c r="H878" s="165"/>
      <c r="I878" s="165"/>
      <c r="J878" s="165"/>
      <c r="K878" s="165"/>
      <c r="L878" s="165"/>
      <c r="M878" s="165"/>
      <c r="N878" s="165"/>
      <c r="O878" s="165"/>
      <c r="P878" s="165"/>
      <c r="Q878" s="165"/>
      <c r="R878" s="165"/>
      <c r="S878" s="165"/>
      <c r="T878" s="165"/>
      <c r="U878" s="165"/>
      <c r="V878" s="165"/>
      <c r="W878" s="165"/>
      <c r="X878" s="165"/>
      <c r="Y878" s="165"/>
      <c r="Z878" s="165"/>
    </row>
    <row r="879">
      <c r="A879" s="165"/>
      <c r="B879" s="165"/>
      <c r="C879" s="165"/>
      <c r="D879" s="165"/>
      <c r="E879" s="165"/>
      <c r="F879" s="165"/>
      <c r="G879" s="165"/>
      <c r="H879" s="165"/>
      <c r="I879" s="165"/>
      <c r="J879" s="165"/>
      <c r="K879" s="165"/>
      <c r="L879" s="165"/>
      <c r="M879" s="165"/>
      <c r="N879" s="165"/>
      <c r="O879" s="165"/>
      <c r="P879" s="165"/>
      <c r="Q879" s="165"/>
      <c r="R879" s="165"/>
      <c r="S879" s="165"/>
      <c r="T879" s="165"/>
      <c r="U879" s="165"/>
      <c r="V879" s="165"/>
      <c r="W879" s="165"/>
      <c r="X879" s="165"/>
      <c r="Y879" s="165"/>
      <c r="Z879" s="165"/>
    </row>
    <row r="880">
      <c r="A880" s="165"/>
      <c r="B880" s="165"/>
      <c r="C880" s="165"/>
      <c r="D880" s="165"/>
      <c r="E880" s="165"/>
      <c r="F880" s="165"/>
      <c r="G880" s="165"/>
      <c r="H880" s="165"/>
      <c r="I880" s="165"/>
      <c r="J880" s="165"/>
      <c r="K880" s="165"/>
      <c r="L880" s="165"/>
      <c r="M880" s="165"/>
      <c r="N880" s="165"/>
      <c r="O880" s="165"/>
      <c r="P880" s="165"/>
      <c r="Q880" s="165"/>
      <c r="R880" s="165"/>
      <c r="S880" s="165"/>
      <c r="T880" s="165"/>
      <c r="U880" s="165"/>
      <c r="V880" s="165"/>
      <c r="W880" s="165"/>
      <c r="X880" s="165"/>
      <c r="Y880" s="165"/>
      <c r="Z880" s="165"/>
    </row>
    <row r="881">
      <c r="A881" s="165"/>
      <c r="B881" s="165"/>
      <c r="C881" s="165"/>
      <c r="D881" s="165"/>
      <c r="E881" s="165"/>
      <c r="F881" s="165"/>
      <c r="G881" s="165"/>
      <c r="H881" s="165"/>
      <c r="I881" s="165"/>
      <c r="J881" s="165"/>
      <c r="K881" s="165"/>
      <c r="L881" s="165"/>
      <c r="M881" s="165"/>
      <c r="N881" s="165"/>
      <c r="O881" s="165"/>
      <c r="P881" s="165"/>
      <c r="Q881" s="165"/>
      <c r="R881" s="165"/>
      <c r="S881" s="165"/>
      <c r="T881" s="165"/>
      <c r="U881" s="165"/>
      <c r="V881" s="165"/>
      <c r="W881" s="165"/>
      <c r="X881" s="165"/>
      <c r="Y881" s="165"/>
      <c r="Z881" s="165"/>
    </row>
    <row r="882">
      <c r="A882" s="165"/>
      <c r="B882" s="165"/>
      <c r="C882" s="165"/>
      <c r="D882" s="165"/>
      <c r="E882" s="165"/>
      <c r="F882" s="165"/>
      <c r="G882" s="165"/>
      <c r="H882" s="165"/>
      <c r="I882" s="165"/>
      <c r="J882" s="165"/>
      <c r="K882" s="165"/>
      <c r="L882" s="165"/>
      <c r="M882" s="165"/>
      <c r="N882" s="165"/>
      <c r="O882" s="165"/>
      <c r="P882" s="165"/>
      <c r="Q882" s="165"/>
      <c r="R882" s="165"/>
      <c r="S882" s="165"/>
      <c r="T882" s="165"/>
      <c r="U882" s="165"/>
      <c r="V882" s="165"/>
      <c r="W882" s="165"/>
      <c r="X882" s="165"/>
      <c r="Y882" s="165"/>
      <c r="Z882" s="165"/>
    </row>
    <row r="883">
      <c r="A883" s="165"/>
      <c r="B883" s="165"/>
      <c r="C883" s="165"/>
      <c r="D883" s="165"/>
      <c r="E883" s="165"/>
      <c r="F883" s="165"/>
      <c r="G883" s="165"/>
      <c r="H883" s="165"/>
      <c r="I883" s="165"/>
      <c r="J883" s="165"/>
      <c r="K883" s="165"/>
      <c r="L883" s="165"/>
      <c r="M883" s="165"/>
      <c r="N883" s="165"/>
      <c r="O883" s="165"/>
      <c r="P883" s="165"/>
      <c r="Q883" s="165"/>
      <c r="R883" s="165"/>
      <c r="S883" s="165"/>
      <c r="T883" s="165"/>
      <c r="U883" s="165"/>
      <c r="V883" s="165"/>
      <c r="W883" s="165"/>
      <c r="X883" s="165"/>
      <c r="Y883" s="165"/>
      <c r="Z883" s="165"/>
    </row>
    <row r="884">
      <c r="A884" s="165"/>
      <c r="B884" s="165"/>
      <c r="C884" s="165"/>
      <c r="D884" s="165"/>
      <c r="E884" s="165"/>
      <c r="F884" s="165"/>
      <c r="G884" s="165"/>
      <c r="H884" s="165"/>
      <c r="I884" s="165"/>
      <c r="J884" s="165"/>
      <c r="K884" s="165"/>
      <c r="L884" s="165"/>
      <c r="M884" s="165"/>
      <c r="N884" s="165"/>
      <c r="O884" s="165"/>
      <c r="P884" s="165"/>
      <c r="Q884" s="165"/>
      <c r="R884" s="165"/>
      <c r="S884" s="165"/>
      <c r="T884" s="165"/>
      <c r="U884" s="165"/>
      <c r="V884" s="165"/>
      <c r="W884" s="165"/>
      <c r="X884" s="165"/>
      <c r="Y884" s="165"/>
      <c r="Z884" s="165"/>
    </row>
    <row r="885">
      <c r="A885" s="165"/>
      <c r="B885" s="165"/>
      <c r="C885" s="165"/>
      <c r="D885" s="165"/>
      <c r="E885" s="165"/>
      <c r="F885" s="165"/>
      <c r="G885" s="165"/>
      <c r="H885" s="165"/>
      <c r="I885" s="165"/>
      <c r="J885" s="165"/>
      <c r="K885" s="165"/>
      <c r="L885" s="165"/>
      <c r="M885" s="165"/>
      <c r="N885" s="165"/>
      <c r="O885" s="165"/>
      <c r="P885" s="165"/>
      <c r="Q885" s="165"/>
      <c r="R885" s="165"/>
      <c r="S885" s="165"/>
      <c r="T885" s="165"/>
      <c r="U885" s="165"/>
      <c r="V885" s="165"/>
      <c r="W885" s="165"/>
      <c r="X885" s="165"/>
      <c r="Y885" s="165"/>
      <c r="Z885" s="165"/>
    </row>
    <row r="886">
      <c r="A886" s="165"/>
      <c r="B886" s="165"/>
      <c r="C886" s="165"/>
      <c r="D886" s="165"/>
      <c r="E886" s="165"/>
      <c r="F886" s="165"/>
      <c r="G886" s="165"/>
      <c r="H886" s="165"/>
      <c r="I886" s="165"/>
      <c r="J886" s="165"/>
      <c r="K886" s="165"/>
      <c r="L886" s="165"/>
      <c r="M886" s="165"/>
      <c r="N886" s="165"/>
      <c r="O886" s="165"/>
      <c r="P886" s="165"/>
      <c r="Q886" s="165"/>
      <c r="R886" s="165"/>
      <c r="S886" s="165"/>
      <c r="T886" s="165"/>
      <c r="U886" s="165"/>
      <c r="V886" s="165"/>
      <c r="W886" s="165"/>
      <c r="X886" s="165"/>
      <c r="Y886" s="165"/>
      <c r="Z886" s="165"/>
    </row>
    <row r="887">
      <c r="A887" s="165"/>
      <c r="B887" s="165"/>
      <c r="C887" s="165"/>
      <c r="D887" s="165"/>
      <c r="E887" s="165"/>
      <c r="F887" s="165"/>
      <c r="G887" s="165"/>
      <c r="H887" s="165"/>
      <c r="I887" s="165"/>
      <c r="J887" s="165"/>
      <c r="K887" s="165"/>
      <c r="L887" s="165"/>
      <c r="M887" s="165"/>
      <c r="N887" s="165"/>
      <c r="O887" s="165"/>
      <c r="P887" s="165"/>
      <c r="Q887" s="165"/>
      <c r="R887" s="165"/>
      <c r="S887" s="165"/>
      <c r="T887" s="165"/>
      <c r="U887" s="165"/>
      <c r="V887" s="165"/>
      <c r="W887" s="165"/>
      <c r="X887" s="165"/>
      <c r="Y887" s="165"/>
      <c r="Z887" s="165"/>
    </row>
    <row r="888">
      <c r="A888" s="165"/>
      <c r="B888" s="165"/>
      <c r="C888" s="165"/>
      <c r="D888" s="165"/>
      <c r="E888" s="165"/>
      <c r="F888" s="165"/>
      <c r="G888" s="165"/>
      <c r="H888" s="165"/>
      <c r="I888" s="165"/>
      <c r="J888" s="165"/>
      <c r="K888" s="165"/>
      <c r="L888" s="165"/>
      <c r="M888" s="165"/>
      <c r="N888" s="165"/>
      <c r="O888" s="165"/>
      <c r="P888" s="165"/>
      <c r="Q888" s="165"/>
      <c r="R888" s="165"/>
      <c r="S888" s="165"/>
      <c r="T888" s="165"/>
      <c r="U888" s="165"/>
      <c r="V888" s="165"/>
      <c r="W888" s="165"/>
      <c r="X888" s="165"/>
      <c r="Y888" s="165"/>
      <c r="Z888" s="165"/>
    </row>
    <row r="889">
      <c r="A889" s="165"/>
      <c r="B889" s="165"/>
      <c r="C889" s="165"/>
      <c r="D889" s="165"/>
      <c r="E889" s="165"/>
      <c r="F889" s="165"/>
      <c r="G889" s="165"/>
      <c r="H889" s="165"/>
      <c r="I889" s="165"/>
      <c r="J889" s="165"/>
      <c r="K889" s="165"/>
      <c r="L889" s="165"/>
      <c r="M889" s="165"/>
      <c r="N889" s="165"/>
      <c r="O889" s="165"/>
      <c r="P889" s="165"/>
      <c r="Q889" s="165"/>
      <c r="R889" s="165"/>
      <c r="S889" s="165"/>
      <c r="T889" s="165"/>
      <c r="U889" s="165"/>
      <c r="V889" s="165"/>
      <c r="W889" s="165"/>
      <c r="X889" s="165"/>
      <c r="Y889" s="165"/>
      <c r="Z889" s="165"/>
    </row>
    <row r="890">
      <c r="A890" s="165"/>
      <c r="B890" s="165"/>
      <c r="C890" s="165"/>
      <c r="D890" s="165"/>
      <c r="E890" s="165"/>
      <c r="F890" s="165"/>
      <c r="G890" s="165"/>
      <c r="H890" s="165"/>
      <c r="I890" s="165"/>
      <c r="J890" s="165"/>
      <c r="K890" s="165"/>
      <c r="L890" s="165"/>
      <c r="M890" s="165"/>
      <c r="N890" s="165"/>
      <c r="O890" s="165"/>
      <c r="P890" s="165"/>
      <c r="Q890" s="165"/>
      <c r="R890" s="165"/>
      <c r="S890" s="165"/>
      <c r="T890" s="165"/>
      <c r="U890" s="165"/>
      <c r="V890" s="165"/>
      <c r="W890" s="165"/>
      <c r="X890" s="165"/>
      <c r="Y890" s="165"/>
      <c r="Z890" s="165"/>
    </row>
    <row r="891">
      <c r="A891" s="165"/>
      <c r="B891" s="165"/>
      <c r="C891" s="165"/>
      <c r="D891" s="165"/>
      <c r="E891" s="165"/>
      <c r="F891" s="165"/>
      <c r="G891" s="165"/>
      <c r="H891" s="165"/>
      <c r="I891" s="165"/>
      <c r="J891" s="165"/>
      <c r="K891" s="165"/>
      <c r="L891" s="165"/>
      <c r="M891" s="165"/>
      <c r="N891" s="165"/>
      <c r="O891" s="165"/>
      <c r="P891" s="165"/>
      <c r="Q891" s="165"/>
      <c r="R891" s="165"/>
      <c r="S891" s="165"/>
      <c r="T891" s="165"/>
      <c r="U891" s="165"/>
      <c r="V891" s="165"/>
      <c r="W891" s="165"/>
      <c r="X891" s="165"/>
      <c r="Y891" s="165"/>
      <c r="Z891" s="165"/>
    </row>
    <row r="892">
      <c r="A892" s="165"/>
      <c r="B892" s="165"/>
      <c r="C892" s="165"/>
      <c r="D892" s="165"/>
      <c r="E892" s="165"/>
      <c r="F892" s="165"/>
      <c r="G892" s="165"/>
      <c r="H892" s="165"/>
      <c r="I892" s="165"/>
      <c r="J892" s="165"/>
      <c r="K892" s="165"/>
      <c r="L892" s="165"/>
      <c r="M892" s="165"/>
      <c r="N892" s="165"/>
      <c r="O892" s="165"/>
      <c r="P892" s="165"/>
      <c r="Q892" s="165"/>
      <c r="R892" s="165"/>
      <c r="S892" s="165"/>
      <c r="T892" s="165"/>
      <c r="U892" s="165"/>
      <c r="V892" s="165"/>
      <c r="W892" s="165"/>
      <c r="X892" s="165"/>
      <c r="Y892" s="165"/>
      <c r="Z892" s="165"/>
    </row>
    <row r="893">
      <c r="A893" s="165"/>
      <c r="B893" s="165"/>
      <c r="C893" s="165"/>
      <c r="D893" s="165"/>
      <c r="E893" s="165"/>
      <c r="F893" s="165"/>
      <c r="G893" s="165"/>
      <c r="H893" s="165"/>
      <c r="I893" s="165"/>
      <c r="J893" s="165"/>
      <c r="K893" s="165"/>
      <c r="L893" s="165"/>
      <c r="M893" s="165"/>
      <c r="N893" s="165"/>
      <c r="O893" s="165"/>
      <c r="P893" s="165"/>
      <c r="Q893" s="165"/>
      <c r="R893" s="165"/>
      <c r="S893" s="165"/>
      <c r="T893" s="165"/>
      <c r="U893" s="165"/>
      <c r="V893" s="165"/>
      <c r="W893" s="165"/>
      <c r="X893" s="165"/>
      <c r="Y893" s="165"/>
      <c r="Z893" s="165"/>
    </row>
    <row r="894">
      <c r="A894" s="165"/>
      <c r="B894" s="165"/>
      <c r="C894" s="165"/>
      <c r="D894" s="165"/>
      <c r="E894" s="165"/>
      <c r="F894" s="165"/>
      <c r="G894" s="165"/>
      <c r="H894" s="165"/>
      <c r="I894" s="165"/>
      <c r="J894" s="165"/>
      <c r="K894" s="165"/>
      <c r="L894" s="165"/>
      <c r="M894" s="165"/>
      <c r="N894" s="165"/>
      <c r="O894" s="165"/>
      <c r="P894" s="165"/>
      <c r="Q894" s="165"/>
      <c r="R894" s="165"/>
      <c r="S894" s="165"/>
      <c r="T894" s="165"/>
      <c r="U894" s="165"/>
      <c r="V894" s="165"/>
      <c r="W894" s="165"/>
      <c r="X894" s="165"/>
      <c r="Y894" s="165"/>
      <c r="Z894" s="165"/>
    </row>
    <row r="895">
      <c r="A895" s="165"/>
      <c r="B895" s="165"/>
      <c r="C895" s="165"/>
      <c r="D895" s="165"/>
      <c r="E895" s="165"/>
      <c r="F895" s="165"/>
      <c r="G895" s="165"/>
      <c r="H895" s="165"/>
      <c r="I895" s="165"/>
      <c r="J895" s="165"/>
      <c r="K895" s="165"/>
      <c r="L895" s="165"/>
      <c r="M895" s="165"/>
      <c r="N895" s="165"/>
      <c r="O895" s="165"/>
      <c r="P895" s="165"/>
      <c r="Q895" s="165"/>
      <c r="R895" s="165"/>
      <c r="S895" s="165"/>
      <c r="T895" s="165"/>
      <c r="U895" s="165"/>
      <c r="V895" s="165"/>
      <c r="W895" s="165"/>
      <c r="X895" s="165"/>
      <c r="Y895" s="165"/>
      <c r="Z895" s="165"/>
    </row>
    <row r="896">
      <c r="A896" s="165"/>
      <c r="B896" s="165"/>
      <c r="C896" s="165"/>
      <c r="D896" s="165"/>
      <c r="E896" s="165"/>
      <c r="F896" s="165"/>
      <c r="G896" s="165"/>
      <c r="H896" s="165"/>
      <c r="I896" s="165"/>
      <c r="J896" s="165"/>
      <c r="K896" s="165"/>
      <c r="L896" s="165"/>
      <c r="M896" s="165"/>
      <c r="N896" s="165"/>
      <c r="O896" s="165"/>
      <c r="P896" s="165"/>
      <c r="Q896" s="165"/>
      <c r="R896" s="165"/>
      <c r="S896" s="165"/>
      <c r="T896" s="165"/>
      <c r="U896" s="165"/>
      <c r="V896" s="165"/>
      <c r="W896" s="165"/>
      <c r="X896" s="165"/>
      <c r="Y896" s="165"/>
      <c r="Z896" s="165"/>
    </row>
    <row r="897">
      <c r="A897" s="165"/>
      <c r="B897" s="165"/>
      <c r="C897" s="165"/>
      <c r="D897" s="165"/>
      <c r="E897" s="165"/>
      <c r="F897" s="165"/>
      <c r="G897" s="165"/>
      <c r="H897" s="165"/>
      <c r="I897" s="165"/>
      <c r="J897" s="165"/>
      <c r="K897" s="165"/>
      <c r="L897" s="165"/>
      <c r="M897" s="165"/>
      <c r="N897" s="165"/>
      <c r="O897" s="165"/>
      <c r="P897" s="165"/>
      <c r="Q897" s="165"/>
      <c r="R897" s="165"/>
      <c r="S897" s="165"/>
      <c r="T897" s="165"/>
      <c r="U897" s="165"/>
      <c r="V897" s="165"/>
      <c r="W897" s="165"/>
      <c r="X897" s="165"/>
      <c r="Y897" s="165"/>
      <c r="Z897" s="165"/>
    </row>
    <row r="898">
      <c r="A898" s="165"/>
      <c r="B898" s="165"/>
      <c r="C898" s="165"/>
      <c r="D898" s="165"/>
      <c r="E898" s="165"/>
      <c r="F898" s="165"/>
      <c r="G898" s="165"/>
      <c r="H898" s="165"/>
      <c r="I898" s="165"/>
      <c r="J898" s="165"/>
      <c r="K898" s="165"/>
      <c r="L898" s="165"/>
      <c r="M898" s="165"/>
      <c r="N898" s="165"/>
      <c r="O898" s="165"/>
      <c r="P898" s="165"/>
      <c r="Q898" s="165"/>
      <c r="R898" s="165"/>
      <c r="S898" s="165"/>
      <c r="T898" s="165"/>
      <c r="U898" s="165"/>
      <c r="V898" s="165"/>
      <c r="W898" s="165"/>
      <c r="X898" s="165"/>
      <c r="Y898" s="165"/>
      <c r="Z898" s="165"/>
    </row>
    <row r="899">
      <c r="A899" s="165"/>
      <c r="B899" s="165"/>
      <c r="C899" s="165"/>
      <c r="D899" s="165"/>
      <c r="E899" s="165"/>
      <c r="F899" s="165"/>
      <c r="G899" s="165"/>
      <c r="H899" s="165"/>
      <c r="I899" s="165"/>
      <c r="J899" s="165"/>
      <c r="K899" s="165"/>
      <c r="L899" s="165"/>
      <c r="M899" s="165"/>
      <c r="N899" s="165"/>
      <c r="O899" s="165"/>
      <c r="P899" s="165"/>
      <c r="Q899" s="165"/>
      <c r="R899" s="165"/>
      <c r="S899" s="165"/>
      <c r="T899" s="165"/>
      <c r="U899" s="165"/>
      <c r="V899" s="165"/>
      <c r="W899" s="165"/>
      <c r="X899" s="165"/>
      <c r="Y899" s="165"/>
      <c r="Z899" s="165"/>
    </row>
    <row r="900">
      <c r="A900" s="165"/>
      <c r="B900" s="165"/>
      <c r="C900" s="165"/>
      <c r="D900" s="165"/>
      <c r="E900" s="165"/>
      <c r="F900" s="165"/>
      <c r="G900" s="165"/>
      <c r="H900" s="165"/>
      <c r="I900" s="165"/>
      <c r="J900" s="165"/>
      <c r="K900" s="165"/>
      <c r="L900" s="165"/>
      <c r="M900" s="165"/>
      <c r="N900" s="165"/>
      <c r="O900" s="165"/>
      <c r="P900" s="165"/>
      <c r="Q900" s="165"/>
      <c r="R900" s="165"/>
      <c r="S900" s="165"/>
      <c r="T900" s="165"/>
      <c r="U900" s="165"/>
      <c r="V900" s="165"/>
      <c r="W900" s="165"/>
      <c r="X900" s="165"/>
      <c r="Y900" s="165"/>
      <c r="Z900" s="165"/>
    </row>
    <row r="901">
      <c r="A901" s="165"/>
      <c r="B901" s="165"/>
      <c r="C901" s="165"/>
      <c r="D901" s="165"/>
      <c r="E901" s="165"/>
      <c r="F901" s="165"/>
      <c r="G901" s="165"/>
      <c r="H901" s="165"/>
      <c r="I901" s="165"/>
      <c r="J901" s="165"/>
      <c r="K901" s="165"/>
      <c r="L901" s="165"/>
      <c r="M901" s="165"/>
      <c r="N901" s="165"/>
      <c r="O901" s="165"/>
      <c r="P901" s="165"/>
      <c r="Q901" s="165"/>
      <c r="R901" s="165"/>
      <c r="S901" s="165"/>
      <c r="T901" s="165"/>
      <c r="U901" s="165"/>
      <c r="V901" s="165"/>
      <c r="W901" s="165"/>
      <c r="X901" s="165"/>
      <c r="Y901" s="165"/>
      <c r="Z901" s="165"/>
    </row>
    <row r="902">
      <c r="A902" s="165"/>
      <c r="B902" s="165"/>
      <c r="C902" s="165"/>
      <c r="D902" s="165"/>
      <c r="E902" s="165"/>
      <c r="F902" s="165"/>
      <c r="G902" s="165"/>
      <c r="H902" s="165"/>
      <c r="I902" s="165"/>
      <c r="J902" s="165"/>
      <c r="K902" s="165"/>
      <c r="L902" s="165"/>
      <c r="M902" s="165"/>
      <c r="N902" s="165"/>
      <c r="O902" s="165"/>
      <c r="P902" s="165"/>
      <c r="Q902" s="165"/>
      <c r="R902" s="165"/>
      <c r="S902" s="165"/>
      <c r="T902" s="165"/>
      <c r="U902" s="165"/>
      <c r="V902" s="165"/>
      <c r="W902" s="165"/>
      <c r="X902" s="165"/>
      <c r="Y902" s="165"/>
      <c r="Z902" s="165"/>
    </row>
    <row r="903">
      <c r="A903" s="165"/>
      <c r="B903" s="165"/>
      <c r="C903" s="165"/>
      <c r="D903" s="165"/>
      <c r="E903" s="165"/>
      <c r="F903" s="165"/>
      <c r="G903" s="165"/>
      <c r="H903" s="165"/>
      <c r="I903" s="165"/>
      <c r="J903" s="165"/>
      <c r="K903" s="165"/>
      <c r="L903" s="165"/>
      <c r="M903" s="165"/>
      <c r="N903" s="165"/>
      <c r="O903" s="165"/>
      <c r="P903" s="165"/>
      <c r="Q903" s="165"/>
      <c r="R903" s="165"/>
      <c r="S903" s="165"/>
      <c r="T903" s="165"/>
      <c r="U903" s="165"/>
      <c r="V903" s="165"/>
      <c r="W903" s="165"/>
      <c r="X903" s="165"/>
      <c r="Y903" s="165"/>
      <c r="Z903" s="165"/>
    </row>
    <row r="904">
      <c r="A904" s="165"/>
      <c r="B904" s="165"/>
      <c r="C904" s="165"/>
      <c r="D904" s="165"/>
      <c r="E904" s="165"/>
      <c r="F904" s="165"/>
      <c r="G904" s="165"/>
      <c r="H904" s="165"/>
      <c r="I904" s="165"/>
      <c r="J904" s="165"/>
      <c r="K904" s="165"/>
      <c r="L904" s="165"/>
      <c r="M904" s="165"/>
      <c r="N904" s="165"/>
      <c r="O904" s="165"/>
      <c r="P904" s="165"/>
      <c r="Q904" s="165"/>
      <c r="R904" s="165"/>
      <c r="S904" s="165"/>
      <c r="T904" s="165"/>
      <c r="U904" s="165"/>
      <c r="V904" s="165"/>
      <c r="W904" s="165"/>
      <c r="X904" s="165"/>
      <c r="Y904" s="165"/>
      <c r="Z904" s="165"/>
    </row>
    <row r="905">
      <c r="A905" s="165"/>
      <c r="B905" s="165"/>
      <c r="C905" s="165"/>
      <c r="D905" s="165"/>
      <c r="E905" s="165"/>
      <c r="F905" s="165"/>
      <c r="G905" s="165"/>
      <c r="H905" s="165"/>
      <c r="I905" s="165"/>
      <c r="J905" s="165"/>
      <c r="K905" s="165"/>
      <c r="L905" s="165"/>
      <c r="M905" s="165"/>
      <c r="N905" s="165"/>
      <c r="O905" s="165"/>
      <c r="P905" s="165"/>
      <c r="Q905" s="165"/>
      <c r="R905" s="165"/>
      <c r="S905" s="165"/>
      <c r="T905" s="165"/>
      <c r="U905" s="165"/>
      <c r="V905" s="165"/>
      <c r="W905" s="165"/>
      <c r="X905" s="165"/>
      <c r="Y905" s="165"/>
      <c r="Z905" s="165"/>
    </row>
    <row r="906">
      <c r="A906" s="165"/>
      <c r="B906" s="165"/>
      <c r="C906" s="165"/>
      <c r="D906" s="165"/>
      <c r="E906" s="165"/>
      <c r="F906" s="165"/>
      <c r="G906" s="165"/>
      <c r="H906" s="165"/>
      <c r="I906" s="165"/>
      <c r="J906" s="165"/>
      <c r="K906" s="165"/>
      <c r="L906" s="165"/>
      <c r="M906" s="165"/>
      <c r="N906" s="165"/>
      <c r="O906" s="165"/>
      <c r="P906" s="165"/>
      <c r="Q906" s="165"/>
      <c r="R906" s="165"/>
      <c r="S906" s="165"/>
      <c r="T906" s="165"/>
      <c r="U906" s="165"/>
      <c r="V906" s="165"/>
      <c r="W906" s="165"/>
      <c r="X906" s="165"/>
      <c r="Y906" s="165"/>
      <c r="Z906" s="165"/>
    </row>
    <row r="907">
      <c r="A907" s="165"/>
      <c r="B907" s="165"/>
      <c r="C907" s="165"/>
      <c r="D907" s="165"/>
      <c r="E907" s="165"/>
      <c r="F907" s="165"/>
      <c r="G907" s="165"/>
      <c r="H907" s="165"/>
      <c r="I907" s="165"/>
      <c r="J907" s="165"/>
      <c r="K907" s="165"/>
      <c r="L907" s="165"/>
      <c r="M907" s="165"/>
      <c r="N907" s="165"/>
      <c r="O907" s="165"/>
      <c r="P907" s="165"/>
      <c r="Q907" s="165"/>
      <c r="R907" s="165"/>
      <c r="S907" s="165"/>
      <c r="T907" s="165"/>
      <c r="U907" s="165"/>
      <c r="V907" s="165"/>
      <c r="W907" s="165"/>
      <c r="X907" s="165"/>
      <c r="Y907" s="165"/>
      <c r="Z907" s="165"/>
    </row>
    <row r="908">
      <c r="A908" s="165"/>
      <c r="B908" s="165"/>
      <c r="C908" s="165"/>
      <c r="D908" s="165"/>
      <c r="E908" s="165"/>
      <c r="F908" s="165"/>
      <c r="G908" s="165"/>
      <c r="H908" s="165"/>
      <c r="I908" s="165"/>
      <c r="J908" s="165"/>
      <c r="K908" s="165"/>
      <c r="L908" s="165"/>
      <c r="M908" s="165"/>
      <c r="N908" s="165"/>
      <c r="O908" s="165"/>
      <c r="P908" s="165"/>
      <c r="Q908" s="165"/>
      <c r="R908" s="165"/>
      <c r="S908" s="165"/>
      <c r="T908" s="165"/>
      <c r="U908" s="165"/>
      <c r="V908" s="165"/>
      <c r="W908" s="165"/>
      <c r="X908" s="165"/>
      <c r="Y908" s="165"/>
      <c r="Z908" s="165"/>
    </row>
    <row r="909">
      <c r="A909" s="165"/>
      <c r="B909" s="165"/>
      <c r="C909" s="165"/>
      <c r="D909" s="165"/>
      <c r="E909" s="165"/>
      <c r="F909" s="165"/>
      <c r="G909" s="165"/>
      <c r="H909" s="165"/>
      <c r="I909" s="165"/>
      <c r="J909" s="165"/>
      <c r="K909" s="165"/>
      <c r="L909" s="165"/>
      <c r="M909" s="165"/>
      <c r="N909" s="165"/>
      <c r="O909" s="165"/>
      <c r="P909" s="165"/>
      <c r="Q909" s="165"/>
      <c r="R909" s="165"/>
      <c r="S909" s="165"/>
      <c r="T909" s="165"/>
      <c r="U909" s="165"/>
      <c r="V909" s="165"/>
      <c r="W909" s="165"/>
      <c r="X909" s="165"/>
      <c r="Y909" s="165"/>
      <c r="Z909" s="165"/>
    </row>
    <row r="910">
      <c r="A910" s="165"/>
      <c r="B910" s="165"/>
      <c r="C910" s="165"/>
      <c r="D910" s="165"/>
      <c r="E910" s="165"/>
      <c r="F910" s="165"/>
      <c r="G910" s="165"/>
      <c r="H910" s="165"/>
      <c r="I910" s="165"/>
      <c r="J910" s="165"/>
      <c r="K910" s="165"/>
      <c r="L910" s="165"/>
      <c r="M910" s="165"/>
      <c r="N910" s="165"/>
      <c r="O910" s="165"/>
      <c r="P910" s="165"/>
      <c r="Q910" s="165"/>
      <c r="R910" s="165"/>
      <c r="S910" s="165"/>
      <c r="T910" s="165"/>
      <c r="U910" s="165"/>
      <c r="V910" s="165"/>
      <c r="W910" s="165"/>
      <c r="X910" s="165"/>
      <c r="Y910" s="165"/>
      <c r="Z910" s="165"/>
    </row>
    <row r="911">
      <c r="A911" s="165"/>
      <c r="B911" s="165"/>
      <c r="C911" s="165"/>
      <c r="D911" s="165"/>
      <c r="E911" s="165"/>
      <c r="F911" s="165"/>
      <c r="G911" s="165"/>
      <c r="H911" s="165"/>
      <c r="I911" s="165"/>
      <c r="J911" s="165"/>
      <c r="K911" s="165"/>
      <c r="L911" s="165"/>
      <c r="M911" s="165"/>
      <c r="N911" s="165"/>
      <c r="O911" s="165"/>
      <c r="P911" s="165"/>
      <c r="Q911" s="165"/>
      <c r="R911" s="165"/>
      <c r="S911" s="165"/>
      <c r="T911" s="165"/>
      <c r="U911" s="165"/>
      <c r="V911" s="165"/>
      <c r="W911" s="165"/>
      <c r="X911" s="165"/>
      <c r="Y911" s="165"/>
      <c r="Z911" s="165"/>
    </row>
    <row r="912">
      <c r="A912" s="165"/>
      <c r="B912" s="165"/>
      <c r="C912" s="165"/>
      <c r="D912" s="165"/>
      <c r="E912" s="165"/>
      <c r="F912" s="165"/>
      <c r="G912" s="165"/>
      <c r="H912" s="165"/>
      <c r="I912" s="165"/>
      <c r="J912" s="165"/>
      <c r="K912" s="165"/>
      <c r="L912" s="165"/>
      <c r="M912" s="165"/>
      <c r="N912" s="165"/>
      <c r="O912" s="165"/>
      <c r="P912" s="165"/>
      <c r="Q912" s="165"/>
      <c r="R912" s="165"/>
      <c r="S912" s="165"/>
      <c r="T912" s="165"/>
      <c r="U912" s="165"/>
      <c r="V912" s="165"/>
      <c r="W912" s="165"/>
      <c r="X912" s="165"/>
      <c r="Y912" s="165"/>
      <c r="Z912" s="165"/>
    </row>
    <row r="913">
      <c r="A913" s="165"/>
      <c r="B913" s="165"/>
      <c r="C913" s="165"/>
      <c r="D913" s="165"/>
      <c r="E913" s="165"/>
      <c r="F913" s="165"/>
      <c r="G913" s="165"/>
      <c r="H913" s="165"/>
      <c r="I913" s="165"/>
      <c r="J913" s="165"/>
      <c r="K913" s="165"/>
      <c r="L913" s="165"/>
      <c r="M913" s="165"/>
      <c r="N913" s="165"/>
      <c r="O913" s="165"/>
      <c r="P913" s="165"/>
      <c r="Q913" s="165"/>
      <c r="R913" s="165"/>
      <c r="S913" s="165"/>
      <c r="T913" s="165"/>
      <c r="U913" s="165"/>
      <c r="V913" s="165"/>
      <c r="W913" s="165"/>
      <c r="X913" s="165"/>
      <c r="Y913" s="165"/>
      <c r="Z913" s="165"/>
    </row>
    <row r="914">
      <c r="A914" s="165"/>
      <c r="B914" s="165"/>
      <c r="C914" s="165"/>
      <c r="D914" s="165"/>
      <c r="E914" s="165"/>
      <c r="F914" s="165"/>
      <c r="G914" s="165"/>
      <c r="H914" s="165"/>
      <c r="I914" s="165"/>
      <c r="J914" s="165"/>
      <c r="K914" s="165"/>
      <c r="L914" s="165"/>
      <c r="M914" s="165"/>
      <c r="N914" s="165"/>
      <c r="O914" s="165"/>
      <c r="P914" s="165"/>
      <c r="Q914" s="165"/>
      <c r="R914" s="165"/>
      <c r="S914" s="165"/>
      <c r="T914" s="165"/>
      <c r="U914" s="165"/>
      <c r="V914" s="165"/>
      <c r="W914" s="165"/>
      <c r="X914" s="165"/>
      <c r="Y914" s="165"/>
      <c r="Z914" s="165"/>
    </row>
    <row r="915">
      <c r="A915" s="165"/>
      <c r="B915" s="165"/>
      <c r="C915" s="165"/>
      <c r="D915" s="165"/>
      <c r="E915" s="165"/>
      <c r="F915" s="165"/>
      <c r="G915" s="165"/>
      <c r="H915" s="165"/>
      <c r="I915" s="165"/>
      <c r="J915" s="165"/>
      <c r="K915" s="165"/>
      <c r="L915" s="165"/>
      <c r="M915" s="165"/>
      <c r="N915" s="165"/>
      <c r="O915" s="165"/>
      <c r="P915" s="165"/>
      <c r="Q915" s="165"/>
      <c r="R915" s="165"/>
      <c r="S915" s="165"/>
      <c r="T915" s="165"/>
      <c r="U915" s="165"/>
      <c r="V915" s="165"/>
      <c r="W915" s="165"/>
      <c r="X915" s="165"/>
      <c r="Y915" s="165"/>
      <c r="Z915" s="165"/>
    </row>
    <row r="916">
      <c r="A916" s="165"/>
      <c r="B916" s="165"/>
      <c r="C916" s="165"/>
      <c r="D916" s="165"/>
      <c r="E916" s="165"/>
      <c r="F916" s="165"/>
      <c r="G916" s="165"/>
      <c r="H916" s="165"/>
      <c r="I916" s="165"/>
      <c r="J916" s="165"/>
      <c r="K916" s="165"/>
      <c r="L916" s="165"/>
      <c r="M916" s="165"/>
      <c r="N916" s="165"/>
      <c r="O916" s="165"/>
      <c r="P916" s="165"/>
      <c r="Q916" s="165"/>
      <c r="R916" s="165"/>
      <c r="S916" s="165"/>
      <c r="T916" s="165"/>
      <c r="U916" s="165"/>
      <c r="V916" s="165"/>
      <c r="W916" s="165"/>
      <c r="X916" s="165"/>
      <c r="Y916" s="165"/>
      <c r="Z916" s="165"/>
    </row>
    <row r="917">
      <c r="A917" s="165"/>
      <c r="B917" s="165"/>
      <c r="C917" s="165"/>
      <c r="D917" s="165"/>
      <c r="E917" s="165"/>
      <c r="F917" s="165"/>
      <c r="G917" s="165"/>
      <c r="H917" s="165"/>
      <c r="I917" s="165"/>
      <c r="J917" s="165"/>
      <c r="K917" s="165"/>
      <c r="L917" s="165"/>
      <c r="M917" s="165"/>
      <c r="N917" s="165"/>
      <c r="O917" s="165"/>
      <c r="P917" s="165"/>
      <c r="Q917" s="165"/>
      <c r="R917" s="165"/>
      <c r="S917" s="165"/>
      <c r="T917" s="165"/>
      <c r="U917" s="165"/>
      <c r="V917" s="165"/>
      <c r="W917" s="165"/>
      <c r="X917" s="165"/>
      <c r="Y917" s="165"/>
      <c r="Z917" s="165"/>
    </row>
    <row r="918">
      <c r="A918" s="165"/>
      <c r="B918" s="165"/>
      <c r="C918" s="165"/>
      <c r="D918" s="165"/>
      <c r="E918" s="165"/>
      <c r="F918" s="165"/>
      <c r="G918" s="165"/>
      <c r="H918" s="165"/>
      <c r="I918" s="165"/>
      <c r="J918" s="165"/>
      <c r="K918" s="165"/>
      <c r="L918" s="165"/>
      <c r="M918" s="165"/>
      <c r="N918" s="165"/>
      <c r="O918" s="165"/>
      <c r="P918" s="165"/>
      <c r="Q918" s="165"/>
      <c r="R918" s="165"/>
      <c r="S918" s="165"/>
      <c r="T918" s="165"/>
      <c r="U918" s="165"/>
      <c r="V918" s="165"/>
      <c r="W918" s="165"/>
      <c r="X918" s="165"/>
      <c r="Y918" s="165"/>
      <c r="Z918" s="165"/>
    </row>
    <row r="919">
      <c r="A919" s="165"/>
      <c r="B919" s="165"/>
      <c r="C919" s="165"/>
      <c r="D919" s="165"/>
      <c r="E919" s="165"/>
      <c r="F919" s="165"/>
      <c r="G919" s="165"/>
      <c r="H919" s="165"/>
      <c r="I919" s="165"/>
      <c r="J919" s="165"/>
      <c r="K919" s="165"/>
      <c r="L919" s="165"/>
      <c r="M919" s="165"/>
      <c r="N919" s="165"/>
      <c r="O919" s="165"/>
      <c r="P919" s="165"/>
      <c r="Q919" s="165"/>
      <c r="R919" s="165"/>
      <c r="S919" s="165"/>
      <c r="T919" s="165"/>
      <c r="U919" s="165"/>
      <c r="V919" s="165"/>
      <c r="W919" s="165"/>
      <c r="X919" s="165"/>
      <c r="Y919" s="165"/>
      <c r="Z919" s="165"/>
    </row>
    <row r="920">
      <c r="A920" s="165"/>
      <c r="B920" s="165"/>
      <c r="C920" s="165"/>
      <c r="D920" s="165"/>
      <c r="E920" s="165"/>
      <c r="F920" s="165"/>
      <c r="G920" s="165"/>
      <c r="H920" s="165"/>
      <c r="I920" s="165"/>
      <c r="J920" s="165"/>
      <c r="K920" s="165"/>
      <c r="L920" s="165"/>
      <c r="M920" s="165"/>
      <c r="N920" s="165"/>
      <c r="O920" s="165"/>
      <c r="P920" s="165"/>
      <c r="Q920" s="165"/>
      <c r="R920" s="165"/>
      <c r="S920" s="165"/>
      <c r="T920" s="165"/>
      <c r="U920" s="165"/>
      <c r="V920" s="165"/>
      <c r="W920" s="165"/>
      <c r="X920" s="165"/>
      <c r="Y920" s="165"/>
      <c r="Z920" s="165"/>
    </row>
    <row r="921">
      <c r="A921" s="165"/>
      <c r="B921" s="165"/>
      <c r="C921" s="165"/>
      <c r="D921" s="165"/>
      <c r="E921" s="165"/>
      <c r="F921" s="165"/>
      <c r="G921" s="165"/>
      <c r="H921" s="165"/>
      <c r="I921" s="165"/>
      <c r="J921" s="165"/>
      <c r="K921" s="165"/>
      <c r="L921" s="165"/>
      <c r="M921" s="165"/>
      <c r="N921" s="165"/>
      <c r="O921" s="165"/>
      <c r="P921" s="165"/>
      <c r="Q921" s="165"/>
      <c r="R921" s="165"/>
      <c r="S921" s="165"/>
      <c r="T921" s="165"/>
      <c r="U921" s="165"/>
      <c r="V921" s="165"/>
      <c r="W921" s="165"/>
      <c r="X921" s="165"/>
      <c r="Y921" s="165"/>
      <c r="Z921" s="165"/>
    </row>
    <row r="922">
      <c r="A922" s="165"/>
      <c r="B922" s="165"/>
      <c r="C922" s="165"/>
      <c r="D922" s="165"/>
      <c r="E922" s="165"/>
      <c r="F922" s="165"/>
      <c r="G922" s="165"/>
      <c r="H922" s="165"/>
      <c r="I922" s="165"/>
      <c r="J922" s="165"/>
      <c r="K922" s="165"/>
      <c r="L922" s="165"/>
      <c r="M922" s="165"/>
      <c r="N922" s="165"/>
      <c r="O922" s="165"/>
      <c r="P922" s="165"/>
      <c r="Q922" s="165"/>
      <c r="R922" s="165"/>
      <c r="S922" s="165"/>
      <c r="T922" s="165"/>
      <c r="U922" s="165"/>
      <c r="V922" s="165"/>
      <c r="W922" s="165"/>
      <c r="X922" s="165"/>
      <c r="Y922" s="165"/>
      <c r="Z922" s="165"/>
    </row>
    <row r="923">
      <c r="A923" s="165"/>
      <c r="B923" s="165"/>
      <c r="C923" s="165"/>
      <c r="D923" s="165"/>
      <c r="E923" s="165"/>
      <c r="F923" s="165"/>
      <c r="G923" s="165"/>
      <c r="H923" s="165"/>
      <c r="I923" s="165"/>
      <c r="J923" s="165"/>
      <c r="K923" s="165"/>
      <c r="L923" s="165"/>
      <c r="M923" s="165"/>
      <c r="N923" s="165"/>
      <c r="O923" s="165"/>
      <c r="P923" s="165"/>
      <c r="Q923" s="165"/>
      <c r="R923" s="165"/>
      <c r="S923" s="165"/>
      <c r="T923" s="165"/>
      <c r="U923" s="165"/>
      <c r="V923" s="165"/>
      <c r="W923" s="165"/>
      <c r="X923" s="165"/>
      <c r="Y923" s="165"/>
      <c r="Z923" s="165"/>
    </row>
    <row r="924">
      <c r="A924" s="165"/>
      <c r="B924" s="165"/>
      <c r="C924" s="165"/>
      <c r="D924" s="165"/>
      <c r="E924" s="165"/>
      <c r="F924" s="165"/>
      <c r="G924" s="165"/>
      <c r="H924" s="165"/>
      <c r="I924" s="165"/>
      <c r="J924" s="165"/>
      <c r="K924" s="165"/>
      <c r="L924" s="165"/>
      <c r="M924" s="165"/>
      <c r="N924" s="165"/>
      <c r="O924" s="165"/>
      <c r="P924" s="165"/>
      <c r="Q924" s="165"/>
      <c r="R924" s="165"/>
      <c r="S924" s="165"/>
      <c r="T924" s="165"/>
      <c r="U924" s="165"/>
      <c r="V924" s="165"/>
      <c r="W924" s="165"/>
      <c r="X924" s="165"/>
      <c r="Y924" s="165"/>
      <c r="Z924" s="165"/>
    </row>
    <row r="925">
      <c r="A925" s="165"/>
      <c r="B925" s="165"/>
      <c r="C925" s="165"/>
      <c r="D925" s="165"/>
      <c r="E925" s="165"/>
      <c r="F925" s="165"/>
      <c r="G925" s="165"/>
      <c r="H925" s="165"/>
      <c r="I925" s="165"/>
      <c r="J925" s="165"/>
      <c r="K925" s="165"/>
      <c r="L925" s="165"/>
      <c r="M925" s="165"/>
      <c r="N925" s="165"/>
      <c r="O925" s="165"/>
      <c r="P925" s="165"/>
      <c r="Q925" s="165"/>
      <c r="R925" s="165"/>
      <c r="S925" s="165"/>
      <c r="T925" s="165"/>
      <c r="U925" s="165"/>
      <c r="V925" s="165"/>
      <c r="W925" s="165"/>
      <c r="X925" s="165"/>
      <c r="Y925" s="165"/>
      <c r="Z925" s="165"/>
    </row>
    <row r="926">
      <c r="A926" s="165"/>
      <c r="B926" s="165"/>
      <c r="C926" s="165"/>
      <c r="D926" s="165"/>
      <c r="E926" s="165"/>
      <c r="F926" s="165"/>
      <c r="G926" s="165"/>
      <c r="H926" s="165"/>
      <c r="I926" s="165"/>
      <c r="J926" s="165"/>
      <c r="K926" s="165"/>
      <c r="L926" s="165"/>
      <c r="M926" s="165"/>
      <c r="N926" s="165"/>
      <c r="O926" s="165"/>
      <c r="P926" s="165"/>
      <c r="Q926" s="165"/>
      <c r="R926" s="165"/>
      <c r="S926" s="165"/>
      <c r="T926" s="165"/>
      <c r="U926" s="165"/>
      <c r="V926" s="165"/>
      <c r="W926" s="165"/>
      <c r="X926" s="165"/>
      <c r="Y926" s="165"/>
      <c r="Z926" s="165"/>
    </row>
    <row r="927">
      <c r="A927" s="165"/>
      <c r="B927" s="165"/>
      <c r="C927" s="165"/>
      <c r="D927" s="165"/>
      <c r="E927" s="165"/>
      <c r="F927" s="165"/>
      <c r="G927" s="165"/>
      <c r="H927" s="165"/>
      <c r="I927" s="165"/>
      <c r="J927" s="165"/>
      <c r="K927" s="165"/>
      <c r="L927" s="165"/>
      <c r="M927" s="165"/>
      <c r="N927" s="165"/>
      <c r="O927" s="165"/>
      <c r="P927" s="165"/>
      <c r="Q927" s="165"/>
      <c r="R927" s="165"/>
      <c r="S927" s="165"/>
      <c r="T927" s="165"/>
      <c r="U927" s="165"/>
      <c r="V927" s="165"/>
      <c r="W927" s="165"/>
      <c r="X927" s="165"/>
      <c r="Y927" s="165"/>
      <c r="Z927" s="165"/>
    </row>
    <row r="928">
      <c r="A928" s="165"/>
      <c r="B928" s="165"/>
      <c r="C928" s="165"/>
      <c r="D928" s="165"/>
      <c r="E928" s="165"/>
      <c r="F928" s="165"/>
      <c r="G928" s="165"/>
      <c r="H928" s="165"/>
      <c r="I928" s="165"/>
      <c r="J928" s="165"/>
      <c r="K928" s="165"/>
      <c r="L928" s="165"/>
      <c r="M928" s="165"/>
      <c r="N928" s="165"/>
      <c r="O928" s="165"/>
      <c r="P928" s="165"/>
      <c r="Q928" s="165"/>
      <c r="R928" s="165"/>
      <c r="S928" s="165"/>
      <c r="T928" s="165"/>
      <c r="U928" s="165"/>
      <c r="V928" s="165"/>
      <c r="W928" s="165"/>
      <c r="X928" s="165"/>
      <c r="Y928" s="165"/>
      <c r="Z928" s="165"/>
    </row>
    <row r="929">
      <c r="A929" s="165"/>
      <c r="B929" s="165"/>
      <c r="C929" s="165"/>
      <c r="D929" s="165"/>
      <c r="E929" s="165"/>
      <c r="F929" s="165"/>
      <c r="G929" s="165"/>
      <c r="H929" s="165"/>
      <c r="I929" s="165"/>
      <c r="J929" s="165"/>
      <c r="K929" s="165"/>
      <c r="L929" s="165"/>
      <c r="M929" s="165"/>
      <c r="N929" s="165"/>
      <c r="O929" s="165"/>
      <c r="P929" s="165"/>
      <c r="Q929" s="165"/>
      <c r="R929" s="165"/>
      <c r="S929" s="165"/>
      <c r="T929" s="165"/>
      <c r="U929" s="165"/>
      <c r="V929" s="165"/>
      <c r="W929" s="165"/>
      <c r="X929" s="165"/>
      <c r="Y929" s="165"/>
      <c r="Z929" s="165"/>
    </row>
    <row r="930">
      <c r="A930" s="165"/>
      <c r="B930" s="165"/>
      <c r="C930" s="165"/>
      <c r="D930" s="165"/>
      <c r="E930" s="165"/>
      <c r="F930" s="165"/>
      <c r="G930" s="165"/>
      <c r="H930" s="165"/>
      <c r="I930" s="165"/>
      <c r="J930" s="165"/>
      <c r="K930" s="165"/>
      <c r="L930" s="165"/>
      <c r="M930" s="165"/>
      <c r="N930" s="165"/>
      <c r="O930" s="165"/>
      <c r="P930" s="165"/>
      <c r="Q930" s="165"/>
      <c r="R930" s="165"/>
      <c r="S930" s="165"/>
      <c r="T930" s="165"/>
      <c r="U930" s="165"/>
      <c r="V930" s="165"/>
      <c r="W930" s="165"/>
      <c r="X930" s="165"/>
      <c r="Y930" s="165"/>
      <c r="Z930" s="165"/>
    </row>
    <row r="931">
      <c r="A931" s="165"/>
      <c r="B931" s="165"/>
      <c r="C931" s="165"/>
      <c r="D931" s="165"/>
      <c r="E931" s="165"/>
      <c r="F931" s="165"/>
      <c r="G931" s="165"/>
      <c r="H931" s="165"/>
      <c r="I931" s="165"/>
      <c r="J931" s="165"/>
      <c r="K931" s="165"/>
      <c r="L931" s="165"/>
      <c r="M931" s="165"/>
      <c r="N931" s="165"/>
      <c r="O931" s="165"/>
      <c r="P931" s="165"/>
      <c r="Q931" s="165"/>
      <c r="R931" s="165"/>
      <c r="S931" s="165"/>
      <c r="T931" s="165"/>
      <c r="U931" s="165"/>
      <c r="V931" s="165"/>
      <c r="W931" s="165"/>
      <c r="X931" s="165"/>
      <c r="Y931" s="165"/>
      <c r="Z931" s="165"/>
    </row>
    <row r="932">
      <c r="A932" s="165"/>
      <c r="B932" s="165"/>
      <c r="C932" s="165"/>
      <c r="D932" s="165"/>
      <c r="E932" s="165"/>
      <c r="F932" s="165"/>
      <c r="G932" s="165"/>
      <c r="H932" s="165"/>
      <c r="I932" s="165"/>
      <c r="J932" s="165"/>
      <c r="K932" s="165"/>
      <c r="L932" s="165"/>
      <c r="M932" s="165"/>
      <c r="N932" s="165"/>
      <c r="O932" s="165"/>
      <c r="P932" s="165"/>
      <c r="Q932" s="165"/>
      <c r="R932" s="165"/>
      <c r="S932" s="165"/>
      <c r="T932" s="165"/>
      <c r="U932" s="165"/>
      <c r="V932" s="165"/>
      <c r="W932" s="165"/>
      <c r="X932" s="165"/>
      <c r="Y932" s="165"/>
      <c r="Z932" s="165"/>
    </row>
    <row r="933">
      <c r="A933" s="165"/>
      <c r="B933" s="165"/>
      <c r="C933" s="165"/>
      <c r="D933" s="165"/>
      <c r="E933" s="165"/>
      <c r="F933" s="165"/>
      <c r="G933" s="165"/>
      <c r="H933" s="165"/>
      <c r="I933" s="165"/>
      <c r="J933" s="165"/>
      <c r="K933" s="165"/>
      <c r="L933" s="165"/>
      <c r="M933" s="165"/>
      <c r="N933" s="165"/>
      <c r="O933" s="165"/>
      <c r="P933" s="165"/>
      <c r="Q933" s="165"/>
      <c r="R933" s="165"/>
      <c r="S933" s="165"/>
      <c r="T933" s="165"/>
      <c r="U933" s="165"/>
      <c r="V933" s="165"/>
      <c r="W933" s="165"/>
      <c r="X933" s="165"/>
      <c r="Y933" s="165"/>
      <c r="Z933" s="165"/>
    </row>
    <row r="934">
      <c r="A934" s="165"/>
      <c r="B934" s="165"/>
      <c r="C934" s="165"/>
      <c r="D934" s="165"/>
      <c r="E934" s="165"/>
      <c r="F934" s="165"/>
      <c r="G934" s="165"/>
      <c r="H934" s="165"/>
      <c r="I934" s="165"/>
      <c r="J934" s="165"/>
      <c r="K934" s="165"/>
      <c r="L934" s="165"/>
      <c r="M934" s="165"/>
      <c r="N934" s="165"/>
      <c r="O934" s="165"/>
      <c r="P934" s="165"/>
      <c r="Q934" s="165"/>
      <c r="R934" s="165"/>
      <c r="S934" s="165"/>
      <c r="T934" s="165"/>
      <c r="U934" s="165"/>
      <c r="V934" s="165"/>
      <c r="W934" s="165"/>
      <c r="X934" s="165"/>
      <c r="Y934" s="165"/>
      <c r="Z934" s="165"/>
    </row>
    <row r="935">
      <c r="A935" s="165"/>
      <c r="B935" s="165"/>
      <c r="C935" s="165"/>
      <c r="D935" s="165"/>
      <c r="E935" s="165"/>
      <c r="F935" s="165"/>
      <c r="G935" s="165"/>
      <c r="H935" s="165"/>
      <c r="I935" s="165"/>
      <c r="J935" s="165"/>
      <c r="K935" s="165"/>
      <c r="L935" s="165"/>
      <c r="M935" s="165"/>
      <c r="N935" s="165"/>
      <c r="O935" s="165"/>
      <c r="P935" s="165"/>
      <c r="Q935" s="165"/>
      <c r="R935" s="165"/>
      <c r="S935" s="165"/>
      <c r="T935" s="165"/>
      <c r="U935" s="165"/>
      <c r="V935" s="165"/>
      <c r="W935" s="165"/>
      <c r="X935" s="165"/>
      <c r="Y935" s="165"/>
      <c r="Z935" s="165"/>
    </row>
    <row r="936">
      <c r="A936" s="165"/>
      <c r="B936" s="165"/>
      <c r="C936" s="165"/>
      <c r="D936" s="165"/>
      <c r="E936" s="165"/>
      <c r="F936" s="165"/>
      <c r="G936" s="165"/>
      <c r="H936" s="165"/>
      <c r="I936" s="165"/>
      <c r="J936" s="165"/>
      <c r="K936" s="165"/>
      <c r="L936" s="165"/>
      <c r="M936" s="165"/>
      <c r="N936" s="165"/>
      <c r="O936" s="165"/>
      <c r="P936" s="165"/>
      <c r="Q936" s="165"/>
      <c r="R936" s="165"/>
      <c r="S936" s="165"/>
      <c r="T936" s="165"/>
      <c r="U936" s="165"/>
      <c r="V936" s="165"/>
      <c r="W936" s="165"/>
      <c r="X936" s="165"/>
      <c r="Y936" s="165"/>
      <c r="Z936" s="165"/>
    </row>
    <row r="937">
      <c r="A937" s="165"/>
      <c r="B937" s="165"/>
      <c r="C937" s="165"/>
      <c r="D937" s="165"/>
      <c r="E937" s="165"/>
      <c r="F937" s="165"/>
      <c r="G937" s="165"/>
      <c r="H937" s="165"/>
      <c r="I937" s="165"/>
      <c r="J937" s="165"/>
      <c r="K937" s="165"/>
      <c r="L937" s="165"/>
      <c r="M937" s="165"/>
      <c r="N937" s="165"/>
      <c r="O937" s="165"/>
      <c r="P937" s="165"/>
      <c r="Q937" s="165"/>
      <c r="R937" s="165"/>
      <c r="S937" s="165"/>
      <c r="T937" s="165"/>
      <c r="U937" s="165"/>
      <c r="V937" s="165"/>
      <c r="W937" s="165"/>
      <c r="X937" s="165"/>
      <c r="Y937" s="165"/>
      <c r="Z937" s="165"/>
    </row>
    <row r="938">
      <c r="A938" s="165"/>
      <c r="B938" s="165"/>
      <c r="C938" s="165"/>
      <c r="D938" s="165"/>
      <c r="E938" s="165"/>
      <c r="F938" s="165"/>
      <c r="G938" s="165"/>
      <c r="H938" s="165"/>
      <c r="I938" s="165"/>
      <c r="J938" s="165"/>
      <c r="K938" s="165"/>
      <c r="L938" s="165"/>
      <c r="M938" s="165"/>
      <c r="N938" s="165"/>
      <c r="O938" s="165"/>
      <c r="P938" s="165"/>
      <c r="Q938" s="165"/>
      <c r="R938" s="165"/>
      <c r="S938" s="165"/>
      <c r="T938" s="165"/>
      <c r="U938" s="165"/>
      <c r="V938" s="165"/>
      <c r="W938" s="165"/>
      <c r="X938" s="165"/>
      <c r="Y938" s="165"/>
      <c r="Z938" s="165"/>
    </row>
    <row r="939">
      <c r="A939" s="165"/>
      <c r="B939" s="165"/>
      <c r="C939" s="165"/>
      <c r="D939" s="165"/>
      <c r="E939" s="165"/>
      <c r="F939" s="165"/>
      <c r="G939" s="165"/>
      <c r="H939" s="165"/>
      <c r="I939" s="165"/>
      <c r="J939" s="165"/>
      <c r="K939" s="165"/>
      <c r="L939" s="165"/>
      <c r="M939" s="165"/>
      <c r="N939" s="165"/>
      <c r="O939" s="165"/>
      <c r="P939" s="165"/>
      <c r="Q939" s="165"/>
      <c r="R939" s="165"/>
      <c r="S939" s="165"/>
      <c r="T939" s="165"/>
      <c r="U939" s="165"/>
      <c r="V939" s="165"/>
      <c r="W939" s="165"/>
      <c r="X939" s="165"/>
      <c r="Y939" s="165"/>
      <c r="Z939" s="165"/>
    </row>
    <row r="940">
      <c r="A940" s="165"/>
      <c r="B940" s="165"/>
      <c r="C940" s="165"/>
      <c r="D940" s="165"/>
      <c r="E940" s="165"/>
      <c r="F940" s="165"/>
      <c r="G940" s="165"/>
      <c r="H940" s="165"/>
      <c r="I940" s="165"/>
      <c r="J940" s="165"/>
      <c r="K940" s="165"/>
      <c r="L940" s="165"/>
      <c r="M940" s="165"/>
      <c r="N940" s="165"/>
      <c r="O940" s="165"/>
      <c r="P940" s="165"/>
      <c r="Q940" s="165"/>
      <c r="R940" s="165"/>
      <c r="S940" s="165"/>
      <c r="T940" s="165"/>
      <c r="U940" s="165"/>
      <c r="V940" s="165"/>
      <c r="W940" s="165"/>
      <c r="X940" s="165"/>
      <c r="Y940" s="165"/>
      <c r="Z940" s="165"/>
    </row>
    <row r="941">
      <c r="A941" s="165"/>
      <c r="B941" s="165"/>
      <c r="C941" s="165"/>
      <c r="D941" s="165"/>
      <c r="E941" s="165"/>
      <c r="F941" s="165"/>
      <c r="G941" s="165"/>
      <c r="H941" s="165"/>
      <c r="I941" s="165"/>
      <c r="J941" s="165"/>
      <c r="K941" s="165"/>
      <c r="L941" s="165"/>
      <c r="M941" s="165"/>
      <c r="N941" s="165"/>
      <c r="O941" s="165"/>
      <c r="P941" s="165"/>
      <c r="Q941" s="165"/>
      <c r="R941" s="165"/>
      <c r="S941" s="165"/>
      <c r="T941" s="165"/>
      <c r="U941" s="165"/>
      <c r="V941" s="165"/>
      <c r="W941" s="165"/>
      <c r="X941" s="165"/>
      <c r="Y941" s="165"/>
      <c r="Z941" s="165"/>
    </row>
    <row r="942">
      <c r="A942" s="165"/>
      <c r="B942" s="165"/>
      <c r="C942" s="165"/>
      <c r="D942" s="165"/>
      <c r="E942" s="165"/>
      <c r="F942" s="165"/>
      <c r="G942" s="165"/>
      <c r="H942" s="165"/>
      <c r="I942" s="165"/>
      <c r="J942" s="165"/>
      <c r="K942" s="165"/>
      <c r="L942" s="165"/>
      <c r="M942" s="165"/>
      <c r="N942" s="165"/>
      <c r="O942" s="165"/>
      <c r="P942" s="165"/>
      <c r="Q942" s="165"/>
      <c r="R942" s="165"/>
      <c r="S942" s="165"/>
      <c r="T942" s="165"/>
      <c r="U942" s="165"/>
      <c r="V942" s="165"/>
      <c r="W942" s="165"/>
      <c r="X942" s="165"/>
      <c r="Y942" s="165"/>
      <c r="Z942" s="165"/>
    </row>
    <row r="943">
      <c r="A943" s="165"/>
      <c r="B943" s="165"/>
      <c r="C943" s="165"/>
      <c r="D943" s="165"/>
      <c r="E943" s="165"/>
      <c r="F943" s="165"/>
      <c r="G943" s="165"/>
      <c r="H943" s="165"/>
      <c r="I943" s="165"/>
      <c r="J943" s="165"/>
      <c r="K943" s="165"/>
      <c r="L943" s="165"/>
      <c r="M943" s="165"/>
      <c r="N943" s="165"/>
      <c r="O943" s="165"/>
      <c r="P943" s="165"/>
      <c r="Q943" s="165"/>
      <c r="R943" s="165"/>
      <c r="S943" s="165"/>
      <c r="T943" s="165"/>
      <c r="U943" s="165"/>
      <c r="V943" s="165"/>
      <c r="W943" s="165"/>
      <c r="X943" s="165"/>
      <c r="Y943" s="165"/>
      <c r="Z943" s="165"/>
    </row>
    <row r="944">
      <c r="A944" s="165"/>
      <c r="B944" s="165"/>
      <c r="C944" s="165"/>
      <c r="D944" s="165"/>
      <c r="E944" s="165"/>
      <c r="F944" s="165"/>
      <c r="G944" s="165"/>
      <c r="H944" s="165"/>
      <c r="I944" s="165"/>
      <c r="J944" s="165"/>
      <c r="K944" s="165"/>
      <c r="L944" s="165"/>
      <c r="M944" s="165"/>
      <c r="N944" s="165"/>
      <c r="O944" s="165"/>
      <c r="P944" s="165"/>
      <c r="Q944" s="165"/>
      <c r="R944" s="165"/>
      <c r="S944" s="165"/>
      <c r="T944" s="165"/>
      <c r="U944" s="165"/>
      <c r="V944" s="165"/>
      <c r="W944" s="165"/>
      <c r="X944" s="165"/>
      <c r="Y944" s="165"/>
      <c r="Z944" s="165"/>
    </row>
    <row r="945">
      <c r="A945" s="165"/>
      <c r="B945" s="165"/>
      <c r="C945" s="165"/>
      <c r="D945" s="165"/>
      <c r="E945" s="165"/>
      <c r="F945" s="165"/>
      <c r="G945" s="165"/>
      <c r="H945" s="165"/>
      <c r="I945" s="165"/>
      <c r="J945" s="165"/>
      <c r="K945" s="165"/>
      <c r="L945" s="165"/>
      <c r="M945" s="165"/>
      <c r="N945" s="165"/>
      <c r="O945" s="165"/>
      <c r="P945" s="165"/>
      <c r="Q945" s="165"/>
      <c r="R945" s="165"/>
      <c r="S945" s="165"/>
      <c r="T945" s="165"/>
      <c r="U945" s="165"/>
      <c r="V945" s="165"/>
      <c r="W945" s="165"/>
      <c r="X945" s="165"/>
      <c r="Y945" s="165"/>
      <c r="Z945" s="165"/>
    </row>
    <row r="946">
      <c r="A946" s="165"/>
      <c r="B946" s="165"/>
      <c r="C946" s="165"/>
      <c r="D946" s="165"/>
      <c r="E946" s="165"/>
      <c r="F946" s="165"/>
      <c r="G946" s="165"/>
      <c r="H946" s="165"/>
      <c r="I946" s="165"/>
      <c r="J946" s="165"/>
      <c r="K946" s="165"/>
      <c r="L946" s="165"/>
      <c r="M946" s="165"/>
      <c r="N946" s="165"/>
      <c r="O946" s="165"/>
      <c r="P946" s="165"/>
      <c r="Q946" s="165"/>
      <c r="R946" s="165"/>
      <c r="S946" s="165"/>
      <c r="T946" s="165"/>
      <c r="U946" s="165"/>
      <c r="V946" s="165"/>
      <c r="W946" s="165"/>
      <c r="X946" s="165"/>
      <c r="Y946" s="165"/>
      <c r="Z946" s="165"/>
    </row>
    <row r="947">
      <c r="A947" s="165"/>
      <c r="B947" s="165"/>
      <c r="C947" s="165"/>
      <c r="D947" s="165"/>
      <c r="E947" s="165"/>
      <c r="F947" s="165"/>
      <c r="G947" s="165"/>
      <c r="H947" s="165"/>
      <c r="I947" s="165"/>
      <c r="J947" s="165"/>
      <c r="K947" s="165"/>
      <c r="L947" s="165"/>
      <c r="M947" s="165"/>
      <c r="N947" s="165"/>
      <c r="O947" s="165"/>
      <c r="P947" s="165"/>
      <c r="Q947" s="165"/>
      <c r="R947" s="165"/>
      <c r="S947" s="165"/>
      <c r="T947" s="165"/>
      <c r="U947" s="165"/>
      <c r="V947" s="165"/>
      <c r="W947" s="165"/>
      <c r="X947" s="165"/>
      <c r="Y947" s="165"/>
      <c r="Z947" s="165"/>
    </row>
    <row r="948">
      <c r="A948" s="165"/>
      <c r="B948" s="165"/>
      <c r="C948" s="165"/>
      <c r="D948" s="165"/>
      <c r="E948" s="165"/>
      <c r="F948" s="165"/>
      <c r="G948" s="165"/>
      <c r="H948" s="165"/>
      <c r="I948" s="165"/>
      <c r="J948" s="165"/>
      <c r="K948" s="165"/>
      <c r="L948" s="165"/>
      <c r="M948" s="165"/>
      <c r="N948" s="165"/>
      <c r="O948" s="165"/>
      <c r="P948" s="165"/>
      <c r="Q948" s="165"/>
      <c r="R948" s="165"/>
      <c r="S948" s="165"/>
      <c r="T948" s="165"/>
      <c r="U948" s="165"/>
      <c r="V948" s="165"/>
      <c r="W948" s="165"/>
      <c r="X948" s="165"/>
      <c r="Y948" s="165"/>
      <c r="Z948" s="165"/>
    </row>
    <row r="949">
      <c r="A949" s="165"/>
      <c r="B949" s="165"/>
      <c r="C949" s="165"/>
      <c r="D949" s="165"/>
      <c r="E949" s="165"/>
      <c r="F949" s="165"/>
      <c r="G949" s="165"/>
      <c r="H949" s="165"/>
      <c r="I949" s="165"/>
      <c r="J949" s="165"/>
      <c r="K949" s="165"/>
      <c r="L949" s="165"/>
      <c r="M949" s="165"/>
      <c r="N949" s="165"/>
      <c r="O949" s="165"/>
      <c r="P949" s="165"/>
      <c r="Q949" s="165"/>
      <c r="R949" s="165"/>
      <c r="S949" s="165"/>
      <c r="T949" s="165"/>
      <c r="U949" s="165"/>
      <c r="V949" s="165"/>
      <c r="W949" s="165"/>
      <c r="X949" s="165"/>
      <c r="Y949" s="165"/>
      <c r="Z949" s="165"/>
    </row>
    <row r="950">
      <c r="A950" s="165"/>
      <c r="B950" s="165"/>
      <c r="C950" s="165"/>
      <c r="D950" s="165"/>
      <c r="E950" s="165"/>
      <c r="F950" s="165"/>
      <c r="G950" s="165"/>
      <c r="H950" s="165"/>
      <c r="I950" s="165"/>
      <c r="J950" s="165"/>
      <c r="K950" s="165"/>
      <c r="L950" s="165"/>
      <c r="M950" s="165"/>
      <c r="N950" s="165"/>
      <c r="O950" s="165"/>
      <c r="P950" s="165"/>
      <c r="Q950" s="165"/>
      <c r="R950" s="165"/>
      <c r="S950" s="165"/>
      <c r="T950" s="165"/>
      <c r="U950" s="165"/>
      <c r="V950" s="165"/>
      <c r="W950" s="165"/>
      <c r="X950" s="165"/>
      <c r="Y950" s="165"/>
      <c r="Z950" s="165"/>
    </row>
    <row r="951">
      <c r="A951" s="165"/>
      <c r="B951" s="165"/>
      <c r="C951" s="165"/>
      <c r="D951" s="165"/>
      <c r="E951" s="165"/>
      <c r="F951" s="165"/>
      <c r="G951" s="165"/>
      <c r="H951" s="165"/>
      <c r="I951" s="165"/>
      <c r="J951" s="165"/>
      <c r="K951" s="165"/>
      <c r="L951" s="165"/>
      <c r="M951" s="165"/>
      <c r="N951" s="165"/>
      <c r="O951" s="165"/>
      <c r="P951" s="165"/>
      <c r="Q951" s="165"/>
      <c r="R951" s="165"/>
      <c r="S951" s="165"/>
      <c r="T951" s="165"/>
      <c r="U951" s="165"/>
      <c r="V951" s="165"/>
      <c r="W951" s="165"/>
      <c r="X951" s="165"/>
      <c r="Y951" s="165"/>
      <c r="Z951" s="165"/>
    </row>
    <row r="952">
      <c r="A952" s="165"/>
      <c r="B952" s="165"/>
      <c r="C952" s="165"/>
      <c r="D952" s="165"/>
      <c r="E952" s="165"/>
      <c r="F952" s="165"/>
      <c r="G952" s="165"/>
      <c r="H952" s="165"/>
      <c r="I952" s="165"/>
      <c r="J952" s="165"/>
      <c r="K952" s="165"/>
      <c r="L952" s="165"/>
      <c r="M952" s="165"/>
      <c r="N952" s="165"/>
      <c r="O952" s="165"/>
      <c r="P952" s="165"/>
      <c r="Q952" s="165"/>
      <c r="R952" s="165"/>
      <c r="S952" s="165"/>
      <c r="T952" s="165"/>
      <c r="U952" s="165"/>
      <c r="V952" s="165"/>
      <c r="W952" s="165"/>
      <c r="X952" s="165"/>
      <c r="Y952" s="165"/>
      <c r="Z952" s="165"/>
    </row>
    <row r="953">
      <c r="A953" s="165"/>
      <c r="B953" s="165"/>
      <c r="C953" s="165"/>
      <c r="D953" s="165"/>
      <c r="E953" s="165"/>
      <c r="F953" s="165"/>
      <c r="G953" s="165"/>
      <c r="H953" s="165"/>
      <c r="I953" s="165"/>
      <c r="J953" s="165"/>
      <c r="K953" s="165"/>
      <c r="L953" s="165"/>
      <c r="M953" s="165"/>
      <c r="N953" s="165"/>
      <c r="O953" s="165"/>
      <c r="P953" s="165"/>
      <c r="Q953" s="165"/>
      <c r="R953" s="165"/>
      <c r="S953" s="165"/>
      <c r="T953" s="165"/>
      <c r="U953" s="165"/>
      <c r="V953" s="165"/>
      <c r="W953" s="165"/>
      <c r="X953" s="165"/>
      <c r="Y953" s="165"/>
      <c r="Z953" s="165"/>
    </row>
    <row r="954">
      <c r="A954" s="165"/>
      <c r="B954" s="165"/>
      <c r="C954" s="165"/>
      <c r="D954" s="165"/>
      <c r="E954" s="165"/>
      <c r="F954" s="165"/>
      <c r="G954" s="165"/>
      <c r="H954" s="165"/>
      <c r="I954" s="165"/>
      <c r="J954" s="165"/>
      <c r="K954" s="165"/>
      <c r="L954" s="165"/>
      <c r="M954" s="165"/>
      <c r="N954" s="165"/>
      <c r="O954" s="165"/>
      <c r="P954" s="165"/>
      <c r="Q954" s="165"/>
      <c r="R954" s="165"/>
      <c r="S954" s="165"/>
      <c r="T954" s="165"/>
      <c r="U954" s="165"/>
      <c r="V954" s="165"/>
      <c r="W954" s="165"/>
      <c r="X954" s="165"/>
      <c r="Y954" s="165"/>
      <c r="Z954" s="165"/>
    </row>
    <row r="955">
      <c r="A955" s="165"/>
      <c r="B955" s="165"/>
      <c r="C955" s="165"/>
      <c r="D955" s="165"/>
      <c r="E955" s="165"/>
      <c r="F955" s="165"/>
      <c r="G955" s="165"/>
      <c r="H955" s="165"/>
      <c r="I955" s="165"/>
      <c r="J955" s="165"/>
      <c r="K955" s="165"/>
      <c r="L955" s="165"/>
      <c r="M955" s="165"/>
      <c r="N955" s="165"/>
      <c r="O955" s="165"/>
      <c r="P955" s="165"/>
      <c r="Q955" s="165"/>
      <c r="R955" s="165"/>
      <c r="S955" s="165"/>
      <c r="T955" s="165"/>
      <c r="U955" s="165"/>
      <c r="V955" s="165"/>
      <c r="W955" s="165"/>
      <c r="X955" s="165"/>
      <c r="Y955" s="165"/>
      <c r="Z955" s="165"/>
    </row>
    <row r="956">
      <c r="A956" s="165"/>
      <c r="B956" s="165"/>
      <c r="C956" s="165"/>
      <c r="D956" s="165"/>
      <c r="E956" s="165"/>
      <c r="F956" s="165"/>
      <c r="G956" s="165"/>
      <c r="H956" s="165"/>
      <c r="I956" s="165"/>
      <c r="J956" s="165"/>
      <c r="K956" s="165"/>
      <c r="L956" s="165"/>
      <c r="M956" s="165"/>
      <c r="N956" s="165"/>
      <c r="O956" s="165"/>
      <c r="P956" s="165"/>
      <c r="Q956" s="165"/>
      <c r="R956" s="165"/>
      <c r="S956" s="165"/>
      <c r="T956" s="165"/>
      <c r="U956" s="165"/>
      <c r="V956" s="165"/>
      <c r="W956" s="165"/>
      <c r="X956" s="165"/>
      <c r="Y956" s="165"/>
      <c r="Z956" s="165"/>
    </row>
    <row r="957">
      <c r="A957" s="165"/>
      <c r="B957" s="165"/>
      <c r="C957" s="165"/>
      <c r="D957" s="165"/>
      <c r="E957" s="165"/>
      <c r="F957" s="165"/>
      <c r="G957" s="165"/>
      <c r="H957" s="165"/>
      <c r="I957" s="165"/>
      <c r="J957" s="165"/>
      <c r="K957" s="165"/>
      <c r="L957" s="165"/>
      <c r="M957" s="165"/>
      <c r="N957" s="165"/>
      <c r="O957" s="165"/>
      <c r="P957" s="165"/>
      <c r="Q957" s="165"/>
      <c r="R957" s="165"/>
      <c r="S957" s="165"/>
      <c r="T957" s="165"/>
      <c r="U957" s="165"/>
      <c r="V957" s="165"/>
      <c r="W957" s="165"/>
      <c r="X957" s="165"/>
      <c r="Y957" s="165"/>
      <c r="Z957" s="165"/>
    </row>
    <row r="958">
      <c r="A958" s="165"/>
      <c r="B958" s="165"/>
      <c r="C958" s="165"/>
      <c r="D958" s="165"/>
      <c r="E958" s="165"/>
      <c r="F958" s="165"/>
      <c r="G958" s="165"/>
      <c r="H958" s="165"/>
      <c r="I958" s="165"/>
      <c r="J958" s="165"/>
      <c r="K958" s="165"/>
      <c r="L958" s="165"/>
      <c r="M958" s="165"/>
      <c r="N958" s="165"/>
      <c r="O958" s="165"/>
      <c r="P958" s="165"/>
      <c r="Q958" s="165"/>
      <c r="R958" s="165"/>
      <c r="S958" s="165"/>
      <c r="T958" s="165"/>
      <c r="U958" s="165"/>
      <c r="V958" s="165"/>
      <c r="W958" s="165"/>
      <c r="X958" s="165"/>
      <c r="Y958" s="165"/>
      <c r="Z958" s="165"/>
    </row>
    <row r="959">
      <c r="A959" s="165"/>
      <c r="B959" s="165"/>
      <c r="C959" s="165"/>
      <c r="D959" s="165"/>
      <c r="E959" s="165"/>
      <c r="F959" s="165"/>
      <c r="G959" s="165"/>
      <c r="H959" s="165"/>
      <c r="I959" s="165"/>
      <c r="J959" s="165"/>
      <c r="K959" s="165"/>
      <c r="L959" s="165"/>
      <c r="M959" s="165"/>
      <c r="N959" s="165"/>
      <c r="O959" s="165"/>
      <c r="P959" s="165"/>
      <c r="Q959" s="165"/>
      <c r="R959" s="165"/>
      <c r="S959" s="165"/>
      <c r="T959" s="165"/>
      <c r="U959" s="165"/>
      <c r="V959" s="165"/>
      <c r="W959" s="165"/>
      <c r="X959" s="165"/>
      <c r="Y959" s="165"/>
      <c r="Z959" s="165"/>
    </row>
    <row r="960">
      <c r="A960" s="165"/>
      <c r="B960" s="165"/>
      <c r="C960" s="165"/>
      <c r="D960" s="165"/>
      <c r="E960" s="165"/>
      <c r="F960" s="165"/>
      <c r="G960" s="165"/>
      <c r="H960" s="165"/>
      <c r="I960" s="165"/>
      <c r="J960" s="165"/>
      <c r="K960" s="165"/>
      <c r="L960" s="165"/>
      <c r="M960" s="165"/>
      <c r="N960" s="165"/>
      <c r="O960" s="165"/>
      <c r="P960" s="165"/>
      <c r="Q960" s="165"/>
      <c r="R960" s="165"/>
      <c r="S960" s="165"/>
      <c r="T960" s="165"/>
      <c r="U960" s="165"/>
      <c r="V960" s="165"/>
      <c r="W960" s="165"/>
      <c r="X960" s="165"/>
      <c r="Y960" s="165"/>
      <c r="Z960" s="165"/>
    </row>
    <row r="961">
      <c r="A961" s="165"/>
      <c r="B961" s="165"/>
      <c r="C961" s="165"/>
      <c r="D961" s="165"/>
      <c r="E961" s="165"/>
      <c r="F961" s="165"/>
      <c r="G961" s="165"/>
      <c r="H961" s="165"/>
      <c r="I961" s="165"/>
      <c r="J961" s="165"/>
      <c r="K961" s="165"/>
      <c r="L961" s="165"/>
      <c r="M961" s="165"/>
      <c r="N961" s="165"/>
      <c r="O961" s="165"/>
      <c r="P961" s="165"/>
      <c r="Q961" s="165"/>
      <c r="R961" s="165"/>
      <c r="S961" s="165"/>
      <c r="T961" s="165"/>
      <c r="U961" s="165"/>
      <c r="V961" s="165"/>
      <c r="W961" s="165"/>
      <c r="X961" s="165"/>
      <c r="Y961" s="165"/>
      <c r="Z961" s="165"/>
    </row>
    <row r="962">
      <c r="A962" s="165"/>
      <c r="B962" s="165"/>
      <c r="C962" s="165"/>
      <c r="D962" s="165"/>
      <c r="E962" s="165"/>
      <c r="F962" s="165"/>
      <c r="G962" s="165"/>
      <c r="H962" s="165"/>
      <c r="I962" s="165"/>
      <c r="J962" s="165"/>
      <c r="K962" s="165"/>
      <c r="L962" s="165"/>
      <c r="M962" s="165"/>
      <c r="N962" s="165"/>
      <c r="O962" s="165"/>
      <c r="P962" s="165"/>
      <c r="Q962" s="165"/>
      <c r="R962" s="165"/>
      <c r="S962" s="165"/>
      <c r="T962" s="165"/>
      <c r="U962" s="165"/>
      <c r="V962" s="165"/>
      <c r="W962" s="165"/>
      <c r="X962" s="165"/>
      <c r="Y962" s="165"/>
      <c r="Z962" s="165"/>
    </row>
    <row r="963">
      <c r="A963" s="165"/>
      <c r="B963" s="165"/>
      <c r="C963" s="165"/>
      <c r="D963" s="165"/>
      <c r="E963" s="165"/>
      <c r="F963" s="165"/>
      <c r="G963" s="165"/>
      <c r="H963" s="165"/>
      <c r="I963" s="165"/>
      <c r="J963" s="165"/>
      <c r="K963" s="165"/>
      <c r="L963" s="165"/>
      <c r="M963" s="165"/>
      <c r="N963" s="165"/>
      <c r="O963" s="165"/>
      <c r="P963" s="165"/>
      <c r="Q963" s="165"/>
      <c r="R963" s="165"/>
      <c r="S963" s="165"/>
      <c r="T963" s="165"/>
      <c r="U963" s="165"/>
      <c r="V963" s="165"/>
      <c r="W963" s="165"/>
      <c r="X963" s="165"/>
      <c r="Y963" s="165"/>
      <c r="Z963" s="165"/>
    </row>
    <row r="964">
      <c r="A964" s="165"/>
      <c r="B964" s="165"/>
      <c r="C964" s="165"/>
      <c r="D964" s="165"/>
      <c r="E964" s="165"/>
      <c r="F964" s="165"/>
      <c r="G964" s="165"/>
      <c r="H964" s="165"/>
      <c r="I964" s="165"/>
      <c r="J964" s="165"/>
      <c r="K964" s="165"/>
      <c r="L964" s="165"/>
      <c r="M964" s="165"/>
      <c r="N964" s="165"/>
      <c r="O964" s="165"/>
      <c r="P964" s="165"/>
      <c r="Q964" s="165"/>
      <c r="R964" s="165"/>
      <c r="S964" s="165"/>
      <c r="T964" s="165"/>
      <c r="U964" s="165"/>
      <c r="V964" s="165"/>
      <c r="W964" s="165"/>
      <c r="X964" s="165"/>
      <c r="Y964" s="165"/>
      <c r="Z964" s="165"/>
    </row>
    <row r="965">
      <c r="A965" s="165"/>
      <c r="B965" s="165"/>
      <c r="C965" s="165"/>
      <c r="D965" s="165"/>
      <c r="E965" s="165"/>
      <c r="F965" s="165"/>
      <c r="G965" s="165"/>
      <c r="H965" s="165"/>
      <c r="I965" s="165"/>
      <c r="J965" s="165"/>
      <c r="K965" s="165"/>
      <c r="L965" s="165"/>
      <c r="M965" s="165"/>
      <c r="N965" s="165"/>
      <c r="O965" s="165"/>
      <c r="P965" s="165"/>
      <c r="Q965" s="165"/>
      <c r="R965" s="165"/>
      <c r="S965" s="165"/>
      <c r="T965" s="165"/>
      <c r="U965" s="165"/>
      <c r="V965" s="165"/>
      <c r="W965" s="165"/>
      <c r="X965" s="165"/>
      <c r="Y965" s="165"/>
      <c r="Z965" s="165"/>
    </row>
    <row r="966">
      <c r="A966" s="165"/>
      <c r="B966" s="165"/>
      <c r="C966" s="165"/>
      <c r="D966" s="165"/>
      <c r="E966" s="165"/>
      <c r="F966" s="165"/>
      <c r="G966" s="165"/>
      <c r="H966" s="165"/>
      <c r="I966" s="165"/>
      <c r="J966" s="165"/>
      <c r="K966" s="165"/>
      <c r="L966" s="165"/>
      <c r="M966" s="165"/>
      <c r="N966" s="165"/>
      <c r="O966" s="165"/>
      <c r="P966" s="165"/>
      <c r="Q966" s="165"/>
      <c r="R966" s="165"/>
      <c r="S966" s="165"/>
      <c r="T966" s="165"/>
      <c r="U966" s="165"/>
      <c r="V966" s="165"/>
      <c r="W966" s="165"/>
      <c r="X966" s="165"/>
      <c r="Y966" s="165"/>
      <c r="Z966" s="165"/>
    </row>
    <row r="967">
      <c r="A967" s="165"/>
      <c r="B967" s="165"/>
      <c r="C967" s="165"/>
      <c r="D967" s="165"/>
      <c r="E967" s="165"/>
      <c r="F967" s="165"/>
      <c r="G967" s="165"/>
      <c r="H967" s="165"/>
      <c r="I967" s="165"/>
      <c r="J967" s="165"/>
      <c r="K967" s="165"/>
      <c r="L967" s="165"/>
      <c r="M967" s="165"/>
      <c r="N967" s="165"/>
      <c r="O967" s="165"/>
      <c r="P967" s="165"/>
      <c r="Q967" s="165"/>
      <c r="R967" s="165"/>
      <c r="S967" s="165"/>
      <c r="T967" s="165"/>
      <c r="U967" s="165"/>
      <c r="V967" s="165"/>
      <c r="W967" s="165"/>
      <c r="X967" s="165"/>
      <c r="Y967" s="165"/>
      <c r="Z967" s="165"/>
    </row>
    <row r="968">
      <c r="A968" s="165"/>
      <c r="B968" s="165"/>
      <c r="C968" s="165"/>
      <c r="D968" s="165"/>
      <c r="E968" s="165"/>
      <c r="F968" s="165"/>
      <c r="G968" s="165"/>
      <c r="H968" s="165"/>
      <c r="I968" s="165"/>
      <c r="J968" s="165"/>
      <c r="K968" s="165"/>
      <c r="L968" s="165"/>
      <c r="M968" s="165"/>
      <c r="N968" s="165"/>
      <c r="O968" s="165"/>
      <c r="P968" s="165"/>
      <c r="Q968" s="165"/>
      <c r="R968" s="165"/>
      <c r="S968" s="165"/>
      <c r="T968" s="165"/>
      <c r="U968" s="165"/>
      <c r="V968" s="165"/>
      <c r="W968" s="165"/>
      <c r="X968" s="165"/>
      <c r="Y968" s="165"/>
      <c r="Z968" s="165"/>
    </row>
    <row r="969">
      <c r="A969" s="165"/>
      <c r="B969" s="165"/>
      <c r="C969" s="165"/>
      <c r="D969" s="165"/>
      <c r="E969" s="165"/>
      <c r="F969" s="165"/>
      <c r="G969" s="165"/>
      <c r="H969" s="165"/>
      <c r="I969" s="165"/>
      <c r="J969" s="165"/>
      <c r="K969" s="165"/>
      <c r="L969" s="165"/>
      <c r="M969" s="165"/>
      <c r="N969" s="165"/>
      <c r="O969" s="165"/>
      <c r="P969" s="165"/>
      <c r="Q969" s="165"/>
      <c r="R969" s="165"/>
      <c r="S969" s="165"/>
      <c r="T969" s="165"/>
      <c r="U969" s="165"/>
      <c r="V969" s="165"/>
      <c r="W969" s="165"/>
      <c r="X969" s="165"/>
      <c r="Y969" s="165"/>
      <c r="Z969" s="165"/>
    </row>
    <row r="970">
      <c r="A970" s="165"/>
      <c r="B970" s="165"/>
      <c r="C970" s="165"/>
      <c r="D970" s="165"/>
      <c r="E970" s="165"/>
      <c r="F970" s="165"/>
      <c r="G970" s="165"/>
      <c r="H970" s="165"/>
      <c r="I970" s="165"/>
      <c r="J970" s="165"/>
      <c r="K970" s="165"/>
      <c r="L970" s="165"/>
      <c r="M970" s="165"/>
      <c r="N970" s="165"/>
      <c r="O970" s="165"/>
      <c r="P970" s="165"/>
      <c r="Q970" s="165"/>
      <c r="R970" s="165"/>
      <c r="S970" s="165"/>
      <c r="T970" s="165"/>
      <c r="U970" s="165"/>
      <c r="V970" s="165"/>
      <c r="W970" s="165"/>
      <c r="X970" s="165"/>
      <c r="Y970" s="165"/>
      <c r="Z970" s="165"/>
    </row>
    <row r="971">
      <c r="A971" s="165"/>
      <c r="B971" s="165"/>
      <c r="C971" s="165"/>
      <c r="D971" s="165"/>
      <c r="E971" s="165"/>
      <c r="F971" s="165"/>
      <c r="G971" s="165"/>
      <c r="H971" s="165"/>
      <c r="I971" s="165"/>
      <c r="J971" s="165"/>
      <c r="K971" s="165"/>
      <c r="L971" s="165"/>
      <c r="M971" s="165"/>
      <c r="N971" s="165"/>
      <c r="O971" s="165"/>
      <c r="P971" s="165"/>
      <c r="Q971" s="165"/>
      <c r="R971" s="165"/>
      <c r="S971" s="165"/>
      <c r="T971" s="165"/>
      <c r="U971" s="165"/>
      <c r="V971" s="165"/>
      <c r="W971" s="165"/>
      <c r="X971" s="165"/>
      <c r="Y971" s="165"/>
      <c r="Z971" s="165"/>
    </row>
    <row r="972">
      <c r="A972" s="165"/>
      <c r="B972" s="165"/>
      <c r="C972" s="165"/>
      <c r="D972" s="165"/>
      <c r="E972" s="165"/>
      <c r="F972" s="165"/>
      <c r="G972" s="165"/>
      <c r="H972" s="165"/>
      <c r="I972" s="165"/>
      <c r="J972" s="165"/>
      <c r="K972" s="165"/>
      <c r="L972" s="165"/>
      <c r="M972" s="165"/>
      <c r="N972" s="165"/>
      <c r="O972" s="165"/>
      <c r="P972" s="165"/>
      <c r="Q972" s="165"/>
      <c r="R972" s="165"/>
      <c r="S972" s="165"/>
      <c r="T972" s="165"/>
      <c r="U972" s="165"/>
      <c r="V972" s="165"/>
      <c r="W972" s="165"/>
      <c r="X972" s="165"/>
      <c r="Y972" s="165"/>
      <c r="Z972" s="165"/>
    </row>
    <row r="973">
      <c r="A973" s="165"/>
      <c r="B973" s="165"/>
      <c r="C973" s="165"/>
      <c r="D973" s="165"/>
      <c r="E973" s="165"/>
      <c r="F973" s="165"/>
      <c r="G973" s="165"/>
      <c r="H973" s="165"/>
      <c r="I973" s="165"/>
      <c r="J973" s="165"/>
      <c r="K973" s="165"/>
      <c r="L973" s="165"/>
      <c r="M973" s="165"/>
      <c r="N973" s="165"/>
      <c r="O973" s="165"/>
      <c r="P973" s="165"/>
      <c r="Q973" s="165"/>
      <c r="R973" s="165"/>
      <c r="S973" s="165"/>
      <c r="T973" s="165"/>
      <c r="U973" s="165"/>
      <c r="V973" s="165"/>
      <c r="W973" s="165"/>
      <c r="X973" s="165"/>
      <c r="Y973" s="165"/>
      <c r="Z973" s="165"/>
    </row>
    <row r="974">
      <c r="A974" s="165"/>
      <c r="B974" s="165"/>
      <c r="C974" s="165"/>
      <c r="D974" s="165"/>
      <c r="E974" s="165"/>
      <c r="F974" s="165"/>
      <c r="G974" s="165"/>
      <c r="H974" s="165"/>
      <c r="I974" s="165"/>
      <c r="J974" s="165"/>
      <c r="K974" s="165"/>
      <c r="L974" s="165"/>
      <c r="M974" s="165"/>
      <c r="N974" s="165"/>
      <c r="O974" s="165"/>
      <c r="P974" s="165"/>
      <c r="Q974" s="165"/>
      <c r="R974" s="165"/>
      <c r="S974" s="165"/>
      <c r="T974" s="165"/>
      <c r="U974" s="165"/>
      <c r="V974" s="165"/>
      <c r="W974" s="165"/>
      <c r="X974" s="165"/>
      <c r="Y974" s="165"/>
      <c r="Z974" s="165"/>
    </row>
    <row r="975">
      <c r="A975" s="165"/>
      <c r="B975" s="165"/>
      <c r="C975" s="165"/>
      <c r="D975" s="165"/>
      <c r="E975" s="165"/>
      <c r="F975" s="165"/>
      <c r="G975" s="165"/>
      <c r="H975" s="165"/>
      <c r="I975" s="165"/>
      <c r="J975" s="165"/>
      <c r="K975" s="165"/>
      <c r="L975" s="165"/>
      <c r="M975" s="165"/>
      <c r="N975" s="165"/>
      <c r="O975" s="165"/>
      <c r="P975" s="165"/>
      <c r="Q975" s="165"/>
      <c r="R975" s="165"/>
      <c r="S975" s="165"/>
      <c r="T975" s="165"/>
      <c r="U975" s="165"/>
      <c r="V975" s="165"/>
      <c r="W975" s="165"/>
      <c r="X975" s="165"/>
      <c r="Y975" s="165"/>
      <c r="Z975" s="165"/>
    </row>
    <row r="976">
      <c r="A976" s="165"/>
      <c r="B976" s="165"/>
      <c r="C976" s="165"/>
      <c r="D976" s="165"/>
      <c r="E976" s="165"/>
      <c r="F976" s="165"/>
      <c r="G976" s="165"/>
      <c r="H976" s="165"/>
      <c r="I976" s="165"/>
      <c r="J976" s="165"/>
      <c r="K976" s="165"/>
      <c r="L976" s="165"/>
      <c r="M976" s="165"/>
      <c r="N976" s="165"/>
      <c r="O976" s="165"/>
      <c r="P976" s="165"/>
      <c r="Q976" s="165"/>
      <c r="R976" s="165"/>
      <c r="S976" s="165"/>
      <c r="T976" s="165"/>
      <c r="U976" s="165"/>
      <c r="V976" s="165"/>
      <c r="W976" s="165"/>
      <c r="X976" s="165"/>
      <c r="Y976" s="165"/>
      <c r="Z976" s="165"/>
    </row>
    <row r="977">
      <c r="A977" s="165"/>
      <c r="B977" s="165"/>
      <c r="C977" s="165"/>
      <c r="D977" s="165"/>
      <c r="E977" s="165"/>
      <c r="F977" s="165"/>
      <c r="G977" s="165"/>
      <c r="H977" s="165"/>
      <c r="I977" s="165"/>
      <c r="J977" s="165"/>
      <c r="K977" s="165"/>
      <c r="L977" s="165"/>
      <c r="M977" s="165"/>
      <c r="N977" s="165"/>
      <c r="O977" s="165"/>
      <c r="P977" s="165"/>
      <c r="Q977" s="165"/>
      <c r="R977" s="165"/>
      <c r="S977" s="165"/>
      <c r="T977" s="165"/>
      <c r="U977" s="165"/>
      <c r="V977" s="165"/>
      <c r="W977" s="165"/>
      <c r="X977" s="165"/>
      <c r="Y977" s="165"/>
      <c r="Z977" s="165"/>
    </row>
    <row r="978">
      <c r="A978" s="165"/>
      <c r="B978" s="165"/>
      <c r="C978" s="165"/>
      <c r="D978" s="165"/>
      <c r="E978" s="165"/>
      <c r="F978" s="165"/>
      <c r="G978" s="165"/>
      <c r="H978" s="165"/>
      <c r="I978" s="165"/>
      <c r="J978" s="165"/>
      <c r="K978" s="165"/>
      <c r="L978" s="165"/>
      <c r="M978" s="165"/>
      <c r="N978" s="165"/>
      <c r="O978" s="165"/>
      <c r="P978" s="165"/>
      <c r="Q978" s="165"/>
      <c r="R978" s="165"/>
      <c r="S978" s="165"/>
      <c r="T978" s="165"/>
      <c r="U978" s="165"/>
      <c r="V978" s="165"/>
      <c r="W978" s="165"/>
      <c r="X978" s="165"/>
      <c r="Y978" s="165"/>
      <c r="Z978" s="165"/>
    </row>
    <row r="979">
      <c r="A979" s="165"/>
      <c r="B979" s="165"/>
      <c r="C979" s="165"/>
      <c r="D979" s="165"/>
      <c r="E979" s="165"/>
      <c r="F979" s="165"/>
      <c r="G979" s="165"/>
      <c r="H979" s="165"/>
      <c r="I979" s="165"/>
      <c r="J979" s="165"/>
      <c r="K979" s="165"/>
      <c r="L979" s="165"/>
      <c r="M979" s="165"/>
      <c r="N979" s="165"/>
      <c r="O979" s="165"/>
      <c r="P979" s="165"/>
      <c r="Q979" s="165"/>
      <c r="R979" s="165"/>
      <c r="S979" s="165"/>
      <c r="T979" s="165"/>
      <c r="U979" s="165"/>
      <c r="V979" s="165"/>
      <c r="W979" s="165"/>
      <c r="X979" s="165"/>
      <c r="Y979" s="165"/>
      <c r="Z979" s="165"/>
    </row>
    <row r="980">
      <c r="A980" s="165"/>
      <c r="B980" s="165"/>
      <c r="C980" s="165"/>
      <c r="D980" s="165"/>
      <c r="E980" s="165"/>
      <c r="F980" s="165"/>
      <c r="G980" s="165"/>
      <c r="H980" s="165"/>
      <c r="I980" s="165"/>
      <c r="J980" s="165"/>
      <c r="K980" s="165"/>
      <c r="L980" s="165"/>
      <c r="M980" s="165"/>
      <c r="N980" s="165"/>
      <c r="O980" s="165"/>
      <c r="P980" s="165"/>
      <c r="Q980" s="165"/>
      <c r="R980" s="165"/>
      <c r="S980" s="165"/>
      <c r="T980" s="165"/>
      <c r="U980" s="165"/>
      <c r="V980" s="165"/>
      <c r="W980" s="165"/>
      <c r="X980" s="165"/>
      <c r="Y980" s="165"/>
      <c r="Z980" s="165"/>
    </row>
    <row r="981">
      <c r="A981" s="165"/>
      <c r="B981" s="165"/>
      <c r="C981" s="165"/>
      <c r="D981" s="165"/>
      <c r="E981" s="165"/>
      <c r="F981" s="165"/>
      <c r="G981" s="165"/>
      <c r="H981" s="165"/>
      <c r="I981" s="165"/>
      <c r="J981" s="165"/>
      <c r="K981" s="165"/>
      <c r="L981" s="165"/>
      <c r="M981" s="165"/>
      <c r="N981" s="165"/>
      <c r="O981" s="165"/>
      <c r="P981" s="165"/>
      <c r="Q981" s="165"/>
      <c r="R981" s="165"/>
      <c r="S981" s="165"/>
      <c r="T981" s="165"/>
      <c r="U981" s="165"/>
      <c r="V981" s="165"/>
      <c r="W981" s="165"/>
      <c r="X981" s="165"/>
      <c r="Y981" s="165"/>
      <c r="Z981" s="165"/>
    </row>
    <row r="982">
      <c r="A982" s="165"/>
      <c r="B982" s="165"/>
      <c r="C982" s="165"/>
      <c r="D982" s="165"/>
      <c r="E982" s="165"/>
      <c r="F982" s="165"/>
      <c r="G982" s="165"/>
      <c r="H982" s="165"/>
      <c r="I982" s="165"/>
      <c r="J982" s="165"/>
      <c r="K982" s="165"/>
      <c r="L982" s="165"/>
      <c r="M982" s="165"/>
      <c r="N982" s="165"/>
      <c r="O982" s="165"/>
      <c r="P982" s="165"/>
      <c r="Q982" s="165"/>
      <c r="R982" s="165"/>
      <c r="S982" s="165"/>
      <c r="T982" s="165"/>
      <c r="U982" s="165"/>
      <c r="V982" s="165"/>
      <c r="W982" s="165"/>
      <c r="X982" s="165"/>
      <c r="Y982" s="165"/>
      <c r="Z982" s="165"/>
    </row>
    <row r="983">
      <c r="A983" s="165"/>
      <c r="B983" s="165"/>
      <c r="C983" s="165"/>
      <c r="D983" s="165"/>
      <c r="E983" s="165"/>
      <c r="F983" s="165"/>
      <c r="G983" s="165"/>
      <c r="H983" s="165"/>
      <c r="I983" s="165"/>
      <c r="J983" s="165"/>
      <c r="K983" s="165"/>
      <c r="L983" s="165"/>
      <c r="M983" s="165"/>
      <c r="N983" s="165"/>
      <c r="O983" s="165"/>
      <c r="P983" s="165"/>
      <c r="Q983" s="165"/>
      <c r="R983" s="165"/>
      <c r="S983" s="165"/>
      <c r="T983" s="165"/>
      <c r="U983" s="165"/>
      <c r="V983" s="165"/>
      <c r="W983" s="165"/>
      <c r="X983" s="165"/>
      <c r="Y983" s="165"/>
      <c r="Z983" s="165"/>
    </row>
    <row r="984">
      <c r="A984" s="165"/>
      <c r="B984" s="165"/>
      <c r="C984" s="165"/>
      <c r="D984" s="165"/>
      <c r="E984" s="165"/>
      <c r="F984" s="165"/>
      <c r="G984" s="165"/>
      <c r="H984" s="165"/>
      <c r="I984" s="165"/>
      <c r="J984" s="165"/>
      <c r="K984" s="165"/>
      <c r="L984" s="165"/>
      <c r="M984" s="165"/>
      <c r="N984" s="165"/>
      <c r="O984" s="165"/>
      <c r="P984" s="165"/>
      <c r="Q984" s="165"/>
      <c r="R984" s="165"/>
      <c r="S984" s="165"/>
      <c r="T984" s="165"/>
      <c r="U984" s="165"/>
      <c r="V984" s="165"/>
      <c r="W984" s="165"/>
      <c r="X984" s="165"/>
      <c r="Y984" s="165"/>
      <c r="Z984" s="165"/>
    </row>
    <row r="985">
      <c r="A985" s="165"/>
      <c r="B985" s="165"/>
      <c r="C985" s="165"/>
      <c r="D985" s="165"/>
      <c r="E985" s="165"/>
      <c r="F985" s="165"/>
      <c r="G985" s="165"/>
      <c r="H985" s="165"/>
      <c r="I985" s="165"/>
      <c r="J985" s="165"/>
      <c r="K985" s="165"/>
      <c r="L985" s="165"/>
      <c r="M985" s="165"/>
      <c r="N985" s="165"/>
      <c r="O985" s="165"/>
      <c r="P985" s="165"/>
      <c r="Q985" s="165"/>
      <c r="R985" s="165"/>
      <c r="S985" s="165"/>
      <c r="T985" s="165"/>
      <c r="U985" s="165"/>
      <c r="V985" s="165"/>
      <c r="W985" s="165"/>
      <c r="X985" s="165"/>
      <c r="Y985" s="165"/>
      <c r="Z985" s="165"/>
    </row>
    <row r="986">
      <c r="A986" s="165"/>
      <c r="B986" s="165"/>
      <c r="C986" s="165"/>
      <c r="D986" s="165"/>
      <c r="E986" s="165"/>
      <c r="F986" s="165"/>
      <c r="G986" s="165"/>
      <c r="H986" s="165"/>
      <c r="I986" s="165"/>
      <c r="J986" s="165"/>
      <c r="K986" s="165"/>
      <c r="L986" s="165"/>
      <c r="M986" s="165"/>
      <c r="N986" s="165"/>
      <c r="O986" s="165"/>
      <c r="P986" s="165"/>
      <c r="Q986" s="165"/>
      <c r="R986" s="165"/>
      <c r="S986" s="165"/>
      <c r="T986" s="165"/>
      <c r="U986" s="165"/>
      <c r="V986" s="165"/>
      <c r="W986" s="165"/>
      <c r="X986" s="165"/>
      <c r="Y986" s="165"/>
      <c r="Z986" s="165"/>
    </row>
    <row r="987">
      <c r="A987" s="165"/>
      <c r="B987" s="165"/>
      <c r="C987" s="165"/>
      <c r="D987" s="165"/>
      <c r="E987" s="165"/>
      <c r="F987" s="165"/>
      <c r="G987" s="165"/>
      <c r="H987" s="165"/>
      <c r="I987" s="165"/>
      <c r="J987" s="165"/>
      <c r="K987" s="165"/>
      <c r="L987" s="165"/>
      <c r="M987" s="165"/>
      <c r="N987" s="165"/>
      <c r="O987" s="165"/>
      <c r="P987" s="165"/>
      <c r="Q987" s="165"/>
      <c r="R987" s="165"/>
      <c r="S987" s="165"/>
      <c r="T987" s="165"/>
      <c r="U987" s="165"/>
      <c r="V987" s="165"/>
      <c r="W987" s="165"/>
      <c r="X987" s="165"/>
      <c r="Y987" s="165"/>
      <c r="Z987" s="165"/>
    </row>
    <row r="988">
      <c r="A988" s="165"/>
      <c r="B988" s="165"/>
      <c r="C988" s="165"/>
      <c r="D988" s="165"/>
      <c r="E988" s="165"/>
      <c r="F988" s="165"/>
      <c r="G988" s="165"/>
      <c r="H988" s="165"/>
      <c r="I988" s="165"/>
      <c r="J988" s="165"/>
      <c r="K988" s="165"/>
      <c r="L988" s="165"/>
      <c r="M988" s="165"/>
      <c r="N988" s="165"/>
      <c r="O988" s="165"/>
      <c r="P988" s="165"/>
      <c r="Q988" s="165"/>
      <c r="R988" s="165"/>
      <c r="S988" s="165"/>
      <c r="T988" s="165"/>
      <c r="U988" s="165"/>
      <c r="V988" s="165"/>
      <c r="W988" s="165"/>
      <c r="X988" s="165"/>
      <c r="Y988" s="165"/>
      <c r="Z988" s="165"/>
    </row>
    <row r="989">
      <c r="A989" s="165"/>
      <c r="B989" s="165"/>
      <c r="C989" s="165"/>
      <c r="D989" s="165"/>
      <c r="E989" s="165"/>
      <c r="F989" s="165"/>
      <c r="G989" s="165"/>
      <c r="H989" s="165"/>
      <c r="I989" s="165"/>
      <c r="J989" s="165"/>
      <c r="K989" s="165"/>
      <c r="L989" s="165"/>
      <c r="M989" s="165"/>
      <c r="N989" s="165"/>
      <c r="O989" s="165"/>
      <c r="P989" s="165"/>
      <c r="Q989" s="165"/>
      <c r="R989" s="165"/>
      <c r="S989" s="165"/>
      <c r="T989" s="165"/>
      <c r="U989" s="165"/>
      <c r="V989" s="165"/>
      <c r="W989" s="165"/>
      <c r="X989" s="165"/>
      <c r="Y989" s="165"/>
      <c r="Z989" s="165"/>
    </row>
    <row r="990">
      <c r="A990" s="165"/>
      <c r="B990" s="165"/>
      <c r="C990" s="165"/>
      <c r="D990" s="165"/>
      <c r="E990" s="165"/>
      <c r="F990" s="165"/>
      <c r="G990" s="165"/>
      <c r="H990" s="165"/>
      <c r="I990" s="165"/>
      <c r="J990" s="165"/>
      <c r="K990" s="165"/>
      <c r="L990" s="165"/>
      <c r="M990" s="165"/>
      <c r="N990" s="165"/>
      <c r="O990" s="165"/>
      <c r="P990" s="165"/>
      <c r="Q990" s="165"/>
      <c r="R990" s="165"/>
      <c r="S990" s="165"/>
      <c r="T990" s="165"/>
      <c r="U990" s="165"/>
      <c r="V990" s="165"/>
      <c r="W990" s="165"/>
      <c r="X990" s="165"/>
      <c r="Y990" s="165"/>
      <c r="Z990" s="165"/>
    </row>
    <row r="991">
      <c r="A991" s="165"/>
      <c r="B991" s="165"/>
      <c r="C991" s="165"/>
      <c r="D991" s="165"/>
      <c r="E991" s="165"/>
      <c r="F991" s="165"/>
      <c r="G991" s="165"/>
      <c r="H991" s="165"/>
      <c r="I991" s="165"/>
      <c r="J991" s="165"/>
      <c r="K991" s="165"/>
      <c r="L991" s="165"/>
      <c r="M991" s="165"/>
      <c r="N991" s="165"/>
      <c r="O991" s="165"/>
      <c r="P991" s="165"/>
      <c r="Q991" s="165"/>
      <c r="R991" s="165"/>
      <c r="S991" s="165"/>
      <c r="T991" s="165"/>
      <c r="U991" s="165"/>
      <c r="V991" s="165"/>
      <c r="W991" s="165"/>
      <c r="X991" s="165"/>
      <c r="Y991" s="165"/>
      <c r="Z991" s="165"/>
    </row>
    <row r="992">
      <c r="A992" s="165"/>
      <c r="B992" s="165"/>
      <c r="C992" s="165"/>
      <c r="D992" s="165"/>
      <c r="E992" s="165"/>
      <c r="F992" s="165"/>
      <c r="G992" s="165"/>
      <c r="H992" s="165"/>
      <c r="I992" s="165"/>
      <c r="J992" s="165"/>
      <c r="K992" s="165"/>
      <c r="L992" s="165"/>
      <c r="M992" s="165"/>
      <c r="N992" s="165"/>
      <c r="O992" s="165"/>
      <c r="P992" s="165"/>
      <c r="Q992" s="165"/>
      <c r="R992" s="165"/>
      <c r="S992" s="165"/>
      <c r="T992" s="165"/>
      <c r="U992" s="165"/>
      <c r="V992" s="165"/>
      <c r="W992" s="165"/>
      <c r="X992" s="165"/>
      <c r="Y992" s="165"/>
      <c r="Z992" s="165"/>
    </row>
    <row r="993">
      <c r="A993" s="165"/>
      <c r="B993" s="165"/>
      <c r="C993" s="165"/>
      <c r="D993" s="165"/>
      <c r="E993" s="165"/>
      <c r="F993" s="165"/>
      <c r="G993" s="165"/>
      <c r="H993" s="165"/>
      <c r="I993" s="165"/>
      <c r="J993" s="165"/>
      <c r="K993" s="165"/>
      <c r="L993" s="165"/>
      <c r="M993" s="165"/>
      <c r="N993" s="165"/>
      <c r="O993" s="165"/>
      <c r="P993" s="165"/>
      <c r="Q993" s="165"/>
      <c r="R993" s="165"/>
      <c r="S993" s="165"/>
      <c r="T993" s="165"/>
      <c r="U993" s="165"/>
      <c r="V993" s="165"/>
      <c r="W993" s="165"/>
      <c r="X993" s="165"/>
      <c r="Y993" s="165"/>
      <c r="Z993" s="165"/>
    </row>
    <row r="994">
      <c r="A994" s="165"/>
      <c r="B994" s="165"/>
      <c r="C994" s="165"/>
      <c r="D994" s="165"/>
      <c r="E994" s="165"/>
      <c r="F994" s="165"/>
      <c r="G994" s="165"/>
      <c r="H994" s="165"/>
      <c r="I994" s="165"/>
      <c r="J994" s="165"/>
      <c r="K994" s="165"/>
      <c r="L994" s="165"/>
      <c r="M994" s="165"/>
      <c r="N994" s="165"/>
      <c r="O994" s="165"/>
      <c r="P994" s="165"/>
      <c r="Q994" s="165"/>
      <c r="R994" s="165"/>
      <c r="S994" s="165"/>
      <c r="T994" s="165"/>
      <c r="U994" s="165"/>
      <c r="V994" s="165"/>
      <c r="W994" s="165"/>
      <c r="X994" s="165"/>
      <c r="Y994" s="165"/>
      <c r="Z994" s="165"/>
    </row>
    <row r="995">
      <c r="A995" s="165"/>
      <c r="B995" s="165"/>
      <c r="C995" s="165"/>
      <c r="D995" s="165"/>
      <c r="E995" s="165"/>
      <c r="F995" s="165"/>
      <c r="G995" s="165"/>
      <c r="H995" s="165"/>
      <c r="I995" s="165"/>
      <c r="J995" s="165"/>
      <c r="K995" s="165"/>
      <c r="L995" s="165"/>
      <c r="M995" s="165"/>
      <c r="N995" s="165"/>
      <c r="O995" s="165"/>
      <c r="P995" s="165"/>
      <c r="Q995" s="165"/>
      <c r="R995" s="165"/>
      <c r="S995" s="165"/>
      <c r="T995" s="165"/>
      <c r="U995" s="165"/>
      <c r="V995" s="165"/>
      <c r="W995" s="165"/>
      <c r="X995" s="165"/>
      <c r="Y995" s="165"/>
      <c r="Z995" s="165"/>
    </row>
    <row r="996">
      <c r="A996" s="165"/>
      <c r="B996" s="165"/>
      <c r="C996" s="165"/>
      <c r="D996" s="165"/>
      <c r="E996" s="165"/>
      <c r="F996" s="165"/>
      <c r="G996" s="165"/>
      <c r="H996" s="165"/>
      <c r="I996" s="165"/>
      <c r="J996" s="165"/>
      <c r="K996" s="165"/>
      <c r="L996" s="165"/>
      <c r="M996" s="165"/>
      <c r="N996" s="165"/>
      <c r="O996" s="165"/>
      <c r="P996" s="165"/>
      <c r="Q996" s="165"/>
      <c r="R996" s="165"/>
      <c r="S996" s="165"/>
      <c r="T996" s="165"/>
      <c r="U996" s="165"/>
      <c r="V996" s="165"/>
      <c r="W996" s="165"/>
      <c r="X996" s="165"/>
      <c r="Y996" s="165"/>
      <c r="Z996" s="165"/>
    </row>
    <row r="997">
      <c r="A997" s="165"/>
      <c r="B997" s="165"/>
      <c r="C997" s="165"/>
      <c r="D997" s="165"/>
      <c r="E997" s="165"/>
      <c r="F997" s="165"/>
      <c r="G997" s="165"/>
      <c r="H997" s="165"/>
      <c r="I997" s="165"/>
      <c r="J997" s="165"/>
      <c r="K997" s="165"/>
      <c r="L997" s="165"/>
      <c r="M997" s="165"/>
      <c r="N997" s="165"/>
      <c r="O997" s="165"/>
      <c r="P997" s="165"/>
      <c r="Q997" s="165"/>
      <c r="R997" s="165"/>
      <c r="S997" s="165"/>
      <c r="T997" s="165"/>
      <c r="U997" s="165"/>
      <c r="V997" s="165"/>
      <c r="W997" s="165"/>
      <c r="X997" s="165"/>
      <c r="Y997" s="165"/>
      <c r="Z997" s="165"/>
    </row>
    <row r="998">
      <c r="A998" s="165"/>
      <c r="B998" s="165"/>
      <c r="C998" s="165"/>
      <c r="D998" s="165"/>
      <c r="E998" s="165"/>
      <c r="F998" s="165"/>
      <c r="G998" s="165"/>
      <c r="H998" s="165"/>
      <c r="I998" s="165"/>
      <c r="J998" s="165"/>
      <c r="K998" s="165"/>
      <c r="L998" s="165"/>
      <c r="M998" s="165"/>
      <c r="N998" s="165"/>
      <c r="O998" s="165"/>
      <c r="P998" s="165"/>
      <c r="Q998" s="165"/>
      <c r="R998" s="165"/>
      <c r="S998" s="165"/>
      <c r="T998" s="165"/>
      <c r="U998" s="165"/>
      <c r="V998" s="165"/>
      <c r="W998" s="165"/>
      <c r="X998" s="165"/>
      <c r="Y998" s="165"/>
      <c r="Z998" s="165"/>
    </row>
    <row r="999">
      <c r="A999" s="165"/>
      <c r="B999" s="165"/>
      <c r="C999" s="165"/>
      <c r="D999" s="165"/>
      <c r="E999" s="165"/>
      <c r="F999" s="165"/>
      <c r="G999" s="165"/>
      <c r="H999" s="165"/>
      <c r="I999" s="165"/>
      <c r="J999" s="165"/>
      <c r="K999" s="165"/>
      <c r="L999" s="165"/>
      <c r="M999" s="165"/>
      <c r="N999" s="165"/>
      <c r="O999" s="165"/>
      <c r="P999" s="165"/>
      <c r="Q999" s="165"/>
      <c r="R999" s="165"/>
      <c r="S999" s="165"/>
      <c r="T999" s="165"/>
      <c r="U999" s="165"/>
      <c r="V999" s="165"/>
      <c r="W999" s="165"/>
      <c r="X999" s="165"/>
      <c r="Y999" s="165"/>
      <c r="Z999" s="165"/>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5.25"/>
    <col customWidth="1" min="2" max="2" width="7.75"/>
    <col customWidth="1" min="3" max="3" width="8.13"/>
    <col customWidth="1" min="4" max="4" width="12.13"/>
    <col customWidth="1" min="5" max="5" width="4.0"/>
    <col customWidth="1" min="6" max="6" width="12.0"/>
    <col customWidth="1" min="7" max="7" width="10.13"/>
    <col customWidth="1" min="8" max="8" width="5.13"/>
    <col customWidth="1" min="9" max="9" width="3.25"/>
    <col customWidth="1" min="10" max="10" width="7.5"/>
    <col customWidth="1" min="11" max="11" width="6.5"/>
    <col customWidth="1" min="12" max="12" width="6.38"/>
    <col customWidth="1" min="13" max="13" width="5.88"/>
    <col customWidth="1" min="14" max="14" width="8.5"/>
    <col customWidth="1" min="15" max="15" width="9.75"/>
    <col customWidth="1" min="16" max="16" width="9.25"/>
    <col customWidth="1" min="17" max="17" width="4.75"/>
    <col customWidth="1" min="18" max="18" width="5.13"/>
    <col customWidth="1" min="19" max="19" width="6.5"/>
    <col customWidth="1" min="20" max="20" width="8.38"/>
  </cols>
  <sheetData>
    <row r="1">
      <c r="A1" s="3" t="s">
        <v>645</v>
      </c>
      <c r="B1" s="3" t="s">
        <v>5317</v>
      </c>
      <c r="C1" s="3" t="s">
        <v>5318</v>
      </c>
      <c r="D1" s="3" t="s">
        <v>5319</v>
      </c>
      <c r="E1" s="3" t="s">
        <v>5320</v>
      </c>
      <c r="F1" s="3" t="s">
        <v>5321</v>
      </c>
      <c r="G1" s="3" t="s">
        <v>5322</v>
      </c>
      <c r="H1" s="3" t="s">
        <v>5323</v>
      </c>
      <c r="I1" s="3" t="s">
        <v>5324</v>
      </c>
      <c r="J1" s="3" t="s">
        <v>5325</v>
      </c>
      <c r="K1" s="3" t="s">
        <v>5326</v>
      </c>
      <c r="L1" s="3" t="s">
        <v>5327</v>
      </c>
      <c r="M1" s="3" t="s">
        <v>5328</v>
      </c>
      <c r="N1" s="3" t="s">
        <v>5329</v>
      </c>
      <c r="O1" s="3" t="s">
        <v>5330</v>
      </c>
      <c r="P1" s="3" t="s">
        <v>5331</v>
      </c>
      <c r="Q1" s="3" t="s">
        <v>5332</v>
      </c>
      <c r="R1" s="3" t="s">
        <v>5333</v>
      </c>
      <c r="S1" s="3" t="s">
        <v>5334</v>
      </c>
      <c r="T1" s="3" t="s">
        <v>5335</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14.38"/>
    <col customWidth="1" min="2" max="2" width="17.0"/>
    <col customWidth="1" min="3" max="3" width="578.88"/>
  </cols>
  <sheetData>
    <row r="2">
      <c r="A2" s="4" t="str">
        <f>FUNCTION3(Sheet3!C2:C1000)</f>
        <v/>
      </c>
      <c r="C2" s="4" t="str">
        <f>FUNCTION4(Sheet3!A2:A1000,Sheet3!C2:C1000,A2:A8)</f>
        <v>#REF!</v>
      </c>
    </row>
    <row r="3">
      <c r="C3" s="4" t="e">
        <v>#REF!</v>
      </c>
    </row>
    <row r="4">
      <c r="C4" s="4" t="e">
        <v>#REF!</v>
      </c>
    </row>
    <row r="5">
      <c r="C5" s="4" t="e">
        <v>#REF!</v>
      </c>
    </row>
    <row r="6">
      <c r="C6" s="4" t="e">
        <v>#REF!</v>
      </c>
    </row>
    <row r="7">
      <c r="C7" s="4" t="e">
        <v>#REF!</v>
      </c>
    </row>
    <row r="8">
      <c r="C8" s="4" t="e">
        <v>#REF!</v>
      </c>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2" width="2.88"/>
    <col customWidth="1" min="3" max="4" width="9.13"/>
    <col customWidth="1" min="6" max="6" width="2.88"/>
  </cols>
  <sheetData>
    <row r="1">
      <c r="A1" s="121"/>
      <c r="B1" s="121"/>
      <c r="C1" s="121"/>
    </row>
    <row r="2">
      <c r="A2" s="170"/>
      <c r="B2" s="171" t="s">
        <v>5358</v>
      </c>
      <c r="C2" s="172" t="s">
        <v>5013</v>
      </c>
      <c r="D2" s="173"/>
      <c r="E2" s="174">
        <f>sum(F11:F15)</f>
        <v>0</v>
      </c>
    </row>
    <row r="3">
      <c r="A3" s="170"/>
      <c r="B3" s="171" t="s">
        <v>5359</v>
      </c>
      <c r="C3" s="172" t="s">
        <v>5014</v>
      </c>
      <c r="D3" s="173"/>
      <c r="E3" s="174">
        <f>sum(F12,F16:F19)</f>
        <v>0</v>
      </c>
    </row>
    <row r="4">
      <c r="A4" s="170"/>
      <c r="B4" s="171" t="s">
        <v>320</v>
      </c>
      <c r="C4" s="172" t="s">
        <v>5015</v>
      </c>
      <c r="D4" s="173"/>
      <c r="E4" s="174">
        <f>sum(F20:F22,F16,F12)</f>
        <v>0</v>
      </c>
    </row>
    <row r="5">
      <c r="A5" s="170"/>
      <c r="B5" s="171" t="s">
        <v>5360</v>
      </c>
      <c r="C5" s="172" t="s">
        <v>5016</v>
      </c>
      <c r="D5" s="173"/>
      <c r="E5" s="174">
        <f>sum(F13,F17,F20,F23,F24)</f>
        <v>0</v>
      </c>
    </row>
    <row r="6">
      <c r="A6" s="170"/>
      <c r="B6" s="171" t="s">
        <v>5361</v>
      </c>
      <c r="C6" s="172" t="s">
        <v>5362</v>
      </c>
      <c r="D6" s="173"/>
      <c r="E6" s="174">
        <f>sum(F14,F18,F21,F23,F25)</f>
        <v>0</v>
      </c>
    </row>
    <row r="7">
      <c r="A7" s="170"/>
      <c r="B7" s="171" t="s">
        <v>5364</v>
      </c>
      <c r="C7" s="172" t="s">
        <v>5018</v>
      </c>
      <c r="D7" s="173"/>
      <c r="E7" s="174">
        <f>sum(F15,F19,F22,F24,F25)</f>
        <v>0</v>
      </c>
    </row>
    <row r="8">
      <c r="A8" s="170"/>
      <c r="B8" s="170"/>
      <c r="C8" s="170"/>
      <c r="D8" s="3"/>
      <c r="E8" s="121">
        <f>SUM(E2:E7)</f>
        <v>0</v>
      </c>
    </row>
    <row r="9">
      <c r="A9" s="170"/>
      <c r="B9" s="170"/>
      <c r="C9" s="170"/>
      <c r="D9" s="3"/>
    </row>
    <row r="10">
      <c r="A10" s="170"/>
      <c r="B10" s="171"/>
      <c r="C10" s="171"/>
      <c r="D10" s="175"/>
      <c r="E10" s="176"/>
      <c r="F10" s="176"/>
    </row>
    <row r="11">
      <c r="A11" s="170"/>
      <c r="B11" s="171">
        <f t="array" ref="B11:B25">row(B$1:B$15)</f>
        <v>1</v>
      </c>
      <c r="C11" s="171" t="str">
        <f t="shared" ref="C11:C25" si="1">if(F11&gt;=2,"direct", "indirect")</f>
        <v>indirect</v>
      </c>
      <c r="D11" s="171" t="s">
        <v>5013</v>
      </c>
      <c r="E11" s="171" t="s">
        <v>5014</v>
      </c>
      <c r="F11" s="174">
        <f>IFERROR(__xludf.DUMMYFUNCTION("countif(subgroups, join("", "", D11,E11))"),0.0)</f>
        <v>0</v>
      </c>
    </row>
    <row r="12">
      <c r="A12" s="170"/>
      <c r="B12" s="171">
        <v>2.0</v>
      </c>
      <c r="C12" s="171" t="str">
        <f t="shared" si="1"/>
        <v>indirect</v>
      </c>
      <c r="D12" s="171" t="s">
        <v>5013</v>
      </c>
      <c r="E12" s="171" t="s">
        <v>5015</v>
      </c>
      <c r="F12" s="174">
        <f>IFERROR(__xludf.DUMMYFUNCTION("countif(subgroups, join("", "", D12,E12))"),0.0)</f>
        <v>0</v>
      </c>
    </row>
    <row r="13">
      <c r="A13" s="170"/>
      <c r="B13" s="171">
        <v>3.0</v>
      </c>
      <c r="C13" s="171" t="str">
        <f t="shared" si="1"/>
        <v>indirect</v>
      </c>
      <c r="D13" s="171" t="s">
        <v>5013</v>
      </c>
      <c r="E13" s="171" t="s">
        <v>5016</v>
      </c>
      <c r="F13" s="174">
        <f>IFERROR(__xludf.DUMMYFUNCTION("countif(subgroups, join("", "", D13,E13))"),0.0)</f>
        <v>0</v>
      </c>
    </row>
    <row r="14">
      <c r="A14" s="170"/>
      <c r="B14" s="171">
        <v>4.0</v>
      </c>
      <c r="C14" s="171" t="str">
        <f t="shared" si="1"/>
        <v>indirect</v>
      </c>
      <c r="D14" s="171" t="s">
        <v>5013</v>
      </c>
      <c r="E14" s="171" t="s">
        <v>5362</v>
      </c>
      <c r="F14" s="174">
        <f>IFERROR(__xludf.DUMMYFUNCTION("countif(subgroups, join("", "", D14,E14))"),0.0)</f>
        <v>0</v>
      </c>
    </row>
    <row r="15">
      <c r="A15" s="170"/>
      <c r="B15" s="171">
        <v>5.0</v>
      </c>
      <c r="C15" s="171" t="str">
        <f t="shared" si="1"/>
        <v>indirect</v>
      </c>
      <c r="D15" s="171" t="s">
        <v>5013</v>
      </c>
      <c r="E15" s="171" t="s">
        <v>5018</v>
      </c>
      <c r="F15" s="174">
        <f>IFERROR(__xludf.DUMMYFUNCTION("countif(subgroups, join("", "", D15,E15))"),0.0)</f>
        <v>0</v>
      </c>
    </row>
    <row r="16">
      <c r="A16" s="170"/>
      <c r="B16" s="171">
        <v>6.0</v>
      </c>
      <c r="C16" s="171" t="str">
        <f t="shared" si="1"/>
        <v>indirect</v>
      </c>
      <c r="D16" s="171" t="s">
        <v>5014</v>
      </c>
      <c r="E16" s="171" t="s">
        <v>5015</v>
      </c>
      <c r="F16" s="174">
        <f>IFERROR(__xludf.DUMMYFUNCTION("countif(subgroups, join("", "", D16,E16))"),0.0)</f>
        <v>0</v>
      </c>
    </row>
    <row r="17">
      <c r="A17" s="170"/>
      <c r="B17" s="171">
        <v>7.0</v>
      </c>
      <c r="C17" s="171" t="str">
        <f t="shared" si="1"/>
        <v>indirect</v>
      </c>
      <c r="D17" s="171" t="s">
        <v>5014</v>
      </c>
      <c r="E17" s="171" t="s">
        <v>5016</v>
      </c>
      <c r="F17" s="174">
        <f>IFERROR(__xludf.DUMMYFUNCTION("countif(subgroups, join("", "", D17,E17))"),0.0)</f>
        <v>0</v>
      </c>
    </row>
    <row r="18">
      <c r="A18" s="170"/>
      <c r="B18" s="171">
        <v>8.0</v>
      </c>
      <c r="C18" s="171" t="str">
        <f t="shared" si="1"/>
        <v>indirect</v>
      </c>
      <c r="D18" s="171" t="s">
        <v>5014</v>
      </c>
      <c r="E18" s="171" t="s">
        <v>5362</v>
      </c>
      <c r="F18" s="174">
        <f>IFERROR(__xludf.DUMMYFUNCTION("countif(subgroups, join("", "", D18,E18))"),0.0)</f>
        <v>0</v>
      </c>
    </row>
    <row r="19">
      <c r="A19" s="170"/>
      <c r="B19" s="171">
        <v>9.0</v>
      </c>
      <c r="C19" s="171" t="str">
        <f t="shared" si="1"/>
        <v>indirect</v>
      </c>
      <c r="D19" s="171" t="s">
        <v>5014</v>
      </c>
      <c r="E19" s="171" t="s">
        <v>5018</v>
      </c>
      <c r="F19" s="174">
        <f>IFERROR(__xludf.DUMMYFUNCTION("countif(subgroups, join("", "", D19,E19))"),0.0)</f>
        <v>0</v>
      </c>
    </row>
    <row r="20">
      <c r="A20" s="170"/>
      <c r="B20" s="171">
        <v>10.0</v>
      </c>
      <c r="C20" s="171" t="str">
        <f t="shared" si="1"/>
        <v>indirect</v>
      </c>
      <c r="D20" s="171" t="s">
        <v>5015</v>
      </c>
      <c r="E20" s="171" t="s">
        <v>5016</v>
      </c>
      <c r="F20" s="174">
        <f>IFERROR(__xludf.DUMMYFUNCTION("countif(subgroups, join("", "", D20,E20))"),0.0)</f>
        <v>0</v>
      </c>
    </row>
    <row r="21">
      <c r="A21" s="121"/>
      <c r="B21" s="174">
        <v>11.0</v>
      </c>
      <c r="C21" s="171" t="str">
        <f t="shared" si="1"/>
        <v>indirect</v>
      </c>
      <c r="D21" s="171" t="s">
        <v>5015</v>
      </c>
      <c r="E21" s="171" t="s">
        <v>5362</v>
      </c>
      <c r="F21" s="174">
        <f>IFERROR(__xludf.DUMMYFUNCTION("countif(subgroups, join("", "", D21,E21))"),0.0)</f>
        <v>0</v>
      </c>
    </row>
    <row r="22">
      <c r="A22" s="121"/>
      <c r="B22" s="174">
        <v>12.0</v>
      </c>
      <c r="C22" s="171" t="str">
        <f t="shared" si="1"/>
        <v>indirect</v>
      </c>
      <c r="D22" s="171" t="s">
        <v>5015</v>
      </c>
      <c r="E22" s="171" t="s">
        <v>5018</v>
      </c>
      <c r="F22" s="174">
        <f>IFERROR(__xludf.DUMMYFUNCTION("countif(subgroups, join("", "", D22,E22))"),0.0)</f>
        <v>0</v>
      </c>
    </row>
    <row r="23">
      <c r="A23" s="121"/>
      <c r="B23" s="174">
        <v>13.0</v>
      </c>
      <c r="C23" s="171" t="str">
        <f t="shared" si="1"/>
        <v>indirect</v>
      </c>
      <c r="D23" s="171" t="s">
        <v>5016</v>
      </c>
      <c r="E23" s="171" t="s">
        <v>5362</v>
      </c>
      <c r="F23" s="174">
        <f>IFERROR(__xludf.DUMMYFUNCTION("countif(subgroups, join("", "", D23,E23))"),0.0)</f>
        <v>0</v>
      </c>
    </row>
    <row r="24">
      <c r="A24" s="121"/>
      <c r="B24" s="174">
        <v>14.0</v>
      </c>
      <c r="C24" s="171" t="str">
        <f t="shared" si="1"/>
        <v>indirect</v>
      </c>
      <c r="D24" s="171" t="s">
        <v>5016</v>
      </c>
      <c r="E24" s="171" t="s">
        <v>5018</v>
      </c>
      <c r="F24" s="174">
        <f>IFERROR(__xludf.DUMMYFUNCTION("countif(subgroups, join("", "", D24,E24))"),0.0)</f>
        <v>0</v>
      </c>
    </row>
    <row r="25">
      <c r="A25" s="121"/>
      <c r="B25" s="174">
        <v>15.0</v>
      </c>
      <c r="C25" s="171" t="str">
        <f t="shared" si="1"/>
        <v>indirect</v>
      </c>
      <c r="D25" s="171" t="s">
        <v>5362</v>
      </c>
      <c r="E25" s="171" t="s">
        <v>5018</v>
      </c>
      <c r="F25" s="174">
        <f>IFERROR(__xludf.DUMMYFUNCTION("countif(subgroups, join("", "", D25,E25))"),0.0)</f>
        <v>0</v>
      </c>
    </row>
    <row r="26">
      <c r="A26" s="121"/>
      <c r="B26" s="121"/>
      <c r="C26" s="121"/>
      <c r="F26" s="4">
        <f>SUM(F11:F25)</f>
        <v>0</v>
      </c>
    </row>
    <row r="27">
      <c r="A27" s="121"/>
      <c r="B27" s="121"/>
      <c r="C27" s="121"/>
    </row>
    <row r="28">
      <c r="A28" s="121"/>
      <c r="B28" s="121"/>
      <c r="C28" s="121"/>
    </row>
    <row r="29">
      <c r="A29" s="121"/>
      <c r="B29" s="121"/>
      <c r="C29" s="121"/>
    </row>
    <row r="30">
      <c r="A30" s="121"/>
      <c r="B30" s="121"/>
      <c r="C30" s="121"/>
    </row>
    <row r="31">
      <c r="A31" s="121"/>
      <c r="B31" s="121"/>
      <c r="C31" s="121"/>
    </row>
    <row r="32">
      <c r="A32" s="121"/>
      <c r="B32" s="121"/>
      <c r="C32" s="121"/>
    </row>
    <row r="33">
      <c r="A33" s="121"/>
      <c r="B33" s="121"/>
      <c r="C33" s="121"/>
    </row>
    <row r="34">
      <c r="A34" s="121"/>
      <c r="B34" s="121"/>
      <c r="C34" s="121"/>
    </row>
    <row r="35">
      <c r="A35" s="121"/>
      <c r="B35" s="121"/>
      <c r="C35" s="121"/>
    </row>
    <row r="36">
      <c r="A36" s="121"/>
      <c r="B36" s="121"/>
      <c r="C36" s="121"/>
    </row>
    <row r="37">
      <c r="A37" s="121"/>
      <c r="B37" s="121"/>
      <c r="C37" s="121"/>
    </row>
    <row r="38">
      <c r="A38" s="121"/>
      <c r="B38" s="121"/>
      <c r="C38" s="121"/>
    </row>
    <row r="39">
      <c r="A39" s="121"/>
      <c r="B39" s="121"/>
      <c r="C39" s="121"/>
    </row>
    <row r="40">
      <c r="A40" s="121"/>
      <c r="B40" s="121"/>
      <c r="C40" s="121"/>
    </row>
    <row r="41">
      <c r="A41" s="121"/>
      <c r="B41" s="121"/>
      <c r="C41" s="121"/>
    </row>
    <row r="42">
      <c r="A42" s="121"/>
      <c r="B42" s="121"/>
      <c r="C42" s="121"/>
    </row>
    <row r="43">
      <c r="A43" s="121"/>
      <c r="B43" s="121"/>
      <c r="C43" s="121"/>
    </row>
    <row r="44">
      <c r="A44" s="121"/>
      <c r="B44" s="121"/>
      <c r="C44" s="121"/>
    </row>
    <row r="45">
      <c r="A45" s="121"/>
      <c r="B45" s="121"/>
      <c r="C45" s="121"/>
    </row>
    <row r="46">
      <c r="A46" s="121"/>
      <c r="B46" s="121"/>
      <c r="C46" s="121"/>
    </row>
    <row r="47">
      <c r="A47" s="121"/>
      <c r="B47" s="121"/>
      <c r="C47" s="121"/>
    </row>
    <row r="48">
      <c r="A48" s="121"/>
      <c r="B48" s="121"/>
      <c r="C48" s="121"/>
    </row>
    <row r="49">
      <c r="A49" s="121"/>
      <c r="B49" s="121"/>
      <c r="C49" s="121"/>
    </row>
    <row r="50">
      <c r="A50" s="121"/>
      <c r="B50" s="121"/>
      <c r="C50" s="121"/>
    </row>
    <row r="51">
      <c r="A51" s="121"/>
      <c r="B51" s="121"/>
      <c r="C51" s="121"/>
    </row>
    <row r="52">
      <c r="A52" s="121"/>
      <c r="B52" s="121"/>
      <c r="C52" s="121"/>
    </row>
    <row r="53">
      <c r="A53" s="121"/>
      <c r="B53" s="121"/>
      <c r="C53" s="121"/>
    </row>
    <row r="54">
      <c r="A54" s="121"/>
      <c r="B54" s="121"/>
      <c r="C54" s="121"/>
    </row>
    <row r="55">
      <c r="A55" s="121"/>
      <c r="B55" s="121"/>
      <c r="C55" s="121"/>
    </row>
    <row r="56">
      <c r="A56" s="121"/>
      <c r="B56" s="121"/>
      <c r="C56" s="121"/>
    </row>
    <row r="57">
      <c r="A57" s="121"/>
      <c r="B57" s="121"/>
      <c r="C57" s="121"/>
    </row>
    <row r="58">
      <c r="A58" s="121"/>
      <c r="B58" s="121"/>
      <c r="C58" s="121"/>
    </row>
    <row r="59">
      <c r="A59" s="121"/>
      <c r="B59" s="121"/>
      <c r="C59" s="121"/>
    </row>
    <row r="60">
      <c r="A60" s="121"/>
      <c r="B60" s="121"/>
      <c r="C60" s="121"/>
    </row>
    <row r="61">
      <c r="A61" s="121"/>
      <c r="B61" s="121"/>
      <c r="C61" s="121"/>
    </row>
    <row r="62">
      <c r="A62" s="121"/>
      <c r="B62" s="121"/>
      <c r="C62" s="121"/>
    </row>
    <row r="63">
      <c r="A63" s="121"/>
      <c r="B63" s="121"/>
      <c r="C63" s="121"/>
    </row>
    <row r="64">
      <c r="A64" s="121"/>
      <c r="B64" s="121"/>
      <c r="C64" s="121"/>
    </row>
    <row r="65">
      <c r="A65" s="121"/>
      <c r="B65" s="121"/>
      <c r="C65" s="121"/>
    </row>
    <row r="66">
      <c r="A66" s="121"/>
      <c r="B66" s="121"/>
      <c r="C66" s="121"/>
    </row>
    <row r="67">
      <c r="A67" s="121"/>
      <c r="B67" s="121"/>
      <c r="C67" s="121"/>
    </row>
    <row r="68">
      <c r="A68" s="121"/>
      <c r="B68" s="121"/>
      <c r="C68" s="121"/>
    </row>
    <row r="69">
      <c r="A69" s="121"/>
      <c r="B69" s="121"/>
      <c r="C69" s="121"/>
    </row>
    <row r="70">
      <c r="A70" s="121"/>
      <c r="B70" s="121"/>
      <c r="C70" s="121"/>
    </row>
    <row r="71">
      <c r="A71" s="121"/>
      <c r="B71" s="121"/>
      <c r="C71" s="121"/>
    </row>
    <row r="72">
      <c r="A72" s="121"/>
      <c r="B72" s="121"/>
      <c r="C72" s="121"/>
    </row>
    <row r="73">
      <c r="A73" s="121"/>
      <c r="B73" s="121"/>
      <c r="C73" s="121"/>
    </row>
    <row r="74">
      <c r="A74" s="121"/>
      <c r="B74" s="121"/>
      <c r="C74" s="121"/>
    </row>
    <row r="75">
      <c r="A75" s="121"/>
      <c r="B75" s="121"/>
      <c r="C75" s="121"/>
    </row>
    <row r="76">
      <c r="A76" s="121"/>
      <c r="B76" s="121"/>
      <c r="C76" s="121"/>
    </row>
    <row r="77">
      <c r="A77" s="121"/>
      <c r="B77" s="121"/>
      <c r="C77" s="121"/>
    </row>
    <row r="78">
      <c r="A78" s="121"/>
      <c r="B78" s="121"/>
      <c r="C78" s="121"/>
    </row>
    <row r="79">
      <c r="A79" s="121"/>
      <c r="B79" s="121"/>
      <c r="C79" s="121"/>
    </row>
    <row r="80">
      <c r="A80" s="121"/>
      <c r="B80" s="121"/>
      <c r="C80" s="121"/>
    </row>
    <row r="81">
      <c r="A81" s="121"/>
      <c r="B81" s="121"/>
      <c r="C81" s="121"/>
    </row>
    <row r="82">
      <c r="A82" s="121"/>
      <c r="B82" s="121"/>
      <c r="C82" s="121"/>
    </row>
    <row r="83">
      <c r="A83" s="121"/>
      <c r="B83" s="121"/>
      <c r="C83" s="121"/>
    </row>
    <row r="84">
      <c r="A84" s="121"/>
      <c r="B84" s="121"/>
      <c r="C84" s="121"/>
    </row>
    <row r="85">
      <c r="A85" s="121"/>
      <c r="B85" s="121"/>
      <c r="C85" s="121"/>
    </row>
    <row r="86">
      <c r="A86" s="121"/>
      <c r="B86" s="121"/>
      <c r="C86" s="121"/>
    </row>
    <row r="87">
      <c r="A87" s="121"/>
      <c r="B87" s="121"/>
      <c r="C87" s="121"/>
    </row>
    <row r="88">
      <c r="A88" s="121"/>
      <c r="B88" s="121"/>
      <c r="C88" s="121"/>
    </row>
    <row r="89">
      <c r="A89" s="121"/>
      <c r="B89" s="121"/>
      <c r="C89" s="121"/>
    </row>
    <row r="90">
      <c r="A90" s="121"/>
      <c r="B90" s="121"/>
      <c r="C90" s="121"/>
    </row>
    <row r="91">
      <c r="A91" s="121"/>
      <c r="B91" s="121"/>
      <c r="C91" s="121"/>
    </row>
    <row r="92">
      <c r="A92" s="121"/>
      <c r="B92" s="121"/>
      <c r="C92" s="121"/>
    </row>
    <row r="93">
      <c r="A93" s="121"/>
      <c r="B93" s="121"/>
      <c r="C93" s="121"/>
    </row>
    <row r="94">
      <c r="A94" s="121"/>
      <c r="B94" s="121"/>
      <c r="C94" s="121"/>
    </row>
    <row r="95">
      <c r="A95" s="121"/>
      <c r="B95" s="121"/>
      <c r="C95" s="121"/>
    </row>
    <row r="96">
      <c r="A96" s="121"/>
      <c r="B96" s="121"/>
      <c r="C96" s="121"/>
    </row>
    <row r="97">
      <c r="A97" s="121"/>
      <c r="B97" s="121"/>
      <c r="C97" s="121"/>
    </row>
    <row r="98">
      <c r="A98" s="121"/>
      <c r="B98" s="121"/>
      <c r="C98" s="121"/>
    </row>
    <row r="99">
      <c r="A99" s="121"/>
      <c r="B99" s="121"/>
      <c r="C99" s="121"/>
    </row>
    <row r="100">
      <c r="A100" s="121"/>
      <c r="B100" s="121"/>
      <c r="C100" s="121"/>
    </row>
    <row r="101">
      <c r="A101" s="121"/>
      <c r="B101" s="121"/>
      <c r="C101" s="121"/>
    </row>
    <row r="102">
      <c r="A102" s="121"/>
      <c r="B102" s="121"/>
      <c r="C102" s="121"/>
    </row>
    <row r="103">
      <c r="A103" s="121"/>
      <c r="B103" s="121"/>
      <c r="C103" s="121"/>
    </row>
    <row r="104">
      <c r="A104" s="121"/>
      <c r="B104" s="121"/>
      <c r="C104" s="121"/>
    </row>
    <row r="105">
      <c r="A105" s="121"/>
      <c r="B105" s="121"/>
      <c r="C105" s="121"/>
    </row>
    <row r="106">
      <c r="A106" s="121"/>
      <c r="B106" s="121"/>
      <c r="C106" s="121"/>
    </row>
    <row r="107">
      <c r="A107" s="121"/>
      <c r="B107" s="121"/>
      <c r="C107" s="121"/>
    </row>
    <row r="108">
      <c r="A108" s="121"/>
      <c r="B108" s="121"/>
      <c r="C108" s="121"/>
    </row>
    <row r="109">
      <c r="A109" s="121"/>
      <c r="B109" s="121"/>
      <c r="C109" s="121"/>
    </row>
    <row r="110">
      <c r="A110" s="121"/>
      <c r="B110" s="121"/>
      <c r="C110" s="121"/>
    </row>
    <row r="111">
      <c r="A111" s="121"/>
      <c r="B111" s="121"/>
      <c r="C111" s="121"/>
    </row>
    <row r="112">
      <c r="A112" s="121"/>
      <c r="B112" s="121"/>
      <c r="C112" s="121"/>
    </row>
    <row r="113">
      <c r="A113" s="121"/>
      <c r="B113" s="121"/>
      <c r="C113" s="121"/>
    </row>
    <row r="114">
      <c r="A114" s="121"/>
      <c r="B114" s="121"/>
      <c r="C114" s="121"/>
    </row>
    <row r="115">
      <c r="A115" s="121"/>
      <c r="B115" s="121"/>
      <c r="C115" s="121"/>
    </row>
    <row r="116">
      <c r="A116" s="121"/>
      <c r="B116" s="121"/>
      <c r="C116" s="121"/>
    </row>
    <row r="117">
      <c r="A117" s="121"/>
      <c r="B117" s="121"/>
      <c r="C117" s="121"/>
    </row>
    <row r="118">
      <c r="A118" s="121"/>
      <c r="B118" s="121"/>
      <c r="C118" s="121"/>
    </row>
    <row r="119">
      <c r="A119" s="121"/>
      <c r="B119" s="121"/>
      <c r="C119" s="121"/>
    </row>
    <row r="120">
      <c r="A120" s="121"/>
      <c r="B120" s="121"/>
      <c r="C120" s="121"/>
    </row>
    <row r="121">
      <c r="A121" s="121"/>
      <c r="B121" s="121"/>
      <c r="C121" s="121"/>
    </row>
    <row r="122">
      <c r="A122" s="121"/>
      <c r="B122" s="121"/>
      <c r="C122" s="121"/>
    </row>
    <row r="123">
      <c r="A123" s="121"/>
      <c r="B123" s="121"/>
      <c r="C123" s="121"/>
    </row>
    <row r="124">
      <c r="A124" s="121"/>
      <c r="B124" s="121"/>
      <c r="C124" s="121"/>
    </row>
    <row r="125">
      <c r="A125" s="121"/>
      <c r="B125" s="121"/>
      <c r="C125" s="121"/>
    </row>
    <row r="126">
      <c r="A126" s="121"/>
      <c r="B126" s="121"/>
      <c r="C126" s="121"/>
    </row>
    <row r="127">
      <c r="A127" s="121"/>
      <c r="B127" s="121"/>
      <c r="C127" s="121"/>
    </row>
    <row r="128">
      <c r="A128" s="121"/>
      <c r="B128" s="121"/>
      <c r="C128" s="121"/>
    </row>
    <row r="129">
      <c r="A129" s="121"/>
      <c r="B129" s="121"/>
      <c r="C129" s="121"/>
    </row>
    <row r="130">
      <c r="A130" s="121"/>
      <c r="B130" s="121"/>
      <c r="C130" s="121"/>
    </row>
    <row r="131">
      <c r="A131" s="121"/>
      <c r="B131" s="121"/>
      <c r="C131" s="121"/>
    </row>
    <row r="132">
      <c r="A132" s="121"/>
      <c r="B132" s="121"/>
      <c r="C132" s="121"/>
    </row>
    <row r="133">
      <c r="A133" s="121"/>
      <c r="B133" s="121"/>
      <c r="C133" s="121"/>
    </row>
    <row r="134">
      <c r="A134" s="121"/>
      <c r="B134" s="121"/>
      <c r="C134" s="121"/>
    </row>
    <row r="135">
      <c r="A135" s="121"/>
      <c r="B135" s="121"/>
      <c r="C135" s="121"/>
    </row>
    <row r="136">
      <c r="A136" s="121"/>
      <c r="B136" s="121"/>
      <c r="C136" s="121"/>
    </row>
    <row r="137">
      <c r="A137" s="121"/>
      <c r="B137" s="121"/>
      <c r="C137" s="121"/>
    </row>
    <row r="138">
      <c r="A138" s="121"/>
      <c r="B138" s="121"/>
      <c r="C138" s="121"/>
    </row>
    <row r="139">
      <c r="A139" s="121"/>
      <c r="B139" s="121"/>
      <c r="C139" s="121"/>
    </row>
    <row r="140">
      <c r="A140" s="121"/>
      <c r="B140" s="121"/>
      <c r="C140" s="121"/>
    </row>
    <row r="141">
      <c r="A141" s="121"/>
      <c r="B141" s="121"/>
      <c r="C141" s="121"/>
    </row>
    <row r="142">
      <c r="A142" s="121"/>
      <c r="B142" s="121"/>
      <c r="C142" s="121"/>
    </row>
    <row r="143">
      <c r="A143" s="121"/>
      <c r="B143" s="121"/>
      <c r="C143" s="121"/>
    </row>
    <row r="144">
      <c r="A144" s="121"/>
      <c r="B144" s="121"/>
      <c r="C144" s="121"/>
    </row>
    <row r="145">
      <c r="A145" s="121"/>
      <c r="B145" s="121"/>
      <c r="C145" s="121"/>
    </row>
    <row r="146">
      <c r="A146" s="121"/>
      <c r="B146" s="121"/>
      <c r="C146" s="121"/>
    </row>
    <row r="147">
      <c r="A147" s="121"/>
      <c r="B147" s="121"/>
      <c r="C147" s="121"/>
    </row>
    <row r="148">
      <c r="A148" s="121"/>
      <c r="B148" s="121"/>
      <c r="C148" s="121"/>
    </row>
    <row r="149">
      <c r="A149" s="121"/>
      <c r="B149" s="121"/>
      <c r="C149" s="121"/>
    </row>
    <row r="150">
      <c r="A150" s="121"/>
      <c r="B150" s="121"/>
      <c r="C150" s="121"/>
    </row>
    <row r="151">
      <c r="A151" s="121"/>
      <c r="B151" s="121"/>
      <c r="C151" s="121"/>
    </row>
    <row r="152">
      <c r="A152" s="121"/>
      <c r="B152" s="121"/>
      <c r="C152" s="121"/>
    </row>
    <row r="153">
      <c r="A153" s="121"/>
      <c r="B153" s="121"/>
      <c r="C153" s="121"/>
    </row>
    <row r="154">
      <c r="A154" s="121"/>
      <c r="B154" s="121"/>
      <c r="C154" s="121"/>
    </row>
    <row r="155">
      <c r="A155" s="121"/>
      <c r="B155" s="121"/>
      <c r="C155" s="121"/>
    </row>
    <row r="156">
      <c r="A156" s="121"/>
      <c r="B156" s="121"/>
      <c r="C156" s="121"/>
    </row>
    <row r="157">
      <c r="A157" s="121"/>
      <c r="B157" s="121"/>
      <c r="C157" s="121"/>
    </row>
    <row r="158">
      <c r="A158" s="121"/>
      <c r="B158" s="121"/>
      <c r="C158" s="121"/>
    </row>
    <row r="159">
      <c r="A159" s="121"/>
      <c r="B159" s="121"/>
      <c r="C159" s="121"/>
    </row>
    <row r="160">
      <c r="A160" s="121"/>
      <c r="B160" s="121"/>
      <c r="C160" s="121"/>
    </row>
    <row r="161">
      <c r="A161" s="121"/>
      <c r="B161" s="121"/>
      <c r="C161" s="121"/>
    </row>
    <row r="162">
      <c r="A162" s="121"/>
      <c r="B162" s="121"/>
      <c r="C162" s="121"/>
    </row>
    <row r="163">
      <c r="A163" s="121"/>
      <c r="B163" s="121"/>
      <c r="C163" s="121"/>
    </row>
    <row r="164">
      <c r="A164" s="121"/>
      <c r="B164" s="121"/>
      <c r="C164" s="121"/>
    </row>
    <row r="165">
      <c r="A165" s="121"/>
      <c r="B165" s="121"/>
      <c r="C165" s="121"/>
    </row>
    <row r="166">
      <c r="A166" s="121"/>
      <c r="B166" s="121"/>
      <c r="C166" s="121"/>
    </row>
    <row r="167">
      <c r="A167" s="121"/>
      <c r="B167" s="121"/>
      <c r="C167" s="121"/>
    </row>
    <row r="168">
      <c r="A168" s="121"/>
      <c r="B168" s="121"/>
      <c r="C168" s="121"/>
    </row>
    <row r="169">
      <c r="A169" s="121"/>
      <c r="B169" s="121"/>
      <c r="C169" s="121"/>
    </row>
    <row r="170">
      <c r="A170" s="121"/>
      <c r="B170" s="121"/>
      <c r="C170" s="121"/>
    </row>
    <row r="171">
      <c r="A171" s="121"/>
      <c r="B171" s="121"/>
      <c r="C171" s="121"/>
    </row>
    <row r="172">
      <c r="A172" s="121"/>
      <c r="B172" s="121"/>
      <c r="C172" s="121"/>
    </row>
    <row r="173">
      <c r="A173" s="121"/>
      <c r="B173" s="121"/>
      <c r="C173" s="121"/>
    </row>
    <row r="174">
      <c r="A174" s="121"/>
      <c r="B174" s="121"/>
      <c r="C174" s="121"/>
    </row>
    <row r="175">
      <c r="A175" s="121"/>
      <c r="B175" s="121"/>
      <c r="C175" s="121"/>
    </row>
    <row r="176">
      <c r="A176" s="121"/>
      <c r="B176" s="121"/>
      <c r="C176" s="121"/>
    </row>
    <row r="177">
      <c r="A177" s="121"/>
      <c r="B177" s="121"/>
      <c r="C177" s="121"/>
    </row>
    <row r="178">
      <c r="A178" s="121"/>
      <c r="B178" s="121"/>
      <c r="C178" s="121"/>
    </row>
    <row r="179">
      <c r="A179" s="121"/>
      <c r="B179" s="121"/>
      <c r="C179" s="121"/>
    </row>
    <row r="180">
      <c r="A180" s="121"/>
      <c r="B180" s="121"/>
      <c r="C180" s="121"/>
    </row>
    <row r="181">
      <c r="A181" s="121"/>
      <c r="B181" s="121"/>
      <c r="C181" s="121"/>
    </row>
    <row r="182">
      <c r="A182" s="121"/>
      <c r="B182" s="121"/>
      <c r="C182" s="121"/>
    </row>
    <row r="183">
      <c r="A183" s="121"/>
      <c r="B183" s="121"/>
      <c r="C183" s="121"/>
    </row>
    <row r="184">
      <c r="A184" s="121"/>
      <c r="B184" s="121"/>
      <c r="C184" s="121"/>
    </row>
    <row r="185">
      <c r="A185" s="121"/>
      <c r="B185" s="121"/>
      <c r="C185" s="121"/>
    </row>
    <row r="186">
      <c r="A186" s="121"/>
      <c r="B186" s="121"/>
      <c r="C186" s="121"/>
    </row>
    <row r="187">
      <c r="A187" s="121"/>
      <c r="B187" s="121"/>
      <c r="C187" s="121"/>
    </row>
    <row r="188">
      <c r="A188" s="121"/>
      <c r="B188" s="121"/>
      <c r="C188" s="121"/>
    </row>
    <row r="189">
      <c r="A189" s="121"/>
      <c r="B189" s="121"/>
      <c r="C189" s="121"/>
    </row>
    <row r="190">
      <c r="A190" s="121"/>
      <c r="B190" s="121"/>
      <c r="C190" s="121"/>
    </row>
    <row r="191">
      <c r="A191" s="121"/>
      <c r="B191" s="121"/>
      <c r="C191" s="121"/>
    </row>
    <row r="192">
      <c r="A192" s="121"/>
      <c r="B192" s="121"/>
      <c r="C192" s="121"/>
    </row>
    <row r="193">
      <c r="A193" s="121"/>
      <c r="B193" s="121"/>
      <c r="C193" s="121"/>
    </row>
    <row r="194">
      <c r="A194" s="121"/>
      <c r="B194" s="121"/>
      <c r="C194" s="121"/>
    </row>
    <row r="195">
      <c r="A195" s="121"/>
      <c r="B195" s="121"/>
      <c r="C195" s="121"/>
    </row>
    <row r="196">
      <c r="A196" s="121"/>
      <c r="B196" s="121"/>
      <c r="C196" s="121"/>
    </row>
    <row r="197">
      <c r="A197" s="121"/>
      <c r="B197" s="121"/>
      <c r="C197" s="121"/>
    </row>
    <row r="198">
      <c r="A198" s="121"/>
      <c r="B198" s="121"/>
      <c r="C198" s="121"/>
    </row>
    <row r="199">
      <c r="A199" s="121"/>
      <c r="B199" s="121"/>
      <c r="C199" s="121"/>
    </row>
    <row r="200">
      <c r="A200" s="121"/>
      <c r="B200" s="121"/>
      <c r="C200" s="121"/>
    </row>
    <row r="201">
      <c r="A201" s="121"/>
      <c r="B201" s="121"/>
      <c r="C201" s="121"/>
    </row>
    <row r="202">
      <c r="A202" s="121"/>
      <c r="B202" s="121"/>
      <c r="C202" s="121"/>
    </row>
    <row r="203">
      <c r="A203" s="121"/>
      <c r="B203" s="121"/>
      <c r="C203" s="121"/>
    </row>
    <row r="204">
      <c r="A204" s="121"/>
      <c r="B204" s="121"/>
      <c r="C204" s="121"/>
    </row>
    <row r="205">
      <c r="A205" s="121"/>
      <c r="B205" s="121"/>
      <c r="C205" s="121"/>
    </row>
    <row r="206">
      <c r="A206" s="121"/>
      <c r="B206" s="121"/>
      <c r="C206" s="121"/>
    </row>
    <row r="207">
      <c r="A207" s="121"/>
      <c r="B207" s="121"/>
      <c r="C207" s="121"/>
    </row>
    <row r="208">
      <c r="A208" s="121"/>
      <c r="B208" s="121"/>
      <c r="C208" s="121"/>
    </row>
    <row r="209">
      <c r="A209" s="121"/>
      <c r="B209" s="121"/>
      <c r="C209" s="121"/>
    </row>
    <row r="210">
      <c r="A210" s="121"/>
      <c r="B210" s="121"/>
      <c r="C210" s="121"/>
    </row>
    <row r="211">
      <c r="A211" s="121"/>
      <c r="B211" s="121"/>
      <c r="C211" s="121"/>
    </row>
    <row r="212">
      <c r="A212" s="121"/>
      <c r="B212" s="121"/>
      <c r="C212" s="121"/>
    </row>
    <row r="213">
      <c r="A213" s="121"/>
      <c r="B213" s="121"/>
      <c r="C213" s="121"/>
    </row>
    <row r="214">
      <c r="A214" s="121"/>
      <c r="B214" s="121"/>
      <c r="C214" s="121"/>
    </row>
    <row r="215">
      <c r="A215" s="121"/>
      <c r="B215" s="121"/>
      <c r="C215" s="121"/>
    </row>
    <row r="216">
      <c r="A216" s="121"/>
      <c r="B216" s="121"/>
      <c r="C216" s="121"/>
    </row>
    <row r="217">
      <c r="A217" s="121"/>
      <c r="B217" s="121"/>
      <c r="C217" s="121"/>
    </row>
    <row r="218">
      <c r="A218" s="121"/>
      <c r="B218" s="121"/>
      <c r="C218" s="121"/>
    </row>
    <row r="219">
      <c r="A219" s="121"/>
      <c r="B219" s="121"/>
      <c r="C219" s="121"/>
    </row>
    <row r="220">
      <c r="A220" s="121"/>
      <c r="B220" s="121"/>
      <c r="C220" s="121"/>
    </row>
    <row r="221">
      <c r="A221" s="121"/>
      <c r="B221" s="121"/>
      <c r="C221" s="121"/>
    </row>
    <row r="222">
      <c r="A222" s="121"/>
      <c r="B222" s="121"/>
      <c r="C222" s="121"/>
    </row>
    <row r="223">
      <c r="A223" s="121"/>
      <c r="B223" s="121"/>
      <c r="C223" s="121"/>
    </row>
    <row r="224">
      <c r="A224" s="121"/>
      <c r="B224" s="121"/>
      <c r="C224" s="121"/>
    </row>
    <row r="225">
      <c r="A225" s="121"/>
      <c r="B225" s="121"/>
      <c r="C225" s="121"/>
    </row>
    <row r="226">
      <c r="A226" s="121"/>
      <c r="B226" s="121"/>
      <c r="C226" s="121"/>
    </row>
    <row r="227">
      <c r="A227" s="121"/>
      <c r="B227" s="121"/>
      <c r="C227" s="121"/>
    </row>
    <row r="228">
      <c r="A228" s="121"/>
      <c r="B228" s="121"/>
      <c r="C228" s="121"/>
    </row>
    <row r="229">
      <c r="A229" s="121"/>
      <c r="B229" s="121"/>
      <c r="C229" s="121"/>
    </row>
    <row r="230">
      <c r="A230" s="121"/>
      <c r="B230" s="121"/>
      <c r="C230" s="121"/>
    </row>
    <row r="231">
      <c r="A231" s="121"/>
      <c r="B231" s="121"/>
      <c r="C231" s="121"/>
    </row>
    <row r="232">
      <c r="A232" s="121"/>
      <c r="B232" s="121"/>
      <c r="C232" s="121"/>
    </row>
    <row r="233">
      <c r="A233" s="121"/>
      <c r="B233" s="121"/>
      <c r="C233" s="121"/>
    </row>
    <row r="234">
      <c r="A234" s="121"/>
      <c r="B234" s="121"/>
      <c r="C234" s="121"/>
    </row>
    <row r="235">
      <c r="A235" s="121"/>
      <c r="B235" s="121"/>
      <c r="C235" s="121"/>
    </row>
    <row r="236">
      <c r="A236" s="121"/>
      <c r="B236" s="121"/>
      <c r="C236" s="121"/>
    </row>
    <row r="237">
      <c r="A237" s="121"/>
      <c r="B237" s="121"/>
      <c r="C237" s="121"/>
    </row>
    <row r="238">
      <c r="A238" s="121"/>
      <c r="B238" s="121"/>
      <c r="C238" s="121"/>
    </row>
    <row r="239">
      <c r="A239" s="121"/>
      <c r="B239" s="121"/>
      <c r="C239" s="121"/>
    </row>
    <row r="240">
      <c r="A240" s="121"/>
      <c r="B240" s="121"/>
      <c r="C240" s="121"/>
    </row>
    <row r="241">
      <c r="A241" s="121"/>
      <c r="B241" s="121"/>
      <c r="C241" s="121"/>
    </row>
    <row r="242">
      <c r="A242" s="121"/>
      <c r="B242" s="121"/>
      <c r="C242" s="121"/>
    </row>
    <row r="243">
      <c r="A243" s="121"/>
      <c r="B243" s="121"/>
      <c r="C243" s="121"/>
    </row>
    <row r="244">
      <c r="A244" s="121"/>
      <c r="B244" s="121"/>
      <c r="C244" s="121"/>
    </row>
    <row r="245">
      <c r="A245" s="121"/>
      <c r="B245" s="121"/>
      <c r="C245" s="121"/>
    </row>
    <row r="246">
      <c r="A246" s="121"/>
      <c r="B246" s="121"/>
      <c r="C246" s="121"/>
    </row>
    <row r="247">
      <c r="A247" s="121"/>
      <c r="B247" s="121"/>
      <c r="C247" s="121"/>
    </row>
    <row r="248">
      <c r="A248" s="121"/>
      <c r="B248" s="121"/>
      <c r="C248" s="121"/>
    </row>
    <row r="249">
      <c r="A249" s="121"/>
      <c r="B249" s="121"/>
      <c r="C249" s="121"/>
    </row>
    <row r="250">
      <c r="A250" s="121"/>
      <c r="B250" s="121"/>
      <c r="C250" s="121"/>
    </row>
    <row r="251">
      <c r="A251" s="121"/>
      <c r="B251" s="121"/>
      <c r="C251" s="121"/>
    </row>
    <row r="252">
      <c r="A252" s="121"/>
      <c r="B252" s="121"/>
      <c r="C252" s="121"/>
    </row>
    <row r="253">
      <c r="A253" s="121"/>
      <c r="B253" s="121"/>
      <c r="C253" s="121"/>
    </row>
    <row r="254">
      <c r="A254" s="121"/>
      <c r="B254" s="121"/>
      <c r="C254" s="121"/>
    </row>
    <row r="255">
      <c r="A255" s="121"/>
      <c r="B255" s="121"/>
      <c r="C255" s="121"/>
    </row>
    <row r="256">
      <c r="A256" s="121"/>
      <c r="B256" s="121"/>
      <c r="C256" s="121"/>
    </row>
    <row r="257">
      <c r="A257" s="121"/>
      <c r="B257" s="121"/>
      <c r="C257" s="121"/>
    </row>
    <row r="258">
      <c r="A258" s="121"/>
      <c r="B258" s="121"/>
      <c r="C258" s="121"/>
    </row>
    <row r="259">
      <c r="A259" s="121"/>
      <c r="B259" s="121"/>
      <c r="C259" s="121"/>
    </row>
    <row r="260">
      <c r="A260" s="121"/>
      <c r="B260" s="121"/>
      <c r="C260" s="121"/>
    </row>
    <row r="261">
      <c r="A261" s="121"/>
      <c r="B261" s="121"/>
      <c r="C261" s="121"/>
    </row>
    <row r="262">
      <c r="A262" s="121"/>
      <c r="B262" s="121"/>
      <c r="C262" s="121"/>
    </row>
    <row r="263">
      <c r="A263" s="121"/>
      <c r="B263" s="121"/>
      <c r="C263" s="121"/>
    </row>
    <row r="264">
      <c r="A264" s="121"/>
      <c r="B264" s="121"/>
      <c r="C264" s="121"/>
    </row>
    <row r="265">
      <c r="A265" s="121"/>
      <c r="B265" s="121"/>
      <c r="C265" s="121"/>
    </row>
    <row r="266">
      <c r="A266" s="121"/>
      <c r="B266" s="121"/>
      <c r="C266" s="121"/>
    </row>
    <row r="267">
      <c r="A267" s="121"/>
      <c r="B267" s="121"/>
      <c r="C267" s="121"/>
    </row>
    <row r="268">
      <c r="A268" s="121"/>
      <c r="B268" s="121"/>
      <c r="C268" s="121"/>
    </row>
    <row r="269">
      <c r="A269" s="121"/>
      <c r="B269" s="121"/>
      <c r="C269" s="121"/>
    </row>
    <row r="270">
      <c r="A270" s="121"/>
      <c r="B270" s="121"/>
      <c r="C270" s="121"/>
    </row>
    <row r="271">
      <c r="A271" s="121"/>
      <c r="B271" s="121"/>
      <c r="C271" s="121"/>
    </row>
    <row r="272">
      <c r="A272" s="121"/>
      <c r="B272" s="121"/>
      <c r="C272" s="121"/>
    </row>
    <row r="273">
      <c r="A273" s="121"/>
      <c r="B273" s="121"/>
      <c r="C273" s="121"/>
    </row>
    <row r="274">
      <c r="A274" s="121"/>
      <c r="B274" s="121"/>
      <c r="C274" s="121"/>
    </row>
    <row r="275">
      <c r="A275" s="121"/>
      <c r="B275" s="121"/>
      <c r="C275" s="121"/>
    </row>
    <row r="276">
      <c r="A276" s="121"/>
      <c r="B276" s="121"/>
      <c r="C276" s="121"/>
    </row>
    <row r="277">
      <c r="A277" s="121"/>
      <c r="B277" s="121"/>
      <c r="C277" s="121"/>
    </row>
    <row r="278">
      <c r="A278" s="121"/>
      <c r="B278" s="121"/>
      <c r="C278" s="121"/>
    </row>
    <row r="279">
      <c r="A279" s="121"/>
      <c r="B279" s="121"/>
      <c r="C279" s="121"/>
    </row>
    <row r="280">
      <c r="A280" s="121"/>
      <c r="B280" s="121"/>
      <c r="C280" s="121"/>
    </row>
    <row r="281">
      <c r="A281" s="121"/>
      <c r="B281" s="121"/>
      <c r="C281" s="121"/>
    </row>
    <row r="282">
      <c r="A282" s="121"/>
      <c r="B282" s="121"/>
      <c r="C282" s="121"/>
    </row>
    <row r="283">
      <c r="A283" s="121"/>
      <c r="B283" s="121"/>
      <c r="C283" s="121"/>
    </row>
    <row r="284">
      <c r="A284" s="121"/>
      <c r="B284" s="121"/>
      <c r="C284" s="121"/>
    </row>
    <row r="285">
      <c r="A285" s="121"/>
      <c r="B285" s="121"/>
      <c r="C285" s="121"/>
    </row>
    <row r="286">
      <c r="A286" s="121"/>
      <c r="B286" s="121"/>
      <c r="C286" s="121"/>
    </row>
    <row r="287">
      <c r="A287" s="121"/>
      <c r="B287" s="121"/>
      <c r="C287" s="121"/>
    </row>
    <row r="288">
      <c r="A288" s="121"/>
      <c r="B288" s="121"/>
      <c r="C288" s="121"/>
    </row>
    <row r="289">
      <c r="A289" s="121"/>
      <c r="B289" s="121"/>
      <c r="C289" s="121"/>
    </row>
    <row r="290">
      <c r="A290" s="121"/>
      <c r="B290" s="121"/>
      <c r="C290" s="121"/>
    </row>
    <row r="291">
      <c r="A291" s="121"/>
      <c r="B291" s="121"/>
      <c r="C291" s="121"/>
    </row>
    <row r="292">
      <c r="A292" s="121"/>
      <c r="B292" s="121"/>
      <c r="C292" s="121"/>
    </row>
    <row r="293">
      <c r="A293" s="121"/>
      <c r="B293" s="121"/>
      <c r="C293" s="121"/>
    </row>
    <row r="294">
      <c r="A294" s="121"/>
      <c r="B294" s="121"/>
      <c r="C294" s="121"/>
    </row>
    <row r="295">
      <c r="A295" s="121"/>
      <c r="B295" s="121"/>
      <c r="C295" s="121"/>
    </row>
    <row r="296">
      <c r="A296" s="121"/>
      <c r="B296" s="121"/>
      <c r="C296" s="121"/>
    </row>
    <row r="297">
      <c r="A297" s="121"/>
      <c r="B297" s="121"/>
      <c r="C297" s="121"/>
    </row>
    <row r="298">
      <c r="A298" s="121"/>
      <c r="B298" s="121"/>
      <c r="C298" s="121"/>
    </row>
    <row r="299">
      <c r="A299" s="121"/>
      <c r="B299" s="121"/>
      <c r="C299" s="121"/>
    </row>
    <row r="300">
      <c r="A300" s="121"/>
      <c r="B300" s="121"/>
      <c r="C300" s="121"/>
    </row>
    <row r="301">
      <c r="A301" s="121"/>
      <c r="B301" s="121"/>
      <c r="C301" s="121"/>
    </row>
    <row r="302">
      <c r="A302" s="121"/>
      <c r="B302" s="121"/>
      <c r="C302" s="121"/>
    </row>
    <row r="303">
      <c r="A303" s="121"/>
      <c r="B303" s="121"/>
      <c r="C303" s="121"/>
    </row>
    <row r="304">
      <c r="A304" s="121"/>
      <c r="B304" s="121"/>
      <c r="C304" s="121"/>
    </row>
    <row r="305">
      <c r="A305" s="121"/>
      <c r="B305" s="121"/>
      <c r="C305" s="121"/>
    </row>
    <row r="306">
      <c r="A306" s="121"/>
      <c r="B306" s="121"/>
      <c r="C306" s="121"/>
    </row>
    <row r="307">
      <c r="A307" s="121"/>
      <c r="B307" s="121"/>
      <c r="C307" s="121"/>
    </row>
    <row r="308">
      <c r="A308" s="121"/>
      <c r="B308" s="121"/>
      <c r="C308" s="121"/>
    </row>
    <row r="309">
      <c r="A309" s="121"/>
      <c r="B309" s="121"/>
      <c r="C309" s="121"/>
    </row>
    <row r="310">
      <c r="A310" s="121"/>
      <c r="B310" s="121"/>
      <c r="C310" s="121"/>
    </row>
    <row r="311">
      <c r="A311" s="121"/>
      <c r="B311" s="121"/>
      <c r="C311" s="121"/>
    </row>
    <row r="312">
      <c r="A312" s="121"/>
      <c r="B312" s="121"/>
      <c r="C312" s="121"/>
    </row>
    <row r="313">
      <c r="A313" s="121"/>
      <c r="B313" s="121"/>
      <c r="C313" s="121"/>
    </row>
    <row r="314">
      <c r="A314" s="121"/>
      <c r="B314" s="121"/>
      <c r="C314" s="121"/>
    </row>
    <row r="315">
      <c r="A315" s="121"/>
      <c r="B315" s="121"/>
      <c r="C315" s="121"/>
    </row>
    <row r="316">
      <c r="A316" s="121"/>
      <c r="B316" s="121"/>
      <c r="C316" s="121"/>
    </row>
    <row r="317">
      <c r="A317" s="121"/>
      <c r="B317" s="121"/>
      <c r="C317" s="121"/>
    </row>
    <row r="318">
      <c r="A318" s="121"/>
      <c r="B318" s="121"/>
      <c r="C318" s="121"/>
    </row>
    <row r="319">
      <c r="A319" s="121"/>
      <c r="B319" s="121"/>
      <c r="C319" s="121"/>
    </row>
    <row r="320">
      <c r="A320" s="121"/>
      <c r="B320" s="121"/>
      <c r="C320" s="121"/>
    </row>
    <row r="321">
      <c r="A321" s="121"/>
      <c r="B321" s="121"/>
      <c r="C321" s="121"/>
    </row>
    <row r="322">
      <c r="A322" s="121"/>
      <c r="B322" s="121"/>
      <c r="C322" s="121"/>
    </row>
    <row r="323">
      <c r="A323" s="121"/>
      <c r="B323" s="121"/>
      <c r="C323" s="121"/>
    </row>
    <row r="324">
      <c r="A324" s="121"/>
      <c r="B324" s="121"/>
      <c r="C324" s="121"/>
    </row>
    <row r="325">
      <c r="A325" s="121"/>
      <c r="B325" s="121"/>
      <c r="C325" s="121"/>
    </row>
    <row r="326">
      <c r="A326" s="121"/>
      <c r="B326" s="121"/>
      <c r="C326" s="121"/>
    </row>
    <row r="327">
      <c r="A327" s="121"/>
      <c r="B327" s="121"/>
      <c r="C327" s="121"/>
    </row>
    <row r="328">
      <c r="A328" s="121"/>
      <c r="B328" s="121"/>
      <c r="C328" s="121"/>
    </row>
    <row r="329">
      <c r="A329" s="121"/>
      <c r="B329" s="121"/>
      <c r="C329" s="121"/>
    </row>
    <row r="330">
      <c r="A330" s="121"/>
      <c r="B330" s="121"/>
      <c r="C330" s="121"/>
    </row>
    <row r="331">
      <c r="A331" s="121"/>
      <c r="B331" s="121"/>
      <c r="C331" s="121"/>
    </row>
    <row r="332">
      <c r="A332" s="121"/>
      <c r="B332" s="121"/>
      <c r="C332" s="121"/>
    </row>
    <row r="333">
      <c r="A333" s="121"/>
      <c r="B333" s="121"/>
      <c r="C333" s="121"/>
    </row>
    <row r="334">
      <c r="A334" s="121"/>
      <c r="B334" s="121"/>
      <c r="C334" s="121"/>
    </row>
    <row r="335">
      <c r="A335" s="121"/>
      <c r="B335" s="121"/>
      <c r="C335" s="121"/>
    </row>
    <row r="336">
      <c r="A336" s="121"/>
      <c r="B336" s="121"/>
      <c r="C336" s="121"/>
    </row>
    <row r="337">
      <c r="A337" s="121"/>
      <c r="B337" s="121"/>
      <c r="C337" s="121"/>
    </row>
    <row r="338">
      <c r="A338" s="121"/>
      <c r="B338" s="121"/>
      <c r="C338" s="121"/>
    </row>
    <row r="339">
      <c r="A339" s="121"/>
      <c r="B339" s="121"/>
      <c r="C339" s="121"/>
    </row>
    <row r="340">
      <c r="A340" s="121"/>
      <c r="B340" s="121"/>
      <c r="C340" s="121"/>
    </row>
    <row r="341">
      <c r="A341" s="121"/>
      <c r="B341" s="121"/>
      <c r="C341" s="121"/>
    </row>
    <row r="342">
      <c r="A342" s="121"/>
      <c r="B342" s="121"/>
      <c r="C342" s="121"/>
    </row>
    <row r="343">
      <c r="A343" s="121"/>
      <c r="B343" s="121"/>
      <c r="C343" s="121"/>
    </row>
    <row r="344">
      <c r="A344" s="121"/>
      <c r="B344" s="121"/>
      <c r="C344" s="121"/>
    </row>
    <row r="345">
      <c r="A345" s="121"/>
      <c r="B345" s="121"/>
      <c r="C345" s="121"/>
    </row>
    <row r="346">
      <c r="A346" s="121"/>
      <c r="B346" s="121"/>
      <c r="C346" s="121"/>
    </row>
    <row r="347">
      <c r="A347" s="121"/>
      <c r="B347" s="121"/>
      <c r="C347" s="121"/>
    </row>
    <row r="348">
      <c r="A348" s="121"/>
      <c r="B348" s="121"/>
      <c r="C348" s="121"/>
    </row>
    <row r="349">
      <c r="A349" s="121"/>
      <c r="B349" s="121"/>
      <c r="C349" s="121"/>
    </row>
    <row r="350">
      <c r="A350" s="121"/>
      <c r="B350" s="121"/>
      <c r="C350" s="121"/>
    </row>
    <row r="351">
      <c r="A351" s="121"/>
      <c r="B351" s="121"/>
      <c r="C351" s="121"/>
    </row>
    <row r="352">
      <c r="A352" s="121"/>
      <c r="B352" s="121"/>
      <c r="C352" s="121"/>
    </row>
    <row r="353">
      <c r="A353" s="121"/>
      <c r="B353" s="121"/>
      <c r="C353" s="121"/>
    </row>
    <row r="354">
      <c r="A354" s="121"/>
      <c r="B354" s="121"/>
      <c r="C354" s="121"/>
    </row>
    <row r="355">
      <c r="A355" s="121"/>
      <c r="B355" s="121"/>
      <c r="C355" s="121"/>
    </row>
    <row r="356">
      <c r="A356" s="121"/>
      <c r="B356" s="121"/>
      <c r="C356" s="121"/>
    </row>
    <row r="357">
      <c r="A357" s="121"/>
      <c r="B357" s="121"/>
      <c r="C357" s="121"/>
    </row>
    <row r="358">
      <c r="A358" s="121"/>
      <c r="B358" s="121"/>
      <c r="C358" s="121"/>
    </row>
    <row r="359">
      <c r="A359" s="121"/>
      <c r="B359" s="121"/>
      <c r="C359" s="121"/>
    </row>
    <row r="360">
      <c r="A360" s="121"/>
      <c r="B360" s="121"/>
      <c r="C360" s="121"/>
    </row>
    <row r="361">
      <c r="A361" s="121"/>
      <c r="B361" s="121"/>
      <c r="C361" s="121"/>
    </row>
    <row r="362">
      <c r="A362" s="121"/>
      <c r="B362" s="121"/>
      <c r="C362" s="121"/>
    </row>
    <row r="363">
      <c r="A363" s="121"/>
      <c r="B363" s="121"/>
      <c r="C363" s="121"/>
    </row>
    <row r="364">
      <c r="A364" s="121"/>
      <c r="B364" s="121"/>
      <c r="C364" s="121"/>
    </row>
    <row r="365">
      <c r="A365" s="121"/>
      <c r="B365" s="121"/>
      <c r="C365" s="121"/>
    </row>
    <row r="366">
      <c r="A366" s="121"/>
      <c r="B366" s="121"/>
      <c r="C366" s="121"/>
    </row>
    <row r="367">
      <c r="A367" s="121"/>
      <c r="B367" s="121"/>
      <c r="C367" s="121"/>
    </row>
    <row r="368">
      <c r="A368" s="121"/>
      <c r="B368" s="121"/>
      <c r="C368" s="121"/>
    </row>
    <row r="369">
      <c r="A369" s="121"/>
      <c r="B369" s="121"/>
      <c r="C369" s="121"/>
    </row>
    <row r="370">
      <c r="A370" s="121"/>
      <c r="B370" s="121"/>
      <c r="C370" s="121"/>
    </row>
    <row r="371">
      <c r="A371" s="121"/>
      <c r="B371" s="121"/>
      <c r="C371" s="121"/>
    </row>
    <row r="372">
      <c r="A372" s="121"/>
      <c r="B372" s="121"/>
      <c r="C372" s="121"/>
    </row>
    <row r="373">
      <c r="A373" s="121"/>
      <c r="B373" s="121"/>
      <c r="C373" s="121"/>
    </row>
    <row r="374">
      <c r="A374" s="121"/>
      <c r="B374" s="121"/>
      <c r="C374" s="121"/>
    </row>
    <row r="375">
      <c r="A375" s="121"/>
      <c r="B375" s="121"/>
      <c r="C375" s="121"/>
    </row>
    <row r="376">
      <c r="A376" s="121"/>
      <c r="B376" s="121"/>
      <c r="C376" s="121"/>
    </row>
    <row r="377">
      <c r="A377" s="121"/>
      <c r="B377" s="121"/>
      <c r="C377" s="121"/>
    </row>
    <row r="378">
      <c r="A378" s="121"/>
      <c r="B378" s="121"/>
      <c r="C378" s="121"/>
    </row>
    <row r="379">
      <c r="A379" s="121"/>
      <c r="B379" s="121"/>
      <c r="C379" s="121"/>
    </row>
    <row r="380">
      <c r="A380" s="121"/>
      <c r="B380" s="121"/>
      <c r="C380" s="121"/>
    </row>
    <row r="381">
      <c r="A381" s="121"/>
      <c r="B381" s="121"/>
      <c r="C381" s="121"/>
    </row>
    <row r="382">
      <c r="A382" s="121"/>
      <c r="B382" s="121"/>
      <c r="C382" s="121"/>
    </row>
    <row r="383">
      <c r="A383" s="121"/>
      <c r="B383" s="121"/>
      <c r="C383" s="121"/>
    </row>
    <row r="384">
      <c r="A384" s="121"/>
      <c r="B384" s="121"/>
      <c r="C384" s="121"/>
    </row>
    <row r="385">
      <c r="A385" s="121"/>
      <c r="B385" s="121"/>
      <c r="C385" s="121"/>
    </row>
    <row r="386">
      <c r="A386" s="121"/>
      <c r="B386" s="121"/>
      <c r="C386" s="121"/>
    </row>
    <row r="387">
      <c r="A387" s="121"/>
      <c r="B387" s="121"/>
      <c r="C387" s="121"/>
    </row>
    <row r="388">
      <c r="A388" s="121"/>
      <c r="B388" s="121"/>
      <c r="C388" s="121"/>
    </row>
    <row r="389">
      <c r="A389" s="121"/>
      <c r="B389" s="121"/>
      <c r="C389" s="121"/>
    </row>
    <row r="390">
      <c r="A390" s="121"/>
      <c r="B390" s="121"/>
      <c r="C390" s="121"/>
    </row>
    <row r="391">
      <c r="A391" s="121"/>
      <c r="B391" s="121"/>
      <c r="C391" s="121"/>
    </row>
    <row r="392">
      <c r="A392" s="121"/>
      <c r="B392" s="121"/>
      <c r="C392" s="121"/>
    </row>
    <row r="393">
      <c r="A393" s="121"/>
      <c r="B393" s="121"/>
      <c r="C393" s="121"/>
    </row>
    <row r="394">
      <c r="A394" s="121"/>
      <c r="B394" s="121"/>
      <c r="C394" s="121"/>
    </row>
    <row r="395">
      <c r="A395" s="121"/>
      <c r="B395" s="121"/>
      <c r="C395" s="121"/>
    </row>
    <row r="396">
      <c r="A396" s="121"/>
      <c r="B396" s="121"/>
      <c r="C396" s="121"/>
    </row>
    <row r="397">
      <c r="A397" s="121"/>
      <c r="B397" s="121"/>
      <c r="C397" s="121"/>
    </row>
    <row r="398">
      <c r="A398" s="121"/>
      <c r="B398" s="121"/>
      <c r="C398" s="121"/>
    </row>
    <row r="399">
      <c r="A399" s="121"/>
      <c r="B399" s="121"/>
      <c r="C399" s="121"/>
    </row>
    <row r="400">
      <c r="A400" s="121"/>
      <c r="B400" s="121"/>
      <c r="C400" s="121"/>
    </row>
    <row r="401">
      <c r="A401" s="121"/>
      <c r="B401" s="121"/>
      <c r="C401" s="121"/>
    </row>
    <row r="402">
      <c r="A402" s="121"/>
      <c r="B402" s="121"/>
      <c r="C402" s="121"/>
    </row>
    <row r="403">
      <c r="A403" s="121"/>
      <c r="B403" s="121"/>
      <c r="C403" s="121"/>
    </row>
    <row r="404">
      <c r="A404" s="121"/>
      <c r="B404" s="121"/>
      <c r="C404" s="121"/>
    </row>
    <row r="405">
      <c r="A405" s="121"/>
      <c r="B405" s="121"/>
      <c r="C405" s="121"/>
    </row>
    <row r="406">
      <c r="A406" s="121"/>
      <c r="B406" s="121"/>
      <c r="C406" s="121"/>
    </row>
    <row r="407">
      <c r="A407" s="121"/>
      <c r="B407" s="121"/>
      <c r="C407" s="121"/>
    </row>
    <row r="408">
      <c r="A408" s="121"/>
      <c r="B408" s="121"/>
      <c r="C408" s="121"/>
    </row>
    <row r="409">
      <c r="A409" s="121"/>
      <c r="B409" s="121"/>
      <c r="C409" s="121"/>
    </row>
    <row r="410">
      <c r="A410" s="121"/>
      <c r="B410" s="121"/>
      <c r="C410" s="121"/>
    </row>
    <row r="411">
      <c r="A411" s="121"/>
      <c r="B411" s="121"/>
      <c r="C411" s="121"/>
    </row>
    <row r="412">
      <c r="A412" s="121"/>
      <c r="B412" s="121"/>
      <c r="C412" s="121"/>
    </row>
    <row r="413">
      <c r="A413" s="121"/>
      <c r="B413" s="121"/>
      <c r="C413" s="121"/>
    </row>
    <row r="414">
      <c r="A414" s="121"/>
      <c r="B414" s="121"/>
      <c r="C414" s="121"/>
    </row>
    <row r="415">
      <c r="A415" s="121"/>
      <c r="B415" s="121"/>
      <c r="C415" s="121"/>
    </row>
    <row r="416">
      <c r="A416" s="121"/>
      <c r="B416" s="121"/>
      <c r="C416" s="121"/>
    </row>
    <row r="417">
      <c r="A417" s="121"/>
      <c r="B417" s="121"/>
      <c r="C417" s="121"/>
    </row>
    <row r="418">
      <c r="A418" s="121"/>
      <c r="B418" s="121"/>
      <c r="C418" s="121"/>
    </row>
    <row r="419">
      <c r="A419" s="121"/>
      <c r="B419" s="121"/>
      <c r="C419" s="121"/>
    </row>
    <row r="420">
      <c r="A420" s="121"/>
      <c r="B420" s="121"/>
      <c r="C420" s="121"/>
    </row>
    <row r="421">
      <c r="A421" s="121"/>
      <c r="B421" s="121"/>
      <c r="C421" s="121"/>
    </row>
    <row r="422">
      <c r="A422" s="121"/>
      <c r="B422" s="121"/>
      <c r="C422" s="121"/>
    </row>
    <row r="423">
      <c r="A423" s="121"/>
      <c r="B423" s="121"/>
      <c r="C423" s="121"/>
    </row>
    <row r="424">
      <c r="A424" s="121"/>
      <c r="B424" s="121"/>
      <c r="C424" s="121"/>
    </row>
    <row r="425">
      <c r="A425" s="121"/>
      <c r="B425" s="121"/>
      <c r="C425" s="121"/>
    </row>
    <row r="426">
      <c r="A426" s="121"/>
      <c r="B426" s="121"/>
      <c r="C426" s="121"/>
    </row>
    <row r="427">
      <c r="A427" s="121"/>
      <c r="B427" s="121"/>
      <c r="C427" s="121"/>
    </row>
    <row r="428">
      <c r="A428" s="121"/>
      <c r="B428" s="121"/>
      <c r="C428" s="121"/>
    </row>
    <row r="429">
      <c r="A429" s="121"/>
      <c r="B429" s="121"/>
      <c r="C429" s="121"/>
    </row>
    <row r="430">
      <c r="A430" s="121"/>
      <c r="B430" s="121"/>
      <c r="C430" s="121"/>
    </row>
    <row r="431">
      <c r="A431" s="121"/>
      <c r="B431" s="121"/>
      <c r="C431" s="121"/>
    </row>
    <row r="432">
      <c r="A432" s="121"/>
      <c r="B432" s="121"/>
      <c r="C432" s="121"/>
    </row>
    <row r="433">
      <c r="A433" s="121"/>
      <c r="B433" s="121"/>
      <c r="C433" s="121"/>
    </row>
    <row r="434">
      <c r="A434" s="121"/>
      <c r="B434" s="121"/>
      <c r="C434" s="121"/>
    </row>
    <row r="435">
      <c r="A435" s="121"/>
      <c r="B435" s="121"/>
      <c r="C435" s="121"/>
    </row>
    <row r="436">
      <c r="A436" s="121"/>
      <c r="B436" s="121"/>
      <c r="C436" s="121"/>
    </row>
    <row r="437">
      <c r="A437" s="121"/>
      <c r="B437" s="121"/>
      <c r="C437" s="121"/>
    </row>
    <row r="438">
      <c r="A438" s="121"/>
      <c r="B438" s="121"/>
      <c r="C438" s="121"/>
    </row>
    <row r="439">
      <c r="A439" s="121"/>
      <c r="B439" s="121"/>
      <c r="C439" s="121"/>
    </row>
    <row r="440">
      <c r="A440" s="121"/>
      <c r="B440" s="121"/>
      <c r="C440" s="121"/>
    </row>
    <row r="441">
      <c r="A441" s="121"/>
      <c r="B441" s="121"/>
      <c r="C441" s="121"/>
    </row>
    <row r="442">
      <c r="A442" s="121"/>
      <c r="B442" s="121"/>
      <c r="C442" s="121"/>
    </row>
    <row r="443">
      <c r="A443" s="121"/>
      <c r="B443" s="121"/>
      <c r="C443" s="121"/>
    </row>
    <row r="444">
      <c r="A444" s="121"/>
      <c r="B444" s="121"/>
      <c r="C444" s="121"/>
    </row>
    <row r="445">
      <c r="A445" s="121"/>
      <c r="B445" s="121"/>
      <c r="C445" s="121"/>
    </row>
    <row r="446">
      <c r="A446" s="121"/>
      <c r="B446" s="121"/>
      <c r="C446" s="121"/>
    </row>
    <row r="447">
      <c r="A447" s="121"/>
      <c r="B447" s="121"/>
      <c r="C447" s="121"/>
    </row>
    <row r="448">
      <c r="A448" s="121"/>
      <c r="B448" s="121"/>
      <c r="C448" s="121"/>
    </row>
    <row r="449">
      <c r="A449" s="121"/>
      <c r="B449" s="121"/>
      <c r="C449" s="121"/>
    </row>
    <row r="450">
      <c r="A450" s="121"/>
      <c r="B450" s="121"/>
      <c r="C450" s="121"/>
    </row>
    <row r="451">
      <c r="A451" s="121"/>
      <c r="B451" s="121"/>
      <c r="C451" s="121"/>
    </row>
    <row r="452">
      <c r="A452" s="121"/>
      <c r="B452" s="121"/>
      <c r="C452" s="121"/>
    </row>
    <row r="453">
      <c r="A453" s="121"/>
      <c r="B453" s="121"/>
      <c r="C453" s="121"/>
    </row>
    <row r="454">
      <c r="A454" s="121"/>
      <c r="B454" s="121"/>
      <c r="C454" s="121"/>
    </row>
    <row r="455">
      <c r="A455" s="121"/>
      <c r="B455" s="121"/>
      <c r="C455" s="121"/>
    </row>
    <row r="456">
      <c r="A456" s="121"/>
      <c r="B456" s="121"/>
      <c r="C456" s="121"/>
    </row>
    <row r="457">
      <c r="A457" s="121"/>
      <c r="B457" s="121"/>
      <c r="C457" s="121"/>
    </row>
    <row r="458">
      <c r="A458" s="121"/>
      <c r="B458" s="121"/>
      <c r="C458" s="121"/>
    </row>
    <row r="459">
      <c r="A459" s="121"/>
      <c r="B459" s="121"/>
      <c r="C459" s="121"/>
    </row>
    <row r="460">
      <c r="A460" s="121"/>
      <c r="B460" s="121"/>
      <c r="C460" s="121"/>
    </row>
    <row r="461">
      <c r="A461" s="121"/>
      <c r="B461" s="121"/>
      <c r="C461" s="121"/>
    </row>
    <row r="462">
      <c r="A462" s="121"/>
      <c r="B462" s="121"/>
      <c r="C462" s="121"/>
    </row>
    <row r="463">
      <c r="A463" s="121"/>
      <c r="B463" s="121"/>
      <c r="C463" s="121"/>
    </row>
    <row r="464">
      <c r="A464" s="121"/>
      <c r="B464" s="121"/>
      <c r="C464" s="121"/>
    </row>
    <row r="465">
      <c r="A465" s="121"/>
      <c r="B465" s="121"/>
      <c r="C465" s="121"/>
    </row>
    <row r="466">
      <c r="A466" s="121"/>
      <c r="B466" s="121"/>
      <c r="C466" s="121"/>
    </row>
    <row r="467">
      <c r="A467" s="121"/>
      <c r="B467" s="121"/>
      <c r="C467" s="121"/>
    </row>
    <row r="468">
      <c r="A468" s="121"/>
      <c r="B468" s="121"/>
      <c r="C468" s="121"/>
    </row>
    <row r="469">
      <c r="A469" s="121"/>
      <c r="B469" s="121"/>
      <c r="C469" s="121"/>
    </row>
    <row r="470">
      <c r="A470" s="121"/>
      <c r="B470" s="121"/>
      <c r="C470" s="121"/>
    </row>
    <row r="471">
      <c r="A471" s="121"/>
      <c r="B471" s="121"/>
      <c r="C471" s="121"/>
    </row>
    <row r="472">
      <c r="A472" s="121"/>
      <c r="B472" s="121"/>
      <c r="C472" s="121"/>
    </row>
    <row r="473">
      <c r="A473" s="121"/>
      <c r="B473" s="121"/>
      <c r="C473" s="121"/>
    </row>
    <row r="474">
      <c r="A474" s="121"/>
      <c r="B474" s="121"/>
      <c r="C474" s="121"/>
    </row>
    <row r="475">
      <c r="A475" s="121"/>
      <c r="B475" s="121"/>
      <c r="C475" s="121"/>
    </row>
    <row r="476">
      <c r="A476" s="121"/>
      <c r="B476" s="121"/>
      <c r="C476" s="121"/>
    </row>
    <row r="477">
      <c r="A477" s="121"/>
      <c r="B477" s="121"/>
      <c r="C477" s="121"/>
    </row>
    <row r="478">
      <c r="A478" s="121"/>
      <c r="B478" s="121"/>
      <c r="C478" s="121"/>
    </row>
    <row r="479">
      <c r="A479" s="121"/>
      <c r="B479" s="121"/>
      <c r="C479" s="121"/>
    </row>
    <row r="480">
      <c r="A480" s="121"/>
      <c r="B480" s="121"/>
      <c r="C480" s="121"/>
    </row>
    <row r="481">
      <c r="A481" s="121"/>
      <c r="B481" s="121"/>
      <c r="C481" s="121"/>
    </row>
    <row r="482">
      <c r="A482" s="121"/>
      <c r="B482" s="121"/>
      <c r="C482" s="121"/>
    </row>
    <row r="483">
      <c r="A483" s="121"/>
      <c r="B483" s="121"/>
      <c r="C483" s="121"/>
    </row>
    <row r="484">
      <c r="A484" s="121"/>
      <c r="B484" s="121"/>
      <c r="C484" s="121"/>
    </row>
    <row r="485">
      <c r="A485" s="121"/>
      <c r="B485" s="121"/>
      <c r="C485" s="121"/>
    </row>
    <row r="486">
      <c r="A486" s="121"/>
      <c r="B486" s="121"/>
      <c r="C486" s="121"/>
    </row>
    <row r="487">
      <c r="A487" s="121"/>
      <c r="B487" s="121"/>
      <c r="C487" s="121"/>
    </row>
    <row r="488">
      <c r="A488" s="121"/>
      <c r="B488" s="121"/>
      <c r="C488" s="121"/>
    </row>
    <row r="489">
      <c r="A489" s="121"/>
      <c r="B489" s="121"/>
      <c r="C489" s="121"/>
    </row>
    <row r="490">
      <c r="A490" s="121"/>
      <c r="B490" s="121"/>
      <c r="C490" s="121"/>
    </row>
    <row r="491">
      <c r="A491" s="121"/>
      <c r="B491" s="121"/>
      <c r="C491" s="121"/>
    </row>
    <row r="492">
      <c r="A492" s="121"/>
      <c r="B492" s="121"/>
      <c r="C492" s="121"/>
    </row>
    <row r="493">
      <c r="A493" s="121"/>
      <c r="B493" s="121"/>
      <c r="C493" s="121"/>
    </row>
    <row r="494">
      <c r="A494" s="121"/>
      <c r="B494" s="121"/>
      <c r="C494" s="121"/>
    </row>
    <row r="495">
      <c r="A495" s="121"/>
      <c r="B495" s="121"/>
      <c r="C495" s="121"/>
    </row>
    <row r="496">
      <c r="A496" s="121"/>
      <c r="B496" s="121"/>
      <c r="C496" s="121"/>
    </row>
    <row r="497">
      <c r="A497" s="121"/>
      <c r="B497" s="121"/>
      <c r="C497" s="121"/>
    </row>
    <row r="498">
      <c r="A498" s="121"/>
      <c r="B498" s="121"/>
      <c r="C498" s="121"/>
    </row>
    <row r="499">
      <c r="A499" s="121"/>
      <c r="B499" s="121"/>
      <c r="C499" s="121"/>
    </row>
    <row r="500">
      <c r="A500" s="121"/>
      <c r="B500" s="121"/>
      <c r="C500" s="121"/>
    </row>
    <row r="501">
      <c r="A501" s="121"/>
      <c r="B501" s="121"/>
      <c r="C501" s="121"/>
    </row>
    <row r="502">
      <c r="A502" s="121"/>
      <c r="B502" s="121"/>
      <c r="C502" s="121"/>
    </row>
    <row r="503">
      <c r="A503" s="121"/>
      <c r="B503" s="121"/>
      <c r="C503" s="121"/>
    </row>
    <row r="504">
      <c r="A504" s="121"/>
      <c r="B504" s="121"/>
      <c r="C504" s="121"/>
    </row>
    <row r="505">
      <c r="A505" s="121"/>
      <c r="B505" s="121"/>
      <c r="C505" s="121"/>
    </row>
    <row r="506">
      <c r="A506" s="121"/>
      <c r="B506" s="121"/>
      <c r="C506" s="121"/>
    </row>
    <row r="507">
      <c r="A507" s="121"/>
      <c r="B507" s="121"/>
      <c r="C507" s="121"/>
    </row>
    <row r="508">
      <c r="A508" s="121"/>
      <c r="B508" s="121"/>
      <c r="C508" s="121"/>
    </row>
    <row r="509">
      <c r="A509" s="121"/>
      <c r="B509" s="121"/>
      <c r="C509" s="121"/>
    </row>
    <row r="510">
      <c r="A510" s="121"/>
      <c r="B510" s="121"/>
      <c r="C510" s="121"/>
    </row>
    <row r="511">
      <c r="A511" s="121"/>
      <c r="B511" s="121"/>
      <c r="C511" s="121"/>
    </row>
    <row r="512">
      <c r="A512" s="121"/>
      <c r="B512" s="121"/>
      <c r="C512" s="121"/>
    </row>
    <row r="513">
      <c r="A513" s="121"/>
      <c r="B513" s="121"/>
      <c r="C513" s="121"/>
    </row>
    <row r="514">
      <c r="A514" s="121"/>
      <c r="B514" s="121"/>
      <c r="C514" s="121"/>
    </row>
    <row r="515">
      <c r="A515" s="121"/>
      <c r="B515" s="121"/>
      <c r="C515" s="121"/>
    </row>
    <row r="516">
      <c r="A516" s="121"/>
      <c r="B516" s="121"/>
      <c r="C516" s="121"/>
    </row>
    <row r="517">
      <c r="A517" s="121"/>
      <c r="B517" s="121"/>
      <c r="C517" s="121"/>
    </row>
    <row r="518">
      <c r="A518" s="121"/>
      <c r="B518" s="121"/>
      <c r="C518" s="121"/>
    </row>
    <row r="519">
      <c r="A519" s="121"/>
      <c r="B519" s="121"/>
      <c r="C519" s="121"/>
    </row>
    <row r="520">
      <c r="A520" s="121"/>
      <c r="B520" s="121"/>
      <c r="C520" s="121"/>
    </row>
    <row r="521">
      <c r="A521" s="121"/>
      <c r="B521" s="121"/>
      <c r="C521" s="121"/>
    </row>
    <row r="522">
      <c r="A522" s="121"/>
      <c r="B522" s="121"/>
      <c r="C522" s="121"/>
    </row>
    <row r="523">
      <c r="A523" s="121"/>
      <c r="B523" s="121"/>
      <c r="C523" s="121"/>
    </row>
    <row r="524">
      <c r="A524" s="121"/>
      <c r="B524" s="121"/>
      <c r="C524" s="121"/>
    </row>
    <row r="525">
      <c r="A525" s="121"/>
      <c r="B525" s="121"/>
      <c r="C525" s="121"/>
    </row>
    <row r="526">
      <c r="A526" s="121"/>
      <c r="B526" s="121"/>
      <c r="C526" s="121"/>
    </row>
    <row r="527">
      <c r="A527" s="121"/>
      <c r="B527" s="121"/>
      <c r="C527" s="121"/>
    </row>
    <row r="528">
      <c r="A528" s="121"/>
      <c r="B528" s="121"/>
      <c r="C528" s="121"/>
    </row>
    <row r="529">
      <c r="A529" s="121"/>
      <c r="B529" s="121"/>
      <c r="C529" s="121"/>
    </row>
    <row r="530">
      <c r="A530" s="121"/>
      <c r="B530" s="121"/>
      <c r="C530" s="121"/>
    </row>
    <row r="531">
      <c r="A531" s="121"/>
      <c r="B531" s="121"/>
      <c r="C531" s="121"/>
    </row>
    <row r="532">
      <c r="A532" s="121"/>
      <c r="B532" s="121"/>
      <c r="C532" s="121"/>
    </row>
    <row r="533">
      <c r="A533" s="121"/>
      <c r="B533" s="121"/>
      <c r="C533" s="121"/>
    </row>
    <row r="534">
      <c r="A534" s="121"/>
      <c r="B534" s="121"/>
      <c r="C534" s="121"/>
    </row>
    <row r="535">
      <c r="A535" s="121"/>
      <c r="B535" s="121"/>
      <c r="C535" s="121"/>
    </row>
    <row r="536">
      <c r="A536" s="121"/>
      <c r="B536" s="121"/>
      <c r="C536" s="121"/>
    </row>
    <row r="537">
      <c r="A537" s="121"/>
      <c r="B537" s="121"/>
      <c r="C537" s="121"/>
    </row>
    <row r="538">
      <c r="A538" s="121"/>
      <c r="B538" s="121"/>
      <c r="C538" s="121"/>
    </row>
    <row r="539">
      <c r="A539" s="121"/>
      <c r="B539" s="121"/>
      <c r="C539" s="121"/>
    </row>
    <row r="540">
      <c r="A540" s="121"/>
      <c r="B540" s="121"/>
      <c r="C540" s="121"/>
    </row>
    <row r="541">
      <c r="A541" s="121"/>
      <c r="B541" s="121"/>
      <c r="C541" s="121"/>
    </row>
    <row r="542">
      <c r="A542" s="121"/>
      <c r="B542" s="121"/>
      <c r="C542" s="121"/>
    </row>
    <row r="543">
      <c r="A543" s="121"/>
      <c r="B543" s="121"/>
      <c r="C543" s="121"/>
    </row>
    <row r="544">
      <c r="A544" s="121"/>
      <c r="B544" s="121"/>
      <c r="C544" s="121"/>
    </row>
    <row r="545">
      <c r="A545" s="121"/>
      <c r="B545" s="121"/>
      <c r="C545" s="121"/>
    </row>
    <row r="546">
      <c r="A546" s="121"/>
      <c r="B546" s="121"/>
      <c r="C546" s="121"/>
    </row>
    <row r="547">
      <c r="A547" s="121"/>
      <c r="B547" s="121"/>
      <c r="C547" s="121"/>
    </row>
    <row r="548">
      <c r="A548" s="121"/>
      <c r="B548" s="121"/>
      <c r="C548" s="121"/>
    </row>
    <row r="549">
      <c r="A549" s="121"/>
      <c r="B549" s="121"/>
      <c r="C549" s="121"/>
    </row>
    <row r="550">
      <c r="A550" s="121"/>
      <c r="B550" s="121"/>
      <c r="C550" s="121"/>
    </row>
    <row r="551">
      <c r="A551" s="121"/>
      <c r="B551" s="121"/>
      <c r="C551" s="121"/>
    </row>
    <row r="552">
      <c r="A552" s="121"/>
      <c r="B552" s="121"/>
      <c r="C552" s="121"/>
    </row>
    <row r="553">
      <c r="A553" s="121"/>
      <c r="B553" s="121"/>
      <c r="C553" s="121"/>
    </row>
    <row r="554">
      <c r="A554" s="121"/>
      <c r="B554" s="121"/>
      <c r="C554" s="121"/>
    </row>
    <row r="555">
      <c r="A555" s="121"/>
      <c r="B555" s="121"/>
      <c r="C555" s="121"/>
    </row>
    <row r="556">
      <c r="A556" s="121"/>
      <c r="B556" s="121"/>
      <c r="C556" s="121"/>
    </row>
    <row r="557">
      <c r="A557" s="121"/>
      <c r="B557" s="121"/>
      <c r="C557" s="121"/>
    </row>
    <row r="558">
      <c r="A558" s="121"/>
      <c r="B558" s="121"/>
      <c r="C558" s="121"/>
    </row>
    <row r="559">
      <c r="A559" s="121"/>
      <c r="B559" s="121"/>
      <c r="C559" s="121"/>
    </row>
    <row r="560">
      <c r="A560" s="121"/>
      <c r="B560" s="121"/>
      <c r="C560" s="121"/>
    </row>
    <row r="561">
      <c r="A561" s="121"/>
      <c r="B561" s="121"/>
      <c r="C561" s="121"/>
    </row>
    <row r="562">
      <c r="A562" s="121"/>
      <c r="B562" s="121"/>
      <c r="C562" s="121"/>
    </row>
    <row r="563">
      <c r="A563" s="121"/>
      <c r="B563" s="121"/>
      <c r="C563" s="121"/>
    </row>
    <row r="564">
      <c r="A564" s="121"/>
      <c r="B564" s="121"/>
      <c r="C564" s="121"/>
    </row>
    <row r="565">
      <c r="A565" s="121"/>
      <c r="B565" s="121"/>
      <c r="C565" s="121"/>
    </row>
    <row r="566">
      <c r="A566" s="121"/>
      <c r="B566" s="121"/>
      <c r="C566" s="121"/>
    </row>
    <row r="567">
      <c r="A567" s="121"/>
      <c r="B567" s="121"/>
      <c r="C567" s="121"/>
    </row>
    <row r="568">
      <c r="A568" s="121"/>
      <c r="B568" s="121"/>
      <c r="C568" s="121"/>
    </row>
    <row r="569">
      <c r="A569" s="121"/>
      <c r="B569" s="121"/>
      <c r="C569" s="121"/>
    </row>
    <row r="570">
      <c r="A570" s="121"/>
      <c r="B570" s="121"/>
      <c r="C570" s="121"/>
    </row>
    <row r="571">
      <c r="A571" s="121"/>
      <c r="B571" s="121"/>
      <c r="C571" s="121"/>
    </row>
    <row r="572">
      <c r="A572" s="121"/>
      <c r="B572" s="121"/>
      <c r="C572" s="121"/>
    </row>
    <row r="573">
      <c r="A573" s="121"/>
      <c r="B573" s="121"/>
      <c r="C573" s="121"/>
    </row>
    <row r="574">
      <c r="A574" s="121"/>
      <c r="B574" s="121"/>
      <c r="C574" s="121"/>
    </row>
    <row r="575">
      <c r="A575" s="121"/>
      <c r="B575" s="121"/>
      <c r="C575" s="121"/>
    </row>
    <row r="576">
      <c r="A576" s="121"/>
      <c r="B576" s="121"/>
      <c r="C576" s="121"/>
    </row>
    <row r="577">
      <c r="A577" s="121"/>
      <c r="B577" s="121"/>
      <c r="C577" s="121"/>
    </row>
    <row r="578">
      <c r="A578" s="121"/>
      <c r="B578" s="121"/>
      <c r="C578" s="121"/>
    </row>
    <row r="579">
      <c r="A579" s="121"/>
      <c r="B579" s="121"/>
      <c r="C579" s="121"/>
    </row>
    <row r="580">
      <c r="A580" s="121"/>
      <c r="B580" s="121"/>
      <c r="C580" s="121"/>
    </row>
    <row r="581">
      <c r="A581" s="121"/>
      <c r="B581" s="121"/>
      <c r="C581" s="121"/>
    </row>
    <row r="582">
      <c r="A582" s="121"/>
      <c r="B582" s="121"/>
      <c r="C582" s="121"/>
    </row>
    <row r="583">
      <c r="A583" s="121"/>
      <c r="B583" s="121"/>
      <c r="C583" s="121"/>
    </row>
    <row r="584">
      <c r="A584" s="121"/>
      <c r="B584" s="121"/>
      <c r="C584" s="121"/>
    </row>
    <row r="585">
      <c r="A585" s="121"/>
      <c r="B585" s="121"/>
      <c r="C585" s="121"/>
    </row>
    <row r="586">
      <c r="A586" s="121"/>
      <c r="B586" s="121"/>
      <c r="C586" s="121"/>
    </row>
    <row r="587">
      <c r="A587" s="121"/>
      <c r="B587" s="121"/>
      <c r="C587" s="121"/>
    </row>
    <row r="588">
      <c r="A588" s="121"/>
      <c r="B588" s="121"/>
      <c r="C588" s="121"/>
    </row>
    <row r="589">
      <c r="A589" s="121"/>
      <c r="B589" s="121"/>
      <c r="C589" s="121"/>
    </row>
    <row r="590">
      <c r="A590" s="121"/>
      <c r="B590" s="121"/>
      <c r="C590" s="121"/>
    </row>
    <row r="591">
      <c r="A591" s="121"/>
      <c r="B591" s="121"/>
      <c r="C591" s="121"/>
    </row>
    <row r="592">
      <c r="A592" s="121"/>
      <c r="B592" s="121"/>
      <c r="C592" s="121"/>
    </row>
    <row r="593">
      <c r="A593" s="121"/>
      <c r="B593" s="121"/>
      <c r="C593" s="121"/>
    </row>
    <row r="594">
      <c r="A594" s="121"/>
      <c r="B594" s="121"/>
      <c r="C594" s="121"/>
    </row>
    <row r="595">
      <c r="A595" s="121"/>
      <c r="B595" s="121"/>
      <c r="C595" s="121"/>
    </row>
    <row r="596">
      <c r="A596" s="121"/>
      <c r="B596" s="121"/>
      <c r="C596" s="121"/>
    </row>
    <row r="597">
      <c r="A597" s="121"/>
      <c r="B597" s="121"/>
      <c r="C597" s="121"/>
    </row>
    <row r="598">
      <c r="A598" s="121"/>
      <c r="B598" s="121"/>
      <c r="C598" s="121"/>
    </row>
    <row r="599">
      <c r="A599" s="121"/>
      <c r="B599" s="121"/>
      <c r="C599" s="121"/>
    </row>
    <row r="600">
      <c r="A600" s="121"/>
      <c r="B600" s="121"/>
      <c r="C600" s="121"/>
    </row>
    <row r="601">
      <c r="A601" s="121"/>
      <c r="B601" s="121"/>
      <c r="C601" s="121"/>
    </row>
    <row r="602">
      <c r="A602" s="121"/>
      <c r="B602" s="121"/>
      <c r="C602" s="121"/>
    </row>
    <row r="603">
      <c r="A603" s="121"/>
      <c r="B603" s="121"/>
      <c r="C603" s="121"/>
    </row>
    <row r="604">
      <c r="A604" s="121"/>
      <c r="B604" s="121"/>
      <c r="C604" s="121"/>
    </row>
    <row r="605">
      <c r="A605" s="121"/>
      <c r="B605" s="121"/>
      <c r="C605" s="121"/>
    </row>
    <row r="606">
      <c r="A606" s="121"/>
      <c r="B606" s="121"/>
      <c r="C606" s="121"/>
    </row>
    <row r="607">
      <c r="A607" s="121"/>
      <c r="B607" s="121"/>
      <c r="C607" s="121"/>
    </row>
    <row r="608">
      <c r="A608" s="121"/>
      <c r="B608" s="121"/>
      <c r="C608" s="121"/>
    </row>
    <row r="609">
      <c r="A609" s="121"/>
      <c r="B609" s="121"/>
      <c r="C609" s="121"/>
    </row>
    <row r="610">
      <c r="A610" s="121"/>
      <c r="B610" s="121"/>
      <c r="C610" s="121"/>
    </row>
    <row r="611">
      <c r="A611" s="121"/>
      <c r="B611" s="121"/>
      <c r="C611" s="121"/>
    </row>
    <row r="612">
      <c r="A612" s="121"/>
      <c r="B612" s="121"/>
      <c r="C612" s="121"/>
    </row>
    <row r="613">
      <c r="A613" s="121"/>
      <c r="B613" s="121"/>
      <c r="C613" s="121"/>
    </row>
    <row r="614">
      <c r="A614" s="121"/>
      <c r="B614" s="121"/>
      <c r="C614" s="121"/>
    </row>
    <row r="615">
      <c r="A615" s="121"/>
      <c r="B615" s="121"/>
      <c r="C615" s="121"/>
    </row>
    <row r="616">
      <c r="A616" s="121"/>
      <c r="B616" s="121"/>
      <c r="C616" s="121"/>
    </row>
    <row r="617">
      <c r="A617" s="121"/>
      <c r="B617" s="121"/>
      <c r="C617" s="121"/>
    </row>
    <row r="618">
      <c r="A618" s="121"/>
      <c r="B618" s="121"/>
      <c r="C618" s="121"/>
    </row>
    <row r="619">
      <c r="A619" s="121"/>
      <c r="B619" s="121"/>
      <c r="C619" s="121"/>
    </row>
    <row r="620">
      <c r="A620" s="121"/>
      <c r="B620" s="121"/>
      <c r="C620" s="121"/>
    </row>
    <row r="621">
      <c r="A621" s="121"/>
      <c r="B621" s="121"/>
      <c r="C621" s="121"/>
    </row>
    <row r="622">
      <c r="A622" s="121"/>
      <c r="B622" s="121"/>
      <c r="C622" s="121"/>
    </row>
    <row r="623">
      <c r="A623" s="121"/>
      <c r="B623" s="121"/>
      <c r="C623" s="121"/>
    </row>
    <row r="624">
      <c r="A624" s="121"/>
      <c r="B624" s="121"/>
      <c r="C624" s="121"/>
    </row>
    <row r="625">
      <c r="A625" s="121"/>
      <c r="B625" s="121"/>
      <c r="C625" s="121"/>
    </row>
    <row r="626">
      <c r="A626" s="121"/>
      <c r="B626" s="121"/>
      <c r="C626" s="121"/>
    </row>
    <row r="627">
      <c r="A627" s="121"/>
      <c r="B627" s="121"/>
      <c r="C627" s="121"/>
    </row>
    <row r="628">
      <c r="A628" s="121"/>
      <c r="B628" s="121"/>
      <c r="C628" s="121"/>
    </row>
    <row r="629">
      <c r="A629" s="121"/>
      <c r="B629" s="121"/>
      <c r="C629" s="121"/>
    </row>
    <row r="630">
      <c r="A630" s="121"/>
      <c r="B630" s="121"/>
      <c r="C630" s="121"/>
    </row>
    <row r="631">
      <c r="A631" s="121"/>
      <c r="B631" s="121"/>
      <c r="C631" s="121"/>
    </row>
    <row r="632">
      <c r="A632" s="121"/>
      <c r="B632" s="121"/>
      <c r="C632" s="121"/>
    </row>
    <row r="633">
      <c r="A633" s="121"/>
      <c r="B633" s="121"/>
      <c r="C633" s="121"/>
    </row>
    <row r="634">
      <c r="A634" s="121"/>
      <c r="B634" s="121"/>
      <c r="C634" s="121"/>
    </row>
    <row r="635">
      <c r="A635" s="121"/>
      <c r="B635" s="121"/>
      <c r="C635" s="121"/>
    </row>
    <row r="636">
      <c r="A636" s="121"/>
      <c r="B636" s="121"/>
      <c r="C636" s="121"/>
    </row>
    <row r="637">
      <c r="A637" s="121"/>
      <c r="B637" s="121"/>
      <c r="C637" s="121"/>
    </row>
    <row r="638">
      <c r="A638" s="121"/>
      <c r="B638" s="121"/>
      <c r="C638" s="121"/>
    </row>
    <row r="639">
      <c r="A639" s="121"/>
      <c r="B639" s="121"/>
      <c r="C639" s="121"/>
    </row>
    <row r="640">
      <c r="A640" s="121"/>
      <c r="B640" s="121"/>
      <c r="C640" s="121"/>
    </row>
    <row r="641">
      <c r="A641" s="121"/>
      <c r="B641" s="121"/>
      <c r="C641" s="121"/>
    </row>
    <row r="642">
      <c r="A642" s="121"/>
      <c r="B642" s="121"/>
      <c r="C642" s="121"/>
    </row>
    <row r="643">
      <c r="A643" s="121"/>
      <c r="B643" s="121"/>
      <c r="C643" s="121"/>
    </row>
    <row r="644">
      <c r="A644" s="121"/>
      <c r="B644" s="121"/>
      <c r="C644" s="121"/>
    </row>
    <row r="645">
      <c r="A645" s="121"/>
      <c r="B645" s="121"/>
      <c r="C645" s="121"/>
    </row>
    <row r="646">
      <c r="A646" s="121"/>
      <c r="B646" s="121"/>
      <c r="C646" s="121"/>
    </row>
    <row r="647">
      <c r="A647" s="121"/>
      <c r="B647" s="121"/>
      <c r="C647" s="121"/>
    </row>
    <row r="648">
      <c r="A648" s="121"/>
      <c r="B648" s="121"/>
      <c r="C648" s="121"/>
    </row>
    <row r="649">
      <c r="A649" s="121"/>
      <c r="B649" s="121"/>
      <c r="C649" s="121"/>
    </row>
    <row r="650">
      <c r="A650" s="121"/>
      <c r="B650" s="121"/>
      <c r="C650" s="121"/>
    </row>
    <row r="651">
      <c r="A651" s="121"/>
      <c r="B651" s="121"/>
      <c r="C651" s="121"/>
    </row>
    <row r="652">
      <c r="A652" s="121"/>
      <c r="B652" s="121"/>
      <c r="C652" s="121"/>
    </row>
    <row r="653">
      <c r="A653" s="121"/>
      <c r="B653" s="121"/>
      <c r="C653" s="121"/>
    </row>
    <row r="654">
      <c r="A654" s="121"/>
      <c r="B654" s="121"/>
      <c r="C654" s="121"/>
    </row>
    <row r="655">
      <c r="A655" s="121"/>
      <c r="B655" s="121"/>
      <c r="C655" s="121"/>
    </row>
    <row r="656">
      <c r="A656" s="121"/>
      <c r="B656" s="121"/>
      <c r="C656" s="121"/>
    </row>
    <row r="657">
      <c r="A657" s="121"/>
      <c r="B657" s="121"/>
      <c r="C657" s="121"/>
    </row>
    <row r="658">
      <c r="A658" s="121"/>
      <c r="B658" s="121"/>
      <c r="C658" s="121"/>
    </row>
    <row r="659">
      <c r="A659" s="121"/>
      <c r="B659" s="121"/>
      <c r="C659" s="121"/>
    </row>
    <row r="660">
      <c r="A660" s="121"/>
      <c r="B660" s="121"/>
      <c r="C660" s="121"/>
    </row>
    <row r="661">
      <c r="A661" s="121"/>
      <c r="B661" s="121"/>
      <c r="C661" s="121"/>
    </row>
    <row r="662">
      <c r="A662" s="121"/>
      <c r="B662" s="121"/>
      <c r="C662" s="121"/>
    </row>
    <row r="663">
      <c r="A663" s="121"/>
      <c r="B663" s="121"/>
      <c r="C663" s="121"/>
    </row>
    <row r="664">
      <c r="A664" s="121"/>
      <c r="B664" s="121"/>
      <c r="C664" s="121"/>
    </row>
    <row r="665">
      <c r="A665" s="121"/>
      <c r="B665" s="121"/>
      <c r="C665" s="121"/>
    </row>
    <row r="666">
      <c r="A666" s="121"/>
      <c r="B666" s="121"/>
      <c r="C666" s="121"/>
    </row>
    <row r="667">
      <c r="A667" s="121"/>
      <c r="B667" s="121"/>
      <c r="C667" s="121"/>
    </row>
    <row r="668">
      <c r="A668" s="121"/>
      <c r="B668" s="121"/>
      <c r="C668" s="121"/>
    </row>
    <row r="669">
      <c r="A669" s="121"/>
      <c r="B669" s="121"/>
      <c r="C669" s="121"/>
    </row>
    <row r="670">
      <c r="A670" s="121"/>
      <c r="B670" s="121"/>
      <c r="C670" s="121"/>
    </row>
    <row r="671">
      <c r="A671" s="121"/>
      <c r="B671" s="121"/>
      <c r="C671" s="121"/>
    </row>
    <row r="672">
      <c r="A672" s="121"/>
      <c r="B672" s="121"/>
      <c r="C672" s="121"/>
    </row>
    <row r="673">
      <c r="A673" s="121"/>
      <c r="B673" s="121"/>
      <c r="C673" s="121"/>
    </row>
    <row r="674">
      <c r="A674" s="121"/>
      <c r="B674" s="121"/>
      <c r="C674" s="121"/>
    </row>
    <row r="675">
      <c r="A675" s="121"/>
      <c r="B675" s="121"/>
      <c r="C675" s="121"/>
    </row>
    <row r="676">
      <c r="A676" s="121"/>
      <c r="B676" s="121"/>
      <c r="C676" s="121"/>
    </row>
    <row r="677">
      <c r="A677" s="121"/>
      <c r="B677" s="121"/>
      <c r="C677" s="121"/>
    </row>
    <row r="678">
      <c r="A678" s="121"/>
      <c r="B678" s="121"/>
      <c r="C678" s="121"/>
    </row>
    <row r="679">
      <c r="A679" s="121"/>
      <c r="B679" s="121"/>
      <c r="C679" s="121"/>
    </row>
    <row r="680">
      <c r="A680" s="121"/>
      <c r="B680" s="121"/>
      <c r="C680" s="121"/>
    </row>
    <row r="681">
      <c r="A681" s="121"/>
      <c r="B681" s="121"/>
      <c r="C681" s="121"/>
    </row>
    <row r="682">
      <c r="A682" s="121"/>
      <c r="B682" s="121"/>
      <c r="C682" s="121"/>
    </row>
    <row r="683">
      <c r="A683" s="121"/>
      <c r="B683" s="121"/>
      <c r="C683" s="121"/>
    </row>
    <row r="684">
      <c r="A684" s="121"/>
      <c r="B684" s="121"/>
      <c r="C684" s="121"/>
    </row>
    <row r="685">
      <c r="A685" s="121"/>
      <c r="B685" s="121"/>
      <c r="C685" s="121"/>
    </row>
    <row r="686">
      <c r="A686" s="121"/>
      <c r="B686" s="121"/>
      <c r="C686" s="121"/>
    </row>
    <row r="687">
      <c r="A687" s="121"/>
      <c r="B687" s="121"/>
      <c r="C687" s="121"/>
    </row>
    <row r="688">
      <c r="A688" s="121"/>
      <c r="B688" s="121"/>
      <c r="C688" s="121"/>
    </row>
    <row r="689">
      <c r="A689" s="121"/>
      <c r="B689" s="121"/>
      <c r="C689" s="121"/>
    </row>
    <row r="690">
      <c r="A690" s="121"/>
      <c r="B690" s="121"/>
      <c r="C690" s="121"/>
    </row>
    <row r="691">
      <c r="A691" s="121"/>
      <c r="B691" s="121"/>
      <c r="C691" s="121"/>
    </row>
    <row r="692">
      <c r="A692" s="121"/>
      <c r="B692" s="121"/>
      <c r="C692" s="121"/>
    </row>
    <row r="693">
      <c r="A693" s="121"/>
      <c r="B693" s="121"/>
      <c r="C693" s="121"/>
    </row>
    <row r="694">
      <c r="A694" s="121"/>
      <c r="B694" s="121"/>
      <c r="C694" s="121"/>
    </row>
    <row r="695">
      <c r="A695" s="121"/>
      <c r="B695" s="121"/>
      <c r="C695" s="121"/>
    </row>
    <row r="696">
      <c r="A696" s="121"/>
      <c r="B696" s="121"/>
      <c r="C696" s="121"/>
    </row>
    <row r="697">
      <c r="A697" s="121"/>
      <c r="B697" s="121"/>
      <c r="C697" s="121"/>
    </row>
    <row r="698">
      <c r="A698" s="121"/>
      <c r="B698" s="121"/>
      <c r="C698" s="121"/>
    </row>
    <row r="699">
      <c r="A699" s="121"/>
      <c r="B699" s="121"/>
      <c r="C699" s="121"/>
    </row>
    <row r="700">
      <c r="A700" s="121"/>
      <c r="B700" s="121"/>
      <c r="C700" s="121"/>
    </row>
    <row r="701">
      <c r="A701" s="121"/>
      <c r="B701" s="121"/>
      <c r="C701" s="121"/>
    </row>
    <row r="702">
      <c r="A702" s="121"/>
      <c r="B702" s="121"/>
      <c r="C702" s="121"/>
    </row>
    <row r="703">
      <c r="A703" s="121"/>
      <c r="B703" s="121"/>
      <c r="C703" s="121"/>
    </row>
    <row r="704">
      <c r="A704" s="121"/>
      <c r="B704" s="121"/>
      <c r="C704" s="121"/>
    </row>
    <row r="705">
      <c r="A705" s="121"/>
      <c r="B705" s="121"/>
      <c r="C705" s="121"/>
    </row>
    <row r="706">
      <c r="A706" s="121"/>
      <c r="B706" s="121"/>
      <c r="C706" s="121"/>
    </row>
    <row r="707">
      <c r="A707" s="121"/>
      <c r="B707" s="121"/>
      <c r="C707" s="121"/>
    </row>
    <row r="708">
      <c r="A708" s="121"/>
      <c r="B708" s="121"/>
      <c r="C708" s="121"/>
    </row>
    <row r="709">
      <c r="A709" s="121"/>
      <c r="B709" s="121"/>
      <c r="C709" s="121"/>
    </row>
    <row r="710">
      <c r="A710" s="121"/>
      <c r="B710" s="121"/>
      <c r="C710" s="121"/>
    </row>
    <row r="711">
      <c r="A711" s="121"/>
      <c r="B711" s="121"/>
      <c r="C711" s="121"/>
    </row>
    <row r="712">
      <c r="A712" s="121"/>
      <c r="B712" s="121"/>
      <c r="C712" s="121"/>
    </row>
    <row r="713">
      <c r="A713" s="121"/>
      <c r="B713" s="121"/>
      <c r="C713" s="121"/>
    </row>
    <row r="714">
      <c r="A714" s="121"/>
      <c r="B714" s="121"/>
      <c r="C714" s="121"/>
    </row>
    <row r="715">
      <c r="A715" s="121"/>
      <c r="B715" s="121"/>
      <c r="C715" s="121"/>
    </row>
    <row r="716">
      <c r="A716" s="121"/>
      <c r="B716" s="121"/>
      <c r="C716" s="121"/>
    </row>
    <row r="717">
      <c r="A717" s="121"/>
      <c r="B717" s="121"/>
      <c r="C717" s="121"/>
    </row>
    <row r="718">
      <c r="A718" s="121"/>
      <c r="B718" s="121"/>
      <c r="C718" s="121"/>
    </row>
    <row r="719">
      <c r="A719" s="121"/>
      <c r="B719" s="121"/>
      <c r="C719" s="121"/>
    </row>
    <row r="720">
      <c r="A720" s="121"/>
      <c r="B720" s="121"/>
      <c r="C720" s="121"/>
    </row>
    <row r="721">
      <c r="A721" s="121"/>
      <c r="B721" s="121"/>
      <c r="C721" s="121"/>
    </row>
    <row r="722">
      <c r="A722" s="121"/>
      <c r="B722" s="121"/>
      <c r="C722" s="121"/>
    </row>
    <row r="723">
      <c r="A723" s="121"/>
      <c r="B723" s="121"/>
      <c r="C723" s="121"/>
    </row>
    <row r="724">
      <c r="A724" s="121"/>
      <c r="B724" s="121"/>
      <c r="C724" s="121"/>
    </row>
    <row r="725">
      <c r="A725" s="121"/>
      <c r="B725" s="121"/>
      <c r="C725" s="121"/>
    </row>
    <row r="726">
      <c r="A726" s="121"/>
      <c r="B726" s="121"/>
      <c r="C726" s="121"/>
    </row>
    <row r="727">
      <c r="A727" s="121"/>
      <c r="B727" s="121"/>
      <c r="C727" s="121"/>
    </row>
    <row r="728">
      <c r="A728" s="121"/>
      <c r="B728" s="121"/>
      <c r="C728" s="121"/>
    </row>
    <row r="729">
      <c r="A729" s="121"/>
      <c r="B729" s="121"/>
      <c r="C729" s="121"/>
    </row>
    <row r="730">
      <c r="A730" s="121"/>
      <c r="B730" s="121"/>
      <c r="C730" s="121"/>
    </row>
    <row r="731">
      <c r="A731" s="121"/>
      <c r="B731" s="121"/>
      <c r="C731" s="121"/>
    </row>
    <row r="732">
      <c r="A732" s="121"/>
      <c r="B732" s="121"/>
      <c r="C732" s="121"/>
    </row>
    <row r="733">
      <c r="A733" s="121"/>
      <c r="B733" s="121"/>
      <c r="C733" s="121"/>
    </row>
    <row r="734">
      <c r="A734" s="121"/>
      <c r="B734" s="121"/>
      <c r="C734" s="121"/>
    </row>
    <row r="735">
      <c r="A735" s="121"/>
      <c r="B735" s="121"/>
      <c r="C735" s="121"/>
    </row>
    <row r="736">
      <c r="A736" s="121"/>
      <c r="B736" s="121"/>
      <c r="C736" s="121"/>
    </row>
    <row r="737">
      <c r="A737" s="121"/>
      <c r="B737" s="121"/>
      <c r="C737" s="121"/>
    </row>
    <row r="738">
      <c r="A738" s="121"/>
      <c r="B738" s="121"/>
      <c r="C738" s="121"/>
    </row>
    <row r="739">
      <c r="A739" s="121"/>
      <c r="B739" s="121"/>
      <c r="C739" s="121"/>
    </row>
    <row r="740">
      <c r="A740" s="121"/>
      <c r="B740" s="121"/>
      <c r="C740" s="121"/>
    </row>
    <row r="741">
      <c r="A741" s="121"/>
      <c r="B741" s="121"/>
      <c r="C741" s="121"/>
    </row>
    <row r="742">
      <c r="A742" s="121"/>
      <c r="B742" s="121"/>
      <c r="C742" s="121"/>
    </row>
    <row r="743">
      <c r="A743" s="121"/>
      <c r="B743" s="121"/>
      <c r="C743" s="121"/>
    </row>
    <row r="744">
      <c r="A744" s="121"/>
      <c r="B744" s="121"/>
      <c r="C744" s="121"/>
    </row>
    <row r="745">
      <c r="A745" s="121"/>
      <c r="B745" s="121"/>
      <c r="C745" s="121"/>
    </row>
    <row r="746">
      <c r="A746" s="121"/>
      <c r="B746" s="121"/>
      <c r="C746" s="121"/>
    </row>
    <row r="747">
      <c r="A747" s="121"/>
      <c r="B747" s="121"/>
      <c r="C747" s="121"/>
    </row>
    <row r="748">
      <c r="A748" s="121"/>
      <c r="B748" s="121"/>
      <c r="C748" s="121"/>
    </row>
    <row r="749">
      <c r="A749" s="121"/>
      <c r="B749" s="121"/>
      <c r="C749" s="121"/>
    </row>
    <row r="750">
      <c r="A750" s="121"/>
      <c r="B750" s="121"/>
      <c r="C750" s="121"/>
    </row>
    <row r="751">
      <c r="A751" s="121"/>
      <c r="B751" s="121"/>
      <c r="C751" s="121"/>
    </row>
    <row r="752">
      <c r="A752" s="121"/>
      <c r="B752" s="121"/>
      <c r="C752" s="121"/>
    </row>
    <row r="753">
      <c r="A753" s="121"/>
      <c r="B753" s="121"/>
      <c r="C753" s="121"/>
    </row>
    <row r="754">
      <c r="A754" s="121"/>
      <c r="B754" s="121"/>
      <c r="C754" s="121"/>
    </row>
    <row r="755">
      <c r="A755" s="121"/>
      <c r="B755" s="121"/>
      <c r="C755" s="121"/>
    </row>
    <row r="756">
      <c r="A756" s="121"/>
      <c r="B756" s="121"/>
      <c r="C756" s="121"/>
    </row>
    <row r="757">
      <c r="A757" s="121"/>
      <c r="B757" s="121"/>
      <c r="C757" s="121"/>
    </row>
    <row r="758">
      <c r="A758" s="121"/>
      <c r="B758" s="121"/>
      <c r="C758" s="121"/>
    </row>
    <row r="759">
      <c r="A759" s="121"/>
      <c r="B759" s="121"/>
      <c r="C759" s="121"/>
    </row>
    <row r="760">
      <c r="A760" s="121"/>
      <c r="B760" s="121"/>
      <c r="C760" s="121"/>
    </row>
    <row r="761">
      <c r="A761" s="121"/>
      <c r="B761" s="121"/>
      <c r="C761" s="121"/>
    </row>
    <row r="762">
      <c r="A762" s="121"/>
      <c r="B762" s="121"/>
      <c r="C762" s="121"/>
    </row>
    <row r="763">
      <c r="A763" s="121"/>
      <c r="B763" s="121"/>
      <c r="C763" s="121"/>
    </row>
    <row r="764">
      <c r="A764" s="121"/>
      <c r="B764" s="121"/>
      <c r="C764" s="121"/>
    </row>
    <row r="765">
      <c r="A765" s="121"/>
      <c r="B765" s="121"/>
      <c r="C765" s="121"/>
    </row>
    <row r="766">
      <c r="A766" s="121"/>
      <c r="B766" s="121"/>
      <c r="C766" s="121"/>
    </row>
    <row r="767">
      <c r="A767" s="121"/>
      <c r="B767" s="121"/>
      <c r="C767" s="121"/>
    </row>
    <row r="768">
      <c r="A768" s="121"/>
      <c r="B768" s="121"/>
      <c r="C768" s="121"/>
    </row>
    <row r="769">
      <c r="A769" s="121"/>
      <c r="B769" s="121"/>
      <c r="C769" s="121"/>
    </row>
    <row r="770">
      <c r="A770" s="121"/>
      <c r="B770" s="121"/>
      <c r="C770" s="121"/>
    </row>
    <row r="771">
      <c r="A771" s="121"/>
      <c r="B771" s="121"/>
      <c r="C771" s="121"/>
    </row>
    <row r="772">
      <c r="A772" s="121"/>
      <c r="B772" s="121"/>
      <c r="C772" s="121"/>
    </row>
    <row r="773">
      <c r="A773" s="121"/>
      <c r="B773" s="121"/>
      <c r="C773" s="121"/>
    </row>
    <row r="774">
      <c r="A774" s="121"/>
      <c r="B774" s="121"/>
      <c r="C774" s="121"/>
    </row>
    <row r="775">
      <c r="A775" s="121"/>
      <c r="B775" s="121"/>
      <c r="C775" s="121"/>
    </row>
    <row r="776">
      <c r="A776" s="121"/>
      <c r="B776" s="121"/>
      <c r="C776" s="121"/>
    </row>
    <row r="777">
      <c r="A777" s="121"/>
      <c r="B777" s="121"/>
      <c r="C777" s="121"/>
    </row>
    <row r="778">
      <c r="A778" s="121"/>
      <c r="B778" s="121"/>
      <c r="C778" s="121"/>
    </row>
    <row r="779">
      <c r="A779" s="121"/>
      <c r="B779" s="121"/>
      <c r="C779" s="121"/>
    </row>
    <row r="780">
      <c r="A780" s="121"/>
      <c r="B780" s="121"/>
      <c r="C780" s="121"/>
    </row>
    <row r="781">
      <c r="A781" s="121"/>
      <c r="B781" s="121"/>
      <c r="C781" s="121"/>
    </row>
    <row r="782">
      <c r="A782" s="121"/>
      <c r="B782" s="121"/>
      <c r="C782" s="121"/>
    </row>
    <row r="783">
      <c r="A783" s="121"/>
      <c r="B783" s="121"/>
      <c r="C783" s="121"/>
    </row>
    <row r="784">
      <c r="A784" s="121"/>
      <c r="B784" s="121"/>
      <c r="C784" s="121"/>
    </row>
    <row r="785">
      <c r="A785" s="121"/>
      <c r="B785" s="121"/>
      <c r="C785" s="121"/>
    </row>
    <row r="786">
      <c r="A786" s="121"/>
      <c r="B786" s="121"/>
      <c r="C786" s="121"/>
    </row>
    <row r="787">
      <c r="A787" s="121"/>
      <c r="B787" s="121"/>
      <c r="C787" s="121"/>
    </row>
    <row r="788">
      <c r="A788" s="121"/>
      <c r="B788" s="121"/>
      <c r="C788" s="121"/>
    </row>
    <row r="789">
      <c r="A789" s="121"/>
      <c r="B789" s="121"/>
      <c r="C789" s="121"/>
    </row>
    <row r="790">
      <c r="A790" s="121"/>
      <c r="B790" s="121"/>
      <c r="C790" s="121"/>
    </row>
    <row r="791">
      <c r="A791" s="121"/>
      <c r="B791" s="121"/>
      <c r="C791" s="121"/>
    </row>
    <row r="792">
      <c r="A792" s="121"/>
      <c r="B792" s="121"/>
      <c r="C792" s="121"/>
    </row>
    <row r="793">
      <c r="A793" s="121"/>
      <c r="B793" s="121"/>
      <c r="C793" s="121"/>
    </row>
    <row r="794">
      <c r="A794" s="121"/>
      <c r="B794" s="121"/>
      <c r="C794" s="121"/>
    </row>
    <row r="795">
      <c r="A795" s="121"/>
      <c r="B795" s="121"/>
      <c r="C795" s="121"/>
    </row>
    <row r="796">
      <c r="A796" s="121"/>
      <c r="B796" s="121"/>
      <c r="C796" s="121"/>
    </row>
    <row r="797">
      <c r="A797" s="121"/>
      <c r="B797" s="121"/>
      <c r="C797" s="121"/>
    </row>
    <row r="798">
      <c r="A798" s="121"/>
      <c r="B798" s="121"/>
      <c r="C798" s="121"/>
    </row>
    <row r="799">
      <c r="A799" s="121"/>
      <c r="B799" s="121"/>
      <c r="C799" s="121"/>
    </row>
    <row r="800">
      <c r="A800" s="121"/>
      <c r="B800" s="121"/>
      <c r="C800" s="121"/>
    </row>
    <row r="801">
      <c r="A801" s="121"/>
      <c r="B801" s="121"/>
      <c r="C801" s="121"/>
    </row>
    <row r="802">
      <c r="A802" s="121"/>
      <c r="B802" s="121"/>
      <c r="C802" s="121"/>
    </row>
    <row r="803">
      <c r="A803" s="121"/>
      <c r="B803" s="121"/>
      <c r="C803" s="121"/>
    </row>
    <row r="804">
      <c r="A804" s="121"/>
      <c r="B804" s="121"/>
      <c r="C804" s="121"/>
    </row>
    <row r="805">
      <c r="A805" s="121"/>
      <c r="B805" s="121"/>
      <c r="C805" s="121"/>
    </row>
    <row r="806">
      <c r="A806" s="121"/>
      <c r="B806" s="121"/>
      <c r="C806" s="121"/>
    </row>
    <row r="807">
      <c r="A807" s="121"/>
      <c r="B807" s="121"/>
      <c r="C807" s="121"/>
    </row>
    <row r="808">
      <c r="A808" s="121"/>
      <c r="B808" s="121"/>
      <c r="C808" s="121"/>
    </row>
    <row r="809">
      <c r="A809" s="121"/>
      <c r="B809" s="121"/>
      <c r="C809" s="121"/>
    </row>
    <row r="810">
      <c r="A810" s="121"/>
      <c r="B810" s="121"/>
      <c r="C810" s="121"/>
    </row>
    <row r="811">
      <c r="A811" s="121"/>
      <c r="B811" s="121"/>
      <c r="C811" s="121"/>
    </row>
    <row r="812">
      <c r="A812" s="121"/>
      <c r="B812" s="121"/>
      <c r="C812" s="121"/>
    </row>
    <row r="813">
      <c r="A813" s="121"/>
      <c r="B813" s="121"/>
      <c r="C813" s="121"/>
    </row>
    <row r="814">
      <c r="A814" s="121"/>
      <c r="B814" s="121"/>
      <c r="C814" s="121"/>
    </row>
    <row r="815">
      <c r="A815" s="121"/>
      <c r="B815" s="121"/>
      <c r="C815" s="121"/>
    </row>
    <row r="816">
      <c r="A816" s="121"/>
      <c r="B816" s="121"/>
      <c r="C816" s="121"/>
    </row>
    <row r="817">
      <c r="A817" s="121"/>
      <c r="B817" s="121"/>
      <c r="C817" s="121"/>
    </row>
    <row r="818">
      <c r="A818" s="121"/>
      <c r="B818" s="121"/>
      <c r="C818" s="121"/>
    </row>
    <row r="819">
      <c r="A819" s="121"/>
      <c r="B819" s="121"/>
      <c r="C819" s="121"/>
    </row>
    <row r="820">
      <c r="A820" s="121"/>
      <c r="B820" s="121"/>
      <c r="C820" s="121"/>
    </row>
    <row r="821">
      <c r="A821" s="121"/>
      <c r="B821" s="121"/>
      <c r="C821" s="121"/>
    </row>
    <row r="822">
      <c r="A822" s="121"/>
      <c r="B822" s="121"/>
      <c r="C822" s="121"/>
    </row>
    <row r="823">
      <c r="A823" s="121"/>
      <c r="B823" s="121"/>
      <c r="C823" s="121"/>
    </row>
    <row r="824">
      <c r="A824" s="121"/>
      <c r="B824" s="121"/>
      <c r="C824" s="121"/>
    </row>
    <row r="825">
      <c r="A825" s="121"/>
      <c r="B825" s="121"/>
      <c r="C825" s="121"/>
    </row>
    <row r="826">
      <c r="A826" s="121"/>
      <c r="B826" s="121"/>
      <c r="C826" s="121"/>
    </row>
    <row r="827">
      <c r="A827" s="121"/>
      <c r="B827" s="121"/>
      <c r="C827" s="121"/>
    </row>
    <row r="828">
      <c r="A828" s="121"/>
      <c r="B828" s="121"/>
      <c r="C828" s="121"/>
    </row>
    <row r="829">
      <c r="A829" s="121"/>
      <c r="B829" s="121"/>
      <c r="C829" s="121"/>
    </row>
    <row r="830">
      <c r="A830" s="121"/>
      <c r="B830" s="121"/>
      <c r="C830" s="121"/>
    </row>
    <row r="831">
      <c r="A831" s="121"/>
      <c r="B831" s="121"/>
      <c r="C831" s="121"/>
    </row>
    <row r="832">
      <c r="A832" s="121"/>
      <c r="B832" s="121"/>
      <c r="C832" s="121"/>
    </row>
    <row r="833">
      <c r="A833" s="121"/>
      <c r="B833" s="121"/>
      <c r="C833" s="121"/>
    </row>
    <row r="834">
      <c r="A834" s="121"/>
      <c r="B834" s="121"/>
      <c r="C834" s="121"/>
    </row>
    <row r="835">
      <c r="A835" s="121"/>
      <c r="B835" s="121"/>
      <c r="C835" s="121"/>
    </row>
    <row r="836">
      <c r="A836" s="121"/>
      <c r="B836" s="121"/>
      <c r="C836" s="121"/>
    </row>
    <row r="837">
      <c r="A837" s="121"/>
      <c r="B837" s="121"/>
      <c r="C837" s="121"/>
    </row>
    <row r="838">
      <c r="A838" s="121"/>
      <c r="B838" s="121"/>
      <c r="C838" s="121"/>
    </row>
    <row r="839">
      <c r="A839" s="121"/>
      <c r="B839" s="121"/>
      <c r="C839" s="121"/>
    </row>
    <row r="840">
      <c r="A840" s="121"/>
      <c r="B840" s="121"/>
      <c r="C840" s="121"/>
    </row>
    <row r="841">
      <c r="A841" s="121"/>
      <c r="B841" s="121"/>
      <c r="C841" s="121"/>
    </row>
    <row r="842">
      <c r="A842" s="121"/>
      <c r="B842" s="121"/>
      <c r="C842" s="121"/>
    </row>
    <row r="843">
      <c r="A843" s="121"/>
      <c r="B843" s="121"/>
      <c r="C843" s="121"/>
    </row>
    <row r="844">
      <c r="A844" s="121"/>
      <c r="B844" s="121"/>
      <c r="C844" s="121"/>
    </row>
    <row r="845">
      <c r="A845" s="121"/>
      <c r="B845" s="121"/>
      <c r="C845" s="121"/>
    </row>
    <row r="846">
      <c r="A846" s="121"/>
      <c r="B846" s="121"/>
      <c r="C846" s="121"/>
    </row>
    <row r="847">
      <c r="A847" s="121"/>
      <c r="B847" s="121"/>
      <c r="C847" s="121"/>
    </row>
    <row r="848">
      <c r="A848" s="121"/>
      <c r="B848" s="121"/>
      <c r="C848" s="121"/>
    </row>
    <row r="849">
      <c r="A849" s="121"/>
      <c r="B849" s="121"/>
      <c r="C849" s="121"/>
    </row>
    <row r="850">
      <c r="A850" s="121"/>
      <c r="B850" s="121"/>
      <c r="C850" s="121"/>
    </row>
    <row r="851">
      <c r="A851" s="121"/>
      <c r="B851" s="121"/>
      <c r="C851" s="121"/>
    </row>
    <row r="852">
      <c r="A852" s="121"/>
      <c r="B852" s="121"/>
      <c r="C852" s="121"/>
    </row>
    <row r="853">
      <c r="A853" s="121"/>
      <c r="B853" s="121"/>
      <c r="C853" s="121"/>
    </row>
    <row r="854">
      <c r="A854" s="121"/>
      <c r="B854" s="121"/>
      <c r="C854" s="121"/>
    </row>
    <row r="855">
      <c r="A855" s="121"/>
      <c r="B855" s="121"/>
      <c r="C855" s="121"/>
    </row>
    <row r="856">
      <c r="A856" s="121"/>
      <c r="B856" s="121"/>
      <c r="C856" s="121"/>
    </row>
    <row r="857">
      <c r="A857" s="121"/>
      <c r="B857" s="121"/>
      <c r="C857" s="121"/>
    </row>
    <row r="858">
      <c r="A858" s="121"/>
      <c r="B858" s="121"/>
      <c r="C858" s="121"/>
    </row>
    <row r="859">
      <c r="A859" s="121"/>
      <c r="B859" s="121"/>
      <c r="C859" s="121"/>
    </row>
    <row r="860">
      <c r="A860" s="121"/>
      <c r="B860" s="121"/>
      <c r="C860" s="121"/>
    </row>
    <row r="861">
      <c r="A861" s="121"/>
      <c r="B861" s="121"/>
      <c r="C861" s="121"/>
    </row>
    <row r="862">
      <c r="A862" s="121"/>
      <c r="B862" s="121"/>
      <c r="C862" s="121"/>
    </row>
    <row r="863">
      <c r="A863" s="121"/>
      <c r="B863" s="121"/>
      <c r="C863" s="121"/>
    </row>
    <row r="864">
      <c r="A864" s="121"/>
      <c r="B864" s="121"/>
      <c r="C864" s="121"/>
    </row>
    <row r="865">
      <c r="A865" s="121"/>
      <c r="B865" s="121"/>
      <c r="C865" s="121"/>
    </row>
    <row r="866">
      <c r="A866" s="121"/>
      <c r="B866" s="121"/>
      <c r="C866" s="121"/>
    </row>
    <row r="867">
      <c r="A867" s="121"/>
      <c r="B867" s="121"/>
      <c r="C867" s="121"/>
    </row>
    <row r="868">
      <c r="A868" s="121"/>
      <c r="B868" s="121"/>
      <c r="C868" s="121"/>
    </row>
    <row r="869">
      <c r="A869" s="121"/>
      <c r="B869" s="121"/>
      <c r="C869" s="121"/>
    </row>
    <row r="870">
      <c r="A870" s="121"/>
      <c r="B870" s="121"/>
      <c r="C870" s="121"/>
    </row>
    <row r="871">
      <c r="A871" s="121"/>
      <c r="B871" s="121"/>
      <c r="C871" s="121"/>
    </row>
    <row r="872">
      <c r="A872" s="121"/>
      <c r="B872" s="121"/>
      <c r="C872" s="121"/>
    </row>
    <row r="873">
      <c r="A873" s="121"/>
      <c r="B873" s="121"/>
      <c r="C873" s="121"/>
    </row>
    <row r="874">
      <c r="A874" s="121"/>
      <c r="B874" s="121"/>
      <c r="C874" s="121"/>
    </row>
    <row r="875">
      <c r="A875" s="121"/>
      <c r="B875" s="121"/>
      <c r="C875" s="121"/>
    </row>
    <row r="876">
      <c r="A876" s="121"/>
      <c r="B876" s="121"/>
      <c r="C876" s="121"/>
    </row>
    <row r="877">
      <c r="A877" s="121"/>
      <c r="B877" s="121"/>
      <c r="C877" s="121"/>
    </row>
    <row r="878">
      <c r="A878" s="121"/>
      <c r="B878" s="121"/>
      <c r="C878" s="121"/>
    </row>
    <row r="879">
      <c r="A879" s="121"/>
      <c r="B879" s="121"/>
      <c r="C879" s="121"/>
    </row>
    <row r="880">
      <c r="A880" s="121"/>
      <c r="B880" s="121"/>
      <c r="C880" s="121"/>
    </row>
    <row r="881">
      <c r="A881" s="121"/>
      <c r="B881" s="121"/>
      <c r="C881" s="121"/>
    </row>
    <row r="882">
      <c r="A882" s="121"/>
      <c r="B882" s="121"/>
      <c r="C882" s="121"/>
    </row>
    <row r="883">
      <c r="A883" s="121"/>
      <c r="B883" s="121"/>
      <c r="C883" s="121"/>
    </row>
    <row r="884">
      <c r="A884" s="121"/>
      <c r="B884" s="121"/>
      <c r="C884" s="121"/>
    </row>
    <row r="885">
      <c r="A885" s="121"/>
      <c r="B885" s="121"/>
      <c r="C885" s="121"/>
    </row>
    <row r="886">
      <c r="A886" s="121"/>
      <c r="B886" s="121"/>
      <c r="C886" s="121"/>
    </row>
    <row r="887">
      <c r="A887" s="121"/>
      <c r="B887" s="121"/>
      <c r="C887" s="121"/>
    </row>
    <row r="888">
      <c r="A888" s="121"/>
      <c r="B888" s="121"/>
      <c r="C888" s="121"/>
    </row>
    <row r="889">
      <c r="A889" s="121"/>
      <c r="B889" s="121"/>
      <c r="C889" s="121"/>
    </row>
    <row r="890">
      <c r="A890" s="121"/>
      <c r="B890" s="121"/>
      <c r="C890" s="121"/>
    </row>
    <row r="891">
      <c r="A891" s="121"/>
      <c r="B891" s="121"/>
      <c r="C891" s="121"/>
    </row>
    <row r="892">
      <c r="A892" s="121"/>
      <c r="B892" s="121"/>
      <c r="C892" s="121"/>
    </row>
    <row r="893">
      <c r="A893" s="121"/>
      <c r="B893" s="121"/>
      <c r="C893" s="121"/>
    </row>
    <row r="894">
      <c r="A894" s="121"/>
      <c r="B894" s="121"/>
      <c r="C894" s="121"/>
    </row>
    <row r="895">
      <c r="A895" s="121"/>
      <c r="B895" s="121"/>
      <c r="C895" s="121"/>
    </row>
    <row r="896">
      <c r="A896" s="121"/>
      <c r="B896" s="121"/>
      <c r="C896" s="121"/>
    </row>
    <row r="897">
      <c r="A897" s="121"/>
      <c r="B897" s="121"/>
      <c r="C897" s="121"/>
    </row>
    <row r="898">
      <c r="A898" s="121"/>
      <c r="B898" s="121"/>
      <c r="C898" s="121"/>
    </row>
    <row r="899">
      <c r="A899" s="121"/>
      <c r="B899" s="121"/>
      <c r="C899" s="121"/>
    </row>
    <row r="900">
      <c r="A900" s="121"/>
      <c r="B900" s="121"/>
      <c r="C900" s="121"/>
    </row>
    <row r="901">
      <c r="A901" s="121"/>
      <c r="B901" s="121"/>
      <c r="C901" s="121"/>
    </row>
    <row r="902">
      <c r="A902" s="121"/>
      <c r="B902" s="121"/>
      <c r="C902" s="121"/>
    </row>
    <row r="903">
      <c r="A903" s="121"/>
      <c r="B903" s="121"/>
      <c r="C903" s="121"/>
    </row>
    <row r="904">
      <c r="A904" s="121"/>
      <c r="B904" s="121"/>
      <c r="C904" s="121"/>
    </row>
    <row r="905">
      <c r="A905" s="121"/>
      <c r="B905" s="121"/>
      <c r="C905" s="121"/>
    </row>
    <row r="906">
      <c r="A906" s="121"/>
      <c r="B906" s="121"/>
      <c r="C906" s="121"/>
    </row>
    <row r="907">
      <c r="A907" s="121"/>
      <c r="B907" s="121"/>
      <c r="C907" s="121"/>
    </row>
    <row r="908">
      <c r="A908" s="121"/>
      <c r="B908" s="121"/>
      <c r="C908" s="121"/>
    </row>
    <row r="909">
      <c r="A909" s="121"/>
      <c r="B909" s="121"/>
      <c r="C909" s="121"/>
    </row>
    <row r="910">
      <c r="A910" s="121"/>
      <c r="B910" s="121"/>
      <c r="C910" s="121"/>
    </row>
    <row r="911">
      <c r="A911" s="121"/>
      <c r="B911" s="121"/>
      <c r="C911" s="121"/>
    </row>
    <row r="912">
      <c r="A912" s="121"/>
      <c r="B912" s="121"/>
      <c r="C912" s="121"/>
    </row>
    <row r="913">
      <c r="A913" s="121"/>
      <c r="B913" s="121"/>
      <c r="C913" s="121"/>
    </row>
    <row r="914">
      <c r="A914" s="121"/>
      <c r="B914" s="121"/>
      <c r="C914" s="121"/>
    </row>
    <row r="915">
      <c r="A915" s="121"/>
      <c r="B915" s="121"/>
      <c r="C915" s="121"/>
    </row>
    <row r="916">
      <c r="A916" s="121"/>
      <c r="B916" s="121"/>
      <c r="C916" s="121"/>
    </row>
    <row r="917">
      <c r="A917" s="121"/>
      <c r="B917" s="121"/>
      <c r="C917" s="121"/>
    </row>
    <row r="918">
      <c r="A918" s="121"/>
      <c r="B918" s="121"/>
      <c r="C918" s="121"/>
    </row>
    <row r="919">
      <c r="A919" s="121"/>
      <c r="B919" s="121"/>
      <c r="C919" s="121"/>
    </row>
    <row r="920">
      <c r="A920" s="121"/>
      <c r="B920" s="121"/>
      <c r="C920" s="121"/>
    </row>
    <row r="921">
      <c r="A921" s="121"/>
      <c r="B921" s="121"/>
      <c r="C921" s="121"/>
    </row>
    <row r="922">
      <c r="A922" s="121"/>
      <c r="B922" s="121"/>
      <c r="C922" s="121"/>
    </row>
    <row r="923">
      <c r="A923" s="121"/>
      <c r="B923" s="121"/>
      <c r="C923" s="121"/>
    </row>
    <row r="924">
      <c r="A924" s="121"/>
      <c r="B924" s="121"/>
      <c r="C924" s="121"/>
    </row>
    <row r="925">
      <c r="A925" s="121"/>
      <c r="B925" s="121"/>
      <c r="C925" s="121"/>
    </row>
    <row r="926">
      <c r="A926" s="121"/>
      <c r="B926" s="121"/>
      <c r="C926" s="121"/>
    </row>
    <row r="927">
      <c r="A927" s="121"/>
      <c r="B927" s="121"/>
      <c r="C927" s="121"/>
    </row>
    <row r="928">
      <c r="A928" s="121"/>
      <c r="B928" s="121"/>
      <c r="C928" s="121"/>
    </row>
    <row r="929">
      <c r="A929" s="121"/>
      <c r="B929" s="121"/>
      <c r="C929" s="121"/>
    </row>
    <row r="930">
      <c r="A930" s="121"/>
      <c r="B930" s="121"/>
      <c r="C930" s="121"/>
    </row>
    <row r="931">
      <c r="A931" s="121"/>
      <c r="B931" s="121"/>
      <c r="C931" s="121"/>
    </row>
    <row r="932">
      <c r="A932" s="121"/>
      <c r="B932" s="121"/>
      <c r="C932" s="121"/>
    </row>
    <row r="933">
      <c r="A933" s="121"/>
      <c r="B933" s="121"/>
      <c r="C933" s="121"/>
    </row>
    <row r="934">
      <c r="A934" s="121"/>
      <c r="B934" s="121"/>
      <c r="C934" s="121"/>
    </row>
    <row r="935">
      <c r="A935" s="121"/>
      <c r="B935" s="121"/>
      <c r="C935" s="121"/>
    </row>
    <row r="936">
      <c r="A936" s="121"/>
      <c r="B936" s="121"/>
      <c r="C936" s="121"/>
    </row>
    <row r="937">
      <c r="A937" s="121"/>
      <c r="B937" s="121"/>
      <c r="C937" s="121"/>
    </row>
    <row r="938">
      <c r="A938" s="121"/>
      <c r="B938" s="121"/>
      <c r="C938" s="121"/>
    </row>
    <row r="939">
      <c r="A939" s="121"/>
      <c r="B939" s="121"/>
      <c r="C939" s="121"/>
    </row>
    <row r="940">
      <c r="A940" s="121"/>
      <c r="B940" s="121"/>
      <c r="C940" s="121"/>
    </row>
    <row r="941">
      <c r="A941" s="121"/>
      <c r="B941" s="121"/>
      <c r="C941" s="121"/>
    </row>
    <row r="942">
      <c r="A942" s="121"/>
      <c r="B942" s="121"/>
      <c r="C942" s="121"/>
    </row>
    <row r="943">
      <c r="A943" s="121"/>
      <c r="B943" s="121"/>
      <c r="C943" s="121"/>
    </row>
    <row r="944">
      <c r="A944" s="121"/>
      <c r="B944" s="121"/>
      <c r="C944" s="121"/>
    </row>
    <row r="945">
      <c r="A945" s="121"/>
      <c r="B945" s="121"/>
      <c r="C945" s="121"/>
    </row>
    <row r="946">
      <c r="A946" s="121"/>
      <c r="B946" s="121"/>
      <c r="C946" s="121"/>
    </row>
    <row r="947">
      <c r="A947" s="121"/>
      <c r="B947" s="121"/>
      <c r="C947" s="121"/>
    </row>
    <row r="948">
      <c r="A948" s="121"/>
      <c r="B948" s="121"/>
      <c r="C948" s="121"/>
    </row>
    <row r="949">
      <c r="A949" s="121"/>
      <c r="B949" s="121"/>
      <c r="C949" s="121"/>
    </row>
    <row r="950">
      <c r="A950" s="121"/>
      <c r="B950" s="121"/>
      <c r="C950" s="121"/>
    </row>
    <row r="951">
      <c r="A951" s="121"/>
      <c r="B951" s="121"/>
      <c r="C951" s="121"/>
    </row>
    <row r="952">
      <c r="A952" s="121"/>
      <c r="B952" s="121"/>
      <c r="C952" s="121"/>
    </row>
    <row r="953">
      <c r="A953" s="121"/>
      <c r="B953" s="121"/>
      <c r="C953" s="121"/>
    </row>
    <row r="954">
      <c r="A954" s="121"/>
      <c r="B954" s="121"/>
      <c r="C954" s="121"/>
    </row>
    <row r="955">
      <c r="A955" s="121"/>
      <c r="B955" s="121"/>
      <c r="C955" s="121"/>
    </row>
    <row r="956">
      <c r="A956" s="121"/>
      <c r="B956" s="121"/>
      <c r="C956" s="121"/>
    </row>
    <row r="957">
      <c r="A957" s="121"/>
      <c r="B957" s="121"/>
      <c r="C957" s="121"/>
    </row>
    <row r="958">
      <c r="A958" s="121"/>
      <c r="B958" s="121"/>
      <c r="C958" s="121"/>
    </row>
    <row r="959">
      <c r="A959" s="121"/>
      <c r="B959" s="121"/>
      <c r="C959" s="121"/>
    </row>
    <row r="960">
      <c r="A960" s="121"/>
      <c r="B960" s="121"/>
      <c r="C960" s="121"/>
    </row>
    <row r="961">
      <c r="A961" s="121"/>
      <c r="B961" s="121"/>
      <c r="C961" s="121"/>
    </row>
    <row r="962">
      <c r="A962" s="121"/>
      <c r="B962" s="121"/>
      <c r="C962" s="121"/>
    </row>
    <row r="963">
      <c r="A963" s="121"/>
      <c r="B963" s="121"/>
      <c r="C963" s="121"/>
    </row>
    <row r="964">
      <c r="A964" s="121"/>
      <c r="B964" s="121"/>
      <c r="C964" s="121"/>
    </row>
    <row r="965">
      <c r="A965" s="121"/>
      <c r="B965" s="121"/>
      <c r="C965" s="121"/>
    </row>
    <row r="966">
      <c r="A966" s="121"/>
      <c r="B966" s="121"/>
      <c r="C966" s="121"/>
    </row>
    <row r="967">
      <c r="A967" s="121"/>
      <c r="B967" s="121"/>
      <c r="C967" s="121"/>
    </row>
    <row r="968">
      <c r="A968" s="121"/>
      <c r="B968" s="121"/>
      <c r="C968" s="121"/>
    </row>
    <row r="969">
      <c r="A969" s="121"/>
      <c r="B969" s="121"/>
      <c r="C969" s="121"/>
    </row>
    <row r="970">
      <c r="A970" s="121"/>
      <c r="B970" s="121"/>
      <c r="C970" s="121"/>
    </row>
    <row r="971">
      <c r="A971" s="121"/>
      <c r="B971" s="121"/>
      <c r="C971" s="121"/>
    </row>
    <row r="972">
      <c r="A972" s="121"/>
      <c r="B972" s="121"/>
      <c r="C972" s="121"/>
    </row>
    <row r="973">
      <c r="A973" s="121"/>
      <c r="B973" s="121"/>
      <c r="C973" s="121"/>
    </row>
    <row r="974">
      <c r="A974" s="121"/>
      <c r="B974" s="121"/>
      <c r="C974" s="121"/>
    </row>
    <row r="975">
      <c r="A975" s="121"/>
      <c r="B975" s="121"/>
      <c r="C975" s="121"/>
    </row>
    <row r="976">
      <c r="A976" s="121"/>
      <c r="B976" s="121"/>
      <c r="C976" s="121"/>
    </row>
    <row r="977">
      <c r="A977" s="121"/>
      <c r="B977" s="121"/>
      <c r="C977" s="121"/>
    </row>
    <row r="978">
      <c r="A978" s="121"/>
      <c r="B978" s="121"/>
      <c r="C978" s="121"/>
    </row>
    <row r="979">
      <c r="A979" s="121"/>
      <c r="B979" s="121"/>
      <c r="C979" s="121"/>
    </row>
    <row r="980">
      <c r="A980" s="121"/>
      <c r="B980" s="121"/>
      <c r="C980" s="121"/>
    </row>
    <row r="981">
      <c r="A981" s="121"/>
      <c r="B981" s="121"/>
      <c r="C981" s="121"/>
    </row>
    <row r="982">
      <c r="A982" s="121"/>
      <c r="B982" s="121"/>
      <c r="C982" s="121"/>
    </row>
    <row r="983">
      <c r="A983" s="121"/>
      <c r="B983" s="121"/>
      <c r="C983" s="121"/>
    </row>
    <row r="984">
      <c r="A984" s="121"/>
      <c r="B984" s="121"/>
      <c r="C984" s="121"/>
    </row>
    <row r="985">
      <c r="A985" s="121"/>
      <c r="B985" s="121"/>
      <c r="C985" s="121"/>
    </row>
    <row r="986">
      <c r="A986" s="121"/>
      <c r="B986" s="121"/>
      <c r="C986" s="121"/>
    </row>
    <row r="987">
      <c r="A987" s="121"/>
      <c r="B987" s="121"/>
      <c r="C987" s="121"/>
    </row>
    <row r="988">
      <c r="A988" s="121"/>
      <c r="B988" s="121"/>
      <c r="C988" s="121"/>
    </row>
    <row r="989">
      <c r="A989" s="121"/>
      <c r="B989" s="121"/>
      <c r="C989" s="121"/>
    </row>
    <row r="990">
      <c r="A990" s="121"/>
      <c r="B990" s="121"/>
      <c r="C990" s="121"/>
    </row>
    <row r="991">
      <c r="A991" s="121"/>
      <c r="B991" s="121"/>
      <c r="C991" s="121"/>
    </row>
    <row r="992">
      <c r="A992" s="121"/>
      <c r="B992" s="121"/>
      <c r="C992" s="121"/>
    </row>
    <row r="993">
      <c r="A993" s="121"/>
      <c r="B993" s="121"/>
      <c r="C993" s="121"/>
    </row>
    <row r="994">
      <c r="A994" s="121"/>
      <c r="B994" s="121"/>
      <c r="C994" s="121"/>
    </row>
    <row r="995">
      <c r="A995" s="121"/>
      <c r="B995" s="121"/>
      <c r="C995" s="121"/>
    </row>
    <row r="996">
      <c r="A996" s="121"/>
      <c r="B996" s="121"/>
      <c r="C996" s="121"/>
    </row>
    <row r="997">
      <c r="A997" s="121"/>
      <c r="B997" s="121"/>
      <c r="C997" s="121"/>
    </row>
    <row r="998">
      <c r="A998" s="121"/>
      <c r="B998" s="121"/>
      <c r="C998" s="121"/>
    </row>
    <row r="999">
      <c r="A999" s="121"/>
      <c r="B999" s="121"/>
      <c r="C999" s="121"/>
    </row>
    <row r="1000">
      <c r="A1000" s="121"/>
      <c r="B1000" s="121"/>
      <c r="C1000" s="121"/>
    </row>
    <row r="1001">
      <c r="A1001" s="121"/>
      <c r="B1001" s="121"/>
      <c r="C1001" s="121"/>
    </row>
    <row r="1002">
      <c r="A1002" s="121"/>
      <c r="B1002" s="121"/>
      <c r="C1002" s="121"/>
    </row>
    <row r="1003">
      <c r="A1003" s="121"/>
      <c r="B1003" s="121"/>
      <c r="C1003" s="121"/>
    </row>
    <row r="1004">
      <c r="A1004" s="121"/>
      <c r="B1004" s="121"/>
      <c r="C1004" s="121"/>
    </row>
    <row r="1005">
      <c r="A1005" s="121"/>
      <c r="B1005" s="121"/>
      <c r="C1005" s="121"/>
    </row>
    <row r="1006">
      <c r="A1006" s="121"/>
      <c r="B1006" s="121"/>
      <c r="C1006" s="121"/>
    </row>
    <row r="1007">
      <c r="A1007" s="121"/>
      <c r="B1007" s="121"/>
      <c r="C1007" s="121"/>
    </row>
    <row r="1008">
      <c r="A1008" s="121"/>
      <c r="B1008" s="121"/>
      <c r="C1008" s="121"/>
    </row>
    <row r="1009">
      <c r="A1009" s="121"/>
      <c r="B1009" s="121"/>
      <c r="C1009" s="121"/>
    </row>
  </sheetData>
  <mergeCells count="6">
    <mergeCell ref="C2:D2"/>
    <mergeCell ref="C3:D3"/>
    <mergeCell ref="C4:D4"/>
    <mergeCell ref="C5:D5"/>
    <mergeCell ref="C6:D6"/>
    <mergeCell ref="C7:D7"/>
  </mergeCell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5" max="12" width="3.0"/>
    <col customWidth="1" min="13" max="13" width="2.88"/>
  </cols>
  <sheetData>
    <row r="1">
      <c r="A1" s="171"/>
      <c r="B1" s="171"/>
      <c r="C1" s="175"/>
      <c r="D1" s="176"/>
      <c r="E1" s="177" t="s">
        <v>5391</v>
      </c>
      <c r="F1" s="148" t="s">
        <v>4441</v>
      </c>
      <c r="G1" s="148" t="s">
        <v>5019</v>
      </c>
      <c r="H1" s="148" t="s">
        <v>4364</v>
      </c>
      <c r="I1" s="148" t="s">
        <v>317</v>
      </c>
      <c r="J1" s="148" t="s">
        <v>385</v>
      </c>
      <c r="K1" s="148" t="s">
        <v>5020</v>
      </c>
      <c r="L1" s="148" t="s">
        <v>4370</v>
      </c>
      <c r="M1" s="176"/>
    </row>
    <row r="2">
      <c r="A2" s="171">
        <v>1.0</v>
      </c>
      <c r="B2" s="171" t="s">
        <v>5394</v>
      </c>
      <c r="C2" s="171" t="s">
        <v>5013</v>
      </c>
      <c r="D2" s="171" t="s">
        <v>5014</v>
      </c>
      <c r="E2" s="178">
        <v>48.0</v>
      </c>
      <c r="F2" s="178">
        <v>30.0</v>
      </c>
      <c r="G2" s="178">
        <v>29.0</v>
      </c>
      <c r="H2" s="178">
        <v>22.0</v>
      </c>
      <c r="I2" s="178">
        <v>44.0</v>
      </c>
      <c r="J2" s="178">
        <v>23.0</v>
      </c>
      <c r="K2" s="178">
        <v>23.0</v>
      </c>
      <c r="L2" s="178">
        <v>8.0</v>
      </c>
      <c r="M2" s="174"/>
    </row>
    <row r="3">
      <c r="A3" s="171">
        <v>2.0</v>
      </c>
      <c r="B3" s="171" t="s">
        <v>5394</v>
      </c>
      <c r="C3" s="171" t="s">
        <v>5014</v>
      </c>
      <c r="D3" s="171" t="s">
        <v>5015</v>
      </c>
      <c r="E3" s="178">
        <v>7.0</v>
      </c>
      <c r="F3" s="178">
        <v>6.0</v>
      </c>
      <c r="G3" s="178">
        <v>2.0</v>
      </c>
      <c r="H3" s="178">
        <v>1.0</v>
      </c>
      <c r="I3" s="178">
        <v>5.0</v>
      </c>
      <c r="J3" s="178">
        <v>2.0</v>
      </c>
      <c r="K3" s="178">
        <v>2.0</v>
      </c>
      <c r="L3" s="154"/>
      <c r="M3" s="174"/>
    </row>
    <row r="4">
      <c r="A4" s="171">
        <v>3.0</v>
      </c>
      <c r="B4" s="171" t="s">
        <v>5394</v>
      </c>
      <c r="C4" s="171" t="s">
        <v>5014</v>
      </c>
      <c r="D4" s="171" t="s">
        <v>5018</v>
      </c>
      <c r="E4" s="154"/>
      <c r="F4" s="154"/>
      <c r="G4" s="154"/>
      <c r="H4" s="154"/>
      <c r="I4" s="154"/>
      <c r="J4" s="154"/>
      <c r="K4" s="154"/>
      <c r="L4" s="154"/>
      <c r="M4" s="174"/>
    </row>
    <row r="5">
      <c r="A5" s="171">
        <v>4.0</v>
      </c>
      <c r="B5" s="171" t="s">
        <v>5394</v>
      </c>
      <c r="C5" s="171" t="s">
        <v>5013</v>
      </c>
      <c r="D5" s="171" t="s">
        <v>5015</v>
      </c>
      <c r="E5" s="154"/>
      <c r="F5" s="154"/>
      <c r="G5" s="154"/>
      <c r="H5" s="154"/>
      <c r="I5" s="154"/>
      <c r="J5" s="154"/>
      <c r="K5" s="154"/>
      <c r="L5" s="154"/>
      <c r="M5" s="174"/>
    </row>
    <row r="6">
      <c r="A6" s="171">
        <v>5.0</v>
      </c>
      <c r="B6" s="171" t="s">
        <v>5394</v>
      </c>
      <c r="C6" s="171" t="s">
        <v>5014</v>
      </c>
      <c r="D6" s="171" t="s">
        <v>5016</v>
      </c>
      <c r="E6" s="154"/>
      <c r="F6" s="154"/>
      <c r="G6" s="154"/>
      <c r="H6" s="154"/>
      <c r="I6" s="154"/>
      <c r="J6" s="154"/>
      <c r="K6" s="154"/>
      <c r="L6" s="154"/>
      <c r="M6" s="174"/>
    </row>
    <row r="7">
      <c r="A7" s="171">
        <v>6.0</v>
      </c>
      <c r="B7" s="171" t="s">
        <v>5394</v>
      </c>
      <c r="C7" s="171" t="s">
        <v>5014</v>
      </c>
      <c r="D7" s="171" t="s">
        <v>5362</v>
      </c>
      <c r="E7" s="154"/>
      <c r="F7" s="154"/>
      <c r="G7" s="154"/>
      <c r="H7" s="154"/>
      <c r="I7" s="154"/>
      <c r="J7" s="154"/>
      <c r="K7" s="154"/>
      <c r="L7" s="154"/>
      <c r="M7" s="174"/>
    </row>
    <row r="8">
      <c r="A8" s="171">
        <v>7.0</v>
      </c>
      <c r="B8" s="171" t="s">
        <v>5395</v>
      </c>
      <c r="C8" s="171" t="s">
        <v>5013</v>
      </c>
      <c r="D8" s="171" t="s">
        <v>5016</v>
      </c>
      <c r="E8" s="12"/>
      <c r="F8" s="12"/>
      <c r="G8" s="12"/>
      <c r="H8" s="12"/>
      <c r="I8" s="12"/>
      <c r="J8" s="12"/>
      <c r="K8" s="12"/>
      <c r="L8" s="12"/>
      <c r="M8" s="12"/>
    </row>
    <row r="9">
      <c r="A9" s="171">
        <v>8.0</v>
      </c>
      <c r="B9" s="171" t="s">
        <v>5395</v>
      </c>
      <c r="C9" s="171" t="s">
        <v>5013</v>
      </c>
      <c r="D9" s="171" t="s">
        <v>5362</v>
      </c>
      <c r="E9" s="12"/>
      <c r="F9" s="12"/>
      <c r="G9" s="12"/>
      <c r="H9" s="12"/>
      <c r="I9" s="12"/>
      <c r="J9" s="12"/>
      <c r="K9" s="12"/>
      <c r="L9" s="12"/>
      <c r="M9" s="12"/>
    </row>
    <row r="10">
      <c r="A10" s="171">
        <v>9.0</v>
      </c>
      <c r="B10" s="171" t="s">
        <v>5395</v>
      </c>
      <c r="C10" s="171" t="s">
        <v>5013</v>
      </c>
      <c r="D10" s="171" t="s">
        <v>5018</v>
      </c>
      <c r="E10" s="12"/>
      <c r="F10" s="12"/>
      <c r="G10" s="12"/>
      <c r="H10" s="12"/>
      <c r="I10" s="12"/>
      <c r="J10" s="12"/>
      <c r="K10" s="12"/>
      <c r="L10" s="12"/>
      <c r="M10" s="12"/>
    </row>
    <row r="11">
      <c r="A11" s="171">
        <v>10.0</v>
      </c>
      <c r="B11" s="171" t="s">
        <v>5395</v>
      </c>
      <c r="C11" s="171" t="s">
        <v>5015</v>
      </c>
      <c r="D11" s="171" t="s">
        <v>5016</v>
      </c>
      <c r="E11" s="12"/>
      <c r="F11" s="12"/>
      <c r="G11" s="12"/>
      <c r="H11" s="12"/>
      <c r="I11" s="12"/>
      <c r="J11" s="12"/>
      <c r="K11" s="12"/>
      <c r="L11" s="12"/>
      <c r="M11" s="12"/>
    </row>
    <row r="12">
      <c r="A12" s="174">
        <v>11.0</v>
      </c>
      <c r="B12" s="171" t="s">
        <v>5395</v>
      </c>
      <c r="C12" s="171" t="s">
        <v>5015</v>
      </c>
      <c r="D12" s="171" t="s">
        <v>5362</v>
      </c>
      <c r="E12" s="12"/>
      <c r="F12" s="12"/>
      <c r="G12" s="12"/>
      <c r="H12" s="12"/>
      <c r="I12" s="12"/>
      <c r="J12" s="12"/>
      <c r="K12" s="12"/>
      <c r="L12" s="12"/>
      <c r="M12" s="12"/>
    </row>
    <row r="13">
      <c r="A13" s="174">
        <v>12.0</v>
      </c>
      <c r="B13" s="171" t="s">
        <v>5395</v>
      </c>
      <c r="C13" s="171" t="s">
        <v>5015</v>
      </c>
      <c r="D13" s="171" t="s">
        <v>5018</v>
      </c>
      <c r="E13" s="12"/>
      <c r="F13" s="12"/>
      <c r="G13" s="12"/>
      <c r="H13" s="12"/>
      <c r="I13" s="12"/>
      <c r="J13" s="12"/>
      <c r="K13" s="12"/>
      <c r="L13" s="12"/>
      <c r="M13" s="12"/>
    </row>
    <row r="14">
      <c r="A14" s="174">
        <v>13.0</v>
      </c>
      <c r="B14" s="171" t="s">
        <v>5395</v>
      </c>
      <c r="C14" s="171" t="s">
        <v>5016</v>
      </c>
      <c r="D14" s="171" t="s">
        <v>5362</v>
      </c>
      <c r="E14" s="12"/>
      <c r="F14" s="12"/>
      <c r="G14" s="12"/>
      <c r="H14" s="12"/>
      <c r="I14" s="12"/>
      <c r="J14" s="12"/>
      <c r="K14" s="12"/>
      <c r="L14" s="12"/>
      <c r="M14" s="12"/>
    </row>
    <row r="15">
      <c r="A15" s="174">
        <v>14.0</v>
      </c>
      <c r="B15" s="171" t="s">
        <v>5395</v>
      </c>
      <c r="C15" s="171" t="s">
        <v>5016</v>
      </c>
      <c r="D15" s="171" t="s">
        <v>5018</v>
      </c>
      <c r="E15" s="12"/>
      <c r="F15" s="12"/>
      <c r="G15" s="12"/>
      <c r="H15" s="12"/>
      <c r="I15" s="12"/>
      <c r="J15" s="12"/>
      <c r="K15" s="12"/>
      <c r="L15" s="12"/>
      <c r="M15" s="12"/>
    </row>
    <row r="16">
      <c r="A16" s="174">
        <v>15.0</v>
      </c>
      <c r="B16" s="171" t="s">
        <v>5395</v>
      </c>
      <c r="C16" s="171" t="s">
        <v>5362</v>
      </c>
      <c r="D16" s="171" t="s">
        <v>5018</v>
      </c>
      <c r="E16" s="12"/>
      <c r="F16" s="12"/>
      <c r="G16" s="12"/>
      <c r="H16" s="12"/>
      <c r="I16" s="12"/>
      <c r="J16" s="12"/>
      <c r="K16" s="12"/>
      <c r="L16" s="12"/>
      <c r="M16" s="12"/>
    </row>
    <row r="17">
      <c r="E17" s="12"/>
      <c r="F17" s="12"/>
      <c r="G17" s="12"/>
      <c r="H17" s="12"/>
      <c r="I17" s="12"/>
      <c r="J17" s="12"/>
      <c r="K17" s="12"/>
      <c r="L17" s="12"/>
    </row>
    <row r="25">
      <c r="D25" s="154"/>
    </row>
  </sheetData>
  <conditionalFormatting sqref="E2:L7 D25">
    <cfRule type="cellIs" dxfId="5" priority="1" operator="equal">
      <formula>"✓"</formula>
    </cfRule>
  </conditionalFormatting>
  <conditionalFormatting sqref="E2:L7 D25">
    <cfRule type="cellIs" dxfId="0" priority="2" operator="equal">
      <formula>"✗"</formula>
    </cfRule>
  </conditionalFormatting>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2" max="2" width="16.63"/>
  </cols>
  <sheetData>
    <row r="2">
      <c r="B2" s="156" t="s">
        <v>5400</v>
      </c>
      <c r="C2" s="3" t="s">
        <v>84</v>
      </c>
      <c r="D2" s="3" t="s">
        <v>200</v>
      </c>
      <c r="E2" s="3" t="s">
        <v>4441</v>
      </c>
    </row>
    <row r="3">
      <c r="B3" s="156" t="s">
        <v>5401</v>
      </c>
      <c r="C3" s="3" t="s">
        <v>84</v>
      </c>
      <c r="D3" s="3" t="s">
        <v>200</v>
      </c>
      <c r="E3" s="3" t="s">
        <v>4441</v>
      </c>
    </row>
    <row r="4">
      <c r="B4" s="156" t="s">
        <v>5402</v>
      </c>
      <c r="C4" s="3" t="s">
        <v>84</v>
      </c>
      <c r="D4" s="3" t="s">
        <v>200</v>
      </c>
      <c r="E4" s="3" t="s">
        <v>4441</v>
      </c>
    </row>
    <row r="5">
      <c r="B5" s="156" t="s">
        <v>5403</v>
      </c>
      <c r="C5" s="3" t="s">
        <v>84</v>
      </c>
      <c r="D5" s="3" t="s">
        <v>200</v>
      </c>
      <c r="E5" s="3" t="s">
        <v>4441</v>
      </c>
    </row>
    <row r="6">
      <c r="B6" s="156" t="s">
        <v>5404</v>
      </c>
      <c r="C6" s="3" t="s">
        <v>84</v>
      </c>
      <c r="D6" s="3" t="s">
        <v>200</v>
      </c>
      <c r="E6" s="3" t="s">
        <v>4441</v>
      </c>
    </row>
    <row r="7">
      <c r="B7" s="156" t="s">
        <v>5405</v>
      </c>
      <c r="C7" s="3" t="s">
        <v>84</v>
      </c>
      <c r="D7" s="3" t="s">
        <v>200</v>
      </c>
      <c r="E7" s="3" t="s">
        <v>4441</v>
      </c>
    </row>
    <row r="8">
      <c r="B8" s="156" t="s">
        <v>5406</v>
      </c>
      <c r="E8" s="3" t="s">
        <v>5019</v>
      </c>
    </row>
    <row r="9">
      <c r="B9" s="156" t="s">
        <v>5407</v>
      </c>
      <c r="E9" s="3" t="s">
        <v>5019</v>
      </c>
    </row>
    <row r="10">
      <c r="B10" s="156" t="s">
        <v>5408</v>
      </c>
      <c r="E10" s="3" t="s">
        <v>4364</v>
      </c>
    </row>
  </sheetData>
  <conditionalFormatting sqref="B7 B9:B10">
    <cfRule type="expression" dxfId="0" priority="1">
      <formula>$D7="Excluded"</formula>
    </cfRule>
  </conditionalFormatting>
  <conditionalFormatting sqref="B5:B6">
    <cfRule type="expression" dxfId="0" priority="2">
      <formula>$D5="Excluded"</formula>
    </cfRule>
  </conditionalFormatting>
  <conditionalFormatting sqref="B4">
    <cfRule type="expression" dxfId="0" priority="3">
      <formula>$D4="Excluded"</formula>
    </cfRule>
  </conditionalFormatting>
  <conditionalFormatting sqref="B3">
    <cfRule type="expression" dxfId="0" priority="4">
      <formula>$D3="Excluded"</formula>
    </cfRule>
  </conditionalFormatting>
  <conditionalFormatting sqref="B2">
    <cfRule type="expression" dxfId="0" priority="5">
      <formula>$D2="Excluded"</formula>
    </cfRule>
  </conditionalFormatting>
  <hyperlinks>
    <hyperlink r:id="rId1" ref="B2"/>
    <hyperlink r:id="rId2" ref="B3"/>
    <hyperlink r:id="rId3" ref="B4"/>
    <hyperlink r:id="rId4" ref="B5"/>
    <hyperlink r:id="rId5" ref="B6"/>
    <hyperlink r:id="rId6" ref="B7"/>
    <hyperlink r:id="rId7" ref="B8"/>
    <hyperlink r:id="rId8" ref="B9"/>
    <hyperlink r:id="rId9" ref="B10"/>
  </hyperlinks>
  <drawing r:id="rId10"/>
</worksheet>
</file>